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/>
  <xr:revisionPtr revIDLastSave="0" documentId="13_ncr:1_{4FF95D43-85CA-4A5F-85CE-54D83DF54C5B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259" i="1" l="1"/>
  <c r="K1259" i="1"/>
  <c r="H1259" i="1"/>
  <c r="L1258" i="1"/>
  <c r="K1258" i="1"/>
  <c r="H1258" i="1"/>
  <c r="L1257" i="1"/>
  <c r="K1257" i="1"/>
  <c r="H1257" i="1"/>
  <c r="L1256" i="1"/>
  <c r="K1256" i="1"/>
  <c r="H1256" i="1"/>
  <c r="L1255" i="1"/>
  <c r="K1255" i="1"/>
  <c r="H1255" i="1"/>
  <c r="L1254" i="1"/>
  <c r="K1254" i="1"/>
  <c r="H1254" i="1"/>
  <c r="L1253" i="1"/>
  <c r="K1253" i="1"/>
  <c r="H1253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2" i="1"/>
  <c r="K1242" i="1"/>
  <c r="H1242" i="1"/>
  <c r="L1241" i="1"/>
  <c r="K1241" i="1"/>
  <c r="H1241" i="1"/>
  <c r="L1240" i="1"/>
  <c r="K1240" i="1"/>
  <c r="H1240" i="1"/>
  <c r="L1239" i="1"/>
  <c r="K1239" i="1"/>
  <c r="H1239" i="1"/>
  <c r="L1238" i="1"/>
  <c r="K1238" i="1"/>
  <c r="H1238" i="1"/>
  <c r="L1237" i="1"/>
  <c r="K1237" i="1"/>
  <c r="H1237" i="1"/>
  <c r="L1236" i="1"/>
  <c r="K1236" i="1"/>
  <c r="H1236" i="1"/>
  <c r="L1235" i="1"/>
  <c r="K1235" i="1"/>
  <c r="H1235" i="1"/>
  <c r="L1234" i="1"/>
  <c r="K1234" i="1"/>
  <c r="H1234" i="1"/>
  <c r="L1233" i="1"/>
  <c r="K1233" i="1"/>
  <c r="H1233" i="1"/>
  <c r="L1232" i="1"/>
  <c r="K1232" i="1"/>
  <c r="H1232" i="1"/>
  <c r="L1231" i="1"/>
  <c r="K1231" i="1"/>
  <c r="H1231" i="1"/>
  <c r="L1225" i="1"/>
  <c r="K1225" i="1"/>
  <c r="H1225" i="1"/>
  <c r="L1224" i="1"/>
  <c r="K1224" i="1"/>
  <c r="H1224" i="1"/>
  <c r="L1223" i="1"/>
  <c r="K1223" i="1"/>
  <c r="H1223" i="1"/>
  <c r="L1222" i="1"/>
  <c r="K1222" i="1"/>
  <c r="H1222" i="1"/>
  <c r="L1221" i="1"/>
  <c r="K1221" i="1"/>
  <c r="H1221" i="1"/>
  <c r="L1220" i="1"/>
  <c r="K1220" i="1"/>
  <c r="H1220" i="1"/>
  <c r="L1219" i="1"/>
  <c r="K1219" i="1"/>
  <c r="H1219" i="1"/>
  <c r="L1218" i="1"/>
  <c r="K1218" i="1"/>
  <c r="H1218" i="1"/>
  <c r="L1217" i="1"/>
  <c r="K1217" i="1"/>
  <c r="H1217" i="1"/>
  <c r="L1216" i="1"/>
  <c r="K1216" i="1"/>
  <c r="H1216" i="1"/>
  <c r="L1215" i="1"/>
  <c r="K1215" i="1"/>
  <c r="H1215" i="1"/>
  <c r="L1214" i="1"/>
  <c r="K1214" i="1"/>
  <c r="H1214" i="1"/>
  <c r="L1213" i="1"/>
  <c r="K1213" i="1"/>
  <c r="H1213" i="1"/>
  <c r="L1212" i="1"/>
  <c r="K1212" i="1"/>
  <c r="H1212" i="1"/>
  <c r="L1211" i="1"/>
  <c r="K1211" i="1"/>
  <c r="H1211" i="1"/>
  <c r="L1205" i="1"/>
  <c r="K1205" i="1"/>
  <c r="H1205" i="1"/>
  <c r="L1204" i="1"/>
  <c r="K1204" i="1"/>
  <c r="H1204" i="1"/>
  <c r="L1203" i="1"/>
  <c r="K1203" i="1"/>
  <c r="H1203" i="1"/>
  <c r="L1202" i="1"/>
  <c r="K1202" i="1"/>
  <c r="H1202" i="1"/>
  <c r="L1201" i="1"/>
  <c r="K1201" i="1"/>
  <c r="H1201" i="1"/>
  <c r="L1200" i="1"/>
  <c r="K1200" i="1"/>
  <c r="H1200" i="1"/>
  <c r="L1194" i="1"/>
  <c r="K1194" i="1"/>
  <c r="H1194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6" i="1"/>
  <c r="K1186" i="1"/>
  <c r="H1186" i="1"/>
  <c r="L1180" i="1"/>
  <c r="K1180" i="1"/>
  <c r="H1180" i="1"/>
  <c r="L1179" i="1"/>
  <c r="K1179" i="1"/>
  <c r="H1179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67" i="1"/>
  <c r="K1167" i="1"/>
  <c r="H1167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56" i="1"/>
  <c r="K1156" i="1"/>
  <c r="H1156" i="1"/>
  <c r="L1155" i="1"/>
  <c r="K1155" i="1"/>
  <c r="H1155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6" i="1"/>
  <c r="K1146" i="1"/>
  <c r="H1146" i="1"/>
  <c r="L1140" i="1"/>
  <c r="K1140" i="1"/>
  <c r="H1140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27" i="1"/>
  <c r="K1127" i="1"/>
  <c r="H1127" i="1"/>
  <c r="L1126" i="1"/>
  <c r="K1126" i="1"/>
  <c r="H1126" i="1"/>
  <c r="L1125" i="1"/>
  <c r="K1125" i="1"/>
  <c r="H1125" i="1"/>
  <c r="L1124" i="1"/>
  <c r="K1124" i="1"/>
  <c r="H1124" i="1"/>
  <c r="L1123" i="1"/>
  <c r="K1123" i="1"/>
  <c r="H1123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10" i="1"/>
  <c r="K1110" i="1"/>
  <c r="H1110" i="1"/>
  <c r="L1104" i="1"/>
  <c r="K1104" i="1"/>
  <c r="H1104" i="1"/>
  <c r="L1103" i="1"/>
  <c r="K1103" i="1"/>
  <c r="H1103" i="1"/>
  <c r="L1102" i="1"/>
  <c r="K1102" i="1"/>
  <c r="H1102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5" i="1"/>
  <c r="K1075" i="1"/>
  <c r="H1075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9" i="1"/>
  <c r="K1029" i="1"/>
  <c r="H1029" i="1"/>
  <c r="L1028" i="1"/>
  <c r="K1028" i="1"/>
  <c r="H1028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8" i="1"/>
  <c r="K988" i="1"/>
  <c r="H988" i="1"/>
  <c r="L987" i="1"/>
  <c r="K987" i="1"/>
  <c r="H987" i="1"/>
  <c r="L986" i="1"/>
  <c r="K986" i="1"/>
  <c r="H986" i="1"/>
  <c r="L985" i="1"/>
  <c r="K985" i="1"/>
  <c r="H985" i="1"/>
  <c r="L984" i="1"/>
  <c r="K984" i="1"/>
  <c r="H984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51" i="1"/>
  <c r="K951" i="1"/>
  <c r="H951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1" i="1"/>
  <c r="K881" i="1"/>
  <c r="H881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3" i="1"/>
  <c r="K823" i="1"/>
  <c r="H823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3" i="1"/>
  <c r="K803" i="1"/>
  <c r="H803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84" i="1"/>
  <c r="K784" i="1"/>
  <c r="H784" i="1"/>
  <c r="L778" i="1"/>
  <c r="K778" i="1"/>
  <c r="H778" i="1"/>
  <c r="L777" i="1"/>
  <c r="K777" i="1"/>
  <c r="H777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27" i="1"/>
  <c r="K727" i="1"/>
  <c r="H727" i="1"/>
  <c r="L726" i="1"/>
  <c r="K726" i="1"/>
  <c r="H726" i="1"/>
  <c r="L725" i="1"/>
  <c r="K725" i="1"/>
  <c r="H725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0" i="1"/>
  <c r="K630" i="1"/>
  <c r="H630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30" i="1"/>
  <c r="K130" i="1"/>
  <c r="H130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5" i="1"/>
  <c r="K105" i="1"/>
  <c r="H105" i="1"/>
  <c r="L99" i="1"/>
  <c r="K99" i="1"/>
  <c r="H99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<sst xmlns="http://schemas.openxmlformats.org/spreadsheetml/2006/main" count="4659" uniqueCount="459">
  <si>
    <t>Informe de trayectos</t>
  </si>
  <si>
    <t>Periodo: 5 de febrero de 2025 0:00 - 5 de febrero de 2025 23:59</t>
  </si>
  <si>
    <t>Informe generado</t>
  </si>
  <si>
    <t>a: 22 de septiembre de 2025 14:13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</si>
  <si>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</si>
  <si>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</si>
  <si>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</si>
  <si>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</si>
  <si>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</si>
  <si>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</si>
  <si>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</si>
  <si>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</si>
  <si>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</si>
  <si>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</si>
  <si>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</si>
  <si>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</si>
  <si>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</si>
  <si>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</si>
  <si>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</si>
  <si>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93 km/h</t>
  </si>
  <si>
    <t>10 km/h</t>
  </si>
  <si>
    <t>Lurigancho, Lima Metropolitana, Lima, 15468, Perú</t>
  </si>
  <si>
    <t>Avenida Lima Norte, Santa Eulalia, Lima Metropolitana, Lima, 15468, Perú</t>
  </si>
  <si>
    <t>97 km/h</t>
  </si>
  <si>
    <t>18 km/h</t>
  </si>
  <si>
    <t>Los Huancas, Ate, Lima Metropolitana, Lima, 15483, Perú</t>
  </si>
  <si>
    <t>Avenida Los Incas, Ate, Lima Metropolitana, Lima, 15483, Perú</t>
  </si>
  <si>
    <t>84 km/h</t>
  </si>
  <si>
    <t>17 km/h</t>
  </si>
  <si>
    <t>Ate, Lima Metropolitana, Lima, 15483, Perú</t>
  </si>
  <si>
    <t>70 km/h</t>
  </si>
  <si>
    <t>16 km/h</t>
  </si>
  <si>
    <t>Calle Manantiales de Vida, Ate, Lima Metropolitana, Lima, 15487, Perú</t>
  </si>
  <si>
    <t>81 km/h</t>
  </si>
  <si>
    <t>80 km/h</t>
  </si>
  <si>
    <t>15 km/h</t>
  </si>
  <si>
    <t>78 km/h</t>
  </si>
  <si>
    <t>19 km/h</t>
  </si>
  <si>
    <t>82 km/h</t>
  </si>
  <si>
    <t>22 km/h</t>
  </si>
  <si>
    <t>Carretera Central, Chaclacayo, Lima Metropolitana, Lima, 15476, Perú</t>
  </si>
  <si>
    <t>Calle los Alamos, Chosica, Lima Metropolitana, Lima, 15468, Perú</t>
  </si>
  <si>
    <t>Avenida Las Retamas, Ricardo Palma, Huarochirí, Lima, 15468, Perú</t>
  </si>
  <si>
    <t>87 km/h</t>
  </si>
  <si>
    <t>Calle Las Gardenias, Ricardo Palma, Huarochirí, Lima, 15468, Perú</t>
  </si>
  <si>
    <t>79 km/h</t>
  </si>
  <si>
    <t>Capitan Gamarra, Ricardo Palma, Huarochirí, Lima, 15468, Perú, (Ruta4507nueva era 23-10-23)</t>
  </si>
  <si>
    <t>85 km/h</t>
  </si>
  <si>
    <t>Calle A, Chosica, Lima Metropolitana, Lima, 15468, Perú</t>
  </si>
  <si>
    <t>Avenida José Carlos Mariátegui, Ricardo Palma, Huarochirí, Lima, 15468, Perú</t>
  </si>
  <si>
    <t>Simón Bolívar, Ricardo Palma, Huarochirí, Lima, 15468, Perú, (Ruta4507nueva era 23-10-23)</t>
  </si>
  <si>
    <t>86 km/h</t>
  </si>
  <si>
    <t>14 km/h</t>
  </si>
  <si>
    <t>Calle Huayna Cápac, 200, Chaclacayo, Lima Metropolitana, Lima, 15474, Perú</t>
  </si>
  <si>
    <t>77 km/h</t>
  </si>
  <si>
    <t>13 km/h</t>
  </si>
  <si>
    <t>Avenida José Carlos Mariátegui, Ate, Lima Metropolitana, Lima, 15487, Perú</t>
  </si>
  <si>
    <t>Calle Cerro de Pasco, Ate, Lima Metropolitana, Lima, 15498, Perú</t>
  </si>
  <si>
    <t>53 km/h</t>
  </si>
  <si>
    <t>12 km/h</t>
  </si>
  <si>
    <t>76 km/h</t>
  </si>
  <si>
    <t>Avenida Bernard de Balaguer, Lurigancho, Lima Metropolitana, Lima, 15464, Perú</t>
  </si>
  <si>
    <t>Pasaje A, Ate, Lima Metropolitana, Lima, 15487, Perú</t>
  </si>
  <si>
    <t>Calle 1, Ate, Lima Metropolitana, Lima, 15483, Perú</t>
  </si>
  <si>
    <t>Avenida Lima Sur, Chosica, Lima Metropolitana, Lima, 15468, Perú, (Ruta4507nueva era 23-10-23)</t>
  </si>
  <si>
    <t>Calle Santa Luisa, 2142, Ate, Lima Metropolitana, Lima, 15002, Perú, (Ruta4507nueva era 23-10-23, RUTA DESVIO TEM.  4507)</t>
  </si>
  <si>
    <t>64 km/h</t>
  </si>
  <si>
    <t>Calle Leoncio Prado, Santa Eulalia, Huarochirí, Lima, 15468, Perú</t>
  </si>
  <si>
    <t>83 km/h</t>
  </si>
  <si>
    <t>Calle Estocolmo, Ate, Lima Metropolitana, Lima, 15498, Perú</t>
  </si>
  <si>
    <t>Calle Las Tunas, Santa Anita, Lima Metropolitana, Lima, 15007, Perú</t>
  </si>
  <si>
    <t>73 km/h</t>
  </si>
  <si>
    <t>Calle Los Topacios, Lurigancho, Lima Metropolitana, Lima, 15472, Perú</t>
  </si>
  <si>
    <t>Avenida Simón Bolívar, Santa Eulalia, Huarochirí, Lima, 15468, Perú</t>
  </si>
  <si>
    <t>96 km/h</t>
  </si>
  <si>
    <t>Avenida Metropolitana, Santa Anita, Lima Metropolitana, Lima, 15009, Perú, (RUTA DESVIO TEM.  4507)</t>
  </si>
  <si>
    <t>92 km/h</t>
  </si>
  <si>
    <t>Avenida Paseo de la República, Lima, Lima Metropolitana, Lima, 15083, Perú, (Ruta4507nueva era 23-10-23)</t>
  </si>
  <si>
    <t>Avenida Almirante Miguel Grau, 1294, Lima, Lima Metropolitana, Lima, 15011, Perú, (Ruta4507nueva era 23-10-23)</t>
  </si>
  <si>
    <t>98 km/h</t>
  </si>
  <si>
    <t>Ate, Lima Metropolitana, Lima, 15474, Perú</t>
  </si>
  <si>
    <t>75 km/h</t>
  </si>
  <si>
    <t>9 km/h</t>
  </si>
  <si>
    <t>Avenida Enrique Guzmán y Valle, Chosica, Lima Metropolitana, Lima, 15468, Perú</t>
  </si>
  <si>
    <t>Calle Los Álamos, Ate, Lima Metropolitana, Lima, 15483, Perú</t>
  </si>
  <si>
    <t>30 km/h</t>
  </si>
  <si>
    <t>4 km/h</t>
  </si>
  <si>
    <t>104 km/h</t>
  </si>
  <si>
    <t>Avenida Los Cipreses, Santa Anita, Lima Metropolitana, Lima, 15002, Perú, (RUTA DESVIO TEM.  4507)</t>
  </si>
  <si>
    <t>Carretera Central, Ate, Lima Metropolitana, Lima, 15474, Perú</t>
  </si>
  <si>
    <t>90 km/h</t>
  </si>
  <si>
    <t>Santa Eulalia, Huarochirí, Lima, 15468, Perú</t>
  </si>
  <si>
    <t>100 km/h</t>
  </si>
  <si>
    <t>Corcona, Huarochirí, Lima, Perú</t>
  </si>
  <si>
    <t>Carretera Central, Sol de Cupiche, Huarochirí, Lima, 15500, Perú</t>
  </si>
  <si>
    <t>Avenida Lima Norte, Chosica, Lima Metropolitana, Lima, 15468, Perú</t>
  </si>
  <si>
    <t>Plaza Francisco Bolognesi, Lima, Lima Metropolitana, Lima, 15083, Perú, (Ruta4507nueva era 23-10-23)</t>
  </si>
  <si>
    <t>Avenida Colectora, Chosica, Lima Metropolitana, Lima, 15468, Perú</t>
  </si>
  <si>
    <t>Calle 3, Chosica, Lima Metropolitana, Lima, 15468, Perú</t>
  </si>
  <si>
    <t>Avenida Nicolás Ayllón, Chaclacayo, Lima Metropolitana, Lima, 15472, Perú, (Ruta4507nueva era 23-10-23)</t>
  </si>
  <si>
    <t>Alameda E, Chaclacayo, Lima Metropolitana, Lima, 15476, Perú</t>
  </si>
  <si>
    <t>62 km/h</t>
  </si>
  <si>
    <t>Micaela Bastidas, Ate, Lima Metropolitana, Lima, 15498, Perú</t>
  </si>
  <si>
    <t>Avenida Lima Norte, Chosica, Lima Metropolitana, Lima, 15468, Perú, (Ruta4507nueva era 23-10-23)</t>
  </si>
  <si>
    <t>103 km/h</t>
  </si>
  <si>
    <t>68 km/h</t>
  </si>
  <si>
    <t>Vía de Evitamiento, Ate, Lima Metropolitana, Lima, 15008, Perú, (Ruta4507nueva era 23-10-23)</t>
  </si>
  <si>
    <t>Calle 3, Ate, Lima Metropolitana, Lima, 15487, Perú</t>
  </si>
  <si>
    <t>Carretera Central, Chaclacayo, Lima Metropolitana, Lima, 15474, Perú, (S07ÑAÑA, Ruta4507nueva era 23-10-23)</t>
  </si>
  <si>
    <t>Jirón Los Próceres, Santa Eulalia, Huarochirí, Lima, 15468, Perú</t>
  </si>
  <si>
    <t>Carretera Central, Ate, Lima Metropolitana, Lima, 15474, Perú, (Ruta4507nueva era 23-10-23)</t>
  </si>
  <si>
    <t>Avenida José Santos Chocano, Ricardo Palma, Huarochirí, Lima, 15468, Perú</t>
  </si>
  <si>
    <t>Carretera Central, Lurigancho, Lima Metropolitana, Lima, 15472, Perú, (Ruta4507nueva era 23-10-23)</t>
  </si>
  <si>
    <t>Totales:</t>
  </si>
  <si>
    <t/>
  </si>
  <si>
    <t>* Los datos de combustible se calculan de acuerdo con el consumo medio de combustible del vehículo especificado en su configuración</t>
  </si>
  <si>
    <t>1 km/h</t>
  </si>
  <si>
    <t>Abraham Valdelomar, Ricardo Palma, Huarochirí, Lima, 15468, Perú</t>
  </si>
  <si>
    <t>Jose Carlos Mariátegui, Ricardo Palma, Lima Metropolitana, Lima, 15468, Perú, (PARADERO RICARDO PALMA)</t>
  </si>
  <si>
    <t>8 km/h</t>
  </si>
  <si>
    <t>Avenida Almirante Miguel Grau, 1299, Lima, Lima Metropolitana, Lima, 15011, Perú, (Ruta4507nueva era 23-10-23)</t>
  </si>
  <si>
    <t>Jirón Cornelio Borda, Lima, Lima Metropolitana, Lima, 15082, Perú</t>
  </si>
  <si>
    <t>Avenida Nicolás de Ayllón, Ate, Lima Metropolitana, Lima, 15008, Perú, (Ruta4507nueva era 23-10-23)</t>
  </si>
  <si>
    <t>37 km/h</t>
  </si>
  <si>
    <t>0 km/h</t>
  </si>
  <si>
    <t>Calle Berlín, Ate, Lima Metropolitana, Lima, 15498, Perú</t>
  </si>
  <si>
    <t>2 km/h</t>
  </si>
  <si>
    <t>69 km/h</t>
  </si>
  <si>
    <t>20 km/h</t>
  </si>
  <si>
    <t>Ricardo Palma, Huarochirí, Lima, 15468, Perú, (CURVA RICARDO PALMA, Ruta4507nueva era 23-10-23)</t>
  </si>
  <si>
    <t>Carretera Central, Chaclacayo, Lima Metropolitana, Lima, 15474, Perú, (Ruta4507nueva era 23-10-23)</t>
  </si>
  <si>
    <t>57 km/h</t>
  </si>
  <si>
    <t>7 km/h</t>
  </si>
  <si>
    <t>5 km/h</t>
  </si>
  <si>
    <t>Avenida De Las Torres, San Luis, Lima Metropolitana, Lima, 15022, Perú</t>
  </si>
  <si>
    <t>71 km/h</t>
  </si>
  <si>
    <t>21 km/h</t>
  </si>
  <si>
    <t>Ricardo Palma, Huarochirí, Lima, 15468, Perú, (Ruta4507nueva era 23-10-23)</t>
  </si>
  <si>
    <t>34 km/h</t>
  </si>
  <si>
    <t>Calle Salaverry, 280, Chosica, Lima Metropolitana, Lima, 15468, Perú</t>
  </si>
  <si>
    <t>Avenida 9 de Diciembre, 150, Lima, Lima Metropolitana, Lima, 15083, Perú, (Ruta4507nueva era 23-10-23)</t>
  </si>
  <si>
    <t>74 km/h</t>
  </si>
  <si>
    <t>65 km/h</t>
  </si>
  <si>
    <t>48 km/h</t>
  </si>
  <si>
    <t>Simón Bolívar, Ricardo Palma, Huarochirí, Lima, 15468, Perú</t>
  </si>
  <si>
    <t>61 km/h</t>
  </si>
  <si>
    <t>Pasaje Gould, Lima, Lima Metropolitana, Lima, 15082, Perú</t>
  </si>
  <si>
    <t>66 km/h</t>
  </si>
  <si>
    <t>Avenida Simón Bolívar, Santa Eulalia, Huarochirí, Lima, 15468, Perú, (Ruta4507nueva era 23-10-23)</t>
  </si>
  <si>
    <t>3 km/h</t>
  </si>
  <si>
    <t>23 km/h</t>
  </si>
  <si>
    <t>Avenida Nicolás de Ayllón, Ate, Lima Metropolitana, Lima, 15487, Perú, (Ruta4507nueva era 23-10-23)</t>
  </si>
  <si>
    <t>Avenida José Carlos Mariátegui, Ricardo Palma, Huarochirí, Lima, 15468, Perú, (Ruta4507nueva era 23-10-23)</t>
  </si>
  <si>
    <t>25 km/h</t>
  </si>
  <si>
    <t>11 km/h</t>
  </si>
  <si>
    <t>Jirón Sánchez Pinillos, Lima, Lima Metropolitana, Lima, 15082, Perú</t>
  </si>
  <si>
    <t>24 km/h</t>
  </si>
  <si>
    <t>Carretera Central, Chaclacayo, Lima Metropolitana, Lima, 15474, Perú</t>
  </si>
  <si>
    <t>Carretera Central, Ate, Lima Metropolitana, Lima, 15487, Perú, (Ruta4507nueva era 23-10-23)</t>
  </si>
  <si>
    <t>31 km/h</t>
  </si>
  <si>
    <t>33 km/h</t>
  </si>
  <si>
    <t>Pasaje Gould, Lima, Lima Metropolitana, Lima, 15082, Perú, (PARADERO DESTINO ASCOPE)</t>
  </si>
  <si>
    <t>Avenida Andrés Avelino Cáceres, Ate, Lima Metropolitana, Lima, 15483, Perú</t>
  </si>
  <si>
    <t>59 km/h</t>
  </si>
  <si>
    <t>Calle Salaverry, 280, Chosica, Lima Metropolitana, Lima, 15468, Perú, (Ruta4507nueva era 23-10-23)</t>
  </si>
  <si>
    <t>72 km/h</t>
  </si>
  <si>
    <t>Avenida Nicolás de Ayllón, Ate, Lima Metropolitana, Lima, 15498, Perú, (Ruta4507nueva era 23-10-23)</t>
  </si>
  <si>
    <t>40 km/h</t>
  </si>
  <si>
    <t>Carretera Central, Ate, Lima Metropolitana, Lima, 15474, Perú, (Horacio Zeballos, Ruta4507nueva era 23-10-23)</t>
  </si>
  <si>
    <t>36 km/h</t>
  </si>
  <si>
    <t>39 km/h</t>
  </si>
  <si>
    <t>56 km/h</t>
  </si>
  <si>
    <t>26 km/h</t>
  </si>
  <si>
    <t>Carretera Central, Ate, Lima Metropolitana, Lima, 15487, Perú, (S06 SANTA CLARA, Ruta4507nueva era 23-10-23)</t>
  </si>
  <si>
    <t>32 km/h</t>
  </si>
  <si>
    <t>Avenida Santa María, Ate, Lima Metropolitana, Lima, 15498, Perú, (RUTA DESVIO TEM.  4507)</t>
  </si>
  <si>
    <t>Avenida Bernardino Rivadavia, Ate, Lima Metropolitana, Lima, 15498, Perú, (RUTA DESVIO TEM.  4507)</t>
  </si>
  <si>
    <t>Prolongación Javier Prado Este, Ate, Lima Metropolitana, Lima, 15498, Perú, (RUTA DESVIO TEM.  4507)</t>
  </si>
  <si>
    <t>Avenida Metropolitana, Ate, Lima Metropolitana, Lima, 15498, Perú, (RUTA DESVIO TEM.  4507)</t>
  </si>
  <si>
    <t>43 km/h</t>
  </si>
  <si>
    <t>49 km/h</t>
  </si>
  <si>
    <t>52 km/h</t>
  </si>
  <si>
    <t>Avenida Huancaray, Santa Anita, Lima Metropolitana, Lima, 15009, Perú</t>
  </si>
  <si>
    <t>Avenida Huancaray, Santa Anita, Lima Metropolitana, Lima, 15009, Perú, (S04 AV. Metropolitana / Colectora Industrial)</t>
  </si>
  <si>
    <t>42 km/h</t>
  </si>
  <si>
    <t>Avenida Huancaray, Santa Anita, Lima Metropolitana, Lima, 15007, Perú, (RUTA DESVIO TEM.  4507)</t>
  </si>
  <si>
    <t>Avenida Huancaray, Santa Anita, Lima Metropolitana, Lima, 15008, Perú, (RUTA DESVIO TEM.  4507)</t>
  </si>
  <si>
    <t>Avenida Los Ruiseñores, Santa Anita, Lima Metropolitana, Lima, 15008, Perú, (RUTA DESVIO TEM.  4507)</t>
  </si>
  <si>
    <t>Avenida Los Eucaliptos, Santa Anita, Lima Metropolitana, Lima, 15008, Perú, (RUTA DESVIO TEM.  4507)</t>
  </si>
  <si>
    <t>Avenida Nicolás de Ayllón, Santa Anita, Lima Metropolitana, Lima, 15008, Perú, (Ruta4507nueva era 23-10-23, RUTA DESVIO TEM.  4507)</t>
  </si>
  <si>
    <t>46 km/h</t>
  </si>
  <si>
    <t>Avenida Nicolás de Ayllón, El Agustino, Lima Metropolitana, Lima, 15008, Perú, (Ruta4507nueva era 23-10-23, RUTA DESVIO TEM.  4507)</t>
  </si>
  <si>
    <t>Avenida Nicolás de Ayllón, El Agustino, Lima Metropolitana, Lima, 15008, Perú, (Ruta4507nueva era 23-10-23)</t>
  </si>
  <si>
    <t>Avenida Andrés Avelino Cáceres, Ate, Lima Metropolitana, Lima, 15019, Perú</t>
  </si>
  <si>
    <t>60 km/h</t>
  </si>
  <si>
    <t>29 km/h</t>
  </si>
  <si>
    <t>Avenida Inca Garcilazo de la Vega, El Agustino, Lima Metropolitana, Lima, 15004, Perú</t>
  </si>
  <si>
    <t>Avenida Nicolás Ayllón, 137, Lima, Lima Metropolitana, Lima, 15011, Perú, (Ruta4507nueva era 23-10-23)</t>
  </si>
  <si>
    <t>45 km/h</t>
  </si>
  <si>
    <t>Avenida Almirante Miguel Grau, 1715, Lima, Lima Metropolitana, Lima, 15011, Perú, (Ruta4507nueva era 23-10-23)</t>
  </si>
  <si>
    <t>Vía Expresa Almirante Miguel Grau, Lima, Lima Metropolitana, Lima, 15011, Perú, (Ruta4507nueva era 23-10-23)</t>
  </si>
  <si>
    <t>Avenida Almirante Miguel Grau, 1169, Lima, Lima Metropolitana, Lima, 15011, Perú, (Ruta4507nueva era 23-10-23)</t>
  </si>
  <si>
    <t>50 km/h</t>
  </si>
  <si>
    <t>Vía Expresa Almirante Miguel Grau, La Victoria, Lima Metropolitana, Lima, 15001, Perú, (Ruta4507nueva era 23-10-23)</t>
  </si>
  <si>
    <t>47 km/h</t>
  </si>
  <si>
    <t>Avenida Almirante Miguel Grau, 569, Lima, Lima Metropolitana, Lima, 15001, Perú, (Ruta4507nueva era 23-10-23)</t>
  </si>
  <si>
    <t>Avenida Almirante Miguel Grau, 369, Lima, Lima Metropolitana, Lima, 15001, Perú, (Ruta4507nueva era 23-10-23)</t>
  </si>
  <si>
    <t>Avenida Almirante Miguel Grau, 171, Lima, Lima Metropolitana, Lima, 15001, Perú, (Ruta4507nueva era 23-10-23)</t>
  </si>
  <si>
    <t>Avenida Almirante Miguel Grau, 113, Lima, Lima Metropolitana, Lima, 15001, Perú, (Ruta4507nueva era 23-10-23)</t>
  </si>
  <si>
    <t>Avenida 28 de Julio, Lima, Lima Metropolitana, Lima, 15083, Perú</t>
  </si>
  <si>
    <t>Avenida Petit Thouars, 115, Lima, Lima Metropolitana, Lima, 15083, Perú</t>
  </si>
  <si>
    <t>Avenida 28 de Julio, 772, Lima, Lima Metropolitana, Lima, 15083, Perú</t>
  </si>
  <si>
    <t>27 km/h</t>
  </si>
  <si>
    <t>Avenida 28 de Julio, 715, Jesús María, Lima Metropolitana, Lima, 15083, Perú</t>
  </si>
  <si>
    <t>Avenida Alfonso Ugarte, Breña, Lima Metropolitana, Lima, 15083, Perú, (Ruta4507nueva era 23-10-23)</t>
  </si>
  <si>
    <t>Avenida Alfonso Ugarte, 1235, Lima, Lima Metropolitana, Lima, 15083, Perú, (Ruta4507nueva era 23-10-23)</t>
  </si>
  <si>
    <t>Avenida Alfonso Ugarte, Lima, Lima Metropolitana, Lima, 15082, Perú, (Ruta4507nueva era 23-10-23)</t>
  </si>
  <si>
    <t>Avenida Alfonso Ugarte, Cdra. 9, Lima, Lima Metropolitana, Lima, 15082, Perú, (Ruta4507nueva era 23-10-23)</t>
  </si>
  <si>
    <t>Ciclovía Colonial, Lima, Lima Metropolitana, Lima, 15082, Perú, (Ruta4507nueva era 23-10-23)</t>
  </si>
  <si>
    <t>54 km/h</t>
  </si>
  <si>
    <t>Avenida Óscar Raimundo Benavides, 150, Lima, Lima Metropolitana, Lima, 15082, Perú</t>
  </si>
  <si>
    <t>Avenida Alfonso Ugarte, 650, Lima, Lima Metropolitana, Lima, 15082, Perú</t>
  </si>
  <si>
    <t>35 km/h</t>
  </si>
  <si>
    <t>Avenida Alfonso Ugarte, Lima, Lima Metropolitana, Lima, 15082, Perú</t>
  </si>
  <si>
    <t>Avenida Alfonso Ugarte, 1006, Lima, Lima Metropolitana, Lima, 15082, Perú, (Ruta4507nueva era 23-10-23)</t>
  </si>
  <si>
    <t>Avenida Alfonso Ugarte, Breña, Lima Metropolitana, Lima, 15082, Perú, (S01Alfonso Ugarte/ Metro)</t>
  </si>
  <si>
    <t>Avenida Alfonso Ugarte, 1280, Breña, Lima Metropolitana, Lima, 15083, Perú, (Ruta4507nueva era 23-10-23)</t>
  </si>
  <si>
    <t>Avenida Alfonso Ugarte, 1302, Breña, Lima Metropolitana, Lima, 15083, Perú, (Ruta4507nueva era 23-10-23)</t>
  </si>
  <si>
    <t>Avenida Alfonso Ugarte, 494, Breña, Lima Metropolitana, Lima, 15083, Perú, (Ruta4507nueva era 23-10-23)</t>
  </si>
  <si>
    <t>44 km/h</t>
  </si>
  <si>
    <t>Avenida Guzmán Blanco, 171, Lima, Lima Metropolitana, Lima, 15046, Perú</t>
  </si>
  <si>
    <t>28 km/h</t>
  </si>
  <si>
    <t>Acobamba, Lima, Lima Metropolitana, Lima, 15083, Perú</t>
  </si>
  <si>
    <t>Avenida Guzmán Blanco, 507, Lima, Lima Metropolitana, Lima, 15046, Perú</t>
  </si>
  <si>
    <t>41 km/h</t>
  </si>
  <si>
    <t>Avenida República de Chile, Jesús María, Lima Metropolitana, Lima, 15083, Perú</t>
  </si>
  <si>
    <t>Avenida Garcilazo de la Vega, Lima, Lima Metropolitana, Lima, 15083, Perú</t>
  </si>
  <si>
    <t>Avenida 28 de Julio, 1056, Jesús María, Lima Metropolitana, Lima, 15083, Perú</t>
  </si>
  <si>
    <t>Vía Expresa Almirante Miguel Grau, La Victoria, Lima Metropolitana, Lima, 15001, Perú, (S02 AV.GRAU/ JR ANDAHUAYLAS, Ruta4507nueva era 23-10-23)</t>
  </si>
  <si>
    <t>67 km/h</t>
  </si>
  <si>
    <t>Vía Expresa Almirante Miguel Grau, Lima, Lima Metropolitana, Lima, 15001, Perú, (Ruta4507nueva era 23-10-23)</t>
  </si>
  <si>
    <t>Avenida Almirante Miguel Grau, Lima, Lima Metropolitana, Lima, 15011, Perú, (Ruta4507nueva era 23-10-23)</t>
  </si>
  <si>
    <t>Prolongación Avenida San Pablo, Lima, Lima Metropolitana, Lima, 15011, Perú, (Ruta4507nueva era 23-10-23)</t>
  </si>
  <si>
    <t>Prolongación Avenida San Pablo, Lima, Lima Metropolitana, Lima, 15011, Perú</t>
  </si>
  <si>
    <t>Avenida José de la Riva Aguero, Lima, Lima Metropolitana, Lima, 15004, Perú, (Ruta4507nueva era 23-10-23)</t>
  </si>
  <si>
    <t>Avenida José de la Riva Aguero, Lima, Lima Metropolitana, Lima, 15004, Perú</t>
  </si>
  <si>
    <t>Avenida Inca Garcilazo de la Vega, Lima, Lima Metropolitana, Lima, 15004, Perú</t>
  </si>
  <si>
    <t>Calle Angel Cepollini, San Luis, Lima Metropolitana, Lima, 15019, Perú</t>
  </si>
  <si>
    <t>Avenida Circunvalación, La Victoria, Lima Metropolitana, Lima, 15019, Perú</t>
  </si>
  <si>
    <t>Avenida Nicolás Arriola, San Luis, Lima Metropolitana, Lima, 15019, Perú, (RUTA DESVIO TEM.  4507)</t>
  </si>
  <si>
    <t>Avenida Nicolás de Ayllón, Ate, Lima Metropolitana, Lima, 15002, Perú, (Ruta4507nueva era 23-10-23)</t>
  </si>
  <si>
    <t>Avenida Nicolás de Ayllón, Ate, Lima Metropolitana, Lima, 15002, Perú, (Ruta4507nueva era 23-10-23, RUTA DESVIO TEM.  4507)</t>
  </si>
  <si>
    <t>Avenida Nicolás de Ayllón, Ate, Lima Metropolitana, Lima, 15002, Perú</t>
  </si>
  <si>
    <t>Avenida Nicolás de Ayllón, Ate, Lima Metropolitana, Lima, 15009, Perú, (Ruta4507nueva era 23-10-23)</t>
  </si>
  <si>
    <t>Avenida Nicolás de Ayllón, Santa Anita, Lima Metropolitana, Lima, 00051, Perú, (Ruta4507nueva era 23-10-23)</t>
  </si>
  <si>
    <t>Avenida Asturias, Ate, Lima Metropolitana, Lima, 00051, Perú, (Ruta4507nueva era 23-10-23)</t>
  </si>
  <si>
    <t>Víctor Raúl Haya de la Torre, Ate, Lima Metropolitana, Lima, 15498, Perú, (Ruta4507nueva era 23-10-23)</t>
  </si>
  <si>
    <t>Avenida Nicolás de Ayllón, Ate, Lima Metropolitana, Lima, 15498, Perú, (Ruta4507nueva era 23-10-23, RUTA DESVIO TEM.  4507)</t>
  </si>
  <si>
    <t>Victor Raul Haya de la Torre, Ate, Lima Metropolitana, Lima, 15498, Perú, (Ruta4507nueva era 23-10-23, RUTA DESVIO TEM.  4507)</t>
  </si>
  <si>
    <t>Avenida Nicolás de Ayllón, 5818, Ate, Lima Metropolitana, Lima, 15498, Perú</t>
  </si>
  <si>
    <t>6 km/h</t>
  </si>
  <si>
    <t>58 km/h</t>
  </si>
  <si>
    <t>Chaclacayo, Lima Metropolitana, Lima, 15474, Perú, (Ruta4507nueva era 23-10-23)</t>
  </si>
  <si>
    <t>Avenida Las Flores, 29000, Lurigancho, Lima Metropolitana, Lima, 15472, Perú, (Ruta4507nueva era 23-10-23)</t>
  </si>
  <si>
    <t>Avenida Las Flores, Lurigancho, Lima Metropolitana, Lima, 15468, Perú, (Ruta4507nueva era 23-10-23)</t>
  </si>
  <si>
    <t>Jirón Tacna, Chosica, Lima Metropolitana, Lima, 15468, Perú, (Ruta4507nueva era 23-10-23)</t>
  </si>
  <si>
    <t>Avenida Lima Sur, 465, Chosica, Lima Metropolitana, Lima, 15468, Perú, (Ruta4507nueva era 23-10-23)</t>
  </si>
  <si>
    <t>Avenida Lima Norte, 474, Chosica, Lima Metropolitana, Lima, 15468, Perú, (Ruta4507nueva era 23-10-23)</t>
  </si>
  <si>
    <t>Avenida Lima Norte, Santa Eulalia, Lima Metropolitana, Lima, 15468, Perú, (Ruta4507nueva era 23-10-23)</t>
  </si>
  <si>
    <t>Carretera Central, Ricardo Palma, Huarochirí, Lima, 15468, Perú</t>
  </si>
  <si>
    <t>Jirón Los Próceres, Santa Eulalia, Huarochirí, Lima, 15468, Perú, (Ruta4507nueva era 23-10-23)</t>
  </si>
  <si>
    <t>Avenida Lima Norte, Santa Eulalia, Huarochirí, Lima, 15468, Perú, (Ruta4507nueva era 23-10-23)</t>
  </si>
  <si>
    <t>Avenida Lima Norte, 574, Santa Eulalia, Lima Metropolitana, Lima, 15468, Perú, (Ruta4507nueva era 23-10-23)</t>
  </si>
  <si>
    <t>Avenida Lima Norte, 246, Chosica, Lima Metropolitana, Lima, 15468, Perú, (Ruta4507nueva era 23-10-23)</t>
  </si>
  <si>
    <t>51 km/h</t>
  </si>
  <si>
    <t>Avenida Lima Norte, 178, Chosica, Lima Metropolitana, Lima, 15468, Perú, (Ruta4507nueva era 23-10-23)</t>
  </si>
  <si>
    <t>Avenida Lima Norte, 178, Chosica, Lima Metropolitana, Lima, 15468, Perú</t>
  </si>
  <si>
    <t>Jirón Trujillo Sur, Chosica, Lima Metropolitana, Lima, 15468, Perú, (Ruta4507nueva era 23-10-23)</t>
  </si>
  <si>
    <t>Jirón Iquitos, Chosica, Lima Metropolitana, Lima, 15468, Perú, (Ruta4507nueva era 23-10-23)</t>
  </si>
  <si>
    <t>Avenida Las Flores, Chosica, Lima Metropolitana, Lima, 15468, Perú, (Ruta4507nueva era 23-10-23)</t>
  </si>
  <si>
    <t>Carretera Central, Chaclacayo, Lima Metropolitana, Lima, 15464, Perú</t>
  </si>
  <si>
    <t>Carretera Central, Chaclacayo, Lima Metropolitana, Lima, 15464, Perú, (Ruta4507nueva era 23-10-23)</t>
  </si>
  <si>
    <t>Carretera Central, Chaclacayo, Lima Metropolitana, Lima, 15476, Perú, (Ruta4507nueva era 23-10-23)</t>
  </si>
  <si>
    <t>63 km/h</t>
  </si>
  <si>
    <t>Avenida Central, Ate, Lima Metropolitana, Lima, 15498, Perú, (Ruta4507nueva era 23-10-23, RUTA DESVIO TEM.  4507)</t>
  </si>
  <si>
    <t>Avenida Nicolás de Ayllón, 5818, Ate, Lima Metropolitana, Lima, 15498, Perú, (Ruta4507nueva era 23-10-23)</t>
  </si>
  <si>
    <t>Ate, Lima Metropolitana, Lima, 15498, Perú, (Ruta4507nueva era 23-10-23)</t>
  </si>
  <si>
    <t>Avenida Nicolás de Ayllón, 1308, Ate, Lima Metropolitana, Lima, 15009, Perú, (Ruta4507nueva era 23-10-23)</t>
  </si>
  <si>
    <t>Avenida Nicolás de Ayllón, Santa Anita, Lima Metropolitana, Lima, 15009, Perú, (Ruta4507nueva era 23-10-23)</t>
  </si>
  <si>
    <t>Las Alondras, 237, Santa Anita, Lima Metropolitana, Lima, 15008, Perú, (Ruta4507nueva era 23-10-23)</t>
  </si>
  <si>
    <t>Las Alondras, Santa Anita, Lima Metropolitana, Lima, 15008, Perú, (Ruta4507nueva era 23-10-23)</t>
  </si>
  <si>
    <t>Las Alondras, 175, Santa Anita, Lima Metropolitana, Lima, 15008, Perú, (Ruta4507nueva era 23-10-23)</t>
  </si>
  <si>
    <t>Avenida Nicolás de Ayllón, Santa Anita, Lima Metropolitana, Lima, 15008, Perú, (RUTA DESVIO TEM.  4507)</t>
  </si>
  <si>
    <t>Vía de Evitamiento, Santa Anita, Lima Metropolitana, Lima, 15008, Perú, (Ruta4507nueva era 23-10-23)</t>
  </si>
  <si>
    <t>Nardos, Ate, Lima Metropolitana, Lima, 15019, Perú</t>
  </si>
  <si>
    <t>Calle Ollanta, San Luis, Lima Metropolitana, Lima, 15019, Perú</t>
  </si>
  <si>
    <t>Inca Garcilaso de la Vega, Lima, Lima Metropolitana, Lima, 15019, Perú</t>
  </si>
  <si>
    <t>Calle Ollanta, Lima, Lima Metropolitana, Lima, 15019, Perú</t>
  </si>
  <si>
    <t>Jirón Junín, El Agustino, Lima Metropolitana, Lima, 15003, Perú</t>
  </si>
  <si>
    <t>Jirón Junín, Lima, Lima Metropolitana, Lima, 15003, Perú</t>
  </si>
  <si>
    <t>Jirón Huánuco, Lima, Lima Metropolitana, Lima, 15011, Perú, (Ruta4507nueva era 23-10-23)</t>
  </si>
  <si>
    <t>Avenida Almirante Miguel Grau, 1233, Lima, Lima Metropolitana, Lima, 15011, Perú, (Ruta4507nueva era 23-10-23)</t>
  </si>
  <si>
    <t>Avenida Almirante Miguel Grau, 887, Lima, Lima Metropolitana, Lima, 15001, Perú, (Ruta4507nueva era 23-10-23)</t>
  </si>
  <si>
    <t>Avenida Almirante Miguel Grau, Lima, Lima Metropolitana, Lima, 15083, Perú, (Ruta4507nueva era 23-10-23)</t>
  </si>
  <si>
    <t>Avenida Almirante Miguel Grau, La Victoria, Lima Metropolitana, Lima, 15001, Perú, (Ruta4507nueva era 23-10-23)</t>
  </si>
  <si>
    <t>Avenida Paseo de la República, 385, La Victoria, Lima Metropolitana, Lima, 15001, Perú</t>
  </si>
  <si>
    <t>Avenida Almirante Miguel Grau, 813, Lima, Lima Metropolitana, Lima, 15001, Perú, (Ruta4507nueva era 23-10-23)</t>
  </si>
  <si>
    <t>Vía Expresa Almirante Miguel Grau, La Victoria, Lima Metropolitana, Lima, 15011, Perú, (Ruta4507nueva era 23-10-23)</t>
  </si>
  <si>
    <t>Avenida Almirante Miguel Grau, La Victoria, Lima Metropolitana, Lima, 15011, Perú, (Ruta4507nueva era 23-10-23)</t>
  </si>
  <si>
    <t>Avenida Almirante Miguel Grau, 1400, Lima, Lima Metropolitana, Lima, 15011, Perú, (Ruta4507nueva era 23-10-23)</t>
  </si>
  <si>
    <t>Jirón Alto de la Alianza, Lima, Lima Metropolitana, Lima, 15011, Perú</t>
  </si>
  <si>
    <t>Avenida Nicolás de Ayllón, San Luis, Lima Metropolitana, Lima, 15022, Perú, (Ruta4507nueva era 23-10-23, RUTA DESVIO TEM.  4507)</t>
  </si>
  <si>
    <t>Vía de Evitamiento, Ate, Lima Metropolitana, Lima, 15008, Perú, (Ruta4507nueva era 23-10-23, RUTA DESVIO TEM.  4507)</t>
  </si>
  <si>
    <t>Avenida Nicolás de Ayllón, Ate, Lima Metropolitana, Lima, 15008, Perú, (Ruta4507nueva era 23-10-23, RUTA DESVIO TEM.  4507)</t>
  </si>
  <si>
    <t>Avenida Nicolás de Ayllón, Santa Anita, Lima Metropolitana, Lima, 15008, Perú, (Ruta4507nueva era 23-10-23)</t>
  </si>
  <si>
    <t>Avenida Nicolás de Ayllón, Ate, Lima Metropolitana, Lima, 15498, Perú</t>
  </si>
  <si>
    <t>Victor Raul Haya de la Torre, Ate, Lima Metropolitana, Lima, 15498, Perú</t>
  </si>
  <si>
    <t>Victor Raul Haya de la Torre, Ate, Lima Metropolitana, Lima, 15498, Perú, (Ruta4507nueva era 23-10-23)</t>
  </si>
  <si>
    <t>Avenida Nicolás de Ayllón, 836, Ate, Lima Metropolitana, Lima, 15487, Perú, (Ruta4507nueva era 23-10-23)</t>
  </si>
  <si>
    <t>Carretera Central, 1030, Ate, Lima Metropolitana, Lima, 15487, Perú, (Ruta4507nueva era 23-10-23)</t>
  </si>
  <si>
    <t>Avenida Jaime Zubieta Calderón, Ate, Lima Metropolitana, Lima, 15483, Perú, (Ruta4507nueva era 23-10-23)</t>
  </si>
  <si>
    <t>Avenida Jaime Zubieta Calderón, Ate, Lima Metropolitana, Lima, 15483, Perú</t>
  </si>
  <si>
    <t>Carretera Central, Lurigancho, Lima Metropolitana, Lima, 15483, Perú, (Ruta4507nueva era 23-10-23)</t>
  </si>
  <si>
    <t>Avenida Gloria Grande, Ate, Lima Metropolitana, Lima, 15483, Perú</t>
  </si>
  <si>
    <t>Calle Cesar Vallejo, Ricardo Palma, Huarochirí, Lima, 15468, Perú</t>
  </si>
  <si>
    <t>Chosica, Lima Metropolitana, Lima, 15468, Perú</t>
  </si>
  <si>
    <t>Ricardo Palma, Huarochirí, Lima, 15468, Perú, (Exceso de Velocidad)</t>
  </si>
  <si>
    <t>Jirón Huarochirí, 643, Lima, Lima Metropolitana, Lima, 15082, Perú</t>
  </si>
  <si>
    <t>Avenida José Carlos Mariátegui, Ricardo Palma, Huarochirí, Lima, 15468, Perú, (CURVA RICARDO PALMA, Ruta4507nueva era 23-10-23)</t>
  </si>
  <si>
    <t>Avenida Nicolás de Ayllón, 15498, Ate, Lima Metropolitana, Lima, 15498, Perú, (Ruta4507nueva era 23-10-23)</t>
  </si>
  <si>
    <t>Jose Carlos Mariátegui, Chosica, Lima Metropolitana, Lima, 15468, Perú, (PARADERO RICARDO PALMA)</t>
  </si>
  <si>
    <t>Avenida Almirante Miguel Grau, 300, La Victoria, Lima Metropolitana, Lima, 15001, Perú, (Ruta4507nueva era 23-10-23)</t>
  </si>
  <si>
    <t>Avenida Iquitos, Lima, Lima Metropolitana, Lima, 15001, Perú, (Ruta4507nueva era 23-10-23)</t>
  </si>
  <si>
    <t>Calle Los Olivos, Ricardo Palma, Huarochirí, Lima, 15468, Perú</t>
  </si>
  <si>
    <t>Simón Bolívar, Ricardo Palma, Huarochirí, Lima, 15468, Perú, (TALLER TRASANDINO, Ruta4507nueva era 23-10-23)</t>
  </si>
  <si>
    <t>Simón Bolívar, Ricardo Palma, Huarochirí, Lima, 15468, Perú, (TALLER TRASANDINO)</t>
  </si>
  <si>
    <t>Calle Córdova, Ricardo Palma, Huarochirí, Lima, 15468, Perú, (Ruta4507nueva era 23-10-23)</t>
  </si>
  <si>
    <t>91 km/h</t>
  </si>
  <si>
    <t>Avenida Lima Sur, Chosica, Lima Metropolitana, Lima, 15468, Perú</t>
  </si>
  <si>
    <t>Ricardo Palma, Huarochirí, Lima, 15468, Perú</t>
  </si>
  <si>
    <t>Avenida Alfonso Ugarte, 825, Lima, Lima Metropolitana, Lima, 15082, Perú</t>
  </si>
  <si>
    <t>Jirón Huarochirí, Lima, Lima Metropolitana, Lima, 15082, Perú</t>
  </si>
  <si>
    <t>Calle Alhelíes, Chaclacayo, Lima Metropolitana, Lima, 15476, Perú</t>
  </si>
  <si>
    <t>Avenida Nicolás Ayllón, Lima, Lima Metropolitana, Lima, 15011, Perú, (Ruta4507nueva era 23-10-23)</t>
  </si>
  <si>
    <t>89 km/h</t>
  </si>
  <si>
    <t>Avenida Nicolás Ayllón, Chaclacayo, Lima Metropolitana, Lima, 15472, Perú</t>
  </si>
  <si>
    <t>Avenida Río Perene, Ate, Lima Metropolitana, Lima, 15498, Perú</t>
  </si>
  <si>
    <t>Avenida Separadora Industrial, Santa Anita, Lima Metropolitana, Lima, 15498, Perú</t>
  </si>
  <si>
    <t>Calle Beta, 234, Ate, Lima Metropolitana, Lima, 15498, Perú</t>
  </si>
  <si>
    <t>Avenida Los Incas, 205, Ate, Lima Metropolitana, Lima, 15483, Perú</t>
  </si>
  <si>
    <t>Jirón Sánchez Pinillos, 189, Lima, Lima Metropolitana, Lima, 15082, Perú, (Ruta4507nueva era 23-10-23)</t>
  </si>
  <si>
    <t>Simón Bolívar, Ricardo Palma, Huarochirí, Lima, 15468, Perú, (CURVA RICARDO PALMA, Ruta4507nueva era 23-10-23)</t>
  </si>
  <si>
    <t>Calle Manuel Gonzales Prada, Ricardo Palma, Huarochirí, Lima, 15468, Perú</t>
  </si>
  <si>
    <t>Avenida Unión, Chaclacayo, Lima Metropolitana, Lima, 15476, Perú, (Ruta4507nueva era 23-10-23)</t>
  </si>
  <si>
    <t>Avenida 15 de Julio, Ate, Lima Metropolitana, Lima, 15483, Perú</t>
  </si>
  <si>
    <t>Calle Atahualpa, Chaclacayo, Lima Metropolitana, Lima, 15474, Perú</t>
  </si>
  <si>
    <t>Calle Alameda Ñaña, Lurigancho, Lima Metropolitana, Lima, 15474, Perú</t>
  </si>
  <si>
    <t>55 km/h</t>
  </si>
  <si>
    <t>Avenida Paseo de la República, 400, Jesús María, Lima Metropolitana, Lima, 15001, Perú</t>
  </si>
  <si>
    <t>Jirón Sánchez Pinillos, Breña, Lima Metropolitana, Lima, 15082, Perú</t>
  </si>
  <si>
    <t>Venta, Ate, Lima Metropolitana, Lima, 15474, Perú</t>
  </si>
  <si>
    <t>Carretera Central, Ate, Lima Metropolitana, Lima, 15483, Perú</t>
  </si>
  <si>
    <t>Avenida Las Retamas, Chaclacayo, Lima Metropolitana, Lima, 15474, Perú</t>
  </si>
  <si>
    <t>Calle Nueva Los Alamos, Santa Eulalia, Huarochirí, Lima, 15468, Perú</t>
  </si>
  <si>
    <t>Avenida San Martín, Santa Eulalia, Huarochirí, Lima, 15468, Perú</t>
  </si>
  <si>
    <t>Jirón San Martín de Porres, Ate, Lima Metropolitana, Lima, 15498, Perú</t>
  </si>
  <si>
    <t>Jirón San Martín de Porres, Ate, Lima Metropolitana, Lima, 15498, Perú, (Ruta4507nueva era 23-10-23, RUTA DESVIO TEM.  4507)</t>
  </si>
  <si>
    <t>Avenida Alfonso Cobián, Chaclacayo, Lima Metropolitana, Lima, 15476, Perú</t>
  </si>
  <si>
    <t>Avenida Malecón Manco Cápac, Chaclacayo, Lima Metropolitana, Lima, 15472, Perú, (Ruta4507nueva era 23-10-23)</t>
  </si>
  <si>
    <t>Calle Abraham Valdelomar, 108, Ricardo Palma, Huarochirí, Lima, 15468, Perú</t>
  </si>
  <si>
    <t>Avenida Nicolás de Ayllón, Santa Anita, Lima Metropolitana, Lima, 15498, Perú, (Ruta4507nueva era 23-10-23)</t>
  </si>
  <si>
    <t>Jirón Tacna, Chosica, Lima Metropolitana, Lima, 15468, Perú</t>
  </si>
  <si>
    <t>Jirón Trujillo Norte, Chosica, Lima Metropolitana, Lima, 15468, Perú, (Ruta4507nueva era 23-10-23)</t>
  </si>
  <si>
    <t>Avenida Inca Garcilazo de la Vega, El Agustino, Lima Metropolitana, Lima, 15004, Perú, (Ruta4507nueva era 23-10-23)</t>
  </si>
  <si>
    <t>Chaclacayo, Lima Metropolitana, Lima, 15472, Perú, (Ruta4507nueva era 23-10-23)</t>
  </si>
  <si>
    <t>Ciclovía Colonial, Lima, Lima Metropolitana, Lima, 15082, Perú</t>
  </si>
  <si>
    <t>Víctor Raúl Haya de la Torre, Ate, Lima Metropolitana, Lima, 15498, Perú</t>
  </si>
  <si>
    <t>Jirón Cornelio Borda, Breña, Lima Metropolitana, Lima, 15082, Perú, (Ruta4507nueva era 23-10-23)</t>
  </si>
  <si>
    <t>Avenida José Carlos Mariátegui, Ate, Lima Metropolitana, Lima, 15483, Perú</t>
  </si>
  <si>
    <t>Avenida Thomas Edison, Ate, Lima Metropolitana, Lima, 15002, Perú</t>
  </si>
  <si>
    <t>Avenida La Paz, G2, Santa Eulalia, Huarochirí, Lima, 15500, Perú</t>
  </si>
  <si>
    <t>Carretera Central, Corcona, Huarochirí, Lima, Perú</t>
  </si>
  <si>
    <t>Jirón Coronel Miguel Baquero, 190, Lima, Lima Metropolitana, Lima, 15082, Perú</t>
  </si>
  <si>
    <t>Avenida Nicolás de Ayllón, 2950, Ate, Lima Metropolitana, Lima, 15008, Perú, (Ruta4507nueva era 23-10-23)</t>
  </si>
  <si>
    <t>Jirón Callao, Chosica, Lima Metropolitana, Lima, 15468, Perú</t>
  </si>
  <si>
    <t>Avenida Colectora, Ate, Lima Metropolitana, Lima, 15483, Perú</t>
  </si>
  <si>
    <t>Calle Jose La Mar, Ate, Lima Metropolitana, Lima, 15008, Perú</t>
  </si>
  <si>
    <t>Avenida José Carlos Mariátegui, Ate, Lima Metropolitana, Lima, 15474, Perú</t>
  </si>
  <si>
    <t>Chaclacayo, Lima Metropolitana, Lima, 15476, Perú</t>
  </si>
  <si>
    <t>Marcos Puente Llanos, Ate, Lima Metropolitana, Lima, 15498, Perú, (RUTA DESVIO TEM.  4507)</t>
  </si>
  <si>
    <t>Marcos Puente Llanos, Ate, Lima Metropolitana, Lima, 15498, Perú</t>
  </si>
  <si>
    <t>Auxiliar Avenida Nicolás Arriola, San Luis, Lima Metropolitana, Lima, 15019, Perú, (RUTA DESVIO TEM.  4507)</t>
  </si>
  <si>
    <t>Avenida De Las Torres, 225, San Luis, Lima Metropolitana, Lima, 15022, Perú</t>
  </si>
  <si>
    <t>Calle Alhelíes, Chaclacayo, Lima Metropolitana, Lima, 15476, Perú, (Ruta4507nueva era 23-10-23)</t>
  </si>
  <si>
    <t>Avenida Lima Norte, Santa Eulalia, Huarochirí, Lima, 15468, Perú</t>
  </si>
  <si>
    <t>Calle 2, Ate, Lima Metropolitana, Lima, 15487, Perú</t>
  </si>
  <si>
    <t>Calle B, Ate, Lima Metropolitana, Lima, 15483, Perú</t>
  </si>
  <si>
    <t>88 km/h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</si>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</sst>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6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1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</row>
    <row r="3" spans="1:13" x14ac:dyDescent="0.2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</row>
    <row r="4" spans="1:13" x14ac:dyDescent="0.2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</row>
    <row r="5" spans="1:1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3" s="1" customFormat="1" x14ac:dyDescent="0.25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398</v>
      </c>
      <c r="B8" s="3">
        <v>45693.179756944446</v>
      </c>
      <c r="C8" t="s">
        <v>18</v>
      </c>
      <c r="D8" s="3">
        <v>45693.882314814815</v>
      </c>
      <c r="E8" t="s">
        <v>18</v>
      </c>
      <c r="F8" s="4">
        <v>144.316</v>
      </c>
      <c r="G8" s="4">
        <v>512657.32199999999</v>
      </c>
      <c r="H8" s="4">
        <v>512801.63799999998</v>
      </c>
      <c r="I8" s="5">
        <f>30737 / 86400</f>
        <v>0.35575231481481484</v>
      </c>
      <c r="J8" t="s">
        <v>19</v>
      </c>
      <c r="K8" t="s">
        <v>20</v>
      </c>
      <c r="L8" s="5">
        <f>50833 / 86400</f>
        <v>0.58834490740740741</v>
      </c>
      <c r="M8" s="5">
        <f>35563 / 86400</f>
        <v>0.41160879629629632</v>
      </c>
    </row>
    <row r="9" spans="1:13" x14ac:dyDescent="0.25">
      <c r="A9" t="s">
        <v>399</v>
      </c>
      <c r="B9" s="3">
        <v>45693.283958333333</v>
      </c>
      <c r="C9" t="s">
        <v>21</v>
      </c>
      <c r="D9" s="3">
        <v>45693.898680555554</v>
      </c>
      <c r="E9" t="s">
        <v>22</v>
      </c>
      <c r="F9" s="4">
        <v>195.59299999999999</v>
      </c>
      <c r="G9" s="4">
        <v>17780.958999999999</v>
      </c>
      <c r="H9" s="4">
        <v>17976.552</v>
      </c>
      <c r="I9" s="5">
        <f>12257 / 86400</f>
        <v>0.14186342592592593</v>
      </c>
      <c r="J9" t="s">
        <v>23</v>
      </c>
      <c r="K9" t="s">
        <v>24</v>
      </c>
      <c r="L9" s="5">
        <f>40022 / 86400</f>
        <v>0.4632175925925926</v>
      </c>
      <c r="M9" s="5">
        <f>46374 / 86400</f>
        <v>0.53673611111111108</v>
      </c>
    </row>
    <row r="10" spans="1:13" x14ac:dyDescent="0.25">
      <c r="A10" t="s">
        <v>400</v>
      </c>
      <c r="B10" s="3">
        <v>45693.218159722222</v>
      </c>
      <c r="C10" t="s">
        <v>25</v>
      </c>
      <c r="D10" s="3">
        <v>45693.871377314819</v>
      </c>
      <c r="E10" t="s">
        <v>26</v>
      </c>
      <c r="F10" s="4">
        <v>239.41200000000001</v>
      </c>
      <c r="G10" s="4">
        <v>326981.74300000002</v>
      </c>
      <c r="H10" s="4">
        <v>327221.15500000003</v>
      </c>
      <c r="I10" s="5">
        <f>16858 / 86400</f>
        <v>0.19511574074074073</v>
      </c>
      <c r="J10" t="s">
        <v>27</v>
      </c>
      <c r="K10" t="s">
        <v>28</v>
      </c>
      <c r="L10" s="5">
        <f>49518 / 86400</f>
        <v>0.573125</v>
      </c>
      <c r="M10" s="5">
        <f>36873 / 86400</f>
        <v>0.42677083333333332</v>
      </c>
    </row>
    <row r="11" spans="1:13" x14ac:dyDescent="0.25">
      <c r="A11" t="s">
        <v>401</v>
      </c>
      <c r="B11" s="3">
        <v>45693.281736111108</v>
      </c>
      <c r="C11" t="s">
        <v>29</v>
      </c>
      <c r="D11" s="3">
        <v>45693.850034722222</v>
      </c>
      <c r="E11" t="s">
        <v>29</v>
      </c>
      <c r="F11" s="4">
        <v>184.566</v>
      </c>
      <c r="G11" s="4">
        <v>20035.899000000001</v>
      </c>
      <c r="H11" s="4">
        <v>20220.465</v>
      </c>
      <c r="I11" s="5">
        <f>13152 / 86400</f>
        <v>0.15222222222222223</v>
      </c>
      <c r="J11" t="s">
        <v>30</v>
      </c>
      <c r="K11" t="s">
        <v>31</v>
      </c>
      <c r="L11" s="5">
        <f>41246 / 86400</f>
        <v>0.47738425925925926</v>
      </c>
      <c r="M11" s="5">
        <f>45146 / 86400</f>
        <v>0.52252314814814815</v>
      </c>
    </row>
    <row r="12" spans="1:13" x14ac:dyDescent="0.25">
      <c r="A12" t="s">
        <v>402</v>
      </c>
      <c r="B12" s="3">
        <v>45693.246724537035</v>
      </c>
      <c r="C12" t="s">
        <v>32</v>
      </c>
      <c r="D12" s="3">
        <v>45693.933842592596</v>
      </c>
      <c r="E12" t="s">
        <v>32</v>
      </c>
      <c r="F12" s="4">
        <v>219.495</v>
      </c>
      <c r="G12" s="4">
        <v>511875.96100000001</v>
      </c>
      <c r="H12" s="4">
        <v>512095.45600000001</v>
      </c>
      <c r="I12" s="5">
        <f>15823 / 86400</f>
        <v>0.18313657407407408</v>
      </c>
      <c r="J12" t="s">
        <v>33</v>
      </c>
      <c r="K12" t="s">
        <v>28</v>
      </c>
      <c r="L12" s="5">
        <f>47034 / 86400</f>
        <v>0.54437500000000005</v>
      </c>
      <c r="M12" s="5">
        <f>39357 / 86400</f>
        <v>0.45552083333333332</v>
      </c>
    </row>
    <row r="13" spans="1:13" x14ac:dyDescent="0.25">
      <c r="A13" t="s">
        <v>403</v>
      </c>
      <c r="B13" s="3">
        <v>45693.223344907412</v>
      </c>
      <c r="C13" t="s">
        <v>29</v>
      </c>
      <c r="D13" s="3">
        <v>45693.777847222227</v>
      </c>
      <c r="E13" t="s">
        <v>29</v>
      </c>
      <c r="F13" s="4">
        <v>170.12299999999999</v>
      </c>
      <c r="G13" s="4">
        <v>91056.755000000005</v>
      </c>
      <c r="H13" s="4">
        <v>91226.877999999997</v>
      </c>
      <c r="I13" s="5">
        <f>14158 / 86400</f>
        <v>0.16386574074074073</v>
      </c>
      <c r="J13" t="s">
        <v>34</v>
      </c>
      <c r="K13" t="s">
        <v>35</v>
      </c>
      <c r="L13" s="5">
        <f>41752 / 86400</f>
        <v>0.48324074074074075</v>
      </c>
      <c r="M13" s="5">
        <f>44642 / 86400</f>
        <v>0.5166898148148148</v>
      </c>
    </row>
    <row r="14" spans="1:13" x14ac:dyDescent="0.25">
      <c r="A14" t="s">
        <v>404</v>
      </c>
      <c r="B14" s="3">
        <v>45693.176921296297</v>
      </c>
      <c r="C14" t="s">
        <v>18</v>
      </c>
      <c r="D14" s="3">
        <v>45693.831053240741</v>
      </c>
      <c r="E14" t="s">
        <v>18</v>
      </c>
      <c r="F14" s="4">
        <v>277.053</v>
      </c>
      <c r="G14" s="4">
        <v>135911.424</v>
      </c>
      <c r="H14" s="4">
        <v>136188.47700000001</v>
      </c>
      <c r="I14" s="5">
        <f>16214 / 86400</f>
        <v>0.18766203703703704</v>
      </c>
      <c r="J14" t="s">
        <v>36</v>
      </c>
      <c r="K14" t="s">
        <v>37</v>
      </c>
      <c r="L14" s="5">
        <f>52610 / 86400</f>
        <v>0.608912037037037</v>
      </c>
      <c r="M14" s="5">
        <f>33786 / 86400</f>
        <v>0.39104166666666668</v>
      </c>
    </row>
    <row r="15" spans="1:13" x14ac:dyDescent="0.25">
      <c r="A15" t="s">
        <v>405</v>
      </c>
      <c r="B15" s="3">
        <v>45693.19631944444</v>
      </c>
      <c r="C15" t="s">
        <v>29</v>
      </c>
      <c r="D15" s="3">
        <v>45693.611261574071</v>
      </c>
      <c r="E15" t="s">
        <v>29</v>
      </c>
      <c r="F15" s="4">
        <v>160.5251653971076</v>
      </c>
      <c r="G15" s="4">
        <v>346431.57397756999</v>
      </c>
      <c r="H15" s="4">
        <v>346602.33604961931</v>
      </c>
      <c r="I15" s="5">
        <f>0 / 86400</f>
        <v>0</v>
      </c>
      <c r="J15" t="s">
        <v>38</v>
      </c>
      <c r="K15" t="s">
        <v>39</v>
      </c>
      <c r="L15" s="5">
        <f>25817 / 86400</f>
        <v>0.29880787037037038</v>
      </c>
      <c r="M15" s="5">
        <f>60582 / 86400</f>
        <v>0.70118055555555558</v>
      </c>
    </row>
    <row r="16" spans="1:13" x14ac:dyDescent="0.25">
      <c r="A16" t="s">
        <v>406</v>
      </c>
      <c r="B16" s="3">
        <v>45693.170555555553</v>
      </c>
      <c r="C16" t="s">
        <v>40</v>
      </c>
      <c r="D16" s="3">
        <v>45693.647592592592</v>
      </c>
      <c r="E16" t="s">
        <v>40</v>
      </c>
      <c r="F16" s="4">
        <v>169.65800000000002</v>
      </c>
      <c r="G16" s="4">
        <v>483131.13799999998</v>
      </c>
      <c r="H16" s="4">
        <v>483300.79599999997</v>
      </c>
      <c r="I16" s="5">
        <f>13096 / 86400</f>
        <v>0.15157407407407408</v>
      </c>
      <c r="J16" t="s">
        <v>36</v>
      </c>
      <c r="K16" t="s">
        <v>31</v>
      </c>
      <c r="L16" s="5">
        <f>38610 / 86400</f>
        <v>0.44687500000000002</v>
      </c>
      <c r="M16" s="5">
        <f>47786 / 86400</f>
        <v>0.55307870370370371</v>
      </c>
    </row>
    <row r="17" spans="1:13" x14ac:dyDescent="0.25">
      <c r="A17" t="s">
        <v>407</v>
      </c>
      <c r="B17" s="3">
        <v>45693.082997685182</v>
      </c>
      <c r="C17" t="s">
        <v>41</v>
      </c>
      <c r="D17" s="3">
        <v>45693.891342592593</v>
      </c>
      <c r="E17" t="s">
        <v>42</v>
      </c>
      <c r="F17" s="4">
        <v>306.79000000000002</v>
      </c>
      <c r="G17" s="4">
        <v>506615.603</v>
      </c>
      <c r="H17" s="4">
        <v>506922.39299999998</v>
      </c>
      <c r="I17" s="5">
        <f>21176 / 86400</f>
        <v>0.24509259259259258</v>
      </c>
      <c r="J17" t="s">
        <v>43</v>
      </c>
      <c r="K17" t="s">
        <v>28</v>
      </c>
      <c r="L17" s="5">
        <f>65691 / 86400</f>
        <v>0.76031249999999995</v>
      </c>
      <c r="M17" s="5">
        <f>20703 / 86400</f>
        <v>0.23961805555555554</v>
      </c>
    </row>
    <row r="18" spans="1:13" x14ac:dyDescent="0.25">
      <c r="A18" t="s">
        <v>408</v>
      </c>
      <c r="B18" s="3">
        <v>45693.237754629634</v>
      </c>
      <c r="C18" t="s">
        <v>44</v>
      </c>
      <c r="D18" s="3">
        <v>45693.965370370366</v>
      </c>
      <c r="E18" t="s">
        <v>44</v>
      </c>
      <c r="F18" s="4">
        <v>199.51599999999999</v>
      </c>
      <c r="G18" s="4">
        <v>406866.54399999999</v>
      </c>
      <c r="H18" s="4">
        <v>407066.06199999998</v>
      </c>
      <c r="I18" s="5">
        <f>17289 / 86400</f>
        <v>0.20010416666666667</v>
      </c>
      <c r="J18" t="s">
        <v>45</v>
      </c>
      <c r="K18" t="s">
        <v>35</v>
      </c>
      <c r="L18" s="5">
        <f>49305 / 86400</f>
        <v>0.57065972222222228</v>
      </c>
      <c r="M18" s="5">
        <f>37086 / 86400</f>
        <v>0.4292361111111111</v>
      </c>
    </row>
    <row r="19" spans="1:13" x14ac:dyDescent="0.25">
      <c r="A19" t="s">
        <v>409</v>
      </c>
      <c r="B19" s="3">
        <v>45693.26626157407</v>
      </c>
      <c r="C19" t="s">
        <v>46</v>
      </c>
      <c r="D19" s="3">
        <v>45693.729363425926</v>
      </c>
      <c r="E19" t="s">
        <v>46</v>
      </c>
      <c r="F19" s="4">
        <v>104.66199999999999</v>
      </c>
      <c r="G19" s="4">
        <v>436396.04300000001</v>
      </c>
      <c r="H19" s="4">
        <v>436500.70500000002</v>
      </c>
      <c r="I19" s="5">
        <f>9527 / 86400</f>
        <v>0.1102662037037037</v>
      </c>
      <c r="J19" t="s">
        <v>47</v>
      </c>
      <c r="K19" t="s">
        <v>35</v>
      </c>
      <c r="L19" s="5">
        <f>25235 / 86400</f>
        <v>0.29207175925925927</v>
      </c>
      <c r="M19" s="5">
        <f>61159 / 86400</f>
        <v>0.70785879629629633</v>
      </c>
    </row>
    <row r="20" spans="1:13" x14ac:dyDescent="0.25">
      <c r="A20" t="s">
        <v>410</v>
      </c>
      <c r="B20" s="3">
        <v>45693.131539351853</v>
      </c>
      <c r="C20" t="s">
        <v>22</v>
      </c>
      <c r="D20" s="3">
        <v>45693.909178240741</v>
      </c>
      <c r="E20" t="s">
        <v>48</v>
      </c>
      <c r="F20" s="4">
        <v>303.73700000000002</v>
      </c>
      <c r="G20" s="4">
        <v>52581.021000000001</v>
      </c>
      <c r="H20" s="4">
        <v>52884.758000000002</v>
      </c>
      <c r="I20" s="5">
        <f>19667 / 86400</f>
        <v>0.22762731481481482</v>
      </c>
      <c r="J20" t="s">
        <v>19</v>
      </c>
      <c r="K20" t="s">
        <v>24</v>
      </c>
      <c r="L20" s="5">
        <f>60908 / 86400</f>
        <v>0.70495370370370369</v>
      </c>
      <c r="M20" s="5">
        <f>25487 / 86400</f>
        <v>0.29498842592592595</v>
      </c>
    </row>
    <row r="21" spans="1:13" x14ac:dyDescent="0.25">
      <c r="A21" t="s">
        <v>411</v>
      </c>
      <c r="B21" s="3">
        <v>45693.227604166663</v>
      </c>
      <c r="C21" t="s">
        <v>49</v>
      </c>
      <c r="D21" s="3">
        <v>45693.975393518514</v>
      </c>
      <c r="E21" t="s">
        <v>50</v>
      </c>
      <c r="F21" s="4">
        <v>219.667</v>
      </c>
      <c r="G21" s="4">
        <v>214342.359</v>
      </c>
      <c r="H21" s="4">
        <v>214562.02600000001</v>
      </c>
      <c r="I21" s="5">
        <f>21873 / 86400</f>
        <v>0.25315972222222222</v>
      </c>
      <c r="J21" t="s">
        <v>51</v>
      </c>
      <c r="K21" t="s">
        <v>52</v>
      </c>
      <c r="L21" s="5">
        <f>56283 / 86400</f>
        <v>0.65142361111111113</v>
      </c>
      <c r="M21" s="5">
        <f>30102 / 86400</f>
        <v>0.34840277777777778</v>
      </c>
    </row>
    <row r="22" spans="1:13" x14ac:dyDescent="0.25">
      <c r="A22" t="s">
        <v>412</v>
      </c>
      <c r="B22" s="3">
        <v>45693.251307870371</v>
      </c>
      <c r="C22" t="s">
        <v>53</v>
      </c>
      <c r="D22" s="3">
        <v>45693.844189814816</v>
      </c>
      <c r="E22" t="s">
        <v>53</v>
      </c>
      <c r="F22" s="4">
        <v>154.11699999999999</v>
      </c>
      <c r="G22" s="4">
        <v>523742.98700000002</v>
      </c>
      <c r="H22" s="4">
        <v>523897.10499999998</v>
      </c>
      <c r="I22" s="5">
        <f>22939 / 86400</f>
        <v>0.26549768518518518</v>
      </c>
      <c r="J22" t="s">
        <v>54</v>
      </c>
      <c r="K22" t="s">
        <v>55</v>
      </c>
      <c r="L22" s="5">
        <f>42431 / 86400</f>
        <v>0.49109953703703701</v>
      </c>
      <c r="M22" s="5">
        <f>43963 / 86400</f>
        <v>0.50883101851851853</v>
      </c>
    </row>
    <row r="23" spans="1:13" x14ac:dyDescent="0.25">
      <c r="A23" t="s">
        <v>413</v>
      </c>
      <c r="B23" s="3">
        <v>45693.254305555558</v>
      </c>
      <c r="C23" t="s">
        <v>56</v>
      </c>
      <c r="D23" s="3">
        <v>45693.862777777773</v>
      </c>
      <c r="E23" t="s">
        <v>56</v>
      </c>
      <c r="F23" s="4">
        <v>236.941</v>
      </c>
      <c r="G23" s="4">
        <v>343795.79499999998</v>
      </c>
      <c r="H23" s="4">
        <v>344032.73599999998</v>
      </c>
      <c r="I23" s="5">
        <f>15872 / 86400</f>
        <v>0.1837037037037037</v>
      </c>
      <c r="J23" t="s">
        <v>19</v>
      </c>
      <c r="K23" t="s">
        <v>24</v>
      </c>
      <c r="L23" s="5">
        <f>47629 / 86400</f>
        <v>0.55126157407407406</v>
      </c>
      <c r="M23" s="5">
        <f>38765 / 86400</f>
        <v>0.44866898148148149</v>
      </c>
    </row>
    <row r="24" spans="1:13" x14ac:dyDescent="0.25">
      <c r="A24" t="s">
        <v>414</v>
      </c>
      <c r="B24" s="3">
        <v>45693.266851851848</v>
      </c>
      <c r="C24" t="s">
        <v>57</v>
      </c>
      <c r="D24" s="3">
        <v>45693.793900462959</v>
      </c>
      <c r="E24" t="s">
        <v>57</v>
      </c>
      <c r="F24" s="4">
        <v>29.690999999999999</v>
      </c>
      <c r="G24" s="4">
        <v>424913.098</v>
      </c>
      <c r="H24" s="4">
        <v>424942.78899999999</v>
      </c>
      <c r="I24" s="5">
        <f>2830 / 86400</f>
        <v>3.2754629629629627E-2</v>
      </c>
      <c r="J24" t="s">
        <v>58</v>
      </c>
      <c r="K24" t="s">
        <v>59</v>
      </c>
      <c r="L24" s="5">
        <f>8722 / 86400</f>
        <v>0.10094907407407408</v>
      </c>
      <c r="M24" s="5">
        <f>77668 / 86400</f>
        <v>0.89893518518518523</v>
      </c>
    </row>
    <row r="25" spans="1:13" x14ac:dyDescent="0.25">
      <c r="A25" t="s">
        <v>415</v>
      </c>
      <c r="B25" s="3">
        <v>45693.232037037036</v>
      </c>
      <c r="C25" t="s">
        <v>29</v>
      </c>
      <c r="D25" s="3">
        <v>45693.798321759255</v>
      </c>
      <c r="E25" t="s">
        <v>29</v>
      </c>
      <c r="F25" s="4">
        <v>175.45400000000001</v>
      </c>
      <c r="G25" s="4">
        <v>11420.902</v>
      </c>
      <c r="H25" s="4">
        <v>11596.356</v>
      </c>
      <c r="I25" s="5">
        <f>17066 / 86400</f>
        <v>0.19752314814814814</v>
      </c>
      <c r="J25" t="s">
        <v>60</v>
      </c>
      <c r="K25" t="s">
        <v>35</v>
      </c>
      <c r="L25" s="5">
        <f>42847 / 86400</f>
        <v>0.49591435185185184</v>
      </c>
      <c r="M25" s="5">
        <f>43540 / 86400</f>
        <v>0.50393518518518521</v>
      </c>
    </row>
    <row r="26" spans="1:13" x14ac:dyDescent="0.25">
      <c r="A26" t="s">
        <v>416</v>
      </c>
      <c r="B26" s="3">
        <v>45693.258946759262</v>
      </c>
      <c r="C26" t="s">
        <v>61</v>
      </c>
      <c r="D26" s="3">
        <v>45693.86</v>
      </c>
      <c r="E26" t="s">
        <v>61</v>
      </c>
      <c r="F26" s="4">
        <v>225.97499999999999</v>
      </c>
      <c r="G26" s="4">
        <v>137695.90400000001</v>
      </c>
      <c r="H26" s="4">
        <v>137921.87899999999</v>
      </c>
      <c r="I26" s="5">
        <f>14571 / 86400</f>
        <v>0.16864583333333333</v>
      </c>
      <c r="J26" t="s">
        <v>47</v>
      </c>
      <c r="K26" t="s">
        <v>24</v>
      </c>
      <c r="L26" s="5">
        <f>45237 / 86400</f>
        <v>0.52357638888888891</v>
      </c>
      <c r="M26" s="5">
        <f>41157 / 86400</f>
        <v>0.47635416666666669</v>
      </c>
    </row>
    <row r="27" spans="1:13" x14ac:dyDescent="0.25">
      <c r="A27" t="s">
        <v>417</v>
      </c>
      <c r="B27" s="3">
        <v>45693.232708333337</v>
      </c>
      <c r="C27" t="s">
        <v>29</v>
      </c>
      <c r="D27" s="3">
        <v>45693.943576388891</v>
      </c>
      <c r="E27" t="s">
        <v>29</v>
      </c>
      <c r="F27" s="4">
        <v>179.279</v>
      </c>
      <c r="G27" s="4">
        <v>4374.1589999999997</v>
      </c>
      <c r="H27" s="4">
        <v>4553.4380000000001</v>
      </c>
      <c r="I27" s="5">
        <f>26815 / 86400</f>
        <v>0.31035879629629631</v>
      </c>
      <c r="J27" t="s">
        <v>36</v>
      </c>
      <c r="K27" t="s">
        <v>59</v>
      </c>
      <c r="L27" s="5">
        <f>52280 / 86400</f>
        <v>0.60509259259259263</v>
      </c>
      <c r="M27" s="5">
        <f>34113 / 86400</f>
        <v>0.39482638888888888</v>
      </c>
    </row>
    <row r="28" spans="1:13" x14ac:dyDescent="0.25">
      <c r="A28" t="s">
        <v>418</v>
      </c>
      <c r="B28" s="3">
        <v>45693.208194444444</v>
      </c>
      <c r="C28" t="s">
        <v>40</v>
      </c>
      <c r="D28" s="3">
        <v>45693.787986111114</v>
      </c>
      <c r="E28" t="s">
        <v>40</v>
      </c>
      <c r="F28" s="4">
        <v>202.97499999999999</v>
      </c>
      <c r="G28" s="4">
        <v>385592.13799999998</v>
      </c>
      <c r="H28" s="4">
        <v>385795.11300000001</v>
      </c>
      <c r="I28" s="5">
        <f>16755 / 86400</f>
        <v>0.19392361111111112</v>
      </c>
      <c r="J28" t="s">
        <v>54</v>
      </c>
      <c r="K28" t="s">
        <v>31</v>
      </c>
      <c r="L28" s="5">
        <f>46679 / 86400</f>
        <v>0.54026620370370371</v>
      </c>
      <c r="M28" s="5">
        <f>39717 / 86400</f>
        <v>0.45968750000000003</v>
      </c>
    </row>
    <row r="29" spans="1:13" x14ac:dyDescent="0.25">
      <c r="A29" t="s">
        <v>419</v>
      </c>
      <c r="B29" s="3">
        <v>45693.297708333332</v>
      </c>
      <c r="C29" t="s">
        <v>62</v>
      </c>
      <c r="D29" s="3">
        <v>45693.907430555555</v>
      </c>
      <c r="E29" t="s">
        <v>62</v>
      </c>
      <c r="F29" s="4">
        <v>168.65100000000001</v>
      </c>
      <c r="G29" s="4">
        <v>391331.592</v>
      </c>
      <c r="H29" s="4">
        <v>391500.24300000002</v>
      </c>
      <c r="I29" s="5">
        <f>13616 / 86400</f>
        <v>0.15759259259259259</v>
      </c>
      <c r="J29" t="s">
        <v>45</v>
      </c>
      <c r="K29" t="s">
        <v>28</v>
      </c>
      <c r="L29" s="5">
        <f>35554 / 86400</f>
        <v>0.41150462962962964</v>
      </c>
      <c r="M29" s="5">
        <f>50834 / 86400</f>
        <v>0.58835648148148145</v>
      </c>
    </row>
    <row r="30" spans="1:13" x14ac:dyDescent="0.25">
      <c r="A30" t="s">
        <v>420</v>
      </c>
      <c r="B30" s="3">
        <v>45693.146678240737</v>
      </c>
      <c r="C30" t="s">
        <v>63</v>
      </c>
      <c r="D30" s="3">
        <v>45693.82240740741</v>
      </c>
      <c r="E30" t="s">
        <v>63</v>
      </c>
      <c r="F30" s="4">
        <v>259.51600000000002</v>
      </c>
      <c r="G30" s="4">
        <v>521545.68199999997</v>
      </c>
      <c r="H30" s="4">
        <v>521805.19799999997</v>
      </c>
      <c r="I30" s="5">
        <f>13254 / 86400</f>
        <v>0.15340277777777778</v>
      </c>
      <c r="J30" t="s">
        <v>54</v>
      </c>
      <c r="K30" t="s">
        <v>37</v>
      </c>
      <c r="L30" s="5">
        <f>48808 / 86400</f>
        <v>0.56490740740740741</v>
      </c>
      <c r="M30" s="5">
        <f>37588 / 86400</f>
        <v>0.43504629629629632</v>
      </c>
    </row>
    <row r="31" spans="1:13" x14ac:dyDescent="0.25">
      <c r="A31" t="s">
        <v>421</v>
      </c>
      <c r="B31" s="3">
        <v>45693</v>
      </c>
      <c r="C31" t="s">
        <v>64</v>
      </c>
      <c r="D31" s="3">
        <v>45693.99998842593</v>
      </c>
      <c r="E31" t="s">
        <v>65</v>
      </c>
      <c r="F31" s="4">
        <v>203.02</v>
      </c>
      <c r="G31" s="4">
        <v>410402.99099999998</v>
      </c>
      <c r="H31" s="4">
        <v>410606.011</v>
      </c>
      <c r="I31" s="5">
        <f>12395 / 86400</f>
        <v>0.14346064814814816</v>
      </c>
      <c r="J31" t="s">
        <v>66</v>
      </c>
      <c r="K31" t="s">
        <v>28</v>
      </c>
      <c r="L31" s="5">
        <f>44149 / 86400</f>
        <v>0.51098379629629631</v>
      </c>
      <c r="M31" s="5">
        <f>42246 / 86400</f>
        <v>0.48895833333333333</v>
      </c>
    </row>
    <row r="32" spans="1:13" x14ac:dyDescent="0.25">
      <c r="A32" t="s">
        <v>422</v>
      </c>
      <c r="B32" s="3">
        <v>45693.292673611111</v>
      </c>
      <c r="C32" t="s">
        <v>67</v>
      </c>
      <c r="D32" s="3">
        <v>45693.924814814818</v>
      </c>
      <c r="E32" t="s">
        <v>67</v>
      </c>
      <c r="F32" s="4">
        <v>199.92099999999999</v>
      </c>
      <c r="G32" s="4">
        <v>401385.80099999998</v>
      </c>
      <c r="H32" s="4">
        <v>401585.72200000001</v>
      </c>
      <c r="I32" s="5">
        <f>14613 / 86400</f>
        <v>0.16913194444444443</v>
      </c>
      <c r="J32" t="s">
        <v>68</v>
      </c>
      <c r="K32" t="s">
        <v>31</v>
      </c>
      <c r="L32" s="5">
        <f>44028 / 86400</f>
        <v>0.50958333333333339</v>
      </c>
      <c r="M32" s="5">
        <f>42365 / 86400</f>
        <v>0.49033564814814817</v>
      </c>
    </row>
    <row r="33" spans="1:13" x14ac:dyDescent="0.25">
      <c r="A33" t="s">
        <v>423</v>
      </c>
      <c r="B33" s="3">
        <v>45693.254363425927</v>
      </c>
      <c r="C33" t="s">
        <v>69</v>
      </c>
      <c r="D33" s="3">
        <v>45693.773622685185</v>
      </c>
      <c r="E33" t="s">
        <v>69</v>
      </c>
      <c r="F33" s="4">
        <v>175.34700000000001</v>
      </c>
      <c r="G33" s="4">
        <v>406796.065</v>
      </c>
      <c r="H33" s="4">
        <v>406971.41200000001</v>
      </c>
      <c r="I33" s="5">
        <f>11179 / 86400</f>
        <v>0.12938657407407408</v>
      </c>
      <c r="J33" t="s">
        <v>34</v>
      </c>
      <c r="K33" t="s">
        <v>24</v>
      </c>
      <c r="L33" s="5">
        <f>35193 / 86400</f>
        <v>0.40732638888888889</v>
      </c>
      <c r="M33" s="5">
        <f>51200 / 86400</f>
        <v>0.59259259259259256</v>
      </c>
    </row>
    <row r="34" spans="1:13" x14ac:dyDescent="0.25">
      <c r="A34" t="s">
        <v>424</v>
      </c>
      <c r="B34" s="3">
        <v>45693.289965277778</v>
      </c>
      <c r="C34" t="s">
        <v>70</v>
      </c>
      <c r="D34" s="3">
        <v>45693.694027777776</v>
      </c>
      <c r="E34" t="s">
        <v>70</v>
      </c>
      <c r="F34" s="4">
        <v>121.02799999999999</v>
      </c>
      <c r="G34" s="4">
        <v>347310.63199999998</v>
      </c>
      <c r="H34" s="4">
        <v>347431.66</v>
      </c>
      <c r="I34" s="5">
        <f>10096 / 86400</f>
        <v>0.11685185185185185</v>
      </c>
      <c r="J34" t="s">
        <v>71</v>
      </c>
      <c r="K34" t="s">
        <v>35</v>
      </c>
      <c r="L34" s="5">
        <f>28835 / 86400</f>
        <v>0.33373842592592595</v>
      </c>
      <c r="M34" s="5">
        <f>57562 / 86400</f>
        <v>0.66622685185185182</v>
      </c>
    </row>
    <row r="35" spans="1:13" x14ac:dyDescent="0.25">
      <c r="A35" t="s">
        <v>425</v>
      </c>
      <c r="B35" s="3">
        <v>45693.120138888888</v>
      </c>
      <c r="C35" t="s">
        <v>72</v>
      </c>
      <c r="D35" s="3">
        <v>45693.682905092588</v>
      </c>
      <c r="E35" t="s">
        <v>73</v>
      </c>
      <c r="F35" s="4">
        <v>200.589</v>
      </c>
      <c r="G35" s="4">
        <v>39578.516000000003</v>
      </c>
      <c r="H35" s="4">
        <v>39779.105000000003</v>
      </c>
      <c r="I35" s="5">
        <f>12840 / 86400</f>
        <v>0.14861111111111111</v>
      </c>
      <c r="J35" t="s">
        <v>74</v>
      </c>
      <c r="K35" t="s">
        <v>24</v>
      </c>
      <c r="L35" s="5">
        <f>41176 / 86400</f>
        <v>0.47657407407407409</v>
      </c>
      <c r="M35" s="5">
        <f>45219 / 86400</f>
        <v>0.52336805555555554</v>
      </c>
    </row>
    <row r="36" spans="1:13" x14ac:dyDescent="0.25">
      <c r="A36" t="s">
        <v>426</v>
      </c>
      <c r="B36" s="3">
        <v>45693</v>
      </c>
      <c r="C36" t="s">
        <v>75</v>
      </c>
      <c r="D36" s="3">
        <v>45693.99998842593</v>
      </c>
      <c r="E36" t="s">
        <v>40</v>
      </c>
      <c r="F36" s="4">
        <v>336.16200000000003</v>
      </c>
      <c r="G36" s="4">
        <v>44185.521999999997</v>
      </c>
      <c r="H36" s="4">
        <v>44521.684000000001</v>
      </c>
      <c r="I36" s="5">
        <f>22492 / 86400</f>
        <v>0.2603240740740741</v>
      </c>
      <c r="J36" t="s">
        <v>76</v>
      </c>
      <c r="K36" t="s">
        <v>24</v>
      </c>
      <c r="L36" s="5">
        <f>67929 / 86400</f>
        <v>0.78621527777777778</v>
      </c>
      <c r="M36" s="5">
        <f>18467 / 86400</f>
        <v>0.21373842592592593</v>
      </c>
    </row>
    <row r="37" spans="1:13" x14ac:dyDescent="0.25">
      <c r="A37" t="s">
        <v>427</v>
      </c>
      <c r="B37" s="3">
        <v>45693.001701388886</v>
      </c>
      <c r="C37" t="s">
        <v>77</v>
      </c>
      <c r="D37" s="3">
        <v>45693.99998842593</v>
      </c>
      <c r="E37" t="s">
        <v>78</v>
      </c>
      <c r="F37" s="4">
        <v>328.18999999994043</v>
      </c>
      <c r="G37" s="4">
        <v>525598.51100000006</v>
      </c>
      <c r="H37" s="4">
        <v>525926.701</v>
      </c>
      <c r="I37" s="5">
        <f>22831 / 86400</f>
        <v>0.26424768518518521</v>
      </c>
      <c r="J37" t="s">
        <v>79</v>
      </c>
      <c r="K37" t="s">
        <v>24</v>
      </c>
      <c r="L37" s="5">
        <f>64699 / 86400</f>
        <v>0.74883101851851852</v>
      </c>
      <c r="M37" s="5">
        <f>21690 / 86400</f>
        <v>0.25104166666666666</v>
      </c>
    </row>
    <row r="38" spans="1:13" x14ac:dyDescent="0.25">
      <c r="A38" t="s">
        <v>428</v>
      </c>
      <c r="B38" s="3">
        <v>45693.21303240741</v>
      </c>
      <c r="C38" t="s">
        <v>40</v>
      </c>
      <c r="D38" s="3">
        <v>45693.796655092592</v>
      </c>
      <c r="E38" t="s">
        <v>40</v>
      </c>
      <c r="F38" s="4">
        <v>221.00700000000001</v>
      </c>
      <c r="G38" s="4">
        <v>566315.71400000004</v>
      </c>
      <c r="H38" s="4">
        <v>566536.72100000002</v>
      </c>
      <c r="I38" s="5">
        <f>15199 / 86400</f>
        <v>0.17591435185185186</v>
      </c>
      <c r="J38" t="s">
        <v>47</v>
      </c>
      <c r="K38" t="s">
        <v>24</v>
      </c>
      <c r="L38" s="5">
        <f>44311 / 86400</f>
        <v>0.51285879629629627</v>
      </c>
      <c r="M38" s="5">
        <f>42082 / 86400</f>
        <v>0.48706018518518518</v>
      </c>
    </row>
    <row r="39" spans="1:13" x14ac:dyDescent="0.25">
      <c r="A39" t="s">
        <v>429</v>
      </c>
      <c r="B39" s="3">
        <v>45693.240127314813</v>
      </c>
      <c r="C39" t="s">
        <v>49</v>
      </c>
      <c r="D39" s="3">
        <v>45693.765104166669</v>
      </c>
      <c r="E39" t="s">
        <v>49</v>
      </c>
      <c r="F39" s="4">
        <v>203.01900000000001</v>
      </c>
      <c r="G39" s="4">
        <v>513783.62099999998</v>
      </c>
      <c r="H39" s="4">
        <v>513987.50599999999</v>
      </c>
      <c r="I39" s="5">
        <f>12749 / 86400</f>
        <v>0.14755787037037038</v>
      </c>
      <c r="J39" t="s">
        <v>51</v>
      </c>
      <c r="K39" t="s">
        <v>28</v>
      </c>
      <c r="L39" s="5">
        <f>42141 / 86400</f>
        <v>0.48774305555555558</v>
      </c>
      <c r="M39" s="5">
        <f>44258 / 86400</f>
        <v>0.51224537037037032</v>
      </c>
    </row>
    <row r="40" spans="1:13" x14ac:dyDescent="0.25">
      <c r="A40" t="s">
        <v>430</v>
      </c>
      <c r="B40" s="3">
        <v>45693</v>
      </c>
      <c r="C40" t="s">
        <v>80</v>
      </c>
      <c r="D40" s="3">
        <v>45693.958333333328</v>
      </c>
      <c r="E40" t="s">
        <v>80</v>
      </c>
      <c r="F40" s="4">
        <v>208.32499999999999</v>
      </c>
      <c r="G40" s="4">
        <v>503973.26199999999</v>
      </c>
      <c r="H40" s="4">
        <v>504181.587</v>
      </c>
      <c r="I40" s="5">
        <f>51909 / 86400</f>
        <v>0.6007986111111111</v>
      </c>
      <c r="J40" t="s">
        <v>81</v>
      </c>
      <c r="K40" t="s">
        <v>82</v>
      </c>
      <c r="L40" s="5">
        <f>82800 / 86400</f>
        <v>0.95833333333333337</v>
      </c>
      <c r="M40" s="5">
        <f>0 / 86400</f>
        <v>0</v>
      </c>
    </row>
    <row r="41" spans="1:13" x14ac:dyDescent="0.25">
      <c r="A41" t="s">
        <v>431</v>
      </c>
      <c r="B41" s="3">
        <v>45693.269791666666</v>
      </c>
      <c r="C41" t="s">
        <v>83</v>
      </c>
      <c r="D41" s="3">
        <v>45693.917592592596</v>
      </c>
      <c r="E41" t="s">
        <v>83</v>
      </c>
      <c r="F41" s="4">
        <v>197.51599999999999</v>
      </c>
      <c r="G41" s="4">
        <v>350791.32400000002</v>
      </c>
      <c r="H41" s="4">
        <v>350988.84</v>
      </c>
      <c r="I41" s="5">
        <f>20742 / 86400</f>
        <v>0.24006944444444445</v>
      </c>
      <c r="J41" t="s">
        <v>47</v>
      </c>
      <c r="K41" t="s">
        <v>52</v>
      </c>
      <c r="L41" s="5">
        <f>49237 / 86400</f>
        <v>0.56987268518518519</v>
      </c>
      <c r="M41" s="5">
        <f>37155 / 86400</f>
        <v>0.43003472222222222</v>
      </c>
    </row>
    <row r="42" spans="1:13" x14ac:dyDescent="0.25">
      <c r="A42" t="s">
        <v>432</v>
      </c>
      <c r="B42" s="3">
        <v>45693.222442129627</v>
      </c>
      <c r="C42" t="s">
        <v>84</v>
      </c>
      <c r="D42" s="3">
        <v>45693.781319444446</v>
      </c>
      <c r="E42" t="s">
        <v>84</v>
      </c>
      <c r="F42" s="4">
        <v>201.32799999999997</v>
      </c>
      <c r="G42" s="4">
        <v>409706.90399999998</v>
      </c>
      <c r="H42" s="4">
        <v>409908.23200000002</v>
      </c>
      <c r="I42" s="5">
        <f>15336 / 86400</f>
        <v>0.17749999999999999</v>
      </c>
      <c r="J42" t="s">
        <v>54</v>
      </c>
      <c r="K42" t="s">
        <v>31</v>
      </c>
      <c r="L42" s="5">
        <f>44653 / 86400</f>
        <v>0.51681712962962967</v>
      </c>
      <c r="M42" s="5">
        <f>41745 / 86400</f>
        <v>0.4831597222222222</v>
      </c>
    </row>
    <row r="43" spans="1:13" x14ac:dyDescent="0.25">
      <c r="A43" t="s">
        <v>433</v>
      </c>
      <c r="B43" s="3">
        <v>45693.151273148149</v>
      </c>
      <c r="C43" t="s">
        <v>29</v>
      </c>
      <c r="D43" s="3">
        <v>45693.799108796295</v>
      </c>
      <c r="E43" t="s">
        <v>29</v>
      </c>
      <c r="F43" s="4">
        <v>232.67399999999998</v>
      </c>
      <c r="G43" s="4">
        <v>440530.41600000003</v>
      </c>
      <c r="H43" s="4">
        <v>440763.09</v>
      </c>
      <c r="I43" s="5">
        <f>13239 / 86400</f>
        <v>0.15322916666666667</v>
      </c>
      <c r="J43" t="s">
        <v>81</v>
      </c>
      <c r="K43" t="s">
        <v>24</v>
      </c>
      <c r="L43" s="5">
        <f>46605 / 86400</f>
        <v>0.53940972222222228</v>
      </c>
      <c r="M43" s="5">
        <f>39788 / 86400</f>
        <v>0.46050925925925928</v>
      </c>
    </row>
    <row r="44" spans="1:13" x14ac:dyDescent="0.25">
      <c r="A44" t="s">
        <v>434</v>
      </c>
      <c r="B44" s="3">
        <v>45693.316504629634</v>
      </c>
      <c r="C44" t="s">
        <v>83</v>
      </c>
      <c r="D44" s="3">
        <v>45693.828275462962</v>
      </c>
      <c r="E44" t="s">
        <v>42</v>
      </c>
      <c r="F44" s="4">
        <v>6.2149999999999999</v>
      </c>
      <c r="G44" s="4">
        <v>473018.02899999998</v>
      </c>
      <c r="H44" s="4">
        <v>473024.24400000001</v>
      </c>
      <c r="I44" s="5">
        <f>3391 / 86400</f>
        <v>3.9247685185185184E-2</v>
      </c>
      <c r="J44" t="s">
        <v>85</v>
      </c>
      <c r="K44" t="s">
        <v>86</v>
      </c>
      <c r="L44" s="5">
        <f>5066 / 86400</f>
        <v>5.8634259259259261E-2</v>
      </c>
      <c r="M44" s="5">
        <f>81328 / 86400</f>
        <v>0.9412962962962963</v>
      </c>
    </row>
    <row r="45" spans="1:13" x14ac:dyDescent="0.25">
      <c r="A45" t="s">
        <v>435</v>
      </c>
      <c r="B45" s="3">
        <v>45693.112754629634</v>
      </c>
      <c r="C45" t="s">
        <v>80</v>
      </c>
      <c r="D45" s="3">
        <v>45693.492974537032</v>
      </c>
      <c r="E45" t="s">
        <v>80</v>
      </c>
      <c r="F45" s="4">
        <v>146.172</v>
      </c>
      <c r="G45" s="4">
        <v>412046.79300000001</v>
      </c>
      <c r="H45" s="4">
        <v>412192.96500000003</v>
      </c>
      <c r="I45" s="5">
        <f>5555 / 86400</f>
        <v>6.429398148148148E-2</v>
      </c>
      <c r="J45" t="s">
        <v>87</v>
      </c>
      <c r="K45" t="s">
        <v>39</v>
      </c>
      <c r="L45" s="5">
        <f>23840 / 86400</f>
        <v>0.27592592592592591</v>
      </c>
      <c r="M45" s="5">
        <f>62555 / 86400</f>
        <v>0.72401620370370368</v>
      </c>
    </row>
    <row r="46" spans="1:13" x14ac:dyDescent="0.25">
      <c r="A46" t="s">
        <v>436</v>
      </c>
      <c r="B46" s="3">
        <v>45693</v>
      </c>
      <c r="C46" t="s">
        <v>88</v>
      </c>
      <c r="D46" s="3">
        <v>45693.999097222222</v>
      </c>
      <c r="E46" t="s">
        <v>89</v>
      </c>
      <c r="F46" s="4">
        <v>328.78399999999999</v>
      </c>
      <c r="G46" s="4">
        <v>326203.39500000002</v>
      </c>
      <c r="H46" s="4">
        <v>326532.179</v>
      </c>
      <c r="I46" s="5">
        <f>19725 / 86400</f>
        <v>0.2282986111111111</v>
      </c>
      <c r="J46" t="s">
        <v>90</v>
      </c>
      <c r="K46" t="s">
        <v>24</v>
      </c>
      <c r="L46" s="5">
        <f>66370 / 86400</f>
        <v>0.76817129629629632</v>
      </c>
      <c r="M46" s="5">
        <f>20024 / 86400</f>
        <v>0.23175925925925925</v>
      </c>
    </row>
    <row r="47" spans="1:13" x14ac:dyDescent="0.25">
      <c r="A47" t="s">
        <v>437</v>
      </c>
      <c r="B47" s="3">
        <v>45693.316759259258</v>
      </c>
      <c r="C47" t="s">
        <v>29</v>
      </c>
      <c r="D47" s="3">
        <v>45693.99998842593</v>
      </c>
      <c r="E47" t="s">
        <v>29</v>
      </c>
      <c r="F47" s="4">
        <v>160.48100000000002</v>
      </c>
      <c r="G47" s="4">
        <v>359402.62300000002</v>
      </c>
      <c r="H47" s="4">
        <v>359563.10399999999</v>
      </c>
      <c r="I47" s="5">
        <f>32202 / 86400</f>
        <v>0.37270833333333331</v>
      </c>
      <c r="J47" t="s">
        <v>45</v>
      </c>
      <c r="K47" t="s">
        <v>20</v>
      </c>
      <c r="L47" s="5">
        <f>56693 / 86400</f>
        <v>0.65616898148148151</v>
      </c>
      <c r="M47" s="5">
        <f>29704 / 86400</f>
        <v>0.34379629629629632</v>
      </c>
    </row>
    <row r="48" spans="1:13" x14ac:dyDescent="0.25">
      <c r="A48" t="s">
        <v>438</v>
      </c>
      <c r="B48" s="3">
        <v>45693.277071759258</v>
      </c>
      <c r="C48" t="s">
        <v>91</v>
      </c>
      <c r="D48" s="3">
        <v>45693.895925925928</v>
      </c>
      <c r="E48" t="s">
        <v>91</v>
      </c>
      <c r="F48" s="4">
        <v>81.100000000000009</v>
      </c>
      <c r="G48" s="4">
        <v>80735.903999999995</v>
      </c>
      <c r="H48" s="4">
        <v>80817.004000000001</v>
      </c>
      <c r="I48" s="5">
        <f>17077 / 86400</f>
        <v>0.19765046296296296</v>
      </c>
      <c r="J48" t="s">
        <v>92</v>
      </c>
      <c r="K48" t="s">
        <v>20</v>
      </c>
      <c r="L48" s="5">
        <f>27955 / 86400</f>
        <v>0.32355324074074077</v>
      </c>
      <c r="M48" s="5">
        <f>58443 / 86400</f>
        <v>0.67642361111111116</v>
      </c>
    </row>
    <row r="49" spans="1:13" x14ac:dyDescent="0.25">
      <c r="A49" t="s">
        <v>439</v>
      </c>
      <c r="B49" s="3">
        <v>45693.005289351851</v>
      </c>
      <c r="C49" t="s">
        <v>80</v>
      </c>
      <c r="D49" s="3">
        <v>45693.862604166672</v>
      </c>
      <c r="E49" t="s">
        <v>29</v>
      </c>
      <c r="F49" s="4">
        <v>57.424999999999997</v>
      </c>
      <c r="G49" s="4">
        <v>468186.72899999999</v>
      </c>
      <c r="H49" s="4">
        <v>468244.15399999998</v>
      </c>
      <c r="I49" s="5">
        <f>3427 / 86400</f>
        <v>3.9664351851851853E-2</v>
      </c>
      <c r="J49" t="s">
        <v>60</v>
      </c>
      <c r="K49" t="s">
        <v>24</v>
      </c>
      <c r="L49" s="5">
        <f>11713 / 86400</f>
        <v>0.13556712962962963</v>
      </c>
      <c r="M49" s="5">
        <f>74675 / 86400</f>
        <v>0.86429398148148151</v>
      </c>
    </row>
    <row r="50" spans="1:13" x14ac:dyDescent="0.25">
      <c r="A50" t="s">
        <v>440</v>
      </c>
      <c r="B50" s="3">
        <v>45693.249374999999</v>
      </c>
      <c r="C50" t="s">
        <v>29</v>
      </c>
      <c r="D50" s="3">
        <v>45693.87945601852</v>
      </c>
      <c r="E50" t="s">
        <v>29</v>
      </c>
      <c r="F50" s="4">
        <v>176.71800000000002</v>
      </c>
      <c r="G50" s="4">
        <v>574128.49199999997</v>
      </c>
      <c r="H50" s="4">
        <v>574305.21</v>
      </c>
      <c r="I50" s="5">
        <f>17448 / 86400</f>
        <v>0.20194444444444445</v>
      </c>
      <c r="J50" t="s">
        <v>92</v>
      </c>
      <c r="K50" t="s">
        <v>52</v>
      </c>
      <c r="L50" s="5">
        <f>45276 / 86400</f>
        <v>0.52402777777777776</v>
      </c>
      <c r="M50" s="5">
        <f>41120 / 86400</f>
        <v>0.47592592592592592</v>
      </c>
    </row>
    <row r="51" spans="1:13" x14ac:dyDescent="0.25">
      <c r="A51" t="s">
        <v>441</v>
      </c>
      <c r="B51" s="3">
        <v>45693.278935185182</v>
      </c>
      <c r="C51" t="s">
        <v>93</v>
      </c>
      <c r="D51" s="3">
        <v>45693.981932870374</v>
      </c>
      <c r="E51" t="s">
        <v>94</v>
      </c>
      <c r="F51" s="4">
        <v>186.47499999999999</v>
      </c>
      <c r="G51" s="4">
        <v>399441.201</v>
      </c>
      <c r="H51" s="4">
        <v>399627.67599999998</v>
      </c>
      <c r="I51" s="5">
        <f>18595 / 86400</f>
        <v>0.2152199074074074</v>
      </c>
      <c r="J51" t="s">
        <v>81</v>
      </c>
      <c r="K51" t="s">
        <v>52</v>
      </c>
      <c r="L51" s="5">
        <f>47396 / 86400</f>
        <v>0.54856481481481478</v>
      </c>
      <c r="M51" s="5">
        <f>39000 / 86400</f>
        <v>0.4513888888888889</v>
      </c>
    </row>
    <row r="52" spans="1:13" x14ac:dyDescent="0.25">
      <c r="A52" t="s">
        <v>442</v>
      </c>
      <c r="B52" s="3">
        <v>45693.203206018516</v>
      </c>
      <c r="C52" t="s">
        <v>49</v>
      </c>
      <c r="D52" s="3">
        <v>45693.885694444441</v>
      </c>
      <c r="E52" t="s">
        <v>29</v>
      </c>
      <c r="F52" s="4">
        <v>220.55799999999999</v>
      </c>
      <c r="G52" s="4">
        <v>381621.84499999997</v>
      </c>
      <c r="H52" s="4">
        <v>381842.40299999999</v>
      </c>
      <c r="I52" s="5">
        <f>19441 / 86400</f>
        <v>0.22501157407407407</v>
      </c>
      <c r="J52" t="s">
        <v>33</v>
      </c>
      <c r="K52" t="s">
        <v>31</v>
      </c>
      <c r="L52" s="5">
        <f>51099 / 86400</f>
        <v>0.59142361111111108</v>
      </c>
      <c r="M52" s="5">
        <f>35293 / 86400</f>
        <v>0.40848379629629628</v>
      </c>
    </row>
    <row r="53" spans="1:13" x14ac:dyDescent="0.25">
      <c r="A53" t="s">
        <v>443</v>
      </c>
      <c r="B53" s="3">
        <v>45693.232615740737</v>
      </c>
      <c r="C53" t="s">
        <v>21</v>
      </c>
      <c r="D53" s="3">
        <v>45693.992326388892</v>
      </c>
      <c r="E53" t="s">
        <v>21</v>
      </c>
      <c r="F53" s="4">
        <v>190.36699999999999</v>
      </c>
      <c r="G53" s="4">
        <v>544643.94200000004</v>
      </c>
      <c r="H53" s="4">
        <v>544834.30900000001</v>
      </c>
      <c r="I53" s="5">
        <f>12440 / 86400</f>
        <v>0.14398148148148149</v>
      </c>
      <c r="J53" t="s">
        <v>51</v>
      </c>
      <c r="K53" t="s">
        <v>24</v>
      </c>
      <c r="L53" s="5">
        <f>38654 / 86400</f>
        <v>0.44738425925925923</v>
      </c>
      <c r="M53" s="5">
        <f>47743 / 86400</f>
        <v>0.55258101851851849</v>
      </c>
    </row>
    <row r="54" spans="1:13" x14ac:dyDescent="0.25">
      <c r="A54" t="s">
        <v>444</v>
      </c>
      <c r="B54" s="3">
        <v>45693.301666666666</v>
      </c>
      <c r="C54" t="s">
        <v>95</v>
      </c>
      <c r="D54" s="3">
        <v>45693.99998842593</v>
      </c>
      <c r="E54" t="s">
        <v>96</v>
      </c>
      <c r="F54" s="4">
        <v>282.07900000000001</v>
      </c>
      <c r="G54" s="4">
        <v>101168.58100000001</v>
      </c>
      <c r="H54" s="4">
        <v>101450.66</v>
      </c>
      <c r="I54" s="5">
        <f>19622 / 86400</f>
        <v>0.22710648148148149</v>
      </c>
      <c r="J54" t="s">
        <v>92</v>
      </c>
      <c r="K54" t="s">
        <v>37</v>
      </c>
      <c r="L54" s="5">
        <f>53841 / 86400</f>
        <v>0.62315972222222227</v>
      </c>
      <c r="M54" s="5">
        <f>32558 / 86400</f>
        <v>0.37682870370370369</v>
      </c>
    </row>
    <row r="55" spans="1:13" x14ac:dyDescent="0.25">
      <c r="A55" t="s">
        <v>445</v>
      </c>
      <c r="B55" s="3">
        <v>45693.19935185185</v>
      </c>
      <c r="C55" t="s">
        <v>25</v>
      </c>
      <c r="D55" s="3">
        <v>45693.998472222222</v>
      </c>
      <c r="E55" t="s">
        <v>89</v>
      </c>
      <c r="F55" s="4">
        <v>231.39699999999999</v>
      </c>
      <c r="G55" s="4">
        <v>52929.241999999998</v>
      </c>
      <c r="H55" s="4">
        <v>53160.639000000003</v>
      </c>
      <c r="I55" s="5">
        <f>14005 / 86400</f>
        <v>0.1620949074074074</v>
      </c>
      <c r="J55" t="s">
        <v>38</v>
      </c>
      <c r="K55" t="s">
        <v>37</v>
      </c>
      <c r="L55" s="5">
        <f>44733 / 86400</f>
        <v>0.51774305555555555</v>
      </c>
      <c r="M55" s="5">
        <f>41666 / 86400</f>
        <v>0.48224537037037035</v>
      </c>
    </row>
    <row r="56" spans="1:13" x14ac:dyDescent="0.25">
      <c r="A56" t="s">
        <v>446</v>
      </c>
      <c r="B56" s="3">
        <v>45693.208703703705</v>
      </c>
      <c r="C56" t="s">
        <v>97</v>
      </c>
      <c r="D56" s="3">
        <v>45693.713391203702</v>
      </c>
      <c r="E56" t="s">
        <v>98</v>
      </c>
      <c r="F56" s="4">
        <v>197.94100000000003</v>
      </c>
      <c r="G56" s="4">
        <v>45093.084999999999</v>
      </c>
      <c r="H56" s="4">
        <v>45291.025999999998</v>
      </c>
      <c r="I56" s="5">
        <f>11974 / 86400</f>
        <v>0.13858796296296297</v>
      </c>
      <c r="J56" t="s">
        <v>90</v>
      </c>
      <c r="K56" t="s">
        <v>37</v>
      </c>
      <c r="L56" s="5">
        <f>37982 / 86400</f>
        <v>0.43960648148148146</v>
      </c>
      <c r="M56" s="5">
        <f>48417 / 86400</f>
        <v>0.56038194444444445</v>
      </c>
    </row>
    <row r="57" spans="1:13" x14ac:dyDescent="0.25">
      <c r="A57" t="s">
        <v>447</v>
      </c>
      <c r="B57" s="3">
        <v>45693.41982638889</v>
      </c>
      <c r="C57" t="s">
        <v>22</v>
      </c>
      <c r="D57" s="3">
        <v>45693.90452546296</v>
      </c>
      <c r="E57" t="s">
        <v>22</v>
      </c>
      <c r="F57" s="4">
        <v>190.126</v>
      </c>
      <c r="G57" s="4">
        <v>77132.042000000001</v>
      </c>
      <c r="H57" s="4">
        <v>77322.168000000005</v>
      </c>
      <c r="I57" s="5">
        <f>15278 / 86400</f>
        <v>0.17682870370370371</v>
      </c>
      <c r="J57" t="s">
        <v>27</v>
      </c>
      <c r="K57" t="s">
        <v>28</v>
      </c>
      <c r="L57" s="5">
        <f>40597 / 86400</f>
        <v>0.46987268518518521</v>
      </c>
      <c r="M57" s="5">
        <f>45802 / 86400</f>
        <v>0.53011574074074075</v>
      </c>
    </row>
    <row r="58" spans="1:13" x14ac:dyDescent="0.25">
      <c r="A58" t="s">
        <v>448</v>
      </c>
      <c r="B58" s="3">
        <v>45693</v>
      </c>
      <c r="C58" t="s">
        <v>99</v>
      </c>
      <c r="D58" s="3">
        <v>45693.802465277782</v>
      </c>
      <c r="E58" t="s">
        <v>100</v>
      </c>
      <c r="F58" s="4">
        <v>13.877000000000001</v>
      </c>
      <c r="G58" s="4">
        <v>38325.889000000003</v>
      </c>
      <c r="H58" s="4">
        <v>38339.766000000003</v>
      </c>
      <c r="I58" s="5">
        <f>718 / 86400</f>
        <v>8.3101851851851843E-3</v>
      </c>
      <c r="J58" t="s">
        <v>101</v>
      </c>
      <c r="K58" t="s">
        <v>37</v>
      </c>
      <c r="L58" s="5">
        <f>2627 / 86400</f>
        <v>3.0405092592592591E-2</v>
      </c>
      <c r="M58" s="5">
        <f>83772 / 86400</f>
        <v>0.96958333333333335</v>
      </c>
    </row>
    <row r="59" spans="1:13" x14ac:dyDescent="0.25">
      <c r="A59" t="s">
        <v>449</v>
      </c>
      <c r="B59" s="3">
        <v>45693.263912037037</v>
      </c>
      <c r="C59" t="s">
        <v>102</v>
      </c>
      <c r="D59" s="3">
        <v>45693.934652777782</v>
      </c>
      <c r="E59" t="s">
        <v>102</v>
      </c>
      <c r="F59" s="4">
        <v>132.66499999999999</v>
      </c>
      <c r="G59" s="4">
        <v>190866.70600000001</v>
      </c>
      <c r="H59" s="4">
        <v>190999.37100000001</v>
      </c>
      <c r="I59" s="5">
        <f>10771 / 86400</f>
        <v>0.12466435185185185</v>
      </c>
      <c r="J59" t="s">
        <v>27</v>
      </c>
      <c r="K59" t="s">
        <v>31</v>
      </c>
      <c r="L59" s="5">
        <f>29418 / 86400</f>
        <v>0.3404861111111111</v>
      </c>
      <c r="M59" s="5">
        <f>56976 / 86400</f>
        <v>0.6594444444444445</v>
      </c>
    </row>
    <row r="60" spans="1:13" x14ac:dyDescent="0.25">
      <c r="A60" t="s">
        <v>450</v>
      </c>
      <c r="B60" s="3">
        <v>45693.204606481479</v>
      </c>
      <c r="C60" t="s">
        <v>91</v>
      </c>
      <c r="D60" s="3">
        <v>45693.99998842593</v>
      </c>
      <c r="E60" t="s">
        <v>103</v>
      </c>
      <c r="F60" s="4">
        <v>301.01900000000001</v>
      </c>
      <c r="G60" s="4">
        <v>520936.11099999998</v>
      </c>
      <c r="H60" s="4">
        <v>521237.13</v>
      </c>
      <c r="I60" s="5">
        <f>22337 / 86400</f>
        <v>0.25853009259259258</v>
      </c>
      <c r="J60" t="s">
        <v>104</v>
      </c>
      <c r="K60" t="s">
        <v>28</v>
      </c>
      <c r="L60" s="5">
        <f>63428 / 86400</f>
        <v>0.73412037037037037</v>
      </c>
      <c r="M60" s="5">
        <f>22966 / 86400</f>
        <v>0.26581018518518518</v>
      </c>
    </row>
    <row r="61" spans="1:13" x14ac:dyDescent="0.25">
      <c r="A61" t="s">
        <v>451</v>
      </c>
      <c r="B61" s="3">
        <v>45693.137430555551</v>
      </c>
      <c r="C61" t="s">
        <v>95</v>
      </c>
      <c r="D61" s="3">
        <v>45693.836446759262</v>
      </c>
      <c r="E61" t="s">
        <v>95</v>
      </c>
      <c r="F61" s="4">
        <v>279.67699999999996</v>
      </c>
      <c r="G61" s="4">
        <v>21521.744999999999</v>
      </c>
      <c r="H61" s="4">
        <v>21801.421999999999</v>
      </c>
      <c r="I61" s="5">
        <f>15653 / 86400</f>
        <v>0.18116898148148147</v>
      </c>
      <c r="J61" t="s">
        <v>51</v>
      </c>
      <c r="K61" t="s">
        <v>24</v>
      </c>
      <c r="L61" s="5">
        <f>55466 / 86400</f>
        <v>0.64196759259259262</v>
      </c>
      <c r="M61" s="5">
        <f>30930 / 86400</f>
        <v>0.35798611111111112</v>
      </c>
    </row>
    <row r="62" spans="1:13" x14ac:dyDescent="0.25">
      <c r="A62" t="s">
        <v>452</v>
      </c>
      <c r="B62" s="3">
        <v>45693.219189814816</v>
      </c>
      <c r="C62" t="s">
        <v>40</v>
      </c>
      <c r="D62" s="3">
        <v>45693.734027777777</v>
      </c>
      <c r="E62" t="s">
        <v>40</v>
      </c>
      <c r="F62" s="4">
        <v>188.56799999999998</v>
      </c>
      <c r="G62" s="4">
        <v>62954.618000000002</v>
      </c>
      <c r="H62" s="4">
        <v>63143.186000000002</v>
      </c>
      <c r="I62" s="5">
        <f>14796 / 86400</f>
        <v>0.17125000000000001</v>
      </c>
      <c r="J62" t="s">
        <v>27</v>
      </c>
      <c r="K62" t="s">
        <v>28</v>
      </c>
      <c r="L62" s="5">
        <f>40697 / 86400</f>
        <v>0.4710300925925926</v>
      </c>
      <c r="M62" s="5">
        <f>45700 / 86400</f>
        <v>0.52893518518518523</v>
      </c>
    </row>
    <row r="63" spans="1:13" x14ac:dyDescent="0.25">
      <c r="A63" t="s">
        <v>453</v>
      </c>
      <c r="B63" s="3">
        <v>45693.253761574073</v>
      </c>
      <c r="C63" t="s">
        <v>69</v>
      </c>
      <c r="D63" s="3">
        <v>45693.773981481485</v>
      </c>
      <c r="E63" t="s">
        <v>69</v>
      </c>
      <c r="F63" s="4">
        <v>173.46700000000001</v>
      </c>
      <c r="G63" s="4">
        <v>4233.018</v>
      </c>
      <c r="H63" s="4">
        <v>4406.4849999999997</v>
      </c>
      <c r="I63" s="5">
        <f>10495 / 86400</f>
        <v>0.1214699074074074</v>
      </c>
      <c r="J63" t="s">
        <v>105</v>
      </c>
      <c r="K63" t="s">
        <v>28</v>
      </c>
      <c r="L63" s="5">
        <f>35973 / 86400</f>
        <v>0.41635416666666669</v>
      </c>
      <c r="M63" s="5">
        <f>50423 / 86400</f>
        <v>0.58359953703703704</v>
      </c>
    </row>
    <row r="64" spans="1:13" x14ac:dyDescent="0.25">
      <c r="A64" t="s">
        <v>454</v>
      </c>
      <c r="B64" s="3">
        <v>45693.222442129627</v>
      </c>
      <c r="C64" t="s">
        <v>29</v>
      </c>
      <c r="D64" s="3">
        <v>45693.887777777782</v>
      </c>
      <c r="E64" t="s">
        <v>29</v>
      </c>
      <c r="F64" s="4">
        <v>209.452</v>
      </c>
      <c r="G64" s="4">
        <v>406639.603</v>
      </c>
      <c r="H64" s="4">
        <v>406849.05499999999</v>
      </c>
      <c r="I64" s="5">
        <f>16592 / 86400</f>
        <v>0.19203703703703703</v>
      </c>
      <c r="J64" t="s">
        <v>34</v>
      </c>
      <c r="K64" t="s">
        <v>31</v>
      </c>
      <c r="L64" s="5">
        <f>47428 / 86400</f>
        <v>0.54893518518518514</v>
      </c>
      <c r="M64" s="5">
        <f>38964 / 86400</f>
        <v>0.45097222222222222</v>
      </c>
    </row>
    <row r="65" spans="1:13" x14ac:dyDescent="0.25">
      <c r="A65" t="s">
        <v>455</v>
      </c>
      <c r="B65" s="3">
        <v>45693.009212962963</v>
      </c>
      <c r="C65" t="s">
        <v>89</v>
      </c>
      <c r="D65" s="3">
        <v>45693.99998842593</v>
      </c>
      <c r="E65" t="s">
        <v>106</v>
      </c>
      <c r="F65" s="4">
        <v>314.50799999999998</v>
      </c>
      <c r="G65" s="4">
        <v>547713.46200000006</v>
      </c>
      <c r="H65" s="4">
        <v>548027.97</v>
      </c>
      <c r="I65" s="5">
        <f>19178 / 86400</f>
        <v>0.22196759259259261</v>
      </c>
      <c r="J65" t="s">
        <v>33</v>
      </c>
      <c r="K65" t="s">
        <v>24</v>
      </c>
      <c r="L65" s="5">
        <f>63436 / 86400</f>
        <v>0.73421296296296301</v>
      </c>
      <c r="M65" s="5">
        <f>22960 / 86400</f>
        <v>0.26574074074074072</v>
      </c>
    </row>
    <row r="66" spans="1:13" x14ac:dyDescent="0.25">
      <c r="A66" t="s">
        <v>456</v>
      </c>
      <c r="B66" s="3">
        <v>45693.415532407409</v>
      </c>
      <c r="C66" t="s">
        <v>107</v>
      </c>
      <c r="D66" s="3">
        <v>45693.99998842593</v>
      </c>
      <c r="E66" t="s">
        <v>108</v>
      </c>
      <c r="F66" s="4">
        <v>969.73</v>
      </c>
      <c r="G66" s="4">
        <v>45839.62</v>
      </c>
      <c r="H66" s="4">
        <v>46809.35</v>
      </c>
      <c r="I66" s="5">
        <f>13899 / 86400</f>
        <v>0.16086805555555556</v>
      </c>
      <c r="J66" t="s">
        <v>54</v>
      </c>
      <c r="K66" t="s">
        <v>38</v>
      </c>
      <c r="L66" s="5">
        <f>42738 / 86400</f>
        <v>0.49465277777777777</v>
      </c>
      <c r="M66" s="5">
        <f>43656 / 86400</f>
        <v>0.50527777777777783</v>
      </c>
    </row>
    <row r="67" spans="1:13" x14ac:dyDescent="0.25">
      <c r="A67" t="s">
        <v>457</v>
      </c>
      <c r="B67" s="3">
        <v>45693.186087962968</v>
      </c>
      <c r="C67" t="s">
        <v>109</v>
      </c>
      <c r="D67" s="3">
        <v>45693.99998842593</v>
      </c>
      <c r="E67" t="s">
        <v>110</v>
      </c>
      <c r="F67" s="4">
        <v>319.93700000000001</v>
      </c>
      <c r="G67" s="4">
        <v>56979.409</v>
      </c>
      <c r="H67" s="4">
        <v>57299.345999999998</v>
      </c>
      <c r="I67" s="5">
        <f>21116 / 86400</f>
        <v>0.24439814814814814</v>
      </c>
      <c r="J67" t="s">
        <v>92</v>
      </c>
      <c r="K67" t="s">
        <v>24</v>
      </c>
      <c r="L67" s="5">
        <f>64610 / 86400</f>
        <v>0.74780092592592595</v>
      </c>
      <c r="M67" s="5">
        <f>21782 / 86400</f>
        <v>0.25210648148148146</v>
      </c>
    </row>
    <row r="68" spans="1:13" x14ac:dyDescent="0.25">
      <c r="A68" t="s">
        <v>458</v>
      </c>
      <c r="B68" s="3">
        <v>45693.156504629631</v>
      </c>
      <c r="C68" t="s">
        <v>111</v>
      </c>
      <c r="D68" s="3">
        <v>45693.99998842593</v>
      </c>
      <c r="E68" t="s">
        <v>112</v>
      </c>
      <c r="F68" s="4">
        <v>329.41200000000003</v>
      </c>
      <c r="G68" s="4">
        <v>60248.228999999999</v>
      </c>
      <c r="H68" s="4">
        <v>60577.641000000003</v>
      </c>
      <c r="I68" s="5">
        <f>21259 / 86400</f>
        <v>0.24605324074074075</v>
      </c>
      <c r="J68" t="s">
        <v>43</v>
      </c>
      <c r="K68" t="s">
        <v>37</v>
      </c>
      <c r="L68" s="5">
        <f>62138 / 86400</f>
        <v>0.71918981481481481</v>
      </c>
      <c r="M68" s="5">
        <f>24258 / 86400</f>
        <v>0.28076388888888887</v>
      </c>
    </row>
    <row r="69" spans="1:13" x14ac:dyDescent="0.25">
      <c r="A69" s="6" t="s">
        <v>113</v>
      </c>
      <c r="B69" s="6" t="s">
        <v>114</v>
      </c>
      <c r="C69" s="6" t="s">
        <v>114</v>
      </c>
      <c r="D69" s="6" t="s">
        <v>114</v>
      </c>
      <c r="E69" s="6" t="s">
        <v>114</v>
      </c>
      <c r="F69" s="7">
        <v>13043.988165397048</v>
      </c>
      <c r="G69" s="6" t="s">
        <v>114</v>
      </c>
      <c r="H69" s="6" t="s">
        <v>114</v>
      </c>
      <c r="I69" s="8">
        <f>978159 / 86400</f>
        <v>11.321284722222222</v>
      </c>
      <c r="J69" s="6" t="s">
        <v>114</v>
      </c>
      <c r="K69" s="6" t="s">
        <v>114</v>
      </c>
      <c r="L69" s="8">
        <f>2709981 / 86400</f>
        <v>31.365520833333335</v>
      </c>
      <c r="M69" s="8">
        <f>2556483 / 86400</f>
        <v>29.58892361111111</v>
      </c>
    </row>
    <row r="70" spans="1:1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</row>
    <row r="71" spans="1:13" s="9" customFormat="1" x14ac:dyDescent="0.25">
      <c r="A71" s="15" t="s">
        <v>115</v>
      </c>
      <c r="B71" s="15"/>
      <c r="C71" s="15"/>
      <c r="D71" s="15"/>
      <c r="E71" s="15"/>
      <c r="F71" s="15"/>
      <c r="G71" s="15"/>
      <c r="H71" s="15"/>
      <c r="I71" s="15"/>
      <c r="J71" s="15"/>
    </row>
    <row r="72" spans="1:1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 spans="1:13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 spans="1:13" s="10" customFormat="1" ht="20.100000000000001" customHeight="1" x14ac:dyDescent="0.35">
      <c r="A74" s="12" t="s">
        <v>398</v>
      </c>
      <c r="B74" s="12"/>
      <c r="C74" s="12"/>
      <c r="D74" s="12"/>
      <c r="E74" s="12"/>
      <c r="F74" s="12"/>
      <c r="G74" s="12"/>
      <c r="H74" s="12"/>
      <c r="I74" s="12"/>
      <c r="J74" s="12"/>
    </row>
    <row r="75" spans="1:13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 spans="1:13" ht="30" x14ac:dyDescent="0.25">
      <c r="A76" s="2" t="s">
        <v>6</v>
      </c>
      <c r="B76" s="2" t="s">
        <v>7</v>
      </c>
      <c r="C76" s="2" t="s">
        <v>8</v>
      </c>
      <c r="D76" s="2" t="s">
        <v>9</v>
      </c>
      <c r="E76" s="2" t="s">
        <v>10</v>
      </c>
      <c r="F76" s="2" t="s">
        <v>11</v>
      </c>
      <c r="G76" s="2" t="s">
        <v>12</v>
      </c>
      <c r="H76" s="2" t="s">
        <v>13</v>
      </c>
      <c r="I76" s="2" t="s">
        <v>14</v>
      </c>
      <c r="J76" s="2" t="s">
        <v>15</v>
      </c>
      <c r="K76" s="2" t="s">
        <v>16</v>
      </c>
      <c r="L76" s="2" t="s">
        <v>17</v>
      </c>
    </row>
    <row r="77" spans="1:13" x14ac:dyDescent="0.25">
      <c r="A77" s="3">
        <v>45693.179756944446</v>
      </c>
      <c r="B77" t="s">
        <v>18</v>
      </c>
      <c r="C77" s="3">
        <v>45693.18236111111</v>
      </c>
      <c r="D77" t="s">
        <v>18</v>
      </c>
      <c r="E77" s="4">
        <v>4.3999999999999997E-2</v>
      </c>
      <c r="F77" s="4">
        <v>512657.32199999999</v>
      </c>
      <c r="G77" s="4">
        <v>512657.36599999998</v>
      </c>
      <c r="H77" s="5">
        <f>159 / 86400</f>
        <v>1.8402777777777777E-3</v>
      </c>
      <c r="I77" t="s">
        <v>86</v>
      </c>
      <c r="J77" t="s">
        <v>116</v>
      </c>
      <c r="K77" s="5">
        <f>225 / 86400</f>
        <v>2.6041666666666665E-3</v>
      </c>
      <c r="L77" s="5">
        <f>19801 / 86400</f>
        <v>0.22917824074074075</v>
      </c>
    </row>
    <row r="78" spans="1:13" x14ac:dyDescent="0.25">
      <c r="A78" s="3">
        <v>45693.231782407413</v>
      </c>
      <c r="B78" t="s">
        <v>18</v>
      </c>
      <c r="C78" s="3">
        <v>45693.320729166662</v>
      </c>
      <c r="D78" t="s">
        <v>117</v>
      </c>
      <c r="E78" s="4">
        <v>46.716000000000001</v>
      </c>
      <c r="F78" s="4">
        <v>512657.36599999998</v>
      </c>
      <c r="G78" s="4">
        <v>512704.08199999999</v>
      </c>
      <c r="H78" s="5">
        <f>1899 / 86400</f>
        <v>2.1979166666666668E-2</v>
      </c>
      <c r="I78" t="s">
        <v>71</v>
      </c>
      <c r="J78" t="s">
        <v>39</v>
      </c>
      <c r="K78" s="5">
        <f>7685 / 86400</f>
        <v>8.8946759259259253E-2</v>
      </c>
      <c r="L78" s="5">
        <f>1032 / 86400</f>
        <v>1.1944444444444445E-2</v>
      </c>
    </row>
    <row r="79" spans="1:13" x14ac:dyDescent="0.25">
      <c r="A79" s="3">
        <v>45693.332673611112</v>
      </c>
      <c r="B79" t="s">
        <v>117</v>
      </c>
      <c r="C79" s="3">
        <v>45693.338807870372</v>
      </c>
      <c r="D79" t="s">
        <v>118</v>
      </c>
      <c r="E79" s="4">
        <v>1.2390000000000001</v>
      </c>
      <c r="F79" s="4">
        <v>512704.08199999999</v>
      </c>
      <c r="G79" s="4">
        <v>512705.321</v>
      </c>
      <c r="H79" s="5">
        <f>100 / 86400</f>
        <v>1.1574074074074073E-3</v>
      </c>
      <c r="I79" t="s">
        <v>39</v>
      </c>
      <c r="J79" t="s">
        <v>119</v>
      </c>
      <c r="K79" s="5">
        <f>529 / 86400</f>
        <v>6.122685185185185E-3</v>
      </c>
      <c r="L79" s="5">
        <f>1058 / 86400</f>
        <v>1.224537037037037E-2</v>
      </c>
    </row>
    <row r="80" spans="1:13" x14ac:dyDescent="0.25">
      <c r="A80" s="3">
        <v>45693.351053240738</v>
      </c>
      <c r="B80" t="s">
        <v>118</v>
      </c>
      <c r="C80" s="3">
        <v>45693.47148148148</v>
      </c>
      <c r="D80" t="s">
        <v>120</v>
      </c>
      <c r="E80" s="4">
        <v>44.765999999999998</v>
      </c>
      <c r="F80" s="4">
        <v>512705.321</v>
      </c>
      <c r="G80" s="4">
        <v>512750.087</v>
      </c>
      <c r="H80" s="5">
        <f>6059 / 86400</f>
        <v>7.0127314814814809E-2</v>
      </c>
      <c r="I80" t="s">
        <v>60</v>
      </c>
      <c r="J80" t="s">
        <v>35</v>
      </c>
      <c r="K80" s="5">
        <f>10404 / 86400</f>
        <v>0.12041666666666667</v>
      </c>
      <c r="L80" s="5">
        <f>2185 / 86400</f>
        <v>2.5289351851851851E-2</v>
      </c>
    </row>
    <row r="81" spans="1:12" x14ac:dyDescent="0.25">
      <c r="A81" s="3">
        <v>45693.496770833328</v>
      </c>
      <c r="B81" t="s">
        <v>121</v>
      </c>
      <c r="C81" s="3">
        <v>45693.632407407407</v>
      </c>
      <c r="D81" t="s">
        <v>122</v>
      </c>
      <c r="E81" s="4">
        <v>2.613</v>
      </c>
      <c r="F81" s="4">
        <v>512750.087</v>
      </c>
      <c r="G81" s="4">
        <v>512752.7</v>
      </c>
      <c r="H81" s="5">
        <f>11047 / 86400</f>
        <v>0.12785879629629629</v>
      </c>
      <c r="I81" t="s">
        <v>123</v>
      </c>
      <c r="J81" t="s">
        <v>116</v>
      </c>
      <c r="K81" s="5">
        <f>11718 / 86400</f>
        <v>0.135625</v>
      </c>
      <c r="L81" s="5">
        <f>194 / 86400</f>
        <v>2.2453703703703702E-3</v>
      </c>
    </row>
    <row r="82" spans="1:12" x14ac:dyDescent="0.25">
      <c r="A82" s="3">
        <v>45693.634652777779</v>
      </c>
      <c r="B82" t="s">
        <v>122</v>
      </c>
      <c r="C82" s="3">
        <v>45693.636481481481</v>
      </c>
      <c r="D82" t="s">
        <v>122</v>
      </c>
      <c r="E82" s="4">
        <v>0</v>
      </c>
      <c r="F82" s="4">
        <v>512752.7</v>
      </c>
      <c r="G82" s="4">
        <v>512752.7</v>
      </c>
      <c r="H82" s="5">
        <f>139 / 86400</f>
        <v>1.6087962962962963E-3</v>
      </c>
      <c r="I82" t="s">
        <v>124</v>
      </c>
      <c r="J82" t="s">
        <v>124</v>
      </c>
      <c r="K82" s="5">
        <f>158 / 86400</f>
        <v>1.8287037037037037E-3</v>
      </c>
      <c r="L82" s="5">
        <f>384 / 86400</f>
        <v>4.4444444444444444E-3</v>
      </c>
    </row>
    <row r="83" spans="1:12" x14ac:dyDescent="0.25">
      <c r="A83" s="3">
        <v>45693.640925925924</v>
      </c>
      <c r="B83" t="s">
        <v>122</v>
      </c>
      <c r="C83" s="3">
        <v>45693.644467592589</v>
      </c>
      <c r="D83" t="s">
        <v>122</v>
      </c>
      <c r="E83" s="4">
        <v>0</v>
      </c>
      <c r="F83" s="4">
        <v>512752.7</v>
      </c>
      <c r="G83" s="4">
        <v>512752.7</v>
      </c>
      <c r="H83" s="5">
        <f>299 / 86400</f>
        <v>3.460648148148148E-3</v>
      </c>
      <c r="I83" t="s">
        <v>124</v>
      </c>
      <c r="J83" t="s">
        <v>124</v>
      </c>
      <c r="K83" s="5">
        <f>306 / 86400</f>
        <v>3.5416666666666665E-3</v>
      </c>
      <c r="L83" s="5">
        <f>341 / 86400</f>
        <v>3.9467592592592592E-3</v>
      </c>
    </row>
    <row r="84" spans="1:12" x14ac:dyDescent="0.25">
      <c r="A84" s="3">
        <v>45693.648414351846</v>
      </c>
      <c r="B84" t="s">
        <v>122</v>
      </c>
      <c r="C84" s="3">
        <v>45693.866793981477</v>
      </c>
      <c r="D84" t="s">
        <v>125</v>
      </c>
      <c r="E84" s="4">
        <v>48.435000000000002</v>
      </c>
      <c r="F84" s="4">
        <v>512752.7</v>
      </c>
      <c r="G84" s="4">
        <v>512801.13500000001</v>
      </c>
      <c r="H84" s="5">
        <f>10308 / 86400</f>
        <v>0.11930555555555555</v>
      </c>
      <c r="I84" t="s">
        <v>19</v>
      </c>
      <c r="J84" t="s">
        <v>82</v>
      </c>
      <c r="K84" s="5">
        <f>18868 / 86400</f>
        <v>0.21837962962962962</v>
      </c>
      <c r="L84" s="5">
        <f>369 / 86400</f>
        <v>4.2708333333333331E-3</v>
      </c>
    </row>
    <row r="85" spans="1:12" x14ac:dyDescent="0.25">
      <c r="A85" s="3">
        <v>45693.871064814812</v>
      </c>
      <c r="B85" t="s">
        <v>125</v>
      </c>
      <c r="C85" s="3">
        <v>45693.871203703704</v>
      </c>
      <c r="D85" t="s">
        <v>125</v>
      </c>
      <c r="E85" s="4">
        <v>0</v>
      </c>
      <c r="F85" s="4">
        <v>512801.13500000001</v>
      </c>
      <c r="G85" s="4">
        <v>512801.13500000001</v>
      </c>
      <c r="H85" s="5">
        <f>0 / 86400</f>
        <v>0</v>
      </c>
      <c r="I85" t="s">
        <v>124</v>
      </c>
      <c r="J85" t="s">
        <v>124</v>
      </c>
      <c r="K85" s="5">
        <f>12 / 86400</f>
        <v>1.3888888888888889E-4</v>
      </c>
      <c r="L85" s="5">
        <f>24 / 86400</f>
        <v>2.7777777777777778E-4</v>
      </c>
    </row>
    <row r="86" spans="1:12" x14ac:dyDescent="0.25">
      <c r="A86" s="3">
        <v>45693.871481481481</v>
      </c>
      <c r="B86" t="s">
        <v>125</v>
      </c>
      <c r="C86" s="3">
        <v>45693.871504629627</v>
      </c>
      <c r="D86" t="s">
        <v>125</v>
      </c>
      <c r="E86" s="4">
        <v>0</v>
      </c>
      <c r="F86" s="4">
        <v>512801.13500000001</v>
      </c>
      <c r="G86" s="4">
        <v>512801.13500000001</v>
      </c>
      <c r="H86" s="5">
        <f>0 / 86400</f>
        <v>0</v>
      </c>
      <c r="I86" t="s">
        <v>124</v>
      </c>
      <c r="J86" t="s">
        <v>124</v>
      </c>
      <c r="K86" s="5">
        <f>2 / 86400</f>
        <v>2.3148148148148147E-5</v>
      </c>
      <c r="L86" s="5">
        <f>6 / 86400</f>
        <v>6.9444444444444444E-5</v>
      </c>
    </row>
    <row r="87" spans="1:12" x14ac:dyDescent="0.25">
      <c r="A87" s="3">
        <v>45693.871574074074</v>
      </c>
      <c r="B87" t="s">
        <v>125</v>
      </c>
      <c r="C87" s="3">
        <v>45693.871597222227</v>
      </c>
      <c r="D87" t="s">
        <v>125</v>
      </c>
      <c r="E87" s="4">
        <v>0</v>
      </c>
      <c r="F87" s="4">
        <v>512801.13500000001</v>
      </c>
      <c r="G87" s="4">
        <v>512801.13500000001</v>
      </c>
      <c r="H87" s="5">
        <f>0 / 86400</f>
        <v>0</v>
      </c>
      <c r="I87" t="s">
        <v>124</v>
      </c>
      <c r="J87" t="s">
        <v>124</v>
      </c>
      <c r="K87" s="5">
        <f>2 / 86400</f>
        <v>2.3148148148148147E-5</v>
      </c>
      <c r="L87" s="5">
        <f>2 / 86400</f>
        <v>2.3148148148148147E-5</v>
      </c>
    </row>
    <row r="88" spans="1:12" x14ac:dyDescent="0.25">
      <c r="A88" s="3">
        <v>45693.871620370366</v>
      </c>
      <c r="B88" t="s">
        <v>125</v>
      </c>
      <c r="C88" s="3">
        <v>45693.882314814815</v>
      </c>
      <c r="D88" t="s">
        <v>18</v>
      </c>
      <c r="E88" s="4">
        <v>0.503</v>
      </c>
      <c r="F88" s="4">
        <v>512801.13500000001</v>
      </c>
      <c r="G88" s="4">
        <v>512801.63799999998</v>
      </c>
      <c r="H88" s="5">
        <f>727 / 86400</f>
        <v>8.4143518518518517E-3</v>
      </c>
      <c r="I88" t="s">
        <v>37</v>
      </c>
      <c r="J88" t="s">
        <v>126</v>
      </c>
      <c r="K88" s="5">
        <f>924 / 86400</f>
        <v>1.0694444444444444E-2</v>
      </c>
      <c r="L88" s="5">
        <f>10167 / 86400</f>
        <v>0.11767361111111112</v>
      </c>
    </row>
    <row r="89" spans="1:12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</row>
    <row r="90" spans="1:1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 spans="1:12" s="10" customFormat="1" ht="20.100000000000001" customHeight="1" x14ac:dyDescent="0.35">
      <c r="A91" s="12" t="s">
        <v>399</v>
      </c>
      <c r="B91" s="12"/>
      <c r="C91" s="12"/>
      <c r="D91" s="12"/>
      <c r="E91" s="12"/>
      <c r="F91" s="12"/>
      <c r="G91" s="12"/>
      <c r="H91" s="12"/>
      <c r="I91" s="12"/>
      <c r="J91" s="12"/>
    </row>
    <row r="92" spans="1:12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 spans="1:12" ht="30" x14ac:dyDescent="0.25">
      <c r="A93" s="2" t="s">
        <v>6</v>
      </c>
      <c r="B93" s="2" t="s">
        <v>7</v>
      </c>
      <c r="C93" s="2" t="s">
        <v>8</v>
      </c>
      <c r="D93" s="2" t="s">
        <v>9</v>
      </c>
      <c r="E93" s="2" t="s">
        <v>10</v>
      </c>
      <c r="F93" s="2" t="s">
        <v>11</v>
      </c>
      <c r="G93" s="2" t="s">
        <v>12</v>
      </c>
      <c r="H93" s="2" t="s">
        <v>13</v>
      </c>
      <c r="I93" s="2" t="s">
        <v>14</v>
      </c>
      <c r="J93" s="2" t="s">
        <v>15</v>
      </c>
      <c r="K93" s="2" t="s">
        <v>16</v>
      </c>
      <c r="L93" s="2" t="s">
        <v>17</v>
      </c>
    </row>
    <row r="94" spans="1:12" x14ac:dyDescent="0.25">
      <c r="A94" s="3">
        <v>45693.283958333333</v>
      </c>
      <c r="B94" t="s">
        <v>21</v>
      </c>
      <c r="C94" s="3">
        <v>45693.284953703704</v>
      </c>
      <c r="D94" t="s">
        <v>21</v>
      </c>
      <c r="E94" s="4">
        <v>1E-3</v>
      </c>
      <c r="F94" s="4">
        <v>17780.958999999999</v>
      </c>
      <c r="G94" s="4">
        <v>17780.96</v>
      </c>
      <c r="H94" s="5">
        <f>79 / 86400</f>
        <v>9.1435185185185185E-4</v>
      </c>
      <c r="I94" t="s">
        <v>124</v>
      </c>
      <c r="J94" t="s">
        <v>124</v>
      </c>
      <c r="K94" s="5">
        <f>86 / 86400</f>
        <v>9.9537037037037042E-4</v>
      </c>
      <c r="L94" s="5">
        <f>32137 / 86400</f>
        <v>0.37195601851851851</v>
      </c>
    </row>
    <row r="95" spans="1:12" x14ac:dyDescent="0.25">
      <c r="A95" s="3">
        <v>45693.37295138889</v>
      </c>
      <c r="B95" t="s">
        <v>21</v>
      </c>
      <c r="C95" s="3">
        <v>45693.383159722223</v>
      </c>
      <c r="D95" t="s">
        <v>21</v>
      </c>
      <c r="E95" s="4">
        <v>4.7779999999999996</v>
      </c>
      <c r="F95" s="4">
        <v>17780.96</v>
      </c>
      <c r="G95" s="4">
        <v>17785.738000000001</v>
      </c>
      <c r="H95" s="5">
        <f>179 / 86400</f>
        <v>2.0717592592592593E-3</v>
      </c>
      <c r="I95" t="s">
        <v>127</v>
      </c>
      <c r="J95" t="s">
        <v>128</v>
      </c>
      <c r="K95" s="5">
        <f>881 / 86400</f>
        <v>1.019675925925926E-2</v>
      </c>
      <c r="L95" s="5">
        <f>3779 / 86400</f>
        <v>4.3738425925925924E-2</v>
      </c>
    </row>
    <row r="96" spans="1:12" x14ac:dyDescent="0.25">
      <c r="A96" s="3">
        <v>45693.426898148144</v>
      </c>
      <c r="B96" t="s">
        <v>21</v>
      </c>
      <c r="C96" s="3">
        <v>45693.65525462963</v>
      </c>
      <c r="D96" t="s">
        <v>129</v>
      </c>
      <c r="E96" s="4">
        <v>95.41</v>
      </c>
      <c r="F96" s="4">
        <v>17785.738000000001</v>
      </c>
      <c r="G96" s="4">
        <v>17881.148000000001</v>
      </c>
      <c r="H96" s="5">
        <f>6221 / 86400</f>
        <v>7.2002314814814811E-2</v>
      </c>
      <c r="I96" t="s">
        <v>23</v>
      </c>
      <c r="J96" t="s">
        <v>28</v>
      </c>
      <c r="K96" s="5">
        <f>19730 / 86400</f>
        <v>0.22835648148148149</v>
      </c>
      <c r="L96" s="5">
        <f>256 / 86400</f>
        <v>2.9629629629629628E-3</v>
      </c>
    </row>
    <row r="97" spans="1:12" x14ac:dyDescent="0.25">
      <c r="A97" s="3">
        <v>45693.658217592594</v>
      </c>
      <c r="B97" t="s">
        <v>129</v>
      </c>
      <c r="C97" s="3">
        <v>45693.658402777779</v>
      </c>
      <c r="D97" t="s">
        <v>129</v>
      </c>
      <c r="E97" s="4">
        <v>8.9999999999999993E-3</v>
      </c>
      <c r="F97" s="4">
        <v>17881.148000000001</v>
      </c>
      <c r="G97" s="4">
        <v>17881.156999999999</v>
      </c>
      <c r="H97" s="5">
        <f>0 / 86400</f>
        <v>0</v>
      </c>
      <c r="I97" t="s">
        <v>124</v>
      </c>
      <c r="J97" t="s">
        <v>126</v>
      </c>
      <c r="K97" s="5">
        <f>16 / 86400</f>
        <v>1.8518518518518518E-4</v>
      </c>
      <c r="L97" s="5">
        <f>464 / 86400</f>
        <v>5.37037037037037E-3</v>
      </c>
    </row>
    <row r="98" spans="1:12" x14ac:dyDescent="0.25">
      <c r="A98" s="3">
        <v>45693.663773148146</v>
      </c>
      <c r="B98" t="s">
        <v>129</v>
      </c>
      <c r="C98" s="3">
        <v>45693.88449074074</v>
      </c>
      <c r="D98" t="s">
        <v>73</v>
      </c>
      <c r="E98" s="4">
        <v>94.838999999999999</v>
      </c>
      <c r="F98" s="4">
        <v>17881.156999999999</v>
      </c>
      <c r="G98" s="4">
        <v>17975.995999999999</v>
      </c>
      <c r="H98" s="5">
        <f>5718 / 86400</f>
        <v>6.6180555555555562E-2</v>
      </c>
      <c r="I98" t="s">
        <v>51</v>
      </c>
      <c r="J98" t="s">
        <v>24</v>
      </c>
      <c r="K98" s="5">
        <f>19069 / 86400</f>
        <v>0.22070601851851851</v>
      </c>
      <c r="L98" s="5">
        <f>985 / 86400</f>
        <v>1.1400462962962963E-2</v>
      </c>
    </row>
    <row r="99" spans="1:12" x14ac:dyDescent="0.25">
      <c r="A99" s="3">
        <v>45693.895891203705</v>
      </c>
      <c r="B99" t="s">
        <v>73</v>
      </c>
      <c r="C99" s="3">
        <v>45693.898680555554</v>
      </c>
      <c r="D99" t="s">
        <v>22</v>
      </c>
      <c r="E99" s="4">
        <v>0.55600000000000005</v>
      </c>
      <c r="F99" s="4">
        <v>17975.995999999999</v>
      </c>
      <c r="G99" s="4">
        <v>17976.552</v>
      </c>
      <c r="H99" s="5">
        <f>60 / 86400</f>
        <v>6.9444444444444447E-4</v>
      </c>
      <c r="I99" t="s">
        <v>39</v>
      </c>
      <c r="J99" t="s">
        <v>119</v>
      </c>
      <c r="K99" s="5">
        <f>240 / 86400</f>
        <v>2.7777777777777779E-3</v>
      </c>
      <c r="L99" s="5">
        <f>8753 / 86400</f>
        <v>0.10130787037037037</v>
      </c>
    </row>
    <row r="100" spans="1:12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2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2" s="10" customFormat="1" ht="20.100000000000001" customHeight="1" x14ac:dyDescent="0.35">
      <c r="A102" s="12" t="s">
        <v>400</v>
      </c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2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2" ht="30" x14ac:dyDescent="0.25">
      <c r="A104" s="2" t="s">
        <v>6</v>
      </c>
      <c r="B104" s="2" t="s">
        <v>7</v>
      </c>
      <c r="C104" s="2" t="s">
        <v>8</v>
      </c>
      <c r="D104" s="2" t="s">
        <v>9</v>
      </c>
      <c r="E104" s="2" t="s">
        <v>10</v>
      </c>
      <c r="F104" s="2" t="s">
        <v>11</v>
      </c>
      <c r="G104" s="2" t="s">
        <v>12</v>
      </c>
      <c r="H104" s="2" t="s">
        <v>13</v>
      </c>
      <c r="I104" s="2" t="s">
        <v>14</v>
      </c>
      <c r="J104" s="2" t="s">
        <v>15</v>
      </c>
      <c r="K104" s="2" t="s">
        <v>16</v>
      </c>
      <c r="L104" s="2" t="s">
        <v>17</v>
      </c>
    </row>
    <row r="105" spans="1:12" x14ac:dyDescent="0.25">
      <c r="A105" s="3">
        <v>45693.218159722222</v>
      </c>
      <c r="B105" t="s">
        <v>25</v>
      </c>
      <c r="C105" s="3">
        <v>45693.228703703702</v>
      </c>
      <c r="D105" t="s">
        <v>130</v>
      </c>
      <c r="E105" s="4">
        <v>3.9260000000000002</v>
      </c>
      <c r="F105" s="4">
        <v>326981.74300000002</v>
      </c>
      <c r="G105" s="4">
        <v>326985.66899999999</v>
      </c>
      <c r="H105" s="5">
        <f>439 / 86400</f>
        <v>5.0810185185185186E-3</v>
      </c>
      <c r="I105" t="s">
        <v>131</v>
      </c>
      <c r="J105" t="s">
        <v>31</v>
      </c>
      <c r="K105" s="5">
        <f>910 / 86400</f>
        <v>1.0532407407407407E-2</v>
      </c>
      <c r="L105" s="5">
        <f>18893 / 86400</f>
        <v>0.21866898148148148</v>
      </c>
    </row>
    <row r="106" spans="1:12" x14ac:dyDescent="0.25">
      <c r="A106" s="3">
        <v>45693.229212962964</v>
      </c>
      <c r="B106" t="s">
        <v>130</v>
      </c>
      <c r="C106" s="3">
        <v>45693.229363425926</v>
      </c>
      <c r="D106" t="s">
        <v>130</v>
      </c>
      <c r="E106" s="4">
        <v>3.0000000000000001E-3</v>
      </c>
      <c r="F106" s="4">
        <v>326985.66899999999</v>
      </c>
      <c r="G106" s="4">
        <v>326985.67200000002</v>
      </c>
      <c r="H106" s="5">
        <f t="shared" ref="H106:H111" si="0">0 / 86400</f>
        <v>0</v>
      </c>
      <c r="I106" t="s">
        <v>124</v>
      </c>
      <c r="J106" t="s">
        <v>116</v>
      </c>
      <c r="K106" s="5">
        <f>12 / 86400</f>
        <v>1.3888888888888889E-4</v>
      </c>
      <c r="L106" s="5">
        <f>107 / 86400</f>
        <v>1.238425925925926E-3</v>
      </c>
    </row>
    <row r="107" spans="1:12" x14ac:dyDescent="0.25">
      <c r="A107" s="3">
        <v>45693.23060185185</v>
      </c>
      <c r="B107" t="s">
        <v>130</v>
      </c>
      <c r="C107" s="3">
        <v>45693.230740740742</v>
      </c>
      <c r="D107" t="s">
        <v>130</v>
      </c>
      <c r="E107" s="4">
        <v>5.0000000000000001E-3</v>
      </c>
      <c r="F107" s="4">
        <v>326985.67200000002</v>
      </c>
      <c r="G107" s="4">
        <v>326985.67700000003</v>
      </c>
      <c r="H107" s="5">
        <f t="shared" si="0"/>
        <v>0</v>
      </c>
      <c r="I107" t="s">
        <v>124</v>
      </c>
      <c r="J107" t="s">
        <v>126</v>
      </c>
      <c r="K107" s="5">
        <f>12 / 86400</f>
        <v>1.3888888888888889E-4</v>
      </c>
      <c r="L107" s="5">
        <f>358 / 86400</f>
        <v>4.1435185185185186E-3</v>
      </c>
    </row>
    <row r="108" spans="1:12" x14ac:dyDescent="0.25">
      <c r="A108" s="3">
        <v>45693.234884259262</v>
      </c>
      <c r="B108" t="s">
        <v>130</v>
      </c>
      <c r="C108" s="3">
        <v>45693.23505787037</v>
      </c>
      <c r="D108" t="s">
        <v>130</v>
      </c>
      <c r="E108" s="4">
        <v>1.4999999999999999E-2</v>
      </c>
      <c r="F108" s="4">
        <v>326985.67700000003</v>
      </c>
      <c r="G108" s="4">
        <v>326985.69199999998</v>
      </c>
      <c r="H108" s="5">
        <f t="shared" si="0"/>
        <v>0</v>
      </c>
      <c r="I108" t="s">
        <v>132</v>
      </c>
      <c r="J108" t="s">
        <v>86</v>
      </c>
      <c r="K108" s="5">
        <f>14 / 86400</f>
        <v>1.6203703703703703E-4</v>
      </c>
      <c r="L108" s="5">
        <f>388 / 86400</f>
        <v>4.4907407407407405E-3</v>
      </c>
    </row>
    <row r="109" spans="1:12" x14ac:dyDescent="0.25">
      <c r="A109" s="3">
        <v>45693.239548611113</v>
      </c>
      <c r="B109" t="s">
        <v>130</v>
      </c>
      <c r="C109" s="3">
        <v>45693.239664351851</v>
      </c>
      <c r="D109" t="s">
        <v>130</v>
      </c>
      <c r="E109" s="4">
        <v>5.0000000000000001E-3</v>
      </c>
      <c r="F109" s="4">
        <v>326985.69199999998</v>
      </c>
      <c r="G109" s="4">
        <v>326985.69699999999</v>
      </c>
      <c r="H109" s="5">
        <f t="shared" si="0"/>
        <v>0</v>
      </c>
      <c r="I109" t="s">
        <v>124</v>
      </c>
      <c r="J109" t="s">
        <v>126</v>
      </c>
      <c r="K109" s="5">
        <f>9 / 86400</f>
        <v>1.0416666666666667E-4</v>
      </c>
      <c r="L109" s="5">
        <f>450 / 86400</f>
        <v>5.208333333333333E-3</v>
      </c>
    </row>
    <row r="110" spans="1:12" x14ac:dyDescent="0.25">
      <c r="A110" s="3">
        <v>45693.244872685187</v>
      </c>
      <c r="B110" t="s">
        <v>130</v>
      </c>
      <c r="C110" s="3">
        <v>45693.245011574079</v>
      </c>
      <c r="D110" t="s">
        <v>130</v>
      </c>
      <c r="E110" s="4">
        <v>3.0000000000000001E-3</v>
      </c>
      <c r="F110" s="4">
        <v>326985.69699999999</v>
      </c>
      <c r="G110" s="4">
        <v>326985.7</v>
      </c>
      <c r="H110" s="5">
        <f t="shared" si="0"/>
        <v>0</v>
      </c>
      <c r="I110" t="s">
        <v>133</v>
      </c>
      <c r="J110" t="s">
        <v>116</v>
      </c>
      <c r="K110" s="5">
        <f>11 / 86400</f>
        <v>1.273148148148148E-4</v>
      </c>
      <c r="L110" s="5">
        <f>62 / 86400</f>
        <v>7.1759259259259259E-4</v>
      </c>
    </row>
    <row r="111" spans="1:12" x14ac:dyDescent="0.25">
      <c r="A111" s="3">
        <v>45693.245729166665</v>
      </c>
      <c r="B111" t="s">
        <v>108</v>
      </c>
      <c r="C111" s="3">
        <v>45693.246041666665</v>
      </c>
      <c r="D111" t="s">
        <v>108</v>
      </c>
      <c r="E111" s="4">
        <v>1.2999999999999999E-2</v>
      </c>
      <c r="F111" s="4">
        <v>326985.7</v>
      </c>
      <c r="G111" s="4">
        <v>326985.71299999999</v>
      </c>
      <c r="H111" s="5">
        <f t="shared" si="0"/>
        <v>0</v>
      </c>
      <c r="I111" t="s">
        <v>116</v>
      </c>
      <c r="J111" t="s">
        <v>126</v>
      </c>
      <c r="K111" s="5">
        <f>26 / 86400</f>
        <v>3.0092592592592595E-4</v>
      </c>
      <c r="L111" s="5">
        <f>70 / 86400</f>
        <v>8.1018518518518516E-4</v>
      </c>
    </row>
    <row r="112" spans="1:12" x14ac:dyDescent="0.25">
      <c r="A112" s="3">
        <v>45693.246851851851</v>
      </c>
      <c r="B112" t="s">
        <v>108</v>
      </c>
      <c r="C112" s="3">
        <v>45693.302430555559</v>
      </c>
      <c r="D112" t="s">
        <v>134</v>
      </c>
      <c r="E112" s="4">
        <v>22.609000000000002</v>
      </c>
      <c r="F112" s="4">
        <v>326985.71299999999</v>
      </c>
      <c r="G112" s="4">
        <v>327008.32199999999</v>
      </c>
      <c r="H112" s="5">
        <f>1619 / 86400</f>
        <v>1.8738425925925926E-2</v>
      </c>
      <c r="I112" t="s">
        <v>45</v>
      </c>
      <c r="J112" t="s">
        <v>28</v>
      </c>
      <c r="K112" s="5">
        <f>4802 / 86400</f>
        <v>5.5578703703703707E-2</v>
      </c>
      <c r="L112" s="5">
        <f>540 / 86400</f>
        <v>6.2500000000000003E-3</v>
      </c>
    </row>
    <row r="113" spans="1:12" x14ac:dyDescent="0.25">
      <c r="A113" s="3">
        <v>45693.30868055555</v>
      </c>
      <c r="B113" t="s">
        <v>134</v>
      </c>
      <c r="C113" s="3">
        <v>45693.391655092593</v>
      </c>
      <c r="D113" t="s">
        <v>73</v>
      </c>
      <c r="E113" s="4">
        <v>42.268000000000001</v>
      </c>
      <c r="F113" s="4">
        <v>327008.32199999999</v>
      </c>
      <c r="G113" s="4">
        <v>327050.59000000003</v>
      </c>
      <c r="H113" s="5">
        <f>1741 / 86400</f>
        <v>2.0150462962962964E-2</v>
      </c>
      <c r="I113" t="s">
        <v>135</v>
      </c>
      <c r="J113" t="s">
        <v>136</v>
      </c>
      <c r="K113" s="5">
        <f>7168 / 86400</f>
        <v>8.2962962962962961E-2</v>
      </c>
      <c r="L113" s="5">
        <f>2111 / 86400</f>
        <v>2.4432870370370369E-2</v>
      </c>
    </row>
    <row r="114" spans="1:12" x14ac:dyDescent="0.25">
      <c r="A114" s="3">
        <v>45693.416087962964</v>
      </c>
      <c r="B114" t="s">
        <v>73</v>
      </c>
      <c r="C114" s="3">
        <v>45693.41978009259</v>
      </c>
      <c r="D114" t="s">
        <v>137</v>
      </c>
      <c r="E114" s="4">
        <v>0.80600000000000005</v>
      </c>
      <c r="F114" s="4">
        <v>327050.59000000003</v>
      </c>
      <c r="G114" s="4">
        <v>327051.39600000001</v>
      </c>
      <c r="H114" s="5">
        <f>120 / 86400</f>
        <v>1.3888888888888889E-3</v>
      </c>
      <c r="I114" t="s">
        <v>138</v>
      </c>
      <c r="J114" t="s">
        <v>82</v>
      </c>
      <c r="K114" s="5">
        <f>319 / 86400</f>
        <v>3.6921296296296298E-3</v>
      </c>
      <c r="L114" s="5">
        <f>135 / 86400</f>
        <v>1.5625000000000001E-3</v>
      </c>
    </row>
    <row r="115" spans="1:12" x14ac:dyDescent="0.25">
      <c r="A115" s="3">
        <v>45693.421342592592</v>
      </c>
      <c r="B115" t="s">
        <v>137</v>
      </c>
      <c r="C115" s="3">
        <v>45693.524606481486</v>
      </c>
      <c r="D115" t="s">
        <v>77</v>
      </c>
      <c r="E115" s="4">
        <v>48.515000000000001</v>
      </c>
      <c r="F115" s="4">
        <v>327051.39600000001</v>
      </c>
      <c r="G115" s="4">
        <v>327099.91100000002</v>
      </c>
      <c r="H115" s="5">
        <f>2559 / 86400</f>
        <v>2.9618055555555557E-2</v>
      </c>
      <c r="I115" t="s">
        <v>27</v>
      </c>
      <c r="J115" t="s">
        <v>128</v>
      </c>
      <c r="K115" s="5">
        <f>8922 / 86400</f>
        <v>0.10326388888888889</v>
      </c>
      <c r="L115" s="5">
        <f>76 / 86400</f>
        <v>8.7962962962962962E-4</v>
      </c>
    </row>
    <row r="116" spans="1:12" x14ac:dyDescent="0.25">
      <c r="A116" s="3">
        <v>45693.52548611111</v>
      </c>
      <c r="B116" t="s">
        <v>77</v>
      </c>
      <c r="C116" s="3">
        <v>45693.627384259264</v>
      </c>
      <c r="D116" t="s">
        <v>139</v>
      </c>
      <c r="E116" s="4">
        <v>44.463000000000001</v>
      </c>
      <c r="F116" s="4">
        <v>327099.91100000002</v>
      </c>
      <c r="G116" s="4">
        <v>327144.37400000001</v>
      </c>
      <c r="H116" s="5">
        <f>2920 / 86400</f>
        <v>3.3796296296296297E-2</v>
      </c>
      <c r="I116" t="s">
        <v>54</v>
      </c>
      <c r="J116" t="s">
        <v>24</v>
      </c>
      <c r="K116" s="5">
        <f>8803 / 86400</f>
        <v>0.10188657407407407</v>
      </c>
      <c r="L116" s="5">
        <f>2163 / 86400</f>
        <v>2.5034722222222222E-2</v>
      </c>
    </row>
    <row r="117" spans="1:12" x14ac:dyDescent="0.25">
      <c r="A117" s="3">
        <v>45693.652418981481</v>
      </c>
      <c r="B117" t="s">
        <v>139</v>
      </c>
      <c r="C117" s="3">
        <v>45693.773055555561</v>
      </c>
      <c r="D117" t="s">
        <v>140</v>
      </c>
      <c r="E117" s="4">
        <v>44.412999999999997</v>
      </c>
      <c r="F117" s="4">
        <v>327144.37400000001</v>
      </c>
      <c r="G117" s="4">
        <v>327188.78700000001</v>
      </c>
      <c r="H117" s="5">
        <f>4358 / 86400</f>
        <v>5.0439814814814812E-2</v>
      </c>
      <c r="I117" t="s">
        <v>141</v>
      </c>
      <c r="J117" t="s">
        <v>35</v>
      </c>
      <c r="K117" s="5">
        <f>10423 / 86400</f>
        <v>0.12063657407407408</v>
      </c>
      <c r="L117" s="5">
        <f>90 / 86400</f>
        <v>1.0416666666666667E-3</v>
      </c>
    </row>
    <row r="118" spans="1:12" x14ac:dyDescent="0.25">
      <c r="A118" s="3">
        <v>45693.774097222224</v>
      </c>
      <c r="B118" t="s">
        <v>140</v>
      </c>
      <c r="C118" s="3">
        <v>45693.863923611112</v>
      </c>
      <c r="D118" t="s">
        <v>89</v>
      </c>
      <c r="E118" s="4">
        <v>30.962</v>
      </c>
      <c r="F118" s="4">
        <v>327188.78700000001</v>
      </c>
      <c r="G118" s="4">
        <v>327219.74900000001</v>
      </c>
      <c r="H118" s="5">
        <f>3042 / 86400</f>
        <v>3.5208333333333335E-2</v>
      </c>
      <c r="I118" t="s">
        <v>142</v>
      </c>
      <c r="J118" t="s">
        <v>52</v>
      </c>
      <c r="K118" s="5">
        <f>7761 / 86400</f>
        <v>8.9826388888888886E-2</v>
      </c>
      <c r="L118" s="5">
        <f>318 / 86400</f>
        <v>3.6805555555555554E-3</v>
      </c>
    </row>
    <row r="119" spans="1:12" x14ac:dyDescent="0.25">
      <c r="A119" s="3">
        <v>45693.867604166662</v>
      </c>
      <c r="B119" t="s">
        <v>89</v>
      </c>
      <c r="C119" s="3">
        <v>45693.871377314819</v>
      </c>
      <c r="D119" t="s">
        <v>26</v>
      </c>
      <c r="E119" s="4">
        <v>1.4059999999999999</v>
      </c>
      <c r="F119" s="4">
        <v>327219.74900000001</v>
      </c>
      <c r="G119" s="4">
        <v>327221.15500000003</v>
      </c>
      <c r="H119" s="5">
        <f>60 / 86400</f>
        <v>6.9444444444444447E-4</v>
      </c>
      <c r="I119" t="s">
        <v>143</v>
      </c>
      <c r="J119" t="s">
        <v>31</v>
      </c>
      <c r="K119" s="5">
        <f>326 / 86400</f>
        <v>3.7731481481481483E-3</v>
      </c>
      <c r="L119" s="5">
        <f>11112 / 86400</f>
        <v>0.12861111111111112</v>
      </c>
    </row>
    <row r="120" spans="1:12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2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2" s="10" customFormat="1" ht="20.100000000000001" customHeight="1" x14ac:dyDescent="0.35">
      <c r="A122" s="12" t="s">
        <v>401</v>
      </c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1:12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2" ht="30" x14ac:dyDescent="0.25">
      <c r="A124" s="2" t="s">
        <v>6</v>
      </c>
      <c r="B124" s="2" t="s">
        <v>7</v>
      </c>
      <c r="C124" s="2" t="s">
        <v>8</v>
      </c>
      <c r="D124" s="2" t="s">
        <v>9</v>
      </c>
      <c r="E124" s="2" t="s">
        <v>10</v>
      </c>
      <c r="F124" s="2" t="s">
        <v>11</v>
      </c>
      <c r="G124" s="2" t="s">
        <v>12</v>
      </c>
      <c r="H124" s="2" t="s">
        <v>13</v>
      </c>
      <c r="I124" s="2" t="s">
        <v>14</v>
      </c>
      <c r="J124" s="2" t="s">
        <v>15</v>
      </c>
      <c r="K124" s="2" t="s">
        <v>16</v>
      </c>
      <c r="L124" s="2" t="s">
        <v>17</v>
      </c>
    </row>
    <row r="125" spans="1:12" x14ac:dyDescent="0.25">
      <c r="A125" s="3">
        <v>45693.281736111108</v>
      </c>
      <c r="B125" t="s">
        <v>29</v>
      </c>
      <c r="C125" s="3">
        <v>45693.345868055556</v>
      </c>
      <c r="D125" t="s">
        <v>144</v>
      </c>
      <c r="E125" s="4">
        <v>29.440999999999999</v>
      </c>
      <c r="F125" s="4">
        <v>20035.899000000001</v>
      </c>
      <c r="G125" s="4">
        <v>20065.34</v>
      </c>
      <c r="H125" s="5">
        <f>1619 / 86400</f>
        <v>1.8738425925925926E-2</v>
      </c>
      <c r="I125" t="s">
        <v>145</v>
      </c>
      <c r="J125" t="s">
        <v>37</v>
      </c>
      <c r="K125" s="5">
        <f>5541 / 86400</f>
        <v>6.413194444444445E-2</v>
      </c>
      <c r="L125" s="5">
        <f>24456 / 86400</f>
        <v>0.28305555555555556</v>
      </c>
    </row>
    <row r="126" spans="1:12" x14ac:dyDescent="0.25">
      <c r="A126" s="3">
        <v>45693.347187499996</v>
      </c>
      <c r="B126" t="s">
        <v>144</v>
      </c>
      <c r="C126" s="3">
        <v>45693.348807870367</v>
      </c>
      <c r="D126" t="s">
        <v>129</v>
      </c>
      <c r="E126" s="4">
        <v>0.33300000000000002</v>
      </c>
      <c r="F126" s="4">
        <v>20065.34</v>
      </c>
      <c r="G126" s="4">
        <v>20065.672999999999</v>
      </c>
      <c r="H126" s="5">
        <f>20 / 86400</f>
        <v>2.3148148148148149E-4</v>
      </c>
      <c r="I126" t="s">
        <v>39</v>
      </c>
      <c r="J126" t="s">
        <v>82</v>
      </c>
      <c r="K126" s="5">
        <f>139 / 86400</f>
        <v>1.6087962962962963E-3</v>
      </c>
      <c r="L126" s="5">
        <f>52 / 86400</f>
        <v>6.018518518518519E-4</v>
      </c>
    </row>
    <row r="127" spans="1:12" x14ac:dyDescent="0.25">
      <c r="A127" s="3">
        <v>45693.349409722221</v>
      </c>
      <c r="B127" t="s">
        <v>129</v>
      </c>
      <c r="C127" s="3">
        <v>45693.349687499998</v>
      </c>
      <c r="D127" t="s">
        <v>129</v>
      </c>
      <c r="E127" s="4">
        <v>8.9999999999999993E-3</v>
      </c>
      <c r="F127" s="4">
        <v>20065.672999999999</v>
      </c>
      <c r="G127" s="4">
        <v>20065.682000000001</v>
      </c>
      <c r="H127" s="5">
        <f>19 / 86400</f>
        <v>2.199074074074074E-4</v>
      </c>
      <c r="I127" t="s">
        <v>124</v>
      </c>
      <c r="J127" t="s">
        <v>116</v>
      </c>
      <c r="K127" s="5">
        <f>23 / 86400</f>
        <v>2.6620370370370372E-4</v>
      </c>
      <c r="L127" s="5">
        <f>316 / 86400</f>
        <v>3.6574074074074074E-3</v>
      </c>
    </row>
    <row r="128" spans="1:12" x14ac:dyDescent="0.25">
      <c r="A128" s="3">
        <v>45693.353344907402</v>
      </c>
      <c r="B128" t="s">
        <v>129</v>
      </c>
      <c r="C128" s="3">
        <v>45693.481724537036</v>
      </c>
      <c r="D128" t="s">
        <v>146</v>
      </c>
      <c r="E128" s="4">
        <v>50.093000000000004</v>
      </c>
      <c r="F128" s="4">
        <v>20065.682000000001</v>
      </c>
      <c r="G128" s="4">
        <v>20115.775000000001</v>
      </c>
      <c r="H128" s="5">
        <f>3740 / 86400</f>
        <v>4.3287037037037034E-2</v>
      </c>
      <c r="I128" t="s">
        <v>147</v>
      </c>
      <c r="J128" t="s">
        <v>31</v>
      </c>
      <c r="K128" s="5">
        <f>11091 / 86400</f>
        <v>0.12836805555555555</v>
      </c>
      <c r="L128" s="5">
        <f>4476 / 86400</f>
        <v>5.1805555555555556E-2</v>
      </c>
    </row>
    <row r="129" spans="1:12" x14ac:dyDescent="0.25">
      <c r="A129" s="3">
        <v>45693.533530092594</v>
      </c>
      <c r="B129" t="s">
        <v>146</v>
      </c>
      <c r="C129" s="3">
        <v>45693.669710648144</v>
      </c>
      <c r="D129" t="s">
        <v>73</v>
      </c>
      <c r="E129" s="4">
        <v>50.33</v>
      </c>
      <c r="F129" s="4">
        <v>20115.775000000001</v>
      </c>
      <c r="G129" s="4">
        <v>20166.105</v>
      </c>
      <c r="H129" s="5">
        <f>3758 / 86400</f>
        <v>4.3495370370370372E-2</v>
      </c>
      <c r="I129" t="s">
        <v>30</v>
      </c>
      <c r="J129" t="s">
        <v>35</v>
      </c>
      <c r="K129" s="5">
        <f>11766 / 86400</f>
        <v>0.13618055555555555</v>
      </c>
      <c r="L129" s="5">
        <f>93 / 86400</f>
        <v>1.0763888888888889E-3</v>
      </c>
    </row>
    <row r="130" spans="1:12" x14ac:dyDescent="0.25">
      <c r="A130" s="3">
        <v>45693.670787037037</v>
      </c>
      <c r="B130" t="s">
        <v>73</v>
      </c>
      <c r="C130" s="3">
        <v>45693.671053240745</v>
      </c>
      <c r="D130" t="s">
        <v>73</v>
      </c>
      <c r="E130" s="4">
        <v>7.0000000000000001E-3</v>
      </c>
      <c r="F130" s="4">
        <v>20166.105</v>
      </c>
      <c r="G130" s="4">
        <v>20166.112000000001</v>
      </c>
      <c r="H130" s="5">
        <f>19 / 86400</f>
        <v>2.199074074074074E-4</v>
      </c>
      <c r="I130" t="s">
        <v>124</v>
      </c>
      <c r="J130" t="s">
        <v>116</v>
      </c>
      <c r="K130" s="5">
        <f>23 / 86400</f>
        <v>2.6620370370370372E-4</v>
      </c>
      <c r="L130" s="5">
        <f>68 / 86400</f>
        <v>7.8703703703703705E-4</v>
      </c>
    </row>
    <row r="131" spans="1:12" x14ac:dyDescent="0.25">
      <c r="A131" s="3">
        <v>45693.671840277777</v>
      </c>
      <c r="B131" t="s">
        <v>73</v>
      </c>
      <c r="C131" s="3">
        <v>45693.675532407404</v>
      </c>
      <c r="D131" t="s">
        <v>148</v>
      </c>
      <c r="E131" s="4">
        <v>2.1999999999999999E-2</v>
      </c>
      <c r="F131" s="4">
        <v>20166.112000000001</v>
      </c>
      <c r="G131" s="4">
        <v>20166.133999999998</v>
      </c>
      <c r="H131" s="5">
        <f>259 / 86400</f>
        <v>2.9976851851851853E-3</v>
      </c>
      <c r="I131" t="s">
        <v>149</v>
      </c>
      <c r="J131" t="s">
        <v>124</v>
      </c>
      <c r="K131" s="5">
        <f>318 / 86400</f>
        <v>3.6805555555555554E-3</v>
      </c>
      <c r="L131" s="5">
        <f>72 / 86400</f>
        <v>8.3333333333333339E-4</v>
      </c>
    </row>
    <row r="132" spans="1:12" x14ac:dyDescent="0.25">
      <c r="A132" s="3">
        <v>45693.676365740743</v>
      </c>
      <c r="B132" t="s">
        <v>148</v>
      </c>
      <c r="C132" s="3">
        <v>45693.680092592593</v>
      </c>
      <c r="D132" t="s">
        <v>137</v>
      </c>
      <c r="E132" s="4">
        <v>0.73499999999999999</v>
      </c>
      <c r="F132" s="4">
        <v>20166.133999999998</v>
      </c>
      <c r="G132" s="4">
        <v>20166.868999999999</v>
      </c>
      <c r="H132" s="5">
        <f>100 / 86400</f>
        <v>1.1574074074074073E-3</v>
      </c>
      <c r="I132" t="s">
        <v>150</v>
      </c>
      <c r="J132" t="s">
        <v>119</v>
      </c>
      <c r="K132" s="5">
        <f>321 / 86400</f>
        <v>3.7152777777777778E-3</v>
      </c>
      <c r="L132" s="5">
        <f>514 / 86400</f>
        <v>5.9490740740740745E-3</v>
      </c>
    </row>
    <row r="133" spans="1:12" x14ac:dyDescent="0.25">
      <c r="A133" s="3">
        <v>45693.686041666668</v>
      </c>
      <c r="B133" t="s">
        <v>137</v>
      </c>
      <c r="C133" s="3">
        <v>45693.686203703706</v>
      </c>
      <c r="D133" t="s">
        <v>137</v>
      </c>
      <c r="E133" s="4">
        <v>7.0000000000000001E-3</v>
      </c>
      <c r="F133" s="4">
        <v>20166.868999999999</v>
      </c>
      <c r="G133" s="4">
        <v>20166.876</v>
      </c>
      <c r="H133" s="5">
        <f>0 / 86400</f>
        <v>0</v>
      </c>
      <c r="I133" t="s">
        <v>124</v>
      </c>
      <c r="J133" t="s">
        <v>126</v>
      </c>
      <c r="K133" s="5">
        <f>13 / 86400</f>
        <v>1.5046296296296297E-4</v>
      </c>
      <c r="L133" s="5">
        <f>387 / 86400</f>
        <v>4.4791666666666669E-3</v>
      </c>
    </row>
    <row r="134" spans="1:12" x14ac:dyDescent="0.25">
      <c r="A134" s="3">
        <v>45693.690682870365</v>
      </c>
      <c r="B134" t="s">
        <v>137</v>
      </c>
      <c r="C134" s="3">
        <v>45693.690879629634</v>
      </c>
      <c r="D134" t="s">
        <v>137</v>
      </c>
      <c r="E134" s="4">
        <v>1.0999999999999999E-2</v>
      </c>
      <c r="F134" s="4">
        <v>20166.876</v>
      </c>
      <c r="G134" s="4">
        <v>20166.886999999999</v>
      </c>
      <c r="H134" s="5">
        <f>0 / 86400</f>
        <v>0</v>
      </c>
      <c r="I134" t="s">
        <v>133</v>
      </c>
      <c r="J134" t="s">
        <v>126</v>
      </c>
      <c r="K134" s="5">
        <f>16 / 86400</f>
        <v>1.8518518518518518E-4</v>
      </c>
      <c r="L134" s="5">
        <f>735 / 86400</f>
        <v>8.5069444444444437E-3</v>
      </c>
    </row>
    <row r="135" spans="1:12" x14ac:dyDescent="0.25">
      <c r="A135" s="3">
        <v>45693.699386574073</v>
      </c>
      <c r="B135" t="s">
        <v>137</v>
      </c>
      <c r="C135" s="3">
        <v>45693.699849537035</v>
      </c>
      <c r="D135" t="s">
        <v>129</v>
      </c>
      <c r="E135" s="4">
        <v>1.4999999999999999E-2</v>
      </c>
      <c r="F135" s="4">
        <v>20166.886999999999</v>
      </c>
      <c r="G135" s="4">
        <v>20166.901999999998</v>
      </c>
      <c r="H135" s="5">
        <f>19 / 86400</f>
        <v>2.199074074074074E-4</v>
      </c>
      <c r="I135" t="s">
        <v>124</v>
      </c>
      <c r="J135" t="s">
        <v>116</v>
      </c>
      <c r="K135" s="5">
        <f>40 / 86400</f>
        <v>4.6296296296296298E-4</v>
      </c>
      <c r="L135" s="5">
        <f>503 / 86400</f>
        <v>5.8217592592592592E-3</v>
      </c>
    </row>
    <row r="136" spans="1:12" x14ac:dyDescent="0.25">
      <c r="A136" s="3">
        <v>45693.705671296295</v>
      </c>
      <c r="B136" t="s">
        <v>129</v>
      </c>
      <c r="C136" s="3">
        <v>45693.705810185187</v>
      </c>
      <c r="D136" t="s">
        <v>129</v>
      </c>
      <c r="E136" s="4">
        <v>4.0000000000000001E-3</v>
      </c>
      <c r="F136" s="4">
        <v>20166.901999999998</v>
      </c>
      <c r="G136" s="4">
        <v>20166.905999999999</v>
      </c>
      <c r="H136" s="5">
        <f>0 / 86400</f>
        <v>0</v>
      </c>
      <c r="I136" t="s">
        <v>124</v>
      </c>
      <c r="J136" t="s">
        <v>116</v>
      </c>
      <c r="K136" s="5">
        <f>12 / 86400</f>
        <v>1.3888888888888889E-4</v>
      </c>
      <c r="L136" s="5">
        <f>518 / 86400</f>
        <v>5.9953703703703705E-3</v>
      </c>
    </row>
    <row r="137" spans="1:12" x14ac:dyDescent="0.25">
      <c r="A137" s="3">
        <v>45693.711805555555</v>
      </c>
      <c r="B137" t="s">
        <v>129</v>
      </c>
      <c r="C137" s="3">
        <v>45693.850034722222</v>
      </c>
      <c r="D137" t="s">
        <v>29</v>
      </c>
      <c r="E137" s="4">
        <v>53.558999999999997</v>
      </c>
      <c r="F137" s="4">
        <v>20166.905999999999</v>
      </c>
      <c r="G137" s="4">
        <v>20220.465</v>
      </c>
      <c r="H137" s="5">
        <f>3599 / 86400</f>
        <v>4.1655092592592591E-2</v>
      </c>
      <c r="I137" t="s">
        <v>147</v>
      </c>
      <c r="J137" t="s">
        <v>31</v>
      </c>
      <c r="K137" s="5">
        <f>11943 / 86400</f>
        <v>0.13822916666666665</v>
      </c>
      <c r="L137" s="5">
        <f>12956 / 86400</f>
        <v>0.1499537037037037</v>
      </c>
    </row>
    <row r="138" spans="1:12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2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2" s="10" customFormat="1" ht="20.100000000000001" customHeight="1" x14ac:dyDescent="0.35">
      <c r="A140" s="12" t="s">
        <v>402</v>
      </c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1:12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2" ht="30" x14ac:dyDescent="0.25">
      <c r="A142" s="2" t="s">
        <v>6</v>
      </c>
      <c r="B142" s="2" t="s">
        <v>7</v>
      </c>
      <c r="C142" s="2" t="s">
        <v>8</v>
      </c>
      <c r="D142" s="2" t="s">
        <v>9</v>
      </c>
      <c r="E142" s="2" t="s">
        <v>10</v>
      </c>
      <c r="F142" s="2" t="s">
        <v>11</v>
      </c>
      <c r="G142" s="2" t="s">
        <v>12</v>
      </c>
      <c r="H142" s="2" t="s">
        <v>13</v>
      </c>
      <c r="I142" s="2" t="s">
        <v>14</v>
      </c>
      <c r="J142" s="2" t="s">
        <v>15</v>
      </c>
      <c r="K142" s="2" t="s">
        <v>16</v>
      </c>
      <c r="L142" s="2" t="s">
        <v>17</v>
      </c>
    </row>
    <row r="143" spans="1:12" x14ac:dyDescent="0.25">
      <c r="A143" s="3">
        <v>45693.246724537035</v>
      </c>
      <c r="B143" t="s">
        <v>32</v>
      </c>
      <c r="C143" s="3">
        <v>45693.261134259257</v>
      </c>
      <c r="D143" t="s">
        <v>151</v>
      </c>
      <c r="E143" s="4">
        <v>4.0960000000000001</v>
      </c>
      <c r="F143" s="4">
        <v>511875.96100000001</v>
      </c>
      <c r="G143" s="4">
        <v>511880.05699999997</v>
      </c>
      <c r="H143" s="5">
        <f>619 / 86400</f>
        <v>7.1643518518518514E-3</v>
      </c>
      <c r="I143" t="s">
        <v>145</v>
      </c>
      <c r="J143" t="s">
        <v>59</v>
      </c>
      <c r="K143" s="5">
        <f>1244 / 86400</f>
        <v>1.4398148148148148E-2</v>
      </c>
      <c r="L143" s="5">
        <f>21513 / 86400</f>
        <v>0.24899305555555556</v>
      </c>
    </row>
    <row r="144" spans="1:12" x14ac:dyDescent="0.25">
      <c r="A144" s="3">
        <v>45693.263402777782</v>
      </c>
      <c r="B144" t="s">
        <v>151</v>
      </c>
      <c r="C144" s="3">
        <v>45693.313726851848</v>
      </c>
      <c r="D144" t="s">
        <v>152</v>
      </c>
      <c r="E144" s="4">
        <v>29.739000000000001</v>
      </c>
      <c r="F144" s="4">
        <v>511880.05699999997</v>
      </c>
      <c r="G144" s="4">
        <v>511909.79599999997</v>
      </c>
      <c r="H144" s="5">
        <f>880 / 86400</f>
        <v>1.0185185185185186E-2</v>
      </c>
      <c r="I144" t="s">
        <v>127</v>
      </c>
      <c r="J144" t="s">
        <v>153</v>
      </c>
      <c r="K144" s="5">
        <f>4347 / 86400</f>
        <v>5.0312500000000003E-2</v>
      </c>
      <c r="L144" s="5">
        <f>3159 / 86400</f>
        <v>3.6562499999999998E-2</v>
      </c>
    </row>
    <row r="145" spans="1:12" x14ac:dyDescent="0.25">
      <c r="A145" s="3">
        <v>45693.350289351853</v>
      </c>
      <c r="B145" t="s">
        <v>152</v>
      </c>
      <c r="C145" s="3">
        <v>45693.353703703702</v>
      </c>
      <c r="D145" t="s">
        <v>118</v>
      </c>
      <c r="E145" s="4">
        <v>0.9</v>
      </c>
      <c r="F145" s="4">
        <v>511909.79599999997</v>
      </c>
      <c r="G145" s="4">
        <v>511910.696</v>
      </c>
      <c r="H145" s="5">
        <f>20 / 86400</f>
        <v>2.3148148148148149E-4</v>
      </c>
      <c r="I145" t="s">
        <v>153</v>
      </c>
      <c r="J145" t="s">
        <v>154</v>
      </c>
      <c r="K145" s="5">
        <f>295 / 86400</f>
        <v>3.414351851851852E-3</v>
      </c>
      <c r="L145" s="5">
        <f>1411 / 86400</f>
        <v>1.6331018518518519E-2</v>
      </c>
    </row>
    <row r="146" spans="1:12" x14ac:dyDescent="0.25">
      <c r="A146" s="3">
        <v>45693.370034722218</v>
      </c>
      <c r="B146" t="s">
        <v>118</v>
      </c>
      <c r="C146" s="3">
        <v>45693.483541666668</v>
      </c>
      <c r="D146" t="s">
        <v>155</v>
      </c>
      <c r="E146" s="4">
        <v>51.18</v>
      </c>
      <c r="F146" s="4">
        <v>511910.696</v>
      </c>
      <c r="G146" s="4">
        <v>511961.87599999999</v>
      </c>
      <c r="H146" s="5">
        <f>2783 / 86400</f>
        <v>3.2210648148148148E-2</v>
      </c>
      <c r="I146" t="s">
        <v>45</v>
      </c>
      <c r="J146" t="s">
        <v>37</v>
      </c>
      <c r="K146" s="5">
        <f>9806 / 86400</f>
        <v>0.11349537037037037</v>
      </c>
      <c r="L146" s="5">
        <f>1264 / 86400</f>
        <v>1.462962962962963E-2</v>
      </c>
    </row>
    <row r="147" spans="1:12" x14ac:dyDescent="0.25">
      <c r="A147" s="3">
        <v>45693.498171296298</v>
      </c>
      <c r="B147" t="s">
        <v>155</v>
      </c>
      <c r="C147" s="3">
        <v>45693.638437500005</v>
      </c>
      <c r="D147" t="s">
        <v>152</v>
      </c>
      <c r="E147" s="4">
        <v>51.332999999999998</v>
      </c>
      <c r="F147" s="4">
        <v>511961.87599999999</v>
      </c>
      <c r="G147" s="4">
        <v>512013.20899999997</v>
      </c>
      <c r="H147" s="5">
        <f>4521 / 86400</f>
        <v>5.2326388888888888E-2</v>
      </c>
      <c r="I147" t="s">
        <v>30</v>
      </c>
      <c r="J147" t="s">
        <v>35</v>
      </c>
      <c r="K147" s="5">
        <f>12119 / 86400</f>
        <v>0.14026620370370371</v>
      </c>
      <c r="L147" s="5">
        <f>3187 / 86400</f>
        <v>3.6886574074074072E-2</v>
      </c>
    </row>
    <row r="148" spans="1:12" x14ac:dyDescent="0.25">
      <c r="A148" s="3">
        <v>45693.675324074073</v>
      </c>
      <c r="B148" t="s">
        <v>152</v>
      </c>
      <c r="C148" s="3">
        <v>45693.679270833338</v>
      </c>
      <c r="D148" t="s">
        <v>73</v>
      </c>
      <c r="E148" s="4">
        <v>0.91900000000000004</v>
      </c>
      <c r="F148" s="4">
        <v>512013.20899999997</v>
      </c>
      <c r="G148" s="4">
        <v>512014.12800000003</v>
      </c>
      <c r="H148" s="5">
        <f>120 / 86400</f>
        <v>1.3888888888888889E-3</v>
      </c>
      <c r="I148" t="s">
        <v>156</v>
      </c>
      <c r="J148" t="s">
        <v>20</v>
      </c>
      <c r="K148" s="5">
        <f>340 / 86400</f>
        <v>3.9351851851851848E-3</v>
      </c>
      <c r="L148" s="5">
        <f>281 / 86400</f>
        <v>3.2523148148148147E-3</v>
      </c>
    </row>
    <row r="149" spans="1:12" x14ac:dyDescent="0.25">
      <c r="A149" s="3">
        <v>45693.682523148149</v>
      </c>
      <c r="B149" t="s">
        <v>73</v>
      </c>
      <c r="C149" s="3">
        <v>45693.683518518519</v>
      </c>
      <c r="D149" t="s">
        <v>73</v>
      </c>
      <c r="E149" s="4">
        <v>4.9000000000000002E-2</v>
      </c>
      <c r="F149" s="4">
        <v>512014.12800000003</v>
      </c>
      <c r="G149" s="4">
        <v>512014.17700000003</v>
      </c>
      <c r="H149" s="5">
        <f>20 / 86400</f>
        <v>2.3148148148148149E-4</v>
      </c>
      <c r="I149" t="s">
        <v>132</v>
      </c>
      <c r="J149" t="s">
        <v>126</v>
      </c>
      <c r="K149" s="5">
        <f>86 / 86400</f>
        <v>9.9537037037037042E-4</v>
      </c>
      <c r="L149" s="5">
        <f>809 / 86400</f>
        <v>9.3634259259259261E-3</v>
      </c>
    </row>
    <row r="150" spans="1:12" x14ac:dyDescent="0.25">
      <c r="A150" s="3">
        <v>45693.692881944444</v>
      </c>
      <c r="B150" t="s">
        <v>73</v>
      </c>
      <c r="C150" s="3">
        <v>45693.698009259257</v>
      </c>
      <c r="D150" t="s">
        <v>91</v>
      </c>
      <c r="E150" s="4">
        <v>0.219</v>
      </c>
      <c r="F150" s="4">
        <v>512014.17700000003</v>
      </c>
      <c r="G150" s="4">
        <v>512014.39600000001</v>
      </c>
      <c r="H150" s="5">
        <f>260 / 86400</f>
        <v>3.0092592592592593E-3</v>
      </c>
      <c r="I150" t="s">
        <v>55</v>
      </c>
      <c r="J150" t="s">
        <v>126</v>
      </c>
      <c r="K150" s="5">
        <f>442 / 86400</f>
        <v>5.115740740740741E-3</v>
      </c>
      <c r="L150" s="5">
        <f>248 / 86400</f>
        <v>2.8703703703703703E-3</v>
      </c>
    </row>
    <row r="151" spans="1:12" x14ac:dyDescent="0.25">
      <c r="A151" s="3">
        <v>45693.700879629629</v>
      </c>
      <c r="B151" t="s">
        <v>91</v>
      </c>
      <c r="C151" s="3">
        <v>45693.701006944444</v>
      </c>
      <c r="D151" t="s">
        <v>91</v>
      </c>
      <c r="E151" s="4">
        <v>0</v>
      </c>
      <c r="F151" s="4">
        <v>512014.39600000001</v>
      </c>
      <c r="G151" s="4">
        <v>512014.39600000001</v>
      </c>
      <c r="H151" s="5">
        <f>0 / 86400</f>
        <v>0</v>
      </c>
      <c r="I151" t="s">
        <v>124</v>
      </c>
      <c r="J151" t="s">
        <v>124</v>
      </c>
      <c r="K151" s="5">
        <f>11 / 86400</f>
        <v>1.273148148148148E-4</v>
      </c>
      <c r="L151" s="5">
        <f>106 / 86400</f>
        <v>1.2268518518518518E-3</v>
      </c>
    </row>
    <row r="152" spans="1:12" x14ac:dyDescent="0.25">
      <c r="A152" s="3">
        <v>45693.702233796299</v>
      </c>
      <c r="B152" t="s">
        <v>91</v>
      </c>
      <c r="C152" s="3">
        <v>45693.90006944444</v>
      </c>
      <c r="D152" t="s">
        <v>157</v>
      </c>
      <c r="E152" s="4">
        <v>74.591999999999999</v>
      </c>
      <c r="F152" s="4">
        <v>512014.39600000001</v>
      </c>
      <c r="G152" s="4">
        <v>512088.98800000001</v>
      </c>
      <c r="H152" s="5">
        <f>6280 / 86400</f>
        <v>7.2685185185185186E-2</v>
      </c>
      <c r="I152" t="s">
        <v>33</v>
      </c>
      <c r="J152" t="s">
        <v>31</v>
      </c>
      <c r="K152" s="5">
        <f>17093 / 86400</f>
        <v>0.19783564814814814</v>
      </c>
      <c r="L152" s="5">
        <f>8 / 86400</f>
        <v>9.2592592592592588E-5</v>
      </c>
    </row>
    <row r="153" spans="1:12" x14ac:dyDescent="0.25">
      <c r="A153" s="3">
        <v>45693.90016203704</v>
      </c>
      <c r="B153" t="s">
        <v>157</v>
      </c>
      <c r="C153" s="3">
        <v>45693.900578703702</v>
      </c>
      <c r="D153" t="s">
        <v>157</v>
      </c>
      <c r="E153" s="4">
        <v>3.2000000000000001E-2</v>
      </c>
      <c r="F153" s="4">
        <v>512088.98800000001</v>
      </c>
      <c r="G153" s="4">
        <v>512089.02</v>
      </c>
      <c r="H153" s="5">
        <f>21 / 86400</f>
        <v>2.4305555555555555E-4</v>
      </c>
      <c r="I153" t="s">
        <v>132</v>
      </c>
      <c r="J153" t="s">
        <v>149</v>
      </c>
      <c r="K153" s="5">
        <f>36 / 86400</f>
        <v>4.1666666666666669E-4</v>
      </c>
      <c r="L153" s="5">
        <f>374 / 86400</f>
        <v>4.3287037037037035E-3</v>
      </c>
    </row>
    <row r="154" spans="1:12" x14ac:dyDescent="0.25">
      <c r="A154" s="3">
        <v>45693.904907407406</v>
      </c>
      <c r="B154" t="s">
        <v>157</v>
      </c>
      <c r="C154" s="3">
        <v>45693.905393518522</v>
      </c>
      <c r="D154" t="s">
        <v>157</v>
      </c>
      <c r="E154" s="4">
        <v>5.3999999999999999E-2</v>
      </c>
      <c r="F154" s="4">
        <v>512089.02</v>
      </c>
      <c r="G154" s="4">
        <v>512089.07400000002</v>
      </c>
      <c r="H154" s="5">
        <f>0 / 86400</f>
        <v>0</v>
      </c>
      <c r="I154" t="s">
        <v>132</v>
      </c>
      <c r="J154" t="s">
        <v>133</v>
      </c>
      <c r="K154" s="5">
        <f>41 / 86400</f>
        <v>4.7453703703703704E-4</v>
      </c>
      <c r="L154" s="5">
        <f>416 / 86400</f>
        <v>4.8148148148148152E-3</v>
      </c>
    </row>
    <row r="155" spans="1:12" x14ac:dyDescent="0.25">
      <c r="A155" s="3">
        <v>45693.910208333335</v>
      </c>
      <c r="B155" t="s">
        <v>157</v>
      </c>
      <c r="C155" s="3">
        <v>45693.917997685188</v>
      </c>
      <c r="D155" t="s">
        <v>158</v>
      </c>
      <c r="E155" s="4">
        <v>5.8639999999999999</v>
      </c>
      <c r="F155" s="4">
        <v>512089.07400000002</v>
      </c>
      <c r="G155" s="4">
        <v>512094.93800000002</v>
      </c>
      <c r="H155" s="5">
        <f>120 / 86400</f>
        <v>1.3888888888888889E-3</v>
      </c>
      <c r="I155" t="s">
        <v>58</v>
      </c>
      <c r="J155" t="s">
        <v>159</v>
      </c>
      <c r="K155" s="5">
        <f>672 / 86400</f>
        <v>7.7777777777777776E-3</v>
      </c>
      <c r="L155" s="5">
        <f>328 / 86400</f>
        <v>3.7962962962962963E-3</v>
      </c>
    </row>
    <row r="156" spans="1:12" x14ac:dyDescent="0.25">
      <c r="A156" s="3">
        <v>45693.921793981484</v>
      </c>
      <c r="B156" t="s">
        <v>158</v>
      </c>
      <c r="C156" s="3">
        <v>45693.927361111113</v>
      </c>
      <c r="D156" t="s">
        <v>32</v>
      </c>
      <c r="E156" s="4">
        <v>0.51800000000000002</v>
      </c>
      <c r="F156" s="4">
        <v>512094.93800000002</v>
      </c>
      <c r="G156" s="4">
        <v>512095.45600000001</v>
      </c>
      <c r="H156" s="5">
        <f>160 / 86400</f>
        <v>1.8518518518518519E-3</v>
      </c>
      <c r="I156" t="s">
        <v>154</v>
      </c>
      <c r="J156" t="s">
        <v>86</v>
      </c>
      <c r="K156" s="5">
        <f>481 / 86400</f>
        <v>5.5671296296296293E-3</v>
      </c>
      <c r="L156" s="5">
        <f>538 / 86400</f>
        <v>6.2268518518518515E-3</v>
      </c>
    </row>
    <row r="157" spans="1:12" x14ac:dyDescent="0.25">
      <c r="A157" s="3">
        <v>45693.933587962965</v>
      </c>
      <c r="B157" t="s">
        <v>32</v>
      </c>
      <c r="C157" s="3">
        <v>45693.933842592596</v>
      </c>
      <c r="D157" t="s">
        <v>32</v>
      </c>
      <c r="E157" s="4">
        <v>0</v>
      </c>
      <c r="F157" s="4">
        <v>512095.45600000001</v>
      </c>
      <c r="G157" s="4">
        <v>512095.45600000001</v>
      </c>
      <c r="H157" s="5">
        <f>19 / 86400</f>
        <v>2.199074074074074E-4</v>
      </c>
      <c r="I157" t="s">
        <v>124</v>
      </c>
      <c r="J157" t="s">
        <v>124</v>
      </c>
      <c r="K157" s="5">
        <f>21 / 86400</f>
        <v>2.4305555555555555E-4</v>
      </c>
      <c r="L157" s="5">
        <f>5715 / 86400</f>
        <v>6.6145833333333334E-2</v>
      </c>
    </row>
    <row r="158" spans="1:12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2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2" s="10" customFormat="1" ht="20.100000000000001" customHeight="1" x14ac:dyDescent="0.35">
      <c r="A160" s="12" t="s">
        <v>403</v>
      </c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12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2" ht="30" x14ac:dyDescent="0.25">
      <c r="A162" s="2" t="s">
        <v>6</v>
      </c>
      <c r="B162" s="2" t="s">
        <v>7</v>
      </c>
      <c r="C162" s="2" t="s">
        <v>8</v>
      </c>
      <c r="D162" s="2" t="s">
        <v>9</v>
      </c>
      <c r="E162" s="2" t="s">
        <v>10</v>
      </c>
      <c r="F162" s="2" t="s">
        <v>11</v>
      </c>
      <c r="G162" s="2" t="s">
        <v>12</v>
      </c>
      <c r="H162" s="2" t="s">
        <v>13</v>
      </c>
      <c r="I162" s="2" t="s">
        <v>14</v>
      </c>
      <c r="J162" s="2" t="s">
        <v>15</v>
      </c>
      <c r="K162" s="2" t="s">
        <v>16</v>
      </c>
      <c r="L162" s="2" t="s">
        <v>17</v>
      </c>
    </row>
    <row r="163" spans="1:12" x14ac:dyDescent="0.25">
      <c r="A163" s="3">
        <v>45693.223344907412</v>
      </c>
      <c r="B163" t="s">
        <v>29</v>
      </c>
      <c r="C163" s="3">
        <v>45693.455393518518</v>
      </c>
      <c r="D163" t="s">
        <v>73</v>
      </c>
      <c r="E163" s="4">
        <v>83.430999999999997</v>
      </c>
      <c r="F163" s="4">
        <v>91056.755000000005</v>
      </c>
      <c r="G163" s="4">
        <v>91140.186000000002</v>
      </c>
      <c r="H163" s="5">
        <f>7059 / 86400</f>
        <v>8.1701388888888893E-2</v>
      </c>
      <c r="I163" t="s">
        <v>60</v>
      </c>
      <c r="J163" t="s">
        <v>35</v>
      </c>
      <c r="K163" s="5">
        <f>20048 / 86400</f>
        <v>0.23203703703703704</v>
      </c>
      <c r="L163" s="5">
        <f>19767 / 86400</f>
        <v>0.22878472222222221</v>
      </c>
    </row>
    <row r="164" spans="1:12" x14ac:dyDescent="0.25">
      <c r="A164" s="3">
        <v>45693.460833333331</v>
      </c>
      <c r="B164" t="s">
        <v>73</v>
      </c>
      <c r="C164" s="3">
        <v>45693.462893518517</v>
      </c>
      <c r="D164" t="s">
        <v>137</v>
      </c>
      <c r="E164" s="4">
        <v>0.67100000000000004</v>
      </c>
      <c r="F164" s="4">
        <v>91140.186000000002</v>
      </c>
      <c r="G164" s="4">
        <v>91140.857000000004</v>
      </c>
      <c r="H164" s="5">
        <f>59 / 86400</f>
        <v>6.8287037037037036E-4</v>
      </c>
      <c r="I164" t="s">
        <v>160</v>
      </c>
      <c r="J164" t="s">
        <v>52</v>
      </c>
      <c r="K164" s="5">
        <f>177 / 86400</f>
        <v>2.0486111111111113E-3</v>
      </c>
      <c r="L164" s="5">
        <f>1992 / 86400</f>
        <v>2.3055555555555555E-2</v>
      </c>
    </row>
    <row r="165" spans="1:12" x14ac:dyDescent="0.25">
      <c r="A165" s="3">
        <v>45693.485949074078</v>
      </c>
      <c r="B165" t="s">
        <v>137</v>
      </c>
      <c r="C165" s="3">
        <v>45693.489062499997</v>
      </c>
      <c r="D165" t="s">
        <v>118</v>
      </c>
      <c r="E165" s="4">
        <v>0.68400000000000005</v>
      </c>
      <c r="F165" s="4">
        <v>91140.857000000004</v>
      </c>
      <c r="G165" s="4">
        <v>91141.540999999997</v>
      </c>
      <c r="H165" s="5">
        <f>0 / 86400</f>
        <v>0</v>
      </c>
      <c r="I165" t="s">
        <v>24</v>
      </c>
      <c r="J165" t="s">
        <v>82</v>
      </c>
      <c r="K165" s="5">
        <f>269 / 86400</f>
        <v>3.1134259259259257E-3</v>
      </c>
      <c r="L165" s="5">
        <f>1408 / 86400</f>
        <v>1.6296296296296295E-2</v>
      </c>
    </row>
    <row r="166" spans="1:12" x14ac:dyDescent="0.25">
      <c r="A166" s="3">
        <v>45693.505358796298</v>
      </c>
      <c r="B166" t="s">
        <v>118</v>
      </c>
      <c r="C166" s="3">
        <v>45693.624456018515</v>
      </c>
      <c r="D166" t="s">
        <v>161</v>
      </c>
      <c r="E166" s="4">
        <v>51.27</v>
      </c>
      <c r="F166" s="4">
        <v>91141.540999999997</v>
      </c>
      <c r="G166" s="4">
        <v>91192.811000000002</v>
      </c>
      <c r="H166" s="5">
        <f>3020 / 86400</f>
        <v>3.4953703703703702E-2</v>
      </c>
      <c r="I166" t="s">
        <v>34</v>
      </c>
      <c r="J166" t="s">
        <v>24</v>
      </c>
      <c r="K166" s="5">
        <f>10289 / 86400</f>
        <v>0.11908564814814815</v>
      </c>
      <c r="L166" s="5">
        <f>1815 / 86400</f>
        <v>2.1006944444444446E-2</v>
      </c>
    </row>
    <row r="167" spans="1:12" x14ac:dyDescent="0.25">
      <c r="A167" s="3">
        <v>45693.645462962959</v>
      </c>
      <c r="B167" t="s">
        <v>161</v>
      </c>
      <c r="C167" s="3">
        <v>45693.769479166665</v>
      </c>
      <c r="D167" t="s">
        <v>162</v>
      </c>
      <c r="E167" s="4">
        <v>33.457999999999998</v>
      </c>
      <c r="F167" s="4">
        <v>91192.811000000002</v>
      </c>
      <c r="G167" s="4">
        <v>91226.269</v>
      </c>
      <c r="H167" s="5">
        <f>4020 / 86400</f>
        <v>4.6527777777777779E-2</v>
      </c>
      <c r="I167" t="s">
        <v>163</v>
      </c>
      <c r="J167" t="s">
        <v>154</v>
      </c>
      <c r="K167" s="5">
        <f>10714 / 86400</f>
        <v>0.12400462962962963</v>
      </c>
      <c r="L167" s="5">
        <f>70 / 86400</f>
        <v>8.1018518518518516E-4</v>
      </c>
    </row>
    <row r="168" spans="1:12" x14ac:dyDescent="0.25">
      <c r="A168" s="3">
        <v>45693.770289351851</v>
      </c>
      <c r="B168" t="s">
        <v>162</v>
      </c>
      <c r="C168" s="3">
        <v>45693.770914351851</v>
      </c>
      <c r="D168" t="s">
        <v>162</v>
      </c>
      <c r="E168" s="4">
        <v>0.156</v>
      </c>
      <c r="F168" s="4">
        <v>91226.269</v>
      </c>
      <c r="G168" s="4">
        <v>91226.425000000003</v>
      </c>
      <c r="H168" s="5">
        <f>0 / 86400</f>
        <v>0</v>
      </c>
      <c r="I168" t="s">
        <v>52</v>
      </c>
      <c r="J168" t="s">
        <v>154</v>
      </c>
      <c r="K168" s="5">
        <f>53 / 86400</f>
        <v>6.134259259259259E-4</v>
      </c>
      <c r="L168" s="5">
        <f>397 / 86400</f>
        <v>4.5949074074074078E-3</v>
      </c>
    </row>
    <row r="169" spans="1:12" x14ac:dyDescent="0.25">
      <c r="A169" s="3">
        <v>45693.775509259256</v>
      </c>
      <c r="B169" t="s">
        <v>162</v>
      </c>
      <c r="C169" s="3">
        <v>45693.777847222227</v>
      </c>
      <c r="D169" t="s">
        <v>29</v>
      </c>
      <c r="E169" s="4">
        <v>0.45300000000000001</v>
      </c>
      <c r="F169" s="4">
        <v>91226.425000000003</v>
      </c>
      <c r="G169" s="4">
        <v>91226.877999999997</v>
      </c>
      <c r="H169" s="5">
        <f>0 / 86400</f>
        <v>0</v>
      </c>
      <c r="I169" t="s">
        <v>37</v>
      </c>
      <c r="J169" t="s">
        <v>119</v>
      </c>
      <c r="K169" s="5">
        <f>202 / 86400</f>
        <v>2.3379629629629631E-3</v>
      </c>
      <c r="L169" s="5">
        <f>19193 / 86400</f>
        <v>0.22214120370370372</v>
      </c>
    </row>
    <row r="170" spans="1:12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 spans="1:12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 spans="1:12" s="10" customFormat="1" ht="20.100000000000001" customHeight="1" x14ac:dyDescent="0.35">
      <c r="A172" s="12" t="s">
        <v>404</v>
      </c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1:12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 spans="1:12" ht="30" x14ac:dyDescent="0.25">
      <c r="A174" s="2" t="s">
        <v>6</v>
      </c>
      <c r="B174" s="2" t="s">
        <v>7</v>
      </c>
      <c r="C174" s="2" t="s">
        <v>8</v>
      </c>
      <c r="D174" s="2" t="s">
        <v>9</v>
      </c>
      <c r="E174" s="2" t="s">
        <v>10</v>
      </c>
      <c r="F174" s="2" t="s">
        <v>11</v>
      </c>
      <c r="G174" s="2" t="s">
        <v>12</v>
      </c>
      <c r="H174" s="2" t="s">
        <v>13</v>
      </c>
      <c r="I174" s="2" t="s">
        <v>14</v>
      </c>
      <c r="J174" s="2" t="s">
        <v>15</v>
      </c>
      <c r="K174" s="2" t="s">
        <v>16</v>
      </c>
      <c r="L174" s="2" t="s">
        <v>17</v>
      </c>
    </row>
    <row r="175" spans="1:12" x14ac:dyDescent="0.25">
      <c r="A175" s="3">
        <v>45693.176921296297</v>
      </c>
      <c r="B175" t="s">
        <v>18</v>
      </c>
      <c r="C175" s="3">
        <v>45693.281759259262</v>
      </c>
      <c r="D175" t="s">
        <v>118</v>
      </c>
      <c r="E175" s="4">
        <v>49.853000000000002</v>
      </c>
      <c r="F175" s="4">
        <v>135911.424</v>
      </c>
      <c r="G175" s="4">
        <v>135961.277</v>
      </c>
      <c r="H175" s="5">
        <f>2518 / 86400</f>
        <v>2.914351851851852E-2</v>
      </c>
      <c r="I175" t="s">
        <v>145</v>
      </c>
      <c r="J175" t="s">
        <v>128</v>
      </c>
      <c r="K175" s="5">
        <f>9058 / 86400</f>
        <v>0.10483796296296297</v>
      </c>
      <c r="L175" s="5">
        <f>15880 / 86400</f>
        <v>0.18379629629629629</v>
      </c>
    </row>
    <row r="176" spans="1:12" x14ac:dyDescent="0.25">
      <c r="A176" s="3">
        <v>45693.288634259261</v>
      </c>
      <c r="B176" t="s">
        <v>118</v>
      </c>
      <c r="C176" s="3">
        <v>45693.289097222223</v>
      </c>
      <c r="D176" t="s">
        <v>118</v>
      </c>
      <c r="E176" s="4">
        <v>3.4000000000000002E-2</v>
      </c>
      <c r="F176" s="4">
        <v>135961.277</v>
      </c>
      <c r="G176" s="4">
        <v>135961.31099999999</v>
      </c>
      <c r="H176" s="5">
        <f>0 / 86400</f>
        <v>0</v>
      </c>
      <c r="I176" t="s">
        <v>59</v>
      </c>
      <c r="J176" t="s">
        <v>149</v>
      </c>
      <c r="K176" s="5">
        <f>40 / 86400</f>
        <v>4.6296296296296298E-4</v>
      </c>
      <c r="L176" s="5">
        <f>81 / 86400</f>
        <v>9.3749999999999997E-4</v>
      </c>
    </row>
    <row r="177" spans="1:12" x14ac:dyDescent="0.25">
      <c r="A177" s="3">
        <v>45693.290034722224</v>
      </c>
      <c r="B177" t="s">
        <v>118</v>
      </c>
      <c r="C177" s="3">
        <v>45693.42768518519</v>
      </c>
      <c r="D177" t="s">
        <v>164</v>
      </c>
      <c r="E177" s="4">
        <v>67.552999999999997</v>
      </c>
      <c r="F177" s="4">
        <v>135961.31099999999</v>
      </c>
      <c r="G177" s="4">
        <v>136028.864</v>
      </c>
      <c r="H177" s="5">
        <f>3439 / 86400</f>
        <v>3.9803240740740743E-2</v>
      </c>
      <c r="I177" t="s">
        <v>165</v>
      </c>
      <c r="J177" t="s">
        <v>128</v>
      </c>
      <c r="K177" s="5">
        <f>11892 / 86400</f>
        <v>0.13763888888888889</v>
      </c>
      <c r="L177" s="5">
        <f>1695 / 86400</f>
        <v>1.9618055555555555E-2</v>
      </c>
    </row>
    <row r="178" spans="1:12" x14ac:dyDescent="0.25">
      <c r="A178" s="3">
        <v>45693.44730324074</v>
      </c>
      <c r="B178" t="s">
        <v>164</v>
      </c>
      <c r="C178" s="3">
        <v>45693.513101851851</v>
      </c>
      <c r="D178" t="s">
        <v>166</v>
      </c>
      <c r="E178" s="4">
        <v>30.853000000000002</v>
      </c>
      <c r="F178" s="4">
        <v>136028.864</v>
      </c>
      <c r="G178" s="4">
        <v>136059.717</v>
      </c>
      <c r="H178" s="5">
        <f>1659 / 86400</f>
        <v>1.9201388888888889E-2</v>
      </c>
      <c r="I178" t="s">
        <v>147</v>
      </c>
      <c r="J178" t="s">
        <v>128</v>
      </c>
      <c r="K178" s="5">
        <f>5684 / 86400</f>
        <v>6.5787037037037033E-2</v>
      </c>
      <c r="L178" s="5">
        <f>405 / 86400</f>
        <v>4.6874999999999998E-3</v>
      </c>
    </row>
    <row r="179" spans="1:12" x14ac:dyDescent="0.25">
      <c r="A179" s="3">
        <v>45693.517789351856</v>
      </c>
      <c r="B179" t="s">
        <v>166</v>
      </c>
      <c r="C179" s="3">
        <v>45693.594768518524</v>
      </c>
      <c r="D179" t="s">
        <v>73</v>
      </c>
      <c r="E179" s="4">
        <v>34.323</v>
      </c>
      <c r="F179" s="4">
        <v>136059.717</v>
      </c>
      <c r="G179" s="4">
        <v>136094.04</v>
      </c>
      <c r="H179" s="5">
        <f>1859 / 86400</f>
        <v>2.1516203703703704E-2</v>
      </c>
      <c r="I179" t="s">
        <v>135</v>
      </c>
      <c r="J179" t="s">
        <v>37</v>
      </c>
      <c r="K179" s="5">
        <f>6651 / 86400</f>
        <v>7.6979166666666668E-2</v>
      </c>
      <c r="L179" s="5">
        <f>374 / 86400</f>
        <v>4.3287037037037035E-3</v>
      </c>
    </row>
    <row r="180" spans="1:12" x14ac:dyDescent="0.25">
      <c r="A180" s="3">
        <v>45693.599097222221</v>
      </c>
      <c r="B180" t="s">
        <v>73</v>
      </c>
      <c r="C180" s="3">
        <v>45693.600092592591</v>
      </c>
      <c r="D180" t="s">
        <v>73</v>
      </c>
      <c r="E180" s="4">
        <v>1.2E-2</v>
      </c>
      <c r="F180" s="4">
        <v>136094.04</v>
      </c>
      <c r="G180" s="4">
        <v>136094.052</v>
      </c>
      <c r="H180" s="5">
        <f>39 / 86400</f>
        <v>4.5138888888888887E-4</v>
      </c>
      <c r="I180" t="s">
        <v>133</v>
      </c>
      <c r="J180" t="s">
        <v>116</v>
      </c>
      <c r="K180" s="5">
        <f>86 / 86400</f>
        <v>9.9537037037037042E-4</v>
      </c>
      <c r="L180" s="5">
        <f>529 / 86400</f>
        <v>6.122685185185185E-3</v>
      </c>
    </row>
    <row r="181" spans="1:12" x14ac:dyDescent="0.25">
      <c r="A181" s="3">
        <v>45693.606215277774</v>
      </c>
      <c r="B181" t="s">
        <v>73</v>
      </c>
      <c r="C181" s="3">
        <v>45693.821076388893</v>
      </c>
      <c r="D181" t="s">
        <v>125</v>
      </c>
      <c r="E181" s="4">
        <v>93.855000000000004</v>
      </c>
      <c r="F181" s="4">
        <v>136094.052</v>
      </c>
      <c r="G181" s="4">
        <v>136187.90700000001</v>
      </c>
      <c r="H181" s="5">
        <f>6257 / 86400</f>
        <v>7.2418981481481487E-2</v>
      </c>
      <c r="I181" t="s">
        <v>36</v>
      </c>
      <c r="J181" t="s">
        <v>24</v>
      </c>
      <c r="K181" s="5">
        <f>18564 / 86400</f>
        <v>0.21486111111111111</v>
      </c>
      <c r="L181" s="5">
        <f>8 / 86400</f>
        <v>9.2592592592592588E-5</v>
      </c>
    </row>
    <row r="182" spans="1:12" x14ac:dyDescent="0.25">
      <c r="A182" s="3">
        <v>45693.821168981478</v>
      </c>
      <c r="B182" t="s">
        <v>125</v>
      </c>
      <c r="C182" s="3">
        <v>45693.823854166665</v>
      </c>
      <c r="D182" t="s">
        <v>125</v>
      </c>
      <c r="E182" s="4">
        <v>1.4E-2</v>
      </c>
      <c r="F182" s="4">
        <v>136187.90700000001</v>
      </c>
      <c r="G182" s="4">
        <v>136187.921</v>
      </c>
      <c r="H182" s="5">
        <f>224 / 86400</f>
        <v>2.5925925925925925E-3</v>
      </c>
      <c r="I182" t="s">
        <v>124</v>
      </c>
      <c r="J182" t="s">
        <v>124</v>
      </c>
      <c r="K182" s="5">
        <f>232 / 86400</f>
        <v>2.685185185185185E-3</v>
      </c>
      <c r="L182" s="5">
        <f>177 / 86400</f>
        <v>2.0486111111111113E-3</v>
      </c>
    </row>
    <row r="183" spans="1:12" x14ac:dyDescent="0.25">
      <c r="A183" s="3">
        <v>45693.825902777782</v>
      </c>
      <c r="B183" t="s">
        <v>125</v>
      </c>
      <c r="C183" s="3">
        <v>45693.827708333338</v>
      </c>
      <c r="D183" t="s">
        <v>18</v>
      </c>
      <c r="E183" s="4">
        <v>0.5</v>
      </c>
      <c r="F183" s="4">
        <v>136187.921</v>
      </c>
      <c r="G183" s="4">
        <v>136188.421</v>
      </c>
      <c r="H183" s="5">
        <f>19 / 86400</f>
        <v>2.199074074074074E-4</v>
      </c>
      <c r="I183" t="s">
        <v>39</v>
      </c>
      <c r="J183" t="s">
        <v>59</v>
      </c>
      <c r="K183" s="5">
        <f>155 / 86400</f>
        <v>1.7939814814814815E-3</v>
      </c>
      <c r="L183" s="5">
        <f>41 / 86400</f>
        <v>4.7453703703703704E-4</v>
      </c>
    </row>
    <row r="184" spans="1:12" x14ac:dyDescent="0.25">
      <c r="A184" s="3">
        <v>45693.828182870369</v>
      </c>
      <c r="B184" t="s">
        <v>18</v>
      </c>
      <c r="C184" s="3">
        <v>45693.831053240741</v>
      </c>
      <c r="D184" t="s">
        <v>18</v>
      </c>
      <c r="E184" s="4">
        <v>5.6000000000000001E-2</v>
      </c>
      <c r="F184" s="4">
        <v>136188.421</v>
      </c>
      <c r="G184" s="4">
        <v>136188.47700000001</v>
      </c>
      <c r="H184" s="5">
        <f>200 / 86400</f>
        <v>2.3148148148148147E-3</v>
      </c>
      <c r="I184" t="s">
        <v>133</v>
      </c>
      <c r="J184" t="s">
        <v>116</v>
      </c>
      <c r="K184" s="5">
        <f>248 / 86400</f>
        <v>2.8703703703703703E-3</v>
      </c>
      <c r="L184" s="5">
        <f>14596 / 86400</f>
        <v>0.16893518518518519</v>
      </c>
    </row>
    <row r="185" spans="1:12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 spans="1:12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 spans="1:12" s="10" customFormat="1" ht="20.100000000000001" customHeight="1" x14ac:dyDescent="0.35">
      <c r="A187" s="12" t="s">
        <v>405</v>
      </c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1:12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 spans="1:12" ht="30" x14ac:dyDescent="0.25">
      <c r="A189" s="2" t="s">
        <v>6</v>
      </c>
      <c r="B189" s="2" t="s">
        <v>7</v>
      </c>
      <c r="C189" s="2" t="s">
        <v>8</v>
      </c>
      <c r="D189" s="2" t="s">
        <v>9</v>
      </c>
      <c r="E189" s="2" t="s">
        <v>10</v>
      </c>
      <c r="F189" s="2" t="s">
        <v>11</v>
      </c>
      <c r="G189" s="2" t="s">
        <v>12</v>
      </c>
      <c r="H189" s="2" t="s">
        <v>13</v>
      </c>
      <c r="I189" s="2" t="s">
        <v>14</v>
      </c>
      <c r="J189" s="2" t="s">
        <v>15</v>
      </c>
      <c r="K189" s="2" t="s">
        <v>16</v>
      </c>
      <c r="L189" s="2" t="s">
        <v>17</v>
      </c>
    </row>
    <row r="190" spans="1:12" x14ac:dyDescent="0.25">
      <c r="A190" s="3">
        <v>45693.19631944444</v>
      </c>
      <c r="B190" t="s">
        <v>29</v>
      </c>
      <c r="C190" s="3">
        <v>45693.203611111108</v>
      </c>
      <c r="D190" t="s">
        <v>108</v>
      </c>
      <c r="E190" s="4">
        <v>5.910865121722221</v>
      </c>
      <c r="F190" s="4">
        <v>346431.57397756999</v>
      </c>
      <c r="G190" s="4">
        <v>346437.48484269175</v>
      </c>
      <c r="H190" s="5">
        <f t="shared" ref="H190:H253" si="1">0 / 86400</f>
        <v>0</v>
      </c>
      <c r="I190" t="s">
        <v>66</v>
      </c>
      <c r="J190" t="s">
        <v>138</v>
      </c>
      <c r="K190" s="5">
        <f>630 / 86400</f>
        <v>7.2916666666666668E-3</v>
      </c>
      <c r="L190" s="5">
        <f>17921 / 86400</f>
        <v>0.20741898148148147</v>
      </c>
    </row>
    <row r="191" spans="1:12" x14ac:dyDescent="0.25">
      <c r="A191" s="3">
        <v>45693.21471064815</v>
      </c>
      <c r="B191" t="s">
        <v>108</v>
      </c>
      <c r="C191" s="3">
        <v>45693.214942129634</v>
      </c>
      <c r="D191" t="s">
        <v>108</v>
      </c>
      <c r="E191" s="4">
        <v>7.262836992740631E-3</v>
      </c>
      <c r="F191" s="4">
        <v>346437.56798113656</v>
      </c>
      <c r="G191" s="4">
        <v>346437.57524397358</v>
      </c>
      <c r="H191" s="5">
        <f t="shared" si="1"/>
        <v>0</v>
      </c>
      <c r="I191" t="s">
        <v>149</v>
      </c>
      <c r="J191" t="s">
        <v>116</v>
      </c>
      <c r="K191" s="5">
        <f>20 / 86400</f>
        <v>2.3148148148148149E-4</v>
      </c>
      <c r="L191" s="5">
        <f>20 / 86400</f>
        <v>2.3148148148148149E-4</v>
      </c>
    </row>
    <row r="192" spans="1:12" x14ac:dyDescent="0.25">
      <c r="A192" s="3">
        <v>45693.215173611112</v>
      </c>
      <c r="B192" t="s">
        <v>108</v>
      </c>
      <c r="C192" s="3">
        <v>45693.215636574074</v>
      </c>
      <c r="D192" t="s">
        <v>130</v>
      </c>
      <c r="E192" s="4">
        <v>0.41347514367103577</v>
      </c>
      <c r="F192" s="4">
        <v>346437.57687104854</v>
      </c>
      <c r="G192" s="4">
        <v>346437.99034619227</v>
      </c>
      <c r="H192" s="5">
        <f t="shared" si="1"/>
        <v>0</v>
      </c>
      <c r="I192" t="s">
        <v>101</v>
      </c>
      <c r="J192" t="s">
        <v>123</v>
      </c>
      <c r="K192" s="5">
        <f>40 / 86400</f>
        <v>4.6296296296296298E-4</v>
      </c>
      <c r="L192" s="5">
        <f>20 / 86400</f>
        <v>2.3148148148148149E-4</v>
      </c>
    </row>
    <row r="193" spans="1:12" x14ac:dyDescent="0.25">
      <c r="A193" s="3">
        <v>45693.215868055559</v>
      </c>
      <c r="B193" t="s">
        <v>130</v>
      </c>
      <c r="C193" s="3">
        <v>45693.217256944445</v>
      </c>
      <c r="D193" t="s">
        <v>110</v>
      </c>
      <c r="E193" s="4">
        <v>1.3222133767008781</v>
      </c>
      <c r="F193" s="4">
        <v>346438.15351532254</v>
      </c>
      <c r="G193" s="4">
        <v>346439.47572869924</v>
      </c>
      <c r="H193" s="5">
        <f t="shared" si="1"/>
        <v>0</v>
      </c>
      <c r="I193" t="s">
        <v>142</v>
      </c>
      <c r="J193" t="s">
        <v>167</v>
      </c>
      <c r="K193" s="5">
        <f>120 / 86400</f>
        <v>1.3888888888888889E-3</v>
      </c>
      <c r="L193" s="5">
        <f>40 / 86400</f>
        <v>4.6296296296296298E-4</v>
      </c>
    </row>
    <row r="194" spans="1:12" x14ac:dyDescent="0.25">
      <c r="A194" s="3">
        <v>45693.217719907407</v>
      </c>
      <c r="B194" t="s">
        <v>110</v>
      </c>
      <c r="C194" s="3">
        <v>45693.218414351853</v>
      </c>
      <c r="D194" t="s">
        <v>110</v>
      </c>
      <c r="E194" s="4">
        <v>0.4999933350086212</v>
      </c>
      <c r="F194" s="4">
        <v>346439.53781943</v>
      </c>
      <c r="G194" s="4">
        <v>346440.03781276499</v>
      </c>
      <c r="H194" s="5">
        <f t="shared" si="1"/>
        <v>0</v>
      </c>
      <c r="I194" t="s">
        <v>145</v>
      </c>
      <c r="J194" t="s">
        <v>85</v>
      </c>
      <c r="K194" s="5">
        <f>60 / 86400</f>
        <v>6.9444444444444447E-4</v>
      </c>
      <c r="L194" s="5">
        <f>60 / 86400</f>
        <v>6.9444444444444447E-4</v>
      </c>
    </row>
    <row r="195" spans="1:12" x14ac:dyDescent="0.25">
      <c r="A195" s="3">
        <v>45693.2191087963</v>
      </c>
      <c r="B195" t="s">
        <v>168</v>
      </c>
      <c r="C195" s="3">
        <v>45693.220034722224</v>
      </c>
      <c r="D195" t="s">
        <v>110</v>
      </c>
      <c r="E195" s="4">
        <v>0.79644461548328405</v>
      </c>
      <c r="F195" s="4">
        <v>346440.07048731222</v>
      </c>
      <c r="G195" s="4">
        <v>346440.86693192768</v>
      </c>
      <c r="H195" s="5">
        <f t="shared" si="1"/>
        <v>0</v>
      </c>
      <c r="I195" t="s">
        <v>127</v>
      </c>
      <c r="J195" t="s">
        <v>169</v>
      </c>
      <c r="K195" s="5">
        <f>80 / 86400</f>
        <v>9.2592592592592596E-4</v>
      </c>
      <c r="L195" s="5">
        <f>40 / 86400</f>
        <v>4.6296296296296298E-4</v>
      </c>
    </row>
    <row r="196" spans="1:12" x14ac:dyDescent="0.25">
      <c r="A196" s="3">
        <v>45693.220497685186</v>
      </c>
      <c r="B196" t="s">
        <v>110</v>
      </c>
      <c r="C196" s="3">
        <v>45693.22142361111</v>
      </c>
      <c r="D196" t="s">
        <v>110</v>
      </c>
      <c r="E196" s="4">
        <v>0.87196138644218446</v>
      </c>
      <c r="F196" s="4">
        <v>346440.92257905944</v>
      </c>
      <c r="G196" s="4">
        <v>346441.79454044584</v>
      </c>
      <c r="H196" s="5">
        <f t="shared" si="1"/>
        <v>0</v>
      </c>
      <c r="I196" t="s">
        <v>165</v>
      </c>
      <c r="J196" t="s">
        <v>170</v>
      </c>
      <c r="K196" s="5">
        <f>80 / 86400</f>
        <v>9.2592592592592596E-4</v>
      </c>
      <c r="L196" s="5">
        <f>20 / 86400</f>
        <v>2.3148148148148149E-4</v>
      </c>
    </row>
    <row r="197" spans="1:12" x14ac:dyDescent="0.25">
      <c r="A197" s="3">
        <v>45693.221655092595</v>
      </c>
      <c r="B197" t="s">
        <v>110</v>
      </c>
      <c r="C197" s="3">
        <v>45693.222581018519</v>
      </c>
      <c r="D197" t="s">
        <v>158</v>
      </c>
      <c r="E197" s="4">
        <v>1.2526964930295945</v>
      </c>
      <c r="F197" s="4">
        <v>346441.84149763704</v>
      </c>
      <c r="G197" s="4">
        <v>346443.09419413004</v>
      </c>
      <c r="H197" s="5">
        <f t="shared" si="1"/>
        <v>0</v>
      </c>
      <c r="I197" t="s">
        <v>127</v>
      </c>
      <c r="J197" t="s">
        <v>171</v>
      </c>
      <c r="K197" s="5">
        <f>80 / 86400</f>
        <v>9.2592592592592596E-4</v>
      </c>
      <c r="L197" s="5">
        <f>40 / 86400</f>
        <v>4.6296296296296298E-4</v>
      </c>
    </row>
    <row r="198" spans="1:12" x14ac:dyDescent="0.25">
      <c r="A198" s="3">
        <v>45693.223043981481</v>
      </c>
      <c r="B198" t="s">
        <v>158</v>
      </c>
      <c r="C198" s="3">
        <v>45693.223969907413</v>
      </c>
      <c r="D198" t="s">
        <v>158</v>
      </c>
      <c r="E198" s="4">
        <v>0.58305834603309636</v>
      </c>
      <c r="F198" s="4">
        <v>346443.15181805898</v>
      </c>
      <c r="G198" s="4">
        <v>346443.73487640498</v>
      </c>
      <c r="H198" s="5">
        <f t="shared" si="1"/>
        <v>0</v>
      </c>
      <c r="I198" t="s">
        <v>30</v>
      </c>
      <c r="J198" t="s">
        <v>172</v>
      </c>
      <c r="K198" s="5">
        <f>80 / 86400</f>
        <v>9.2592592592592596E-4</v>
      </c>
      <c r="L198" s="5">
        <f>20 / 86400</f>
        <v>2.3148148148148149E-4</v>
      </c>
    </row>
    <row r="199" spans="1:12" x14ac:dyDescent="0.25">
      <c r="A199" s="3">
        <v>45693.22420138889</v>
      </c>
      <c r="B199" t="s">
        <v>158</v>
      </c>
      <c r="C199" s="3">
        <v>45693.224664351852</v>
      </c>
      <c r="D199" t="s">
        <v>158</v>
      </c>
      <c r="E199" s="4">
        <v>0.65549774128198623</v>
      </c>
      <c r="F199" s="4">
        <v>346443.87655555224</v>
      </c>
      <c r="G199" s="4">
        <v>346444.53205329354</v>
      </c>
      <c r="H199" s="5">
        <f t="shared" si="1"/>
        <v>0</v>
      </c>
      <c r="I199" t="s">
        <v>105</v>
      </c>
      <c r="J199" t="s">
        <v>163</v>
      </c>
      <c r="K199" s="5">
        <f>40 / 86400</f>
        <v>4.6296296296296298E-4</v>
      </c>
      <c r="L199" s="5">
        <f>60 / 86400</f>
        <v>6.9444444444444447E-4</v>
      </c>
    </row>
    <row r="200" spans="1:12" x14ac:dyDescent="0.25">
      <c r="A200" s="3">
        <v>45693.225358796291</v>
      </c>
      <c r="B200" t="s">
        <v>158</v>
      </c>
      <c r="C200" s="3">
        <v>45693.226516203707</v>
      </c>
      <c r="D200" t="s">
        <v>173</v>
      </c>
      <c r="E200" s="4">
        <v>0.73142043858766559</v>
      </c>
      <c r="F200" s="4">
        <v>346444.71704044193</v>
      </c>
      <c r="G200" s="4">
        <v>346445.44846088049</v>
      </c>
      <c r="H200" s="5">
        <f t="shared" si="1"/>
        <v>0</v>
      </c>
      <c r="I200" t="s">
        <v>131</v>
      </c>
      <c r="J200" t="s">
        <v>172</v>
      </c>
      <c r="K200" s="5">
        <f>100 / 86400</f>
        <v>1.1574074074074073E-3</v>
      </c>
      <c r="L200" s="5">
        <f>120 / 86400</f>
        <v>1.3888888888888889E-3</v>
      </c>
    </row>
    <row r="201" spans="1:12" x14ac:dyDescent="0.25">
      <c r="A201" s="3">
        <v>45693.227905092594</v>
      </c>
      <c r="B201" t="s">
        <v>173</v>
      </c>
      <c r="C201" s="3">
        <v>45693.228599537033</v>
      </c>
      <c r="D201" t="s">
        <v>158</v>
      </c>
      <c r="E201" s="4">
        <v>0.53012764137983326</v>
      </c>
      <c r="F201" s="4">
        <v>346445.46183650417</v>
      </c>
      <c r="G201" s="4">
        <v>346445.99196414556</v>
      </c>
      <c r="H201" s="5">
        <f t="shared" si="1"/>
        <v>0</v>
      </c>
      <c r="I201" t="s">
        <v>58</v>
      </c>
      <c r="J201" t="s">
        <v>174</v>
      </c>
      <c r="K201" s="5">
        <f>60 / 86400</f>
        <v>6.9444444444444447E-4</v>
      </c>
      <c r="L201" s="5">
        <f>20 / 86400</f>
        <v>2.3148148148148149E-4</v>
      </c>
    </row>
    <row r="202" spans="1:12" x14ac:dyDescent="0.25">
      <c r="A202" s="3">
        <v>45693.228831018518</v>
      </c>
      <c r="B202" t="s">
        <v>158</v>
      </c>
      <c r="C202" s="3">
        <v>45693.230219907404</v>
      </c>
      <c r="D202" t="s">
        <v>151</v>
      </c>
      <c r="E202" s="4">
        <v>1.1038451666235924</v>
      </c>
      <c r="F202" s="4">
        <v>346446.17258660449</v>
      </c>
      <c r="G202" s="4">
        <v>346447.27643177111</v>
      </c>
      <c r="H202" s="5">
        <f t="shared" si="1"/>
        <v>0</v>
      </c>
      <c r="I202" t="s">
        <v>105</v>
      </c>
      <c r="J202" t="s">
        <v>160</v>
      </c>
      <c r="K202" s="5">
        <f>120 / 86400</f>
        <v>1.3888888888888889E-3</v>
      </c>
      <c r="L202" s="5">
        <f>20 / 86400</f>
        <v>2.3148148148148149E-4</v>
      </c>
    </row>
    <row r="203" spans="1:12" x14ac:dyDescent="0.25">
      <c r="A203" s="3">
        <v>45693.230451388888</v>
      </c>
      <c r="B203" t="s">
        <v>151</v>
      </c>
      <c r="C203" s="3">
        <v>45693.235532407409</v>
      </c>
      <c r="D203" t="s">
        <v>175</v>
      </c>
      <c r="E203" s="4">
        <v>2.7784914170503616</v>
      </c>
      <c r="F203" s="4">
        <v>346447.27718521294</v>
      </c>
      <c r="G203" s="4">
        <v>346450.05567662994</v>
      </c>
      <c r="H203" s="5">
        <f t="shared" si="1"/>
        <v>0</v>
      </c>
      <c r="I203" t="s">
        <v>167</v>
      </c>
      <c r="J203" t="s">
        <v>150</v>
      </c>
      <c r="K203" s="5">
        <f>439 / 86400</f>
        <v>5.0810185185185186E-3</v>
      </c>
      <c r="L203" s="5">
        <f>19 / 86400</f>
        <v>2.199074074074074E-4</v>
      </c>
    </row>
    <row r="204" spans="1:12" x14ac:dyDescent="0.25">
      <c r="A204" s="3">
        <v>45693.235752314809</v>
      </c>
      <c r="B204" t="s">
        <v>175</v>
      </c>
      <c r="C204" s="3">
        <v>45693.235995370371</v>
      </c>
      <c r="D204" t="s">
        <v>176</v>
      </c>
      <c r="E204" s="4">
        <v>0.1183542103767395</v>
      </c>
      <c r="F204" s="4">
        <v>346450.09271869663</v>
      </c>
      <c r="G204" s="4">
        <v>346450.21107290703</v>
      </c>
      <c r="H204" s="5">
        <f t="shared" si="1"/>
        <v>0</v>
      </c>
      <c r="I204" t="s">
        <v>24</v>
      </c>
      <c r="J204" t="s">
        <v>128</v>
      </c>
      <c r="K204" s="5">
        <f>21 / 86400</f>
        <v>2.4305555555555555E-4</v>
      </c>
      <c r="L204" s="5">
        <f>20 / 86400</f>
        <v>2.3148148148148149E-4</v>
      </c>
    </row>
    <row r="205" spans="1:12" x14ac:dyDescent="0.25">
      <c r="A205" s="3">
        <v>45693.236226851848</v>
      </c>
      <c r="B205" t="s">
        <v>176</v>
      </c>
      <c r="C205" s="3">
        <v>45693.236921296295</v>
      </c>
      <c r="D205" t="s">
        <v>177</v>
      </c>
      <c r="E205" s="4">
        <v>0.27062974548339847</v>
      </c>
      <c r="F205" s="4">
        <v>346450.33737115486</v>
      </c>
      <c r="G205" s="4">
        <v>346450.60800090031</v>
      </c>
      <c r="H205" s="5">
        <f t="shared" si="1"/>
        <v>0</v>
      </c>
      <c r="I205" t="s">
        <v>153</v>
      </c>
      <c r="J205" t="s">
        <v>31</v>
      </c>
      <c r="K205" s="5">
        <f>60 / 86400</f>
        <v>6.9444444444444447E-4</v>
      </c>
      <c r="L205" s="5">
        <f>40 / 86400</f>
        <v>4.6296296296296298E-4</v>
      </c>
    </row>
    <row r="206" spans="1:12" x14ac:dyDescent="0.25">
      <c r="A206" s="3">
        <v>45693.237384259264</v>
      </c>
      <c r="B206" t="s">
        <v>178</v>
      </c>
      <c r="C206" s="3">
        <v>45693.23946759259</v>
      </c>
      <c r="D206" t="s">
        <v>178</v>
      </c>
      <c r="E206" s="4">
        <v>1.1208387116789817</v>
      </c>
      <c r="F206" s="4">
        <v>346450.66468913195</v>
      </c>
      <c r="G206" s="4">
        <v>346451.78552784363</v>
      </c>
      <c r="H206" s="5">
        <f t="shared" si="1"/>
        <v>0</v>
      </c>
      <c r="I206" t="s">
        <v>179</v>
      </c>
      <c r="J206" t="s">
        <v>39</v>
      </c>
      <c r="K206" s="5">
        <f>180 / 86400</f>
        <v>2.0833333333333333E-3</v>
      </c>
      <c r="L206" s="5">
        <f>20 / 86400</f>
        <v>2.3148148148148149E-4</v>
      </c>
    </row>
    <row r="207" spans="1:12" x14ac:dyDescent="0.25">
      <c r="A207" s="3">
        <v>45693.239699074074</v>
      </c>
      <c r="B207" t="s">
        <v>178</v>
      </c>
      <c r="C207" s="3">
        <v>45693.240393518514</v>
      </c>
      <c r="D207" t="s">
        <v>75</v>
      </c>
      <c r="E207" s="4">
        <v>0.36205621695518492</v>
      </c>
      <c r="F207" s="4">
        <v>346451.92373171024</v>
      </c>
      <c r="G207" s="4">
        <v>346452.28578792722</v>
      </c>
      <c r="H207" s="5">
        <f t="shared" si="1"/>
        <v>0</v>
      </c>
      <c r="I207" t="s">
        <v>180</v>
      </c>
      <c r="J207" t="s">
        <v>39</v>
      </c>
      <c r="K207" s="5">
        <f>60 / 86400</f>
        <v>6.9444444444444447E-4</v>
      </c>
      <c r="L207" s="5">
        <f>2 / 86400</f>
        <v>2.3148148148148147E-5</v>
      </c>
    </row>
    <row r="208" spans="1:12" x14ac:dyDescent="0.25">
      <c r="A208" s="3">
        <v>45693.240416666667</v>
      </c>
      <c r="B208" t="s">
        <v>75</v>
      </c>
      <c r="C208" s="3">
        <v>45693.241111111114</v>
      </c>
      <c r="D208" t="s">
        <v>75</v>
      </c>
      <c r="E208" s="4">
        <v>0.49496565186977387</v>
      </c>
      <c r="F208" s="4">
        <v>346452.28923682705</v>
      </c>
      <c r="G208" s="4">
        <v>346452.78420247894</v>
      </c>
      <c r="H208" s="5">
        <f t="shared" si="1"/>
        <v>0</v>
      </c>
      <c r="I208" t="s">
        <v>181</v>
      </c>
      <c r="J208" t="s">
        <v>85</v>
      </c>
      <c r="K208" s="5">
        <f>60 / 86400</f>
        <v>6.9444444444444447E-4</v>
      </c>
      <c r="L208" s="5">
        <f>20 / 86400</f>
        <v>2.3148148148148149E-4</v>
      </c>
    </row>
    <row r="209" spans="1:12" x14ac:dyDescent="0.25">
      <c r="A209" s="3">
        <v>45693.241342592592</v>
      </c>
      <c r="B209" t="s">
        <v>75</v>
      </c>
      <c r="C209" s="3">
        <v>45693.243587962963</v>
      </c>
      <c r="D209" t="s">
        <v>182</v>
      </c>
      <c r="E209" s="4">
        <v>0.71317053550481802</v>
      </c>
      <c r="F209" s="4">
        <v>346452.88504542632</v>
      </c>
      <c r="G209" s="4">
        <v>346453.59821596183</v>
      </c>
      <c r="H209" s="5">
        <f t="shared" si="1"/>
        <v>0</v>
      </c>
      <c r="I209" t="s">
        <v>180</v>
      </c>
      <c r="J209" t="s">
        <v>55</v>
      </c>
      <c r="K209" s="5">
        <f>194 / 86400</f>
        <v>2.2453703703703702E-3</v>
      </c>
      <c r="L209" s="5">
        <f>5 / 86400</f>
        <v>5.7870370370370373E-5</v>
      </c>
    </row>
    <row r="210" spans="1:12" x14ac:dyDescent="0.25">
      <c r="A210" s="3">
        <v>45693.243645833332</v>
      </c>
      <c r="B210" t="s">
        <v>182</v>
      </c>
      <c r="C210" s="3">
        <v>45693.245034722218</v>
      </c>
      <c r="D210" t="s">
        <v>183</v>
      </c>
      <c r="E210" s="4">
        <v>0.78746957790851591</v>
      </c>
      <c r="F210" s="4">
        <v>346453.60362242407</v>
      </c>
      <c r="G210" s="4">
        <v>346454.39109200198</v>
      </c>
      <c r="H210" s="5">
        <f t="shared" si="1"/>
        <v>0</v>
      </c>
      <c r="I210" t="s">
        <v>184</v>
      </c>
      <c r="J210" t="s">
        <v>156</v>
      </c>
      <c r="K210" s="5">
        <f>120 / 86400</f>
        <v>1.3888888888888889E-3</v>
      </c>
      <c r="L210" s="5">
        <f>34 / 86400</f>
        <v>3.9351851851851852E-4</v>
      </c>
    </row>
    <row r="211" spans="1:12" x14ac:dyDescent="0.25">
      <c r="A211" s="3">
        <v>45693.245428240742</v>
      </c>
      <c r="B211" t="s">
        <v>185</v>
      </c>
      <c r="C211" s="3">
        <v>45693.24726851852</v>
      </c>
      <c r="D211" t="s">
        <v>186</v>
      </c>
      <c r="E211" s="4">
        <v>1.0026428507566452</v>
      </c>
      <c r="F211" s="4">
        <v>346454.45483753178</v>
      </c>
      <c r="G211" s="4">
        <v>346455.45748038258</v>
      </c>
      <c r="H211" s="5">
        <f t="shared" si="1"/>
        <v>0</v>
      </c>
      <c r="I211" t="s">
        <v>142</v>
      </c>
      <c r="J211" t="s">
        <v>150</v>
      </c>
      <c r="K211" s="5">
        <f>159 / 86400</f>
        <v>1.8402777777777777E-3</v>
      </c>
      <c r="L211" s="5">
        <f>31 / 86400</f>
        <v>3.5879629629629629E-4</v>
      </c>
    </row>
    <row r="212" spans="1:12" x14ac:dyDescent="0.25">
      <c r="A212" s="3">
        <v>45693.247627314813</v>
      </c>
      <c r="B212" t="s">
        <v>187</v>
      </c>
      <c r="C212" s="3">
        <v>45693.248611111107</v>
      </c>
      <c r="D212" t="s">
        <v>188</v>
      </c>
      <c r="E212" s="4">
        <v>0.45406448018550871</v>
      </c>
      <c r="F212" s="4">
        <v>346455.47793740919</v>
      </c>
      <c r="G212" s="4">
        <v>346455.93200188933</v>
      </c>
      <c r="H212" s="5">
        <f t="shared" si="1"/>
        <v>0</v>
      </c>
      <c r="I212" t="s">
        <v>179</v>
      </c>
      <c r="J212" t="s">
        <v>37</v>
      </c>
      <c r="K212" s="5">
        <f>85 / 86400</f>
        <v>9.837962962962962E-4</v>
      </c>
      <c r="L212" s="5">
        <f>30 / 86400</f>
        <v>3.4722222222222224E-4</v>
      </c>
    </row>
    <row r="213" spans="1:12" x14ac:dyDescent="0.25">
      <c r="A213" s="3">
        <v>45693.248958333337</v>
      </c>
      <c r="B213" t="s">
        <v>188</v>
      </c>
      <c r="C213" s="3">
        <v>45693.252893518518</v>
      </c>
      <c r="D213" t="s">
        <v>189</v>
      </c>
      <c r="E213" s="4">
        <v>1.7028043389916421</v>
      </c>
      <c r="F213" s="4">
        <v>346455.97769878572</v>
      </c>
      <c r="G213" s="4">
        <v>346457.68050312472</v>
      </c>
      <c r="H213" s="5">
        <f t="shared" si="1"/>
        <v>0</v>
      </c>
      <c r="I213" t="s">
        <v>190</v>
      </c>
      <c r="J213" t="s">
        <v>24</v>
      </c>
      <c r="K213" s="5">
        <f>340 / 86400</f>
        <v>3.9351851851851848E-3</v>
      </c>
      <c r="L213" s="5">
        <f>20 / 86400</f>
        <v>2.3148148148148149E-4</v>
      </c>
    </row>
    <row r="214" spans="1:12" x14ac:dyDescent="0.25">
      <c r="A214" s="3">
        <v>45693.253125000003</v>
      </c>
      <c r="B214" t="s">
        <v>191</v>
      </c>
      <c r="C214" s="3">
        <v>45693.25335648148</v>
      </c>
      <c r="D214" t="s">
        <v>192</v>
      </c>
      <c r="E214" s="4">
        <v>6.3756299614906309E-2</v>
      </c>
      <c r="F214" s="4">
        <v>346457.91961397638</v>
      </c>
      <c r="G214" s="4">
        <v>346457.98337027599</v>
      </c>
      <c r="H214" s="5">
        <f t="shared" si="1"/>
        <v>0</v>
      </c>
      <c r="I214" t="s">
        <v>156</v>
      </c>
      <c r="J214" t="s">
        <v>154</v>
      </c>
      <c r="K214" s="5">
        <f>20 / 86400</f>
        <v>2.3148148148148149E-4</v>
      </c>
      <c r="L214" s="5">
        <f>14 / 86400</f>
        <v>1.6203703703703703E-4</v>
      </c>
    </row>
    <row r="215" spans="1:12" x14ac:dyDescent="0.25">
      <c r="A215" s="3">
        <v>45693.253518518519</v>
      </c>
      <c r="B215" t="s">
        <v>191</v>
      </c>
      <c r="C215" s="3">
        <v>45693.257326388892</v>
      </c>
      <c r="D215" t="s">
        <v>193</v>
      </c>
      <c r="E215" s="4">
        <v>2.6197092645168305</v>
      </c>
      <c r="F215" s="4">
        <v>346457.99070816865</v>
      </c>
      <c r="G215" s="4">
        <v>346460.61041743314</v>
      </c>
      <c r="H215" s="5">
        <f t="shared" si="1"/>
        <v>0</v>
      </c>
      <c r="I215" t="s">
        <v>194</v>
      </c>
      <c r="J215" t="s">
        <v>195</v>
      </c>
      <c r="K215" s="5">
        <f>329 / 86400</f>
        <v>3.8078703703703703E-3</v>
      </c>
      <c r="L215" s="5">
        <f>9 / 86400</f>
        <v>1.0416666666666667E-4</v>
      </c>
    </row>
    <row r="216" spans="1:12" x14ac:dyDescent="0.25">
      <c r="A216" s="3">
        <v>45693.257430555561</v>
      </c>
      <c r="B216" t="s">
        <v>193</v>
      </c>
      <c r="C216" s="3">
        <v>45693.260995370365</v>
      </c>
      <c r="D216" t="s">
        <v>196</v>
      </c>
      <c r="E216" s="4">
        <v>1.2463127380609513</v>
      </c>
      <c r="F216" s="4">
        <v>346460.61680079059</v>
      </c>
      <c r="G216" s="4">
        <v>346461.86311352864</v>
      </c>
      <c r="H216" s="5">
        <f t="shared" si="1"/>
        <v>0</v>
      </c>
      <c r="I216" t="s">
        <v>153</v>
      </c>
      <c r="J216" t="s">
        <v>35</v>
      </c>
      <c r="K216" s="5">
        <f>308 / 86400</f>
        <v>3.5648148148148149E-3</v>
      </c>
      <c r="L216" s="5">
        <f>20 / 86400</f>
        <v>2.3148148148148149E-4</v>
      </c>
    </row>
    <row r="217" spans="1:12" x14ac:dyDescent="0.25">
      <c r="A217" s="3">
        <v>45693.261226851857</v>
      </c>
      <c r="B217" t="s">
        <v>196</v>
      </c>
      <c r="C217" s="3">
        <v>45693.2653125</v>
      </c>
      <c r="D217" t="s">
        <v>197</v>
      </c>
      <c r="E217" s="4">
        <v>1.660079605937004</v>
      </c>
      <c r="F217" s="4">
        <v>346461.91743652517</v>
      </c>
      <c r="G217" s="4">
        <v>346463.5775161311</v>
      </c>
      <c r="H217" s="5">
        <f t="shared" si="1"/>
        <v>0</v>
      </c>
      <c r="I217" t="s">
        <v>198</v>
      </c>
      <c r="J217" t="s">
        <v>28</v>
      </c>
      <c r="K217" s="5">
        <f>353 / 86400</f>
        <v>4.0856481481481481E-3</v>
      </c>
      <c r="L217" s="5">
        <f>160 / 86400</f>
        <v>1.8518518518518519E-3</v>
      </c>
    </row>
    <row r="218" spans="1:12" x14ac:dyDescent="0.25">
      <c r="A218" s="3">
        <v>45693.267164351855</v>
      </c>
      <c r="B218" t="s">
        <v>197</v>
      </c>
      <c r="C218" s="3">
        <v>45693.267824074079</v>
      </c>
      <c r="D218" t="s">
        <v>199</v>
      </c>
      <c r="E218" s="4">
        <v>4.3519743442535404E-2</v>
      </c>
      <c r="F218" s="4">
        <v>346463.59978002374</v>
      </c>
      <c r="G218" s="4">
        <v>346463.64329976722</v>
      </c>
      <c r="H218" s="5">
        <f t="shared" si="1"/>
        <v>0</v>
      </c>
      <c r="I218" t="s">
        <v>154</v>
      </c>
      <c r="J218" t="s">
        <v>149</v>
      </c>
      <c r="K218" s="5">
        <f>57 / 86400</f>
        <v>6.5972222222222224E-4</v>
      </c>
      <c r="L218" s="5">
        <f>40 / 86400</f>
        <v>4.6296296296296298E-4</v>
      </c>
    </row>
    <row r="219" spans="1:12" x14ac:dyDescent="0.25">
      <c r="A219" s="3">
        <v>45693.268287037034</v>
      </c>
      <c r="B219" t="s">
        <v>199</v>
      </c>
      <c r="C219" s="3">
        <v>45693.268518518518</v>
      </c>
      <c r="D219" t="s">
        <v>199</v>
      </c>
      <c r="E219" s="4">
        <v>5.159101843833923E-3</v>
      </c>
      <c r="F219" s="4">
        <v>346463.65327409463</v>
      </c>
      <c r="G219" s="4">
        <v>346463.65843319648</v>
      </c>
      <c r="H219" s="5">
        <f t="shared" si="1"/>
        <v>0</v>
      </c>
      <c r="I219" t="s">
        <v>116</v>
      </c>
      <c r="J219" t="s">
        <v>116</v>
      </c>
      <c r="K219" s="5">
        <f>20 / 86400</f>
        <v>2.3148148148148149E-4</v>
      </c>
      <c r="L219" s="5">
        <f>26 / 86400</f>
        <v>3.0092592592592595E-4</v>
      </c>
    </row>
    <row r="220" spans="1:12" x14ac:dyDescent="0.25">
      <c r="A220" s="3">
        <v>45693.268819444449</v>
      </c>
      <c r="B220" t="s">
        <v>199</v>
      </c>
      <c r="C220" s="3">
        <v>45693.269050925926</v>
      </c>
      <c r="D220" t="s">
        <v>199</v>
      </c>
      <c r="E220" s="4">
        <v>0</v>
      </c>
      <c r="F220" s="4">
        <v>346463.66417755722</v>
      </c>
      <c r="G220" s="4">
        <v>346463.66417755722</v>
      </c>
      <c r="H220" s="5">
        <f t="shared" si="1"/>
        <v>0</v>
      </c>
      <c r="I220" t="s">
        <v>133</v>
      </c>
      <c r="J220" t="s">
        <v>124</v>
      </c>
      <c r="K220" s="5">
        <f>20 / 86400</f>
        <v>2.3148148148148149E-4</v>
      </c>
      <c r="L220" s="5">
        <f>40 / 86400</f>
        <v>4.6296296296296298E-4</v>
      </c>
    </row>
    <row r="221" spans="1:12" x14ac:dyDescent="0.25">
      <c r="A221" s="3">
        <v>45693.269513888888</v>
      </c>
      <c r="B221" t="s">
        <v>200</v>
      </c>
      <c r="C221" s="3">
        <v>45693.269976851851</v>
      </c>
      <c r="D221" t="s">
        <v>201</v>
      </c>
      <c r="E221" s="4">
        <v>0.27546780860424042</v>
      </c>
      <c r="F221" s="4">
        <v>346464.11011606787</v>
      </c>
      <c r="G221" s="4">
        <v>346464.38558387652</v>
      </c>
      <c r="H221" s="5">
        <f t="shared" si="1"/>
        <v>0</v>
      </c>
      <c r="I221" t="s">
        <v>202</v>
      </c>
      <c r="J221" t="s">
        <v>153</v>
      </c>
      <c r="K221" s="5">
        <f>40 / 86400</f>
        <v>4.6296296296296298E-4</v>
      </c>
      <c r="L221" s="5">
        <f>31 / 86400</f>
        <v>3.5879629629629629E-4</v>
      </c>
    </row>
    <row r="222" spans="1:12" x14ac:dyDescent="0.25">
      <c r="A222" s="3">
        <v>45693.270335648151</v>
      </c>
      <c r="B222" t="s">
        <v>201</v>
      </c>
      <c r="C222" s="3">
        <v>45693.271724537037</v>
      </c>
      <c r="D222" t="s">
        <v>203</v>
      </c>
      <c r="E222" s="4">
        <v>0.78077439600229259</v>
      </c>
      <c r="F222" s="4">
        <v>346464.3925453691</v>
      </c>
      <c r="G222" s="4">
        <v>346465.17331976508</v>
      </c>
      <c r="H222" s="5">
        <f t="shared" si="1"/>
        <v>0</v>
      </c>
      <c r="I222" t="s">
        <v>204</v>
      </c>
      <c r="J222" t="s">
        <v>150</v>
      </c>
      <c r="K222" s="5">
        <f>120 / 86400</f>
        <v>1.3888888888888889E-3</v>
      </c>
      <c r="L222" s="5">
        <f>20 / 86400</f>
        <v>2.3148148148148149E-4</v>
      </c>
    </row>
    <row r="223" spans="1:12" x14ac:dyDescent="0.25">
      <c r="A223" s="3">
        <v>45693.271956018521</v>
      </c>
      <c r="B223" t="s">
        <v>205</v>
      </c>
      <c r="C223" s="3">
        <v>45693.272418981476</v>
      </c>
      <c r="D223" t="s">
        <v>206</v>
      </c>
      <c r="E223" s="4">
        <v>0.33963409906625747</v>
      </c>
      <c r="F223" s="4">
        <v>346465.27841946919</v>
      </c>
      <c r="G223" s="4">
        <v>346465.61805356824</v>
      </c>
      <c r="H223" s="5">
        <f t="shared" si="1"/>
        <v>0</v>
      </c>
      <c r="I223" t="s">
        <v>198</v>
      </c>
      <c r="J223" t="s">
        <v>159</v>
      </c>
      <c r="K223" s="5">
        <f>40 / 86400</f>
        <v>4.6296296296296298E-4</v>
      </c>
      <c r="L223" s="5">
        <f>6 / 86400</f>
        <v>6.9444444444444444E-5</v>
      </c>
    </row>
    <row r="224" spans="1:12" x14ac:dyDescent="0.25">
      <c r="A224" s="3">
        <v>45693.272488425922</v>
      </c>
      <c r="B224" t="s">
        <v>206</v>
      </c>
      <c r="C224" s="3">
        <v>45693.273206018523</v>
      </c>
      <c r="D224" t="s">
        <v>207</v>
      </c>
      <c r="E224" s="4">
        <v>0.5087715322375298</v>
      </c>
      <c r="F224" s="4">
        <v>346465.62326135678</v>
      </c>
      <c r="G224" s="4">
        <v>346466.132032889</v>
      </c>
      <c r="H224" s="5">
        <f t="shared" si="1"/>
        <v>0</v>
      </c>
      <c r="I224" t="s">
        <v>171</v>
      </c>
      <c r="J224" t="s">
        <v>85</v>
      </c>
      <c r="K224" s="5">
        <f>62 / 86400</f>
        <v>7.1759259259259259E-4</v>
      </c>
      <c r="L224" s="5">
        <f>2 / 86400</f>
        <v>2.3148148148148147E-5</v>
      </c>
    </row>
    <row r="225" spans="1:12" x14ac:dyDescent="0.25">
      <c r="A225" s="3">
        <v>45693.273229166662</v>
      </c>
      <c r="B225" t="s">
        <v>207</v>
      </c>
      <c r="C225" s="3">
        <v>45693.273460648154</v>
      </c>
      <c r="D225" t="s">
        <v>207</v>
      </c>
      <c r="E225" s="4">
        <v>2.0838553309440611E-3</v>
      </c>
      <c r="F225" s="4">
        <v>346466.13532256795</v>
      </c>
      <c r="G225" s="4">
        <v>346466.13740642328</v>
      </c>
      <c r="H225" s="5">
        <f t="shared" si="1"/>
        <v>0</v>
      </c>
      <c r="I225" t="s">
        <v>133</v>
      </c>
      <c r="J225" t="s">
        <v>124</v>
      </c>
      <c r="K225" s="5">
        <f>20 / 86400</f>
        <v>2.3148148148148149E-4</v>
      </c>
      <c r="L225" s="5">
        <f>40 / 86400</f>
        <v>4.6296296296296298E-4</v>
      </c>
    </row>
    <row r="226" spans="1:12" x14ac:dyDescent="0.25">
      <c r="A226" s="3">
        <v>45693.273923611108</v>
      </c>
      <c r="B226" t="s">
        <v>208</v>
      </c>
      <c r="C226" s="3">
        <v>45693.27543981481</v>
      </c>
      <c r="D226" t="s">
        <v>209</v>
      </c>
      <c r="E226" s="4">
        <v>0.853807980120182</v>
      </c>
      <c r="F226" s="4">
        <v>346466.1443642574</v>
      </c>
      <c r="G226" s="4">
        <v>346466.99817223754</v>
      </c>
      <c r="H226" s="5">
        <f t="shared" si="1"/>
        <v>0</v>
      </c>
      <c r="I226" t="s">
        <v>184</v>
      </c>
      <c r="J226" t="s">
        <v>150</v>
      </c>
      <c r="K226" s="5">
        <f>131 / 86400</f>
        <v>1.5162037037037036E-3</v>
      </c>
      <c r="L226" s="5">
        <f>50 / 86400</f>
        <v>5.7870370370370367E-4</v>
      </c>
    </row>
    <row r="227" spans="1:12" x14ac:dyDescent="0.25">
      <c r="A227" s="3">
        <v>45693.276018518518</v>
      </c>
      <c r="B227" t="s">
        <v>210</v>
      </c>
      <c r="C227" s="3">
        <v>45693.27648148148</v>
      </c>
      <c r="D227" t="s">
        <v>211</v>
      </c>
      <c r="E227" s="4">
        <v>0.19894836699962615</v>
      </c>
      <c r="F227" s="4">
        <v>346467.01256234734</v>
      </c>
      <c r="G227" s="4">
        <v>346467.21151071438</v>
      </c>
      <c r="H227" s="5">
        <f t="shared" si="1"/>
        <v>0</v>
      </c>
      <c r="I227" t="s">
        <v>212</v>
      </c>
      <c r="J227" t="s">
        <v>24</v>
      </c>
      <c r="K227" s="5">
        <f>40 / 86400</f>
        <v>4.6296296296296298E-4</v>
      </c>
      <c r="L227" s="5">
        <f>20 / 86400</f>
        <v>2.3148148148148149E-4</v>
      </c>
    </row>
    <row r="228" spans="1:12" x14ac:dyDescent="0.25">
      <c r="A228" s="3">
        <v>45693.276712962965</v>
      </c>
      <c r="B228" t="s">
        <v>213</v>
      </c>
      <c r="C228" s="3">
        <v>45693.277997685189</v>
      </c>
      <c r="D228" t="s">
        <v>214</v>
      </c>
      <c r="E228" s="4">
        <v>0.8274733581542969</v>
      </c>
      <c r="F228" s="4">
        <v>346467.23454149277</v>
      </c>
      <c r="G228" s="4">
        <v>346468.0620148509</v>
      </c>
      <c r="H228" s="5">
        <f t="shared" si="1"/>
        <v>0</v>
      </c>
      <c r="I228" t="s">
        <v>204</v>
      </c>
      <c r="J228" t="s">
        <v>212</v>
      </c>
      <c r="K228" s="5">
        <f>111 / 86400</f>
        <v>1.2847222222222223E-3</v>
      </c>
      <c r="L228" s="5">
        <f>20 / 86400</f>
        <v>2.3148148148148149E-4</v>
      </c>
    </row>
    <row r="229" spans="1:12" x14ac:dyDescent="0.25">
      <c r="A229" s="3">
        <v>45693.278229166666</v>
      </c>
      <c r="B229" t="s">
        <v>215</v>
      </c>
      <c r="C229" s="3">
        <v>45693.279386574075</v>
      </c>
      <c r="D229" t="s">
        <v>216</v>
      </c>
      <c r="E229" s="4">
        <v>0.53535013550519939</v>
      </c>
      <c r="F229" s="4">
        <v>346468.1208607303</v>
      </c>
      <c r="G229" s="4">
        <v>346468.65621086577</v>
      </c>
      <c r="H229" s="5">
        <f t="shared" si="1"/>
        <v>0</v>
      </c>
      <c r="I229" t="s">
        <v>170</v>
      </c>
      <c r="J229" t="s">
        <v>37</v>
      </c>
      <c r="K229" s="5">
        <f>100 / 86400</f>
        <v>1.1574074074074073E-3</v>
      </c>
      <c r="L229" s="5">
        <f>40 / 86400</f>
        <v>4.6296296296296298E-4</v>
      </c>
    </row>
    <row r="230" spans="1:12" x14ac:dyDescent="0.25">
      <c r="A230" s="3">
        <v>45693.279849537037</v>
      </c>
      <c r="B230" t="s">
        <v>217</v>
      </c>
      <c r="C230" s="3">
        <v>45693.280081018514</v>
      </c>
      <c r="D230" t="s">
        <v>217</v>
      </c>
      <c r="E230" s="4">
        <v>0.14290667426586151</v>
      </c>
      <c r="F230" s="4">
        <v>346468.74093046749</v>
      </c>
      <c r="G230" s="4">
        <v>346468.88383714174</v>
      </c>
      <c r="H230" s="5">
        <f t="shared" si="1"/>
        <v>0</v>
      </c>
      <c r="I230" t="s">
        <v>170</v>
      </c>
      <c r="J230" t="s">
        <v>172</v>
      </c>
      <c r="K230" s="5">
        <f>20 / 86400</f>
        <v>2.3148148148148149E-4</v>
      </c>
      <c r="L230" s="5">
        <f>4 / 86400</f>
        <v>4.6296296296296294E-5</v>
      </c>
    </row>
    <row r="231" spans="1:12" x14ac:dyDescent="0.25">
      <c r="A231" s="3">
        <v>45693.280127314814</v>
      </c>
      <c r="B231" t="s">
        <v>217</v>
      </c>
      <c r="C231" s="3">
        <v>45693.281921296293</v>
      </c>
      <c r="D231" t="s">
        <v>218</v>
      </c>
      <c r="E231" s="4">
        <v>0.70579482889175416</v>
      </c>
      <c r="F231" s="4">
        <v>346468.88629861345</v>
      </c>
      <c r="G231" s="4">
        <v>346469.59209344233</v>
      </c>
      <c r="H231" s="5">
        <f t="shared" si="1"/>
        <v>0</v>
      </c>
      <c r="I231" t="s">
        <v>219</v>
      </c>
      <c r="J231" t="s">
        <v>31</v>
      </c>
      <c r="K231" s="5">
        <f>155 / 86400</f>
        <v>1.7939814814814815E-3</v>
      </c>
      <c r="L231" s="5">
        <f>20 / 86400</f>
        <v>2.3148148148148149E-4</v>
      </c>
    </row>
    <row r="232" spans="1:12" x14ac:dyDescent="0.25">
      <c r="A232" s="3">
        <v>45693.282152777778</v>
      </c>
      <c r="B232" t="s">
        <v>220</v>
      </c>
      <c r="C232" s="3">
        <v>45693.28261574074</v>
      </c>
      <c r="D232" t="s">
        <v>220</v>
      </c>
      <c r="E232" s="4">
        <v>7.373392164707184E-3</v>
      </c>
      <c r="F232" s="4">
        <v>346469.59727712645</v>
      </c>
      <c r="G232" s="4">
        <v>346469.60465051862</v>
      </c>
      <c r="H232" s="5">
        <f t="shared" si="1"/>
        <v>0</v>
      </c>
      <c r="I232" t="s">
        <v>116</v>
      </c>
      <c r="J232" t="s">
        <v>116</v>
      </c>
      <c r="K232" s="5">
        <f>40 / 86400</f>
        <v>4.6296296296296298E-4</v>
      </c>
      <c r="L232" s="5">
        <f>76 / 86400</f>
        <v>8.7962962962962962E-4</v>
      </c>
    </row>
    <row r="233" spans="1:12" x14ac:dyDescent="0.25">
      <c r="A233" s="3">
        <v>45693.283495370371</v>
      </c>
      <c r="B233" t="s">
        <v>220</v>
      </c>
      <c r="C233" s="3">
        <v>45693.284259259264</v>
      </c>
      <c r="D233" t="s">
        <v>221</v>
      </c>
      <c r="E233" s="4">
        <v>0.25225428342819212</v>
      </c>
      <c r="F233" s="4">
        <v>346469.62233023834</v>
      </c>
      <c r="G233" s="4">
        <v>346469.87458452175</v>
      </c>
      <c r="H233" s="5">
        <f t="shared" si="1"/>
        <v>0</v>
      </c>
      <c r="I233" t="s">
        <v>222</v>
      </c>
      <c r="J233" t="s">
        <v>52</v>
      </c>
      <c r="K233" s="5">
        <f>66 / 86400</f>
        <v>7.6388888888888893E-4</v>
      </c>
      <c r="L233" s="5">
        <f>40 / 86400</f>
        <v>4.6296296296296298E-4</v>
      </c>
    </row>
    <row r="234" spans="1:12" x14ac:dyDescent="0.25">
      <c r="A234" s="3">
        <v>45693.284722222219</v>
      </c>
      <c r="B234" t="s">
        <v>216</v>
      </c>
      <c r="C234" s="3">
        <v>45693.285185185188</v>
      </c>
      <c r="D234" t="s">
        <v>223</v>
      </c>
      <c r="E234" s="4">
        <v>0.1932106872200966</v>
      </c>
      <c r="F234" s="4">
        <v>346469.90094437945</v>
      </c>
      <c r="G234" s="4">
        <v>346470.09415506665</v>
      </c>
      <c r="H234" s="5">
        <f t="shared" si="1"/>
        <v>0</v>
      </c>
      <c r="I234" t="s">
        <v>39</v>
      </c>
      <c r="J234" t="s">
        <v>28</v>
      </c>
      <c r="K234" s="5">
        <f>40 / 86400</f>
        <v>4.6296296296296298E-4</v>
      </c>
      <c r="L234" s="5">
        <f>20 / 86400</f>
        <v>2.3148148148148149E-4</v>
      </c>
    </row>
    <row r="235" spans="1:12" x14ac:dyDescent="0.25">
      <c r="A235" s="3">
        <v>45693.285416666666</v>
      </c>
      <c r="B235" t="s">
        <v>223</v>
      </c>
      <c r="C235" s="3">
        <v>45693.286145833335</v>
      </c>
      <c r="D235" t="s">
        <v>223</v>
      </c>
      <c r="E235" s="4">
        <v>7.3572745144367221E-2</v>
      </c>
      <c r="F235" s="4">
        <v>346470.10160562786</v>
      </c>
      <c r="G235" s="4">
        <v>346470.175178373</v>
      </c>
      <c r="H235" s="5">
        <f t="shared" si="1"/>
        <v>0</v>
      </c>
      <c r="I235" t="s">
        <v>119</v>
      </c>
      <c r="J235" t="s">
        <v>86</v>
      </c>
      <c r="K235" s="5">
        <f>63 / 86400</f>
        <v>7.291666666666667E-4</v>
      </c>
      <c r="L235" s="5">
        <f>40 / 86400</f>
        <v>4.6296296296296298E-4</v>
      </c>
    </row>
    <row r="236" spans="1:12" x14ac:dyDescent="0.25">
      <c r="A236" s="3">
        <v>45693.286608796298</v>
      </c>
      <c r="B236" t="s">
        <v>224</v>
      </c>
      <c r="C236" s="3">
        <v>45693.28707175926</v>
      </c>
      <c r="D236" t="s">
        <v>225</v>
      </c>
      <c r="E236" s="4">
        <v>0.18075167334079742</v>
      </c>
      <c r="F236" s="4">
        <v>346470.33160908887</v>
      </c>
      <c r="G236" s="4">
        <v>346470.51236076222</v>
      </c>
      <c r="H236" s="5">
        <f t="shared" si="1"/>
        <v>0</v>
      </c>
      <c r="I236" t="s">
        <v>180</v>
      </c>
      <c r="J236" t="s">
        <v>31</v>
      </c>
      <c r="K236" s="5">
        <f>40 / 86400</f>
        <v>4.6296296296296298E-4</v>
      </c>
      <c r="L236" s="5">
        <f>20 / 86400</f>
        <v>2.3148148148148149E-4</v>
      </c>
    </row>
    <row r="237" spans="1:12" x14ac:dyDescent="0.25">
      <c r="A237" s="3">
        <v>45693.287303240737</v>
      </c>
      <c r="B237" t="s">
        <v>225</v>
      </c>
      <c r="C237" s="3">
        <v>45693.288229166668</v>
      </c>
      <c r="D237" t="s">
        <v>226</v>
      </c>
      <c r="E237" s="4">
        <v>0.23565605437755585</v>
      </c>
      <c r="F237" s="4">
        <v>346470.52436339186</v>
      </c>
      <c r="G237" s="4">
        <v>346470.76001944626</v>
      </c>
      <c r="H237" s="5">
        <f t="shared" si="1"/>
        <v>0</v>
      </c>
      <c r="I237" t="s">
        <v>35</v>
      </c>
      <c r="J237" t="s">
        <v>154</v>
      </c>
      <c r="K237" s="5">
        <f>80 / 86400</f>
        <v>9.2592592592592596E-4</v>
      </c>
      <c r="L237" s="5">
        <f>20 / 86400</f>
        <v>2.3148148148148149E-4</v>
      </c>
    </row>
    <row r="238" spans="1:12" x14ac:dyDescent="0.25">
      <c r="A238" s="3">
        <v>45693.288460648153</v>
      </c>
      <c r="B238" t="s">
        <v>227</v>
      </c>
      <c r="C238" s="3">
        <v>45693.289155092592</v>
      </c>
      <c r="D238" t="s">
        <v>228</v>
      </c>
      <c r="E238" s="4">
        <v>0.33699880814552308</v>
      </c>
      <c r="F238" s="4">
        <v>346470.81041668245</v>
      </c>
      <c r="G238" s="4">
        <v>346471.14741549059</v>
      </c>
      <c r="H238" s="5">
        <f t="shared" si="1"/>
        <v>0</v>
      </c>
      <c r="I238" t="s">
        <v>229</v>
      </c>
      <c r="J238" t="s">
        <v>128</v>
      </c>
      <c r="K238" s="5">
        <f>60 / 86400</f>
        <v>6.9444444444444447E-4</v>
      </c>
      <c r="L238" s="5">
        <f>32 / 86400</f>
        <v>3.7037037037037035E-4</v>
      </c>
    </row>
    <row r="239" spans="1:12" x14ac:dyDescent="0.25">
      <c r="A239" s="3">
        <v>45693.289525462962</v>
      </c>
      <c r="B239" t="s">
        <v>228</v>
      </c>
      <c r="C239" s="3">
        <v>45693.290150462963</v>
      </c>
      <c r="D239" t="s">
        <v>230</v>
      </c>
      <c r="E239" s="4">
        <v>0.29289474207162858</v>
      </c>
      <c r="F239" s="4">
        <v>346471.1530207491</v>
      </c>
      <c r="G239" s="4">
        <v>346471.44591549115</v>
      </c>
      <c r="H239" s="5">
        <f t="shared" si="1"/>
        <v>0</v>
      </c>
      <c r="I239" t="s">
        <v>231</v>
      </c>
      <c r="J239" t="s">
        <v>128</v>
      </c>
      <c r="K239" s="5">
        <f>54 / 86400</f>
        <v>6.2500000000000001E-4</v>
      </c>
      <c r="L239" s="5">
        <f>60 / 86400</f>
        <v>6.9444444444444447E-4</v>
      </c>
    </row>
    <row r="240" spans="1:12" x14ac:dyDescent="0.25">
      <c r="A240" s="3">
        <v>45693.290844907402</v>
      </c>
      <c r="B240" t="s">
        <v>232</v>
      </c>
      <c r="C240" s="3">
        <v>45693.291307870371</v>
      </c>
      <c r="D240" t="s">
        <v>233</v>
      </c>
      <c r="E240" s="4">
        <v>0.18184920901060103</v>
      </c>
      <c r="F240" s="4">
        <v>346471.55187531922</v>
      </c>
      <c r="G240" s="4">
        <v>346471.73372452823</v>
      </c>
      <c r="H240" s="5">
        <f t="shared" si="1"/>
        <v>0</v>
      </c>
      <c r="I240" t="s">
        <v>234</v>
      </c>
      <c r="J240" t="s">
        <v>31</v>
      </c>
      <c r="K240" s="5">
        <f>40 / 86400</f>
        <v>4.6296296296296298E-4</v>
      </c>
      <c r="L240" s="5">
        <f>20 / 86400</f>
        <v>2.3148148148148149E-4</v>
      </c>
    </row>
    <row r="241" spans="1:12" x14ac:dyDescent="0.25">
      <c r="A241" s="3">
        <v>45693.291539351849</v>
      </c>
      <c r="B241" t="s">
        <v>233</v>
      </c>
      <c r="C241" s="3">
        <v>45693.292349537034</v>
      </c>
      <c r="D241" t="s">
        <v>235</v>
      </c>
      <c r="E241" s="4">
        <v>0.28607932460308078</v>
      </c>
      <c r="F241" s="4">
        <v>346471.73697797291</v>
      </c>
      <c r="G241" s="4">
        <v>346472.02305729751</v>
      </c>
      <c r="H241" s="5">
        <f t="shared" si="1"/>
        <v>0</v>
      </c>
      <c r="I241" t="s">
        <v>24</v>
      </c>
      <c r="J241" t="s">
        <v>35</v>
      </c>
      <c r="K241" s="5">
        <f>70 / 86400</f>
        <v>8.1018518518518516E-4</v>
      </c>
      <c r="L241" s="5">
        <f>40 / 86400</f>
        <v>4.6296296296296298E-4</v>
      </c>
    </row>
    <row r="242" spans="1:12" x14ac:dyDescent="0.25">
      <c r="A242" s="3">
        <v>45693.292812500003</v>
      </c>
      <c r="B242" t="s">
        <v>236</v>
      </c>
      <c r="C242" s="3">
        <v>45693.293530092589</v>
      </c>
      <c r="D242" t="s">
        <v>209</v>
      </c>
      <c r="E242" s="4">
        <v>0.29114019083976744</v>
      </c>
      <c r="F242" s="4">
        <v>346472.07918581809</v>
      </c>
      <c r="G242" s="4">
        <v>346472.37032600894</v>
      </c>
      <c r="H242" s="5">
        <f t="shared" si="1"/>
        <v>0</v>
      </c>
      <c r="I242" t="s">
        <v>150</v>
      </c>
      <c r="J242" t="s">
        <v>28</v>
      </c>
      <c r="K242" s="5">
        <f>62 / 86400</f>
        <v>7.1759259259259259E-4</v>
      </c>
      <c r="L242" s="5">
        <f>7 / 86400</f>
        <v>8.1018518518518516E-5</v>
      </c>
    </row>
    <row r="243" spans="1:12" x14ac:dyDescent="0.25">
      <c r="A243" s="3">
        <v>45693.293611111112</v>
      </c>
      <c r="B243" t="s">
        <v>209</v>
      </c>
      <c r="C243" s="3">
        <v>45693.294305555552</v>
      </c>
      <c r="D243" t="s">
        <v>237</v>
      </c>
      <c r="E243" s="4">
        <v>2.2119854152202606E-2</v>
      </c>
      <c r="F243" s="4">
        <v>346472.37972812809</v>
      </c>
      <c r="G243" s="4">
        <v>346472.40184798226</v>
      </c>
      <c r="H243" s="5">
        <f t="shared" si="1"/>
        <v>0</v>
      </c>
      <c r="I243" t="s">
        <v>154</v>
      </c>
      <c r="J243" t="s">
        <v>116</v>
      </c>
      <c r="K243" s="5">
        <f>60 / 86400</f>
        <v>6.9444444444444447E-4</v>
      </c>
      <c r="L243" s="5">
        <f>17 / 86400</f>
        <v>1.9675925925925926E-4</v>
      </c>
    </row>
    <row r="244" spans="1:12" x14ac:dyDescent="0.25">
      <c r="A244" s="3">
        <v>45693.294502314813</v>
      </c>
      <c r="B244" t="s">
        <v>237</v>
      </c>
      <c r="C244" s="3">
        <v>45693.296620370369</v>
      </c>
      <c r="D244" t="s">
        <v>238</v>
      </c>
      <c r="E244" s="4">
        <v>1.5322443029880524</v>
      </c>
      <c r="F244" s="4">
        <v>346472.40693253325</v>
      </c>
      <c r="G244" s="4">
        <v>346473.93917683623</v>
      </c>
      <c r="H244" s="5">
        <f t="shared" si="1"/>
        <v>0</v>
      </c>
      <c r="I244" t="s">
        <v>239</v>
      </c>
      <c r="J244" t="s">
        <v>85</v>
      </c>
      <c r="K244" s="5">
        <f>183 / 86400</f>
        <v>2.1180555555555558E-3</v>
      </c>
      <c r="L244" s="5">
        <f>20 / 86400</f>
        <v>2.3148148148148149E-4</v>
      </c>
    </row>
    <row r="245" spans="1:12" x14ac:dyDescent="0.25">
      <c r="A245" s="3">
        <v>45693.296851851846</v>
      </c>
      <c r="B245" t="s">
        <v>240</v>
      </c>
      <c r="C245" s="3">
        <v>45693.298935185187</v>
      </c>
      <c r="D245" t="s">
        <v>200</v>
      </c>
      <c r="E245" s="4">
        <v>1.2226982842683791</v>
      </c>
      <c r="F245" s="4">
        <v>346473.96084915317</v>
      </c>
      <c r="G245" s="4">
        <v>346475.18354743742</v>
      </c>
      <c r="H245" s="5">
        <f t="shared" si="1"/>
        <v>0</v>
      </c>
      <c r="I245" t="s">
        <v>181</v>
      </c>
      <c r="J245" t="s">
        <v>156</v>
      </c>
      <c r="K245" s="5">
        <f>180 / 86400</f>
        <v>2.0833333333333333E-3</v>
      </c>
      <c r="L245" s="5">
        <f>120 / 86400</f>
        <v>1.3888888888888889E-3</v>
      </c>
    </row>
    <row r="246" spans="1:12" x14ac:dyDescent="0.25">
      <c r="A246" s="3">
        <v>45693.300324074073</v>
      </c>
      <c r="B246" t="s">
        <v>241</v>
      </c>
      <c r="C246" s="3">
        <v>45693.301250000004</v>
      </c>
      <c r="D246" t="s">
        <v>242</v>
      </c>
      <c r="E246" s="4">
        <v>0.15737267935276031</v>
      </c>
      <c r="F246" s="4">
        <v>346475.27176673053</v>
      </c>
      <c r="G246" s="4">
        <v>346475.42913940991</v>
      </c>
      <c r="H246" s="5">
        <f t="shared" si="1"/>
        <v>0</v>
      </c>
      <c r="I246" t="s">
        <v>172</v>
      </c>
      <c r="J246" t="s">
        <v>132</v>
      </c>
      <c r="K246" s="5">
        <f>80 / 86400</f>
        <v>9.2592592592592596E-4</v>
      </c>
      <c r="L246" s="5">
        <f>20 / 86400</f>
        <v>2.3148148148148149E-4</v>
      </c>
    </row>
    <row r="247" spans="1:12" x14ac:dyDescent="0.25">
      <c r="A247" s="3">
        <v>45693.301481481481</v>
      </c>
      <c r="B247" t="s">
        <v>243</v>
      </c>
      <c r="C247" s="3">
        <v>45693.304594907408</v>
      </c>
      <c r="D247" t="s">
        <v>244</v>
      </c>
      <c r="E247" s="4">
        <v>0.81488152831792826</v>
      </c>
      <c r="F247" s="4">
        <v>346475.43735812686</v>
      </c>
      <c r="G247" s="4">
        <v>346476.25223965518</v>
      </c>
      <c r="H247" s="5">
        <f t="shared" si="1"/>
        <v>0</v>
      </c>
      <c r="I247" t="s">
        <v>136</v>
      </c>
      <c r="J247" t="s">
        <v>154</v>
      </c>
      <c r="K247" s="5">
        <f>269 / 86400</f>
        <v>3.1134259259259257E-3</v>
      </c>
      <c r="L247" s="5">
        <f>20 / 86400</f>
        <v>2.3148148148148149E-4</v>
      </c>
    </row>
    <row r="248" spans="1:12" x14ac:dyDescent="0.25">
      <c r="A248" s="3">
        <v>45693.304826388892</v>
      </c>
      <c r="B248" t="s">
        <v>244</v>
      </c>
      <c r="C248" s="3">
        <v>45693.305520833332</v>
      </c>
      <c r="D248" t="s">
        <v>245</v>
      </c>
      <c r="E248" s="4">
        <v>6.6570595324039458E-2</v>
      </c>
      <c r="F248" s="4">
        <v>346476.25466620363</v>
      </c>
      <c r="G248" s="4">
        <v>346476.32123679895</v>
      </c>
      <c r="H248" s="5">
        <f t="shared" si="1"/>
        <v>0</v>
      </c>
      <c r="I248" t="s">
        <v>154</v>
      </c>
      <c r="J248" t="s">
        <v>86</v>
      </c>
      <c r="K248" s="5">
        <f>60 / 86400</f>
        <v>6.9444444444444447E-4</v>
      </c>
      <c r="L248" s="5">
        <f>11 / 86400</f>
        <v>1.273148148148148E-4</v>
      </c>
    </row>
    <row r="249" spans="1:12" x14ac:dyDescent="0.25">
      <c r="A249" s="3">
        <v>45693.305648148147</v>
      </c>
      <c r="B249" t="s">
        <v>245</v>
      </c>
      <c r="C249" s="3">
        <v>45693.307615740741</v>
      </c>
      <c r="D249" t="s">
        <v>246</v>
      </c>
      <c r="E249" s="4">
        <v>0.54274775284528731</v>
      </c>
      <c r="F249" s="4">
        <v>346476.33319917362</v>
      </c>
      <c r="G249" s="4">
        <v>346476.87594692648</v>
      </c>
      <c r="H249" s="5">
        <f t="shared" si="1"/>
        <v>0</v>
      </c>
      <c r="I249" t="s">
        <v>172</v>
      </c>
      <c r="J249" t="s">
        <v>154</v>
      </c>
      <c r="K249" s="5">
        <f>170 / 86400</f>
        <v>1.9675925925925924E-3</v>
      </c>
      <c r="L249" s="5">
        <f>40 / 86400</f>
        <v>4.6296296296296298E-4</v>
      </c>
    </row>
    <row r="250" spans="1:12" x14ac:dyDescent="0.25">
      <c r="A250" s="3">
        <v>45693.308078703703</v>
      </c>
      <c r="B250" t="s">
        <v>246</v>
      </c>
      <c r="C250" s="3">
        <v>45693.310115740736</v>
      </c>
      <c r="D250" t="s">
        <v>247</v>
      </c>
      <c r="E250" s="4">
        <v>0.48050690567493437</v>
      </c>
      <c r="F250" s="4">
        <v>346476.88813779282</v>
      </c>
      <c r="G250" s="4">
        <v>346477.36864469852</v>
      </c>
      <c r="H250" s="5">
        <f t="shared" si="1"/>
        <v>0</v>
      </c>
      <c r="I250" t="s">
        <v>128</v>
      </c>
      <c r="J250" t="s">
        <v>20</v>
      </c>
      <c r="K250" s="5">
        <f>176 / 86400</f>
        <v>2.0370370370370369E-3</v>
      </c>
      <c r="L250" s="5">
        <f>18 / 86400</f>
        <v>2.0833333333333335E-4</v>
      </c>
    </row>
    <row r="251" spans="1:12" x14ac:dyDescent="0.25">
      <c r="A251" s="3">
        <v>45693.310324074075</v>
      </c>
      <c r="B251" t="s">
        <v>247</v>
      </c>
      <c r="C251" s="3">
        <v>45693.311527777776</v>
      </c>
      <c r="D251" t="s">
        <v>248</v>
      </c>
      <c r="E251" s="4">
        <v>0.58015706694126135</v>
      </c>
      <c r="F251" s="4">
        <v>346477.38824453217</v>
      </c>
      <c r="G251" s="4">
        <v>346477.96840159909</v>
      </c>
      <c r="H251" s="5">
        <f t="shared" si="1"/>
        <v>0</v>
      </c>
      <c r="I251" t="s">
        <v>167</v>
      </c>
      <c r="J251" t="s">
        <v>128</v>
      </c>
      <c r="K251" s="5">
        <f>104 / 86400</f>
        <v>1.2037037037037038E-3</v>
      </c>
      <c r="L251" s="5">
        <f>60 / 86400</f>
        <v>6.9444444444444447E-4</v>
      </c>
    </row>
    <row r="252" spans="1:12" x14ac:dyDescent="0.25">
      <c r="A252" s="3">
        <v>45693.312222222223</v>
      </c>
      <c r="B252" t="s">
        <v>248</v>
      </c>
      <c r="C252" s="3">
        <v>45693.314016203702</v>
      </c>
      <c r="D252" t="s">
        <v>249</v>
      </c>
      <c r="E252" s="4">
        <v>1.1728490365743638</v>
      </c>
      <c r="F252" s="4">
        <v>346477.97615858202</v>
      </c>
      <c r="G252" s="4">
        <v>346479.1490076186</v>
      </c>
      <c r="H252" s="5">
        <f t="shared" si="1"/>
        <v>0</v>
      </c>
      <c r="I252" t="s">
        <v>145</v>
      </c>
      <c r="J252" t="s">
        <v>212</v>
      </c>
      <c r="K252" s="5">
        <f>155 / 86400</f>
        <v>1.7939814814814815E-3</v>
      </c>
      <c r="L252" s="5">
        <f>20 / 86400</f>
        <v>2.3148148148148149E-4</v>
      </c>
    </row>
    <row r="253" spans="1:12" x14ac:dyDescent="0.25">
      <c r="A253" s="3">
        <v>45693.314247685186</v>
      </c>
      <c r="B253" t="s">
        <v>249</v>
      </c>
      <c r="C253" s="3">
        <v>45693.316331018519</v>
      </c>
      <c r="D253" t="s">
        <v>250</v>
      </c>
      <c r="E253" s="4">
        <v>1.2473902092576028</v>
      </c>
      <c r="F253" s="4">
        <v>346479.18299288105</v>
      </c>
      <c r="G253" s="4">
        <v>346480.43038309034</v>
      </c>
      <c r="H253" s="5">
        <f t="shared" si="1"/>
        <v>0</v>
      </c>
      <c r="I253" t="s">
        <v>131</v>
      </c>
      <c r="J253" t="s">
        <v>153</v>
      </c>
      <c r="K253" s="5">
        <f>180 / 86400</f>
        <v>2.0833333333333333E-3</v>
      </c>
      <c r="L253" s="5">
        <f>60 / 86400</f>
        <v>6.9444444444444447E-4</v>
      </c>
    </row>
    <row r="254" spans="1:12" x14ac:dyDescent="0.25">
      <c r="A254" s="3">
        <v>45693.317025462966</v>
      </c>
      <c r="B254" t="s">
        <v>251</v>
      </c>
      <c r="C254" s="3">
        <v>45693.317905092597</v>
      </c>
      <c r="D254" t="s">
        <v>252</v>
      </c>
      <c r="E254" s="4">
        <v>0.50228447502851481</v>
      </c>
      <c r="F254" s="4">
        <v>346480.47507430712</v>
      </c>
      <c r="G254" s="4">
        <v>346480.9773587822</v>
      </c>
      <c r="H254" s="5">
        <f t="shared" ref="H254:H317" si="2">0 / 86400</f>
        <v>0</v>
      </c>
      <c r="I254" t="s">
        <v>181</v>
      </c>
      <c r="J254" t="s">
        <v>156</v>
      </c>
      <c r="K254" s="5">
        <f>76 / 86400</f>
        <v>8.7962962962962962E-4</v>
      </c>
      <c r="L254" s="5">
        <f>24 / 86400</f>
        <v>2.7777777777777778E-4</v>
      </c>
    </row>
    <row r="255" spans="1:12" x14ac:dyDescent="0.25">
      <c r="A255" s="3">
        <v>45693.318182870367</v>
      </c>
      <c r="B255" t="s">
        <v>252</v>
      </c>
      <c r="C255" s="3">
        <v>45693.319571759261</v>
      </c>
      <c r="D255" t="s">
        <v>122</v>
      </c>
      <c r="E255" s="4">
        <v>0.69948672032356263</v>
      </c>
      <c r="F255" s="4">
        <v>346480.99841164041</v>
      </c>
      <c r="G255" s="4">
        <v>346481.69789836073</v>
      </c>
      <c r="H255" s="5">
        <f t="shared" si="2"/>
        <v>0</v>
      </c>
      <c r="I255" t="s">
        <v>170</v>
      </c>
      <c r="J255" t="s">
        <v>136</v>
      </c>
      <c r="K255" s="5">
        <f>120 / 86400</f>
        <v>1.3888888888888889E-3</v>
      </c>
      <c r="L255" s="5">
        <f>28 / 86400</f>
        <v>3.2407407407407406E-4</v>
      </c>
    </row>
    <row r="256" spans="1:12" x14ac:dyDescent="0.25">
      <c r="A256" s="3">
        <v>45693.319895833338</v>
      </c>
      <c r="B256" t="s">
        <v>122</v>
      </c>
      <c r="C256" s="3">
        <v>45693.323437500003</v>
      </c>
      <c r="D256" t="s">
        <v>253</v>
      </c>
      <c r="E256" s="4">
        <v>2.0840938280820849</v>
      </c>
      <c r="F256" s="4">
        <v>346481.70533443626</v>
      </c>
      <c r="G256" s="4">
        <v>346483.78942826431</v>
      </c>
      <c r="H256" s="5">
        <f t="shared" si="2"/>
        <v>0</v>
      </c>
      <c r="I256" t="s">
        <v>204</v>
      </c>
      <c r="J256" t="s">
        <v>153</v>
      </c>
      <c r="K256" s="5">
        <f>306 / 86400</f>
        <v>3.5416666666666665E-3</v>
      </c>
      <c r="L256" s="5">
        <f>13 / 86400</f>
        <v>1.5046296296296297E-4</v>
      </c>
    </row>
    <row r="257" spans="1:12" x14ac:dyDescent="0.25">
      <c r="A257" s="3">
        <v>45693.323587962965</v>
      </c>
      <c r="B257" t="s">
        <v>253</v>
      </c>
      <c r="C257" s="3">
        <v>45693.324282407411</v>
      </c>
      <c r="D257" t="s">
        <v>253</v>
      </c>
      <c r="E257" s="4">
        <v>0.41993559843301775</v>
      </c>
      <c r="F257" s="4">
        <v>346483.79426238919</v>
      </c>
      <c r="G257" s="4">
        <v>346484.21419798763</v>
      </c>
      <c r="H257" s="5">
        <f t="shared" si="2"/>
        <v>0</v>
      </c>
      <c r="I257" t="s">
        <v>167</v>
      </c>
      <c r="J257" t="s">
        <v>153</v>
      </c>
      <c r="K257" s="5">
        <f>60 / 86400</f>
        <v>6.9444444444444447E-4</v>
      </c>
      <c r="L257" s="5">
        <f>40 / 86400</f>
        <v>4.6296296296296298E-4</v>
      </c>
    </row>
    <row r="258" spans="1:12" x14ac:dyDescent="0.25">
      <c r="A258" s="3">
        <v>45693.324745370366</v>
      </c>
      <c r="B258" t="s">
        <v>253</v>
      </c>
      <c r="C258" s="3">
        <v>45693.325208333335</v>
      </c>
      <c r="D258" t="s">
        <v>254</v>
      </c>
      <c r="E258" s="4">
        <v>0.34245102322101595</v>
      </c>
      <c r="F258" s="4">
        <v>346484.27838436858</v>
      </c>
      <c r="G258" s="4">
        <v>346484.6208353918</v>
      </c>
      <c r="H258" s="5">
        <f t="shared" si="2"/>
        <v>0</v>
      </c>
      <c r="I258" t="s">
        <v>143</v>
      </c>
      <c r="J258" t="s">
        <v>159</v>
      </c>
      <c r="K258" s="5">
        <f>40 / 86400</f>
        <v>4.6296296296296298E-4</v>
      </c>
      <c r="L258" s="5">
        <f>40 / 86400</f>
        <v>4.6296296296296298E-4</v>
      </c>
    </row>
    <row r="259" spans="1:12" x14ac:dyDescent="0.25">
      <c r="A259" s="3">
        <v>45693.325671296298</v>
      </c>
      <c r="B259" t="s">
        <v>255</v>
      </c>
      <c r="C259" s="3">
        <v>45693.326828703706</v>
      </c>
      <c r="D259" t="s">
        <v>166</v>
      </c>
      <c r="E259" s="4">
        <v>1.0840852850675582</v>
      </c>
      <c r="F259" s="4">
        <v>346484.63766492571</v>
      </c>
      <c r="G259" s="4">
        <v>346485.72175021074</v>
      </c>
      <c r="H259" s="5">
        <f t="shared" si="2"/>
        <v>0</v>
      </c>
      <c r="I259" t="s">
        <v>105</v>
      </c>
      <c r="J259" t="s">
        <v>170</v>
      </c>
      <c r="K259" s="5">
        <f>100 / 86400</f>
        <v>1.1574074074074073E-3</v>
      </c>
      <c r="L259" s="5">
        <f>20 / 86400</f>
        <v>2.3148148148148149E-4</v>
      </c>
    </row>
    <row r="260" spans="1:12" x14ac:dyDescent="0.25">
      <c r="A260" s="3">
        <v>45693.327060185184</v>
      </c>
      <c r="B260" t="s">
        <v>166</v>
      </c>
      <c r="C260" s="3">
        <v>45693.329606481479</v>
      </c>
      <c r="D260" t="s">
        <v>256</v>
      </c>
      <c r="E260" s="4">
        <v>1.7927747589349747</v>
      </c>
      <c r="F260" s="4">
        <v>346485.88272142707</v>
      </c>
      <c r="G260" s="4">
        <v>346487.67549618601</v>
      </c>
      <c r="H260" s="5">
        <f t="shared" si="2"/>
        <v>0</v>
      </c>
      <c r="I260" t="s">
        <v>54</v>
      </c>
      <c r="J260" t="s">
        <v>195</v>
      </c>
      <c r="K260" s="5">
        <f>220 / 86400</f>
        <v>2.5462962962962965E-3</v>
      </c>
      <c r="L260" s="5">
        <f>20 / 86400</f>
        <v>2.3148148148148149E-4</v>
      </c>
    </row>
    <row r="261" spans="1:12" x14ac:dyDescent="0.25">
      <c r="A261" s="3">
        <v>45693.329837962963</v>
      </c>
      <c r="B261" t="s">
        <v>257</v>
      </c>
      <c r="C261" s="3">
        <v>45693.330532407403</v>
      </c>
      <c r="D261" t="s">
        <v>257</v>
      </c>
      <c r="E261" s="4">
        <v>2.8395646452903746E-2</v>
      </c>
      <c r="F261" s="4">
        <v>346487.70770742954</v>
      </c>
      <c r="G261" s="4">
        <v>346487.73610307596</v>
      </c>
      <c r="H261" s="5">
        <f t="shared" si="2"/>
        <v>0</v>
      </c>
      <c r="I261" t="s">
        <v>59</v>
      </c>
      <c r="J261" t="s">
        <v>126</v>
      </c>
      <c r="K261" s="5">
        <f>60 / 86400</f>
        <v>6.9444444444444447E-4</v>
      </c>
      <c r="L261" s="5">
        <f>20 / 86400</f>
        <v>2.3148148148148149E-4</v>
      </c>
    </row>
    <row r="262" spans="1:12" x14ac:dyDescent="0.25">
      <c r="A262" s="3">
        <v>45693.330763888887</v>
      </c>
      <c r="B262" t="s">
        <v>258</v>
      </c>
      <c r="C262" s="3">
        <v>45693.332615740743</v>
      </c>
      <c r="D262" t="s">
        <v>259</v>
      </c>
      <c r="E262" s="4">
        <v>0.58086860167980192</v>
      </c>
      <c r="F262" s="4">
        <v>346487.76809521904</v>
      </c>
      <c r="G262" s="4">
        <v>346488.34896382072</v>
      </c>
      <c r="H262" s="5">
        <f t="shared" si="2"/>
        <v>0</v>
      </c>
      <c r="I262" t="s">
        <v>231</v>
      </c>
      <c r="J262" t="s">
        <v>55</v>
      </c>
      <c r="K262" s="5">
        <f>160 / 86400</f>
        <v>1.8518518518518519E-3</v>
      </c>
      <c r="L262" s="5">
        <f>40 / 86400</f>
        <v>4.6296296296296298E-4</v>
      </c>
    </row>
    <row r="263" spans="1:12" x14ac:dyDescent="0.25">
      <c r="A263" s="3">
        <v>45693.333078703705</v>
      </c>
      <c r="B263" t="s">
        <v>166</v>
      </c>
      <c r="C263" s="3">
        <v>45693.335150462968</v>
      </c>
      <c r="D263" t="s">
        <v>151</v>
      </c>
      <c r="E263" s="4">
        <v>0.78103761172294617</v>
      </c>
      <c r="F263" s="4">
        <v>346488.51270125085</v>
      </c>
      <c r="G263" s="4">
        <v>346489.29373886256</v>
      </c>
      <c r="H263" s="5">
        <f t="shared" si="2"/>
        <v>0</v>
      </c>
      <c r="I263" t="s">
        <v>204</v>
      </c>
      <c r="J263" t="s">
        <v>31</v>
      </c>
      <c r="K263" s="5">
        <f>179 / 86400</f>
        <v>2.0717592592592593E-3</v>
      </c>
      <c r="L263" s="5">
        <f>40 / 86400</f>
        <v>4.6296296296296298E-4</v>
      </c>
    </row>
    <row r="264" spans="1:12" x14ac:dyDescent="0.25">
      <c r="A264" s="3">
        <v>45693.335613425923</v>
      </c>
      <c r="B264" t="s">
        <v>151</v>
      </c>
      <c r="C264" s="3">
        <v>45693.33630787037</v>
      </c>
      <c r="D264" t="s">
        <v>151</v>
      </c>
      <c r="E264" s="4">
        <v>0.10411620795726777</v>
      </c>
      <c r="F264" s="4">
        <v>346489.36321602593</v>
      </c>
      <c r="G264" s="4">
        <v>346489.46733223391</v>
      </c>
      <c r="H264" s="5">
        <f t="shared" si="2"/>
        <v>0</v>
      </c>
      <c r="I264" t="s">
        <v>37</v>
      </c>
      <c r="J264" t="s">
        <v>260</v>
      </c>
      <c r="K264" s="5">
        <f>60 / 86400</f>
        <v>6.9444444444444447E-4</v>
      </c>
      <c r="L264" s="5">
        <f>60 / 86400</f>
        <v>6.9444444444444447E-4</v>
      </c>
    </row>
    <row r="265" spans="1:12" x14ac:dyDescent="0.25">
      <c r="A265" s="3">
        <v>45693.337002314816</v>
      </c>
      <c r="B265" t="s">
        <v>151</v>
      </c>
      <c r="C265" s="3">
        <v>45693.337465277778</v>
      </c>
      <c r="D265" t="s">
        <v>151</v>
      </c>
      <c r="E265" s="4">
        <v>0.18844676566123963</v>
      </c>
      <c r="F265" s="4">
        <v>346489.49576951365</v>
      </c>
      <c r="G265" s="4">
        <v>346489.6842162793</v>
      </c>
      <c r="H265" s="5">
        <f t="shared" si="2"/>
        <v>0</v>
      </c>
      <c r="I265" t="s">
        <v>39</v>
      </c>
      <c r="J265" t="s">
        <v>28</v>
      </c>
      <c r="K265" s="5">
        <f>40 / 86400</f>
        <v>4.6296296296296298E-4</v>
      </c>
      <c r="L265" s="5">
        <f>20 / 86400</f>
        <v>2.3148148148148149E-4</v>
      </c>
    </row>
    <row r="266" spans="1:12" x14ac:dyDescent="0.25">
      <c r="A266" s="3">
        <v>45693.337696759263</v>
      </c>
      <c r="B266" t="s">
        <v>151</v>
      </c>
      <c r="C266" s="3">
        <v>45693.338391203702</v>
      </c>
      <c r="D266" t="s">
        <v>151</v>
      </c>
      <c r="E266" s="4">
        <v>0.42701553761959077</v>
      </c>
      <c r="F266" s="4">
        <v>346489.69854426844</v>
      </c>
      <c r="G266" s="4">
        <v>346490.12555980607</v>
      </c>
      <c r="H266" s="5">
        <f t="shared" si="2"/>
        <v>0</v>
      </c>
      <c r="I266" t="s">
        <v>219</v>
      </c>
      <c r="J266" t="s">
        <v>172</v>
      </c>
      <c r="K266" s="5">
        <f>60 / 86400</f>
        <v>6.9444444444444447E-4</v>
      </c>
      <c r="L266" s="5">
        <f>20 / 86400</f>
        <v>2.3148148148148149E-4</v>
      </c>
    </row>
    <row r="267" spans="1:12" x14ac:dyDescent="0.25">
      <c r="A267" s="3">
        <v>45693.338622685187</v>
      </c>
      <c r="B267" t="s">
        <v>151</v>
      </c>
      <c r="C267" s="3">
        <v>45693.339965277773</v>
      </c>
      <c r="D267" t="s">
        <v>151</v>
      </c>
      <c r="E267" s="4">
        <v>0.21400702571868896</v>
      </c>
      <c r="F267" s="4">
        <v>346490.23224128818</v>
      </c>
      <c r="G267" s="4">
        <v>346490.44624831388</v>
      </c>
      <c r="H267" s="5">
        <f t="shared" si="2"/>
        <v>0</v>
      </c>
      <c r="I267" t="s">
        <v>128</v>
      </c>
      <c r="J267" t="s">
        <v>132</v>
      </c>
      <c r="K267" s="5">
        <f>116 / 86400</f>
        <v>1.3425925925925925E-3</v>
      </c>
      <c r="L267" s="5">
        <f>7 / 86400</f>
        <v>8.1018518518518516E-5</v>
      </c>
    </row>
    <row r="268" spans="1:12" x14ac:dyDescent="0.25">
      <c r="A268" s="3">
        <v>45693.340046296296</v>
      </c>
      <c r="B268" t="s">
        <v>151</v>
      </c>
      <c r="C268" s="3">
        <v>45693.342361111107</v>
      </c>
      <c r="D268" t="s">
        <v>158</v>
      </c>
      <c r="E268" s="4">
        <v>1.7259473503232001</v>
      </c>
      <c r="F268" s="4">
        <v>346490.45113378402</v>
      </c>
      <c r="G268" s="4">
        <v>346492.17708113434</v>
      </c>
      <c r="H268" s="5">
        <f t="shared" si="2"/>
        <v>0</v>
      </c>
      <c r="I268" t="s">
        <v>181</v>
      </c>
      <c r="J268" t="s">
        <v>159</v>
      </c>
      <c r="K268" s="5">
        <f>200 / 86400</f>
        <v>2.3148148148148147E-3</v>
      </c>
      <c r="L268" s="5">
        <f>20 / 86400</f>
        <v>2.3148148148148149E-4</v>
      </c>
    </row>
    <row r="269" spans="1:12" x14ac:dyDescent="0.25">
      <c r="A269" s="3">
        <v>45693.342592592591</v>
      </c>
      <c r="B269" t="s">
        <v>158</v>
      </c>
      <c r="C269" s="3">
        <v>45693.350787037038</v>
      </c>
      <c r="D269" t="s">
        <v>110</v>
      </c>
      <c r="E269" s="4">
        <v>5.3265979726314541</v>
      </c>
      <c r="F269" s="4">
        <v>346492.23528182268</v>
      </c>
      <c r="G269" s="4">
        <v>346497.56187979534</v>
      </c>
      <c r="H269" s="5">
        <f t="shared" si="2"/>
        <v>0</v>
      </c>
      <c r="I269" t="s">
        <v>261</v>
      </c>
      <c r="J269" t="s">
        <v>212</v>
      </c>
      <c r="K269" s="5">
        <f>708 / 86400</f>
        <v>8.1944444444444452E-3</v>
      </c>
      <c r="L269" s="5">
        <f>80 / 86400</f>
        <v>9.2592592592592596E-4</v>
      </c>
    </row>
    <row r="270" spans="1:12" x14ac:dyDescent="0.25">
      <c r="A270" s="3">
        <v>45693.351712962962</v>
      </c>
      <c r="B270" t="s">
        <v>168</v>
      </c>
      <c r="C270" s="3">
        <v>45693.351944444439</v>
      </c>
      <c r="D270" t="s">
        <v>168</v>
      </c>
      <c r="E270" s="4">
        <v>6.8253954052925111E-3</v>
      </c>
      <c r="F270" s="4">
        <v>346497.59294924216</v>
      </c>
      <c r="G270" s="4">
        <v>346497.59977463761</v>
      </c>
      <c r="H270" s="5">
        <f t="shared" si="2"/>
        <v>0</v>
      </c>
      <c r="I270" t="s">
        <v>116</v>
      </c>
      <c r="J270" t="s">
        <v>116</v>
      </c>
      <c r="K270" s="5">
        <f>20 / 86400</f>
        <v>2.3148148148148149E-4</v>
      </c>
      <c r="L270" s="5">
        <f>85 / 86400</f>
        <v>9.837962962962962E-4</v>
      </c>
    </row>
    <row r="271" spans="1:12" x14ac:dyDescent="0.25">
      <c r="A271" s="3">
        <v>45693.35292824074</v>
      </c>
      <c r="B271" t="s">
        <v>168</v>
      </c>
      <c r="C271" s="3">
        <v>45693.355474537035</v>
      </c>
      <c r="D271" t="s">
        <v>130</v>
      </c>
      <c r="E271" s="4">
        <v>1.7134123874306679</v>
      </c>
      <c r="F271" s="4">
        <v>346497.66503889428</v>
      </c>
      <c r="G271" s="4">
        <v>346499.37845128175</v>
      </c>
      <c r="H271" s="5">
        <f t="shared" si="2"/>
        <v>0</v>
      </c>
      <c r="I271" t="s">
        <v>131</v>
      </c>
      <c r="J271" t="s">
        <v>231</v>
      </c>
      <c r="K271" s="5">
        <f>220 / 86400</f>
        <v>2.5462962962962965E-3</v>
      </c>
      <c r="L271" s="5">
        <f t="shared" ref="L271:L278" si="3">20 / 86400</f>
        <v>2.3148148148148149E-4</v>
      </c>
    </row>
    <row r="272" spans="1:12" x14ac:dyDescent="0.25">
      <c r="A272" s="3">
        <v>45693.355706018519</v>
      </c>
      <c r="B272" t="s">
        <v>130</v>
      </c>
      <c r="C272" s="3">
        <v>45693.355937500004</v>
      </c>
      <c r="D272" t="s">
        <v>262</v>
      </c>
      <c r="E272" s="4">
        <v>0.155894373357296</v>
      </c>
      <c r="F272" s="4">
        <v>346499.54191201623</v>
      </c>
      <c r="G272" s="4">
        <v>346499.69780638959</v>
      </c>
      <c r="H272" s="5">
        <f t="shared" si="2"/>
        <v>0</v>
      </c>
      <c r="I272" t="s">
        <v>204</v>
      </c>
      <c r="J272" t="s">
        <v>231</v>
      </c>
      <c r="K272" s="5">
        <f>20 / 86400</f>
        <v>2.3148148148148149E-4</v>
      </c>
      <c r="L272" s="5">
        <f t="shared" si="3"/>
        <v>2.3148148148148149E-4</v>
      </c>
    </row>
    <row r="273" spans="1:12" x14ac:dyDescent="0.25">
      <c r="A273" s="3">
        <v>45693.356168981481</v>
      </c>
      <c r="B273" t="s">
        <v>262</v>
      </c>
      <c r="C273" s="3">
        <v>45693.356631944444</v>
      </c>
      <c r="D273" t="s">
        <v>130</v>
      </c>
      <c r="E273" s="4">
        <v>0.23715515649318694</v>
      </c>
      <c r="F273" s="4">
        <v>346499.82941774267</v>
      </c>
      <c r="G273" s="4">
        <v>346500.06657289917</v>
      </c>
      <c r="H273" s="5">
        <f t="shared" si="2"/>
        <v>0</v>
      </c>
      <c r="I273" t="s">
        <v>167</v>
      </c>
      <c r="J273" t="s">
        <v>136</v>
      </c>
      <c r="K273" s="5">
        <f>40 / 86400</f>
        <v>4.6296296296296298E-4</v>
      </c>
      <c r="L273" s="5">
        <f t="shared" si="3"/>
        <v>2.3148148148148149E-4</v>
      </c>
    </row>
    <row r="274" spans="1:12" x14ac:dyDescent="0.25">
      <c r="A274" s="3">
        <v>45693.356863425928</v>
      </c>
      <c r="B274" t="s">
        <v>130</v>
      </c>
      <c r="C274" s="3">
        <v>45693.35732638889</v>
      </c>
      <c r="D274" t="s">
        <v>130</v>
      </c>
      <c r="E274" s="4">
        <v>3.2978321909904483E-2</v>
      </c>
      <c r="F274" s="4">
        <v>346500.0701934704</v>
      </c>
      <c r="G274" s="4">
        <v>346500.10317179235</v>
      </c>
      <c r="H274" s="5">
        <f t="shared" si="2"/>
        <v>0</v>
      </c>
      <c r="I274" t="s">
        <v>126</v>
      </c>
      <c r="J274" t="s">
        <v>149</v>
      </c>
      <c r="K274" s="5">
        <f>40 / 86400</f>
        <v>4.6296296296296298E-4</v>
      </c>
      <c r="L274" s="5">
        <f t="shared" si="3"/>
        <v>2.3148148148148149E-4</v>
      </c>
    </row>
    <row r="275" spans="1:12" x14ac:dyDescent="0.25">
      <c r="A275" s="3">
        <v>45693.357557870375</v>
      </c>
      <c r="B275" t="s">
        <v>130</v>
      </c>
      <c r="C275" s="3">
        <v>45693.357789351852</v>
      </c>
      <c r="D275" t="s">
        <v>130</v>
      </c>
      <c r="E275" s="4">
        <v>3.9904239773750306E-3</v>
      </c>
      <c r="F275" s="4">
        <v>346500.11336335953</v>
      </c>
      <c r="G275" s="4">
        <v>346500.11735378351</v>
      </c>
      <c r="H275" s="5">
        <f t="shared" si="2"/>
        <v>0</v>
      </c>
      <c r="I275" t="s">
        <v>116</v>
      </c>
      <c r="J275" t="s">
        <v>116</v>
      </c>
      <c r="K275" s="5">
        <f>20 / 86400</f>
        <v>2.3148148148148149E-4</v>
      </c>
      <c r="L275" s="5">
        <f t="shared" si="3"/>
        <v>2.3148148148148149E-4</v>
      </c>
    </row>
    <row r="276" spans="1:12" x14ac:dyDescent="0.25">
      <c r="A276" s="3">
        <v>45693.35802083333</v>
      </c>
      <c r="B276" t="s">
        <v>108</v>
      </c>
      <c r="C276" s="3">
        <v>45693.371898148151</v>
      </c>
      <c r="D276" t="s">
        <v>263</v>
      </c>
      <c r="E276" s="4">
        <v>10.101608825564384</v>
      </c>
      <c r="F276" s="4">
        <v>346500.13446849439</v>
      </c>
      <c r="G276" s="4">
        <v>346510.23607732001</v>
      </c>
      <c r="H276" s="5">
        <f t="shared" si="2"/>
        <v>0</v>
      </c>
      <c r="I276" t="s">
        <v>145</v>
      </c>
      <c r="J276" t="s">
        <v>85</v>
      </c>
      <c r="K276" s="5">
        <f>1199 / 86400</f>
        <v>1.3877314814814815E-2</v>
      </c>
      <c r="L276" s="5">
        <f t="shared" si="3"/>
        <v>2.3148148148148149E-4</v>
      </c>
    </row>
    <row r="277" spans="1:12" x14ac:dyDescent="0.25">
      <c r="A277" s="3">
        <v>45693.372129629628</v>
      </c>
      <c r="B277" t="s">
        <v>264</v>
      </c>
      <c r="C277" s="3">
        <v>45693.373055555552</v>
      </c>
      <c r="D277" t="s">
        <v>264</v>
      </c>
      <c r="E277" s="4">
        <v>0.57815375363826749</v>
      </c>
      <c r="F277" s="4">
        <v>346510.31230498804</v>
      </c>
      <c r="G277" s="4">
        <v>346510.89045874169</v>
      </c>
      <c r="H277" s="5">
        <f t="shared" si="2"/>
        <v>0</v>
      </c>
      <c r="I277" t="s">
        <v>181</v>
      </c>
      <c r="J277" t="s">
        <v>172</v>
      </c>
      <c r="K277" s="5">
        <f>80 / 86400</f>
        <v>9.2592592592592596E-4</v>
      </c>
      <c r="L277" s="5">
        <f t="shared" si="3"/>
        <v>2.3148148148148149E-4</v>
      </c>
    </row>
    <row r="278" spans="1:12" x14ac:dyDescent="0.25">
      <c r="A278" s="3">
        <v>45693.373287037037</v>
      </c>
      <c r="B278" t="s">
        <v>264</v>
      </c>
      <c r="C278" s="3">
        <v>45693.379907407405</v>
      </c>
      <c r="D278" t="s">
        <v>265</v>
      </c>
      <c r="E278" s="4">
        <v>4.1061123484969135</v>
      </c>
      <c r="F278" s="4">
        <v>346510.89468764351</v>
      </c>
      <c r="G278" s="4">
        <v>346515.00079999201</v>
      </c>
      <c r="H278" s="5">
        <f t="shared" si="2"/>
        <v>0</v>
      </c>
      <c r="I278" t="s">
        <v>181</v>
      </c>
      <c r="J278" t="s">
        <v>172</v>
      </c>
      <c r="K278" s="5">
        <f>572 / 86400</f>
        <v>6.6203703703703702E-3</v>
      </c>
      <c r="L278" s="5">
        <f t="shared" si="3"/>
        <v>2.3148148148148149E-4</v>
      </c>
    </row>
    <row r="279" spans="1:12" x14ac:dyDescent="0.25">
      <c r="A279" s="3">
        <v>45693.38013888889</v>
      </c>
      <c r="B279" t="s">
        <v>265</v>
      </c>
      <c r="C279" s="3">
        <v>45693.380601851852</v>
      </c>
      <c r="D279" t="s">
        <v>266</v>
      </c>
      <c r="E279" s="4">
        <v>0.11762336581945419</v>
      </c>
      <c r="F279" s="4">
        <v>346515.00324331067</v>
      </c>
      <c r="G279" s="4">
        <v>346515.1208666765</v>
      </c>
      <c r="H279" s="5">
        <f t="shared" si="2"/>
        <v>0</v>
      </c>
      <c r="I279" t="s">
        <v>212</v>
      </c>
      <c r="J279" t="s">
        <v>154</v>
      </c>
      <c r="K279" s="5">
        <f>40 / 86400</f>
        <v>4.6296296296296298E-4</v>
      </c>
      <c r="L279" s="5">
        <f>5 / 86400</f>
        <v>5.7870370370370373E-5</v>
      </c>
    </row>
    <row r="280" spans="1:12" x14ac:dyDescent="0.25">
      <c r="A280" s="3">
        <v>45693.380659722221</v>
      </c>
      <c r="B280" t="s">
        <v>266</v>
      </c>
      <c r="C280" s="3">
        <v>45693.38181712963</v>
      </c>
      <c r="D280" t="s">
        <v>64</v>
      </c>
      <c r="E280" s="4">
        <v>0.3663858818411827</v>
      </c>
      <c r="F280" s="4">
        <v>346515.12593316578</v>
      </c>
      <c r="G280" s="4">
        <v>346515.49231904763</v>
      </c>
      <c r="H280" s="5">
        <f t="shared" si="2"/>
        <v>0</v>
      </c>
      <c r="I280" t="s">
        <v>153</v>
      </c>
      <c r="J280" t="s">
        <v>55</v>
      </c>
      <c r="K280" s="5">
        <f>100 / 86400</f>
        <v>1.1574074074074073E-3</v>
      </c>
      <c r="L280" s="5">
        <f>40 / 86400</f>
        <v>4.6296296296296298E-4</v>
      </c>
    </row>
    <row r="281" spans="1:12" x14ac:dyDescent="0.25">
      <c r="A281" s="3">
        <v>45693.382280092592</v>
      </c>
      <c r="B281" t="s">
        <v>64</v>
      </c>
      <c r="C281" s="3">
        <v>45693.385034722218</v>
      </c>
      <c r="D281" t="s">
        <v>267</v>
      </c>
      <c r="E281" s="4">
        <v>1.354973494529724</v>
      </c>
      <c r="F281" s="4">
        <v>346515.50386197824</v>
      </c>
      <c r="G281" s="4">
        <v>346516.85883547278</v>
      </c>
      <c r="H281" s="5">
        <f t="shared" si="2"/>
        <v>0</v>
      </c>
      <c r="I281" t="s">
        <v>123</v>
      </c>
      <c r="J281" t="s">
        <v>128</v>
      </c>
      <c r="K281" s="5">
        <f>238 / 86400</f>
        <v>2.7546296296296294E-3</v>
      </c>
      <c r="L281" s="5">
        <f>20 / 86400</f>
        <v>2.3148148148148149E-4</v>
      </c>
    </row>
    <row r="282" spans="1:12" x14ac:dyDescent="0.25">
      <c r="A282" s="3">
        <v>45693.385266203702</v>
      </c>
      <c r="B282" t="s">
        <v>103</v>
      </c>
      <c r="C282" s="3">
        <v>45693.387939814813</v>
      </c>
      <c r="D282" t="s">
        <v>268</v>
      </c>
      <c r="E282" s="4">
        <v>1.8341356195211411</v>
      </c>
      <c r="F282" s="4">
        <v>346516.96301846235</v>
      </c>
      <c r="G282" s="4">
        <v>346518.79715408187</v>
      </c>
      <c r="H282" s="5">
        <f t="shared" si="2"/>
        <v>0</v>
      </c>
      <c r="I282" t="s">
        <v>202</v>
      </c>
      <c r="J282" t="s">
        <v>195</v>
      </c>
      <c r="K282" s="5">
        <f>231 / 86400</f>
        <v>2.673611111111111E-3</v>
      </c>
      <c r="L282" s="5">
        <f>7 / 86400</f>
        <v>8.1018518518518516E-5</v>
      </c>
    </row>
    <row r="283" spans="1:12" x14ac:dyDescent="0.25">
      <c r="A283" s="3">
        <v>45693.388020833328</v>
      </c>
      <c r="B283" t="s">
        <v>268</v>
      </c>
      <c r="C283" s="3">
        <v>45693.391643518524</v>
      </c>
      <c r="D283" t="s">
        <v>118</v>
      </c>
      <c r="E283" s="4">
        <v>1.6657428487539292</v>
      </c>
      <c r="F283" s="4">
        <v>346518.80271199119</v>
      </c>
      <c r="G283" s="4">
        <v>346520.46845483995</v>
      </c>
      <c r="H283" s="5">
        <f t="shared" si="2"/>
        <v>0</v>
      </c>
      <c r="I283" t="s">
        <v>123</v>
      </c>
      <c r="J283" t="s">
        <v>37</v>
      </c>
      <c r="K283" s="5">
        <f>313 / 86400</f>
        <v>3.6226851851851854E-3</v>
      </c>
      <c r="L283" s="5">
        <f>247 / 86400</f>
        <v>2.8587962962962963E-3</v>
      </c>
    </row>
    <row r="284" spans="1:12" x14ac:dyDescent="0.25">
      <c r="A284" s="3">
        <v>45693.394502314812</v>
      </c>
      <c r="B284" t="s">
        <v>118</v>
      </c>
      <c r="C284" s="3">
        <v>45693.396886574075</v>
      </c>
      <c r="D284" t="s">
        <v>269</v>
      </c>
      <c r="E284" s="4">
        <v>0.94087169325351716</v>
      </c>
      <c r="F284" s="4">
        <v>346520.47434306541</v>
      </c>
      <c r="G284" s="4">
        <v>346521.41521475866</v>
      </c>
      <c r="H284" s="5">
        <f t="shared" si="2"/>
        <v>0</v>
      </c>
      <c r="I284" t="s">
        <v>159</v>
      </c>
      <c r="J284" t="s">
        <v>31</v>
      </c>
      <c r="K284" s="5">
        <f>206 / 86400</f>
        <v>2.3842592592592591E-3</v>
      </c>
      <c r="L284" s="5">
        <f>1645 / 86400</f>
        <v>1.9039351851851852E-2</v>
      </c>
    </row>
    <row r="285" spans="1:12" x14ac:dyDescent="0.25">
      <c r="A285" s="3">
        <v>45693.415925925925</v>
      </c>
      <c r="B285" t="s">
        <v>269</v>
      </c>
      <c r="C285" s="3">
        <v>45693.41615740741</v>
      </c>
      <c r="D285" t="s">
        <v>269</v>
      </c>
      <c r="E285" s="4">
        <v>1.197389429807663E-2</v>
      </c>
      <c r="F285" s="4">
        <v>346521.42901822523</v>
      </c>
      <c r="G285" s="4">
        <v>346521.44099211955</v>
      </c>
      <c r="H285" s="5">
        <f t="shared" si="2"/>
        <v>0</v>
      </c>
      <c r="I285" t="s">
        <v>126</v>
      </c>
      <c r="J285" t="s">
        <v>126</v>
      </c>
      <c r="K285" s="5">
        <f>20 / 86400</f>
        <v>2.3148148148148149E-4</v>
      </c>
      <c r="L285" s="5">
        <f>3 / 86400</f>
        <v>3.4722222222222222E-5</v>
      </c>
    </row>
    <row r="286" spans="1:12" x14ac:dyDescent="0.25">
      <c r="A286" s="3">
        <v>45693.416192129633</v>
      </c>
      <c r="B286" t="s">
        <v>269</v>
      </c>
      <c r="C286" s="3">
        <v>45693.417094907403</v>
      </c>
      <c r="D286" t="s">
        <v>148</v>
      </c>
      <c r="E286" s="4">
        <v>0.35394169670343401</v>
      </c>
      <c r="F286" s="4">
        <v>346521.44373980863</v>
      </c>
      <c r="G286" s="4">
        <v>346521.79768150533</v>
      </c>
      <c r="H286" s="5">
        <f t="shared" si="2"/>
        <v>0</v>
      </c>
      <c r="I286" t="s">
        <v>159</v>
      </c>
      <c r="J286" t="s">
        <v>31</v>
      </c>
      <c r="K286" s="5">
        <f>78 / 86400</f>
        <v>9.0277777777777774E-4</v>
      </c>
      <c r="L286" s="5">
        <f>20 / 86400</f>
        <v>2.3148148148148149E-4</v>
      </c>
    </row>
    <row r="287" spans="1:12" x14ac:dyDescent="0.25">
      <c r="A287" s="3">
        <v>45693.417326388888</v>
      </c>
      <c r="B287" t="s">
        <v>50</v>
      </c>
      <c r="C287" s="3">
        <v>45693.417557870373</v>
      </c>
      <c r="D287" t="s">
        <v>148</v>
      </c>
      <c r="E287" s="4">
        <v>5.9886110365390779E-2</v>
      </c>
      <c r="F287" s="4">
        <v>346521.8933459986</v>
      </c>
      <c r="G287" s="4">
        <v>346521.95323210896</v>
      </c>
      <c r="H287" s="5">
        <f t="shared" si="2"/>
        <v>0</v>
      </c>
      <c r="I287" t="s">
        <v>138</v>
      </c>
      <c r="J287" t="s">
        <v>154</v>
      </c>
      <c r="K287" s="5">
        <f>20 / 86400</f>
        <v>2.3148148148148149E-4</v>
      </c>
      <c r="L287" s="5">
        <f>3 / 86400</f>
        <v>3.4722222222222222E-5</v>
      </c>
    </row>
    <row r="288" spans="1:12" x14ac:dyDescent="0.25">
      <c r="A288" s="3">
        <v>45693.417592592596</v>
      </c>
      <c r="B288" t="s">
        <v>148</v>
      </c>
      <c r="C288" s="3">
        <v>45693.41805555555</v>
      </c>
      <c r="D288" t="s">
        <v>270</v>
      </c>
      <c r="E288" s="4">
        <v>0.2328495107293129</v>
      </c>
      <c r="F288" s="4">
        <v>346521.95510640979</v>
      </c>
      <c r="G288" s="4">
        <v>346522.18795592053</v>
      </c>
      <c r="H288" s="5">
        <f t="shared" si="2"/>
        <v>0</v>
      </c>
      <c r="I288" t="s">
        <v>39</v>
      </c>
      <c r="J288" t="s">
        <v>136</v>
      </c>
      <c r="K288" s="5">
        <f>40 / 86400</f>
        <v>4.6296296296296298E-4</v>
      </c>
      <c r="L288" s="5">
        <f>20 / 86400</f>
        <v>2.3148148148148149E-4</v>
      </c>
    </row>
    <row r="289" spans="1:12" x14ac:dyDescent="0.25">
      <c r="A289" s="3">
        <v>45693.418287037042</v>
      </c>
      <c r="B289" t="s">
        <v>271</v>
      </c>
      <c r="C289" s="3">
        <v>45693.420138888891</v>
      </c>
      <c r="D289" t="s">
        <v>272</v>
      </c>
      <c r="E289" s="4">
        <v>0.87903600746393207</v>
      </c>
      <c r="F289" s="4">
        <v>346522.31970228156</v>
      </c>
      <c r="G289" s="4">
        <v>346523.19873828901</v>
      </c>
      <c r="H289" s="5">
        <f t="shared" si="2"/>
        <v>0</v>
      </c>
      <c r="I289" t="s">
        <v>167</v>
      </c>
      <c r="J289" t="s">
        <v>128</v>
      </c>
      <c r="K289" s="5">
        <f>160 / 86400</f>
        <v>1.8518518518518519E-3</v>
      </c>
      <c r="L289" s="5">
        <f>20 / 86400</f>
        <v>2.3148148148148149E-4</v>
      </c>
    </row>
    <row r="290" spans="1:12" x14ac:dyDescent="0.25">
      <c r="A290" s="3">
        <v>45693.420370370368</v>
      </c>
      <c r="B290" t="s">
        <v>272</v>
      </c>
      <c r="C290" s="3">
        <v>45693.420833333337</v>
      </c>
      <c r="D290" t="s">
        <v>273</v>
      </c>
      <c r="E290" s="4">
        <v>0.32518981993198393</v>
      </c>
      <c r="F290" s="4">
        <v>346523.31501124869</v>
      </c>
      <c r="G290" s="4">
        <v>346523.64020106866</v>
      </c>
      <c r="H290" s="5">
        <f t="shared" si="2"/>
        <v>0</v>
      </c>
      <c r="I290" t="s">
        <v>274</v>
      </c>
      <c r="J290" t="s">
        <v>195</v>
      </c>
      <c r="K290" s="5">
        <f>40 / 86400</f>
        <v>4.6296296296296298E-4</v>
      </c>
      <c r="L290" s="5">
        <f>20 / 86400</f>
        <v>2.3148148148148149E-4</v>
      </c>
    </row>
    <row r="291" spans="1:12" x14ac:dyDescent="0.25">
      <c r="A291" s="3">
        <v>45693.421064814815</v>
      </c>
      <c r="B291" t="s">
        <v>103</v>
      </c>
      <c r="C291" s="3">
        <v>45693.422418981485</v>
      </c>
      <c r="D291" t="s">
        <v>103</v>
      </c>
      <c r="E291" s="4">
        <v>0.96418949210643767</v>
      </c>
      <c r="F291" s="4">
        <v>346523.79465852573</v>
      </c>
      <c r="G291" s="4">
        <v>346524.75884801784</v>
      </c>
      <c r="H291" s="5">
        <f t="shared" si="2"/>
        <v>0</v>
      </c>
      <c r="I291" t="s">
        <v>143</v>
      </c>
      <c r="J291" t="s">
        <v>85</v>
      </c>
      <c r="K291" s="5">
        <f>117 / 86400</f>
        <v>1.3541666666666667E-3</v>
      </c>
      <c r="L291" s="5">
        <f>20 / 86400</f>
        <v>2.3148148148148149E-4</v>
      </c>
    </row>
    <row r="292" spans="1:12" x14ac:dyDescent="0.25">
      <c r="A292" s="3">
        <v>45693.422650462962</v>
      </c>
      <c r="B292" t="s">
        <v>103</v>
      </c>
      <c r="C292" s="3">
        <v>45693.423807870371</v>
      </c>
      <c r="D292" t="s">
        <v>275</v>
      </c>
      <c r="E292" s="4">
        <v>0.62722519868612292</v>
      </c>
      <c r="F292" s="4">
        <v>346524.91293502768</v>
      </c>
      <c r="G292" s="4">
        <v>346525.54016022634</v>
      </c>
      <c r="H292" s="5">
        <f t="shared" si="2"/>
        <v>0</v>
      </c>
      <c r="I292" t="s">
        <v>170</v>
      </c>
      <c r="J292" t="s">
        <v>150</v>
      </c>
      <c r="K292" s="5">
        <f>100 / 86400</f>
        <v>1.1574074074074073E-3</v>
      </c>
      <c r="L292" s="5">
        <f>11 / 86400</f>
        <v>1.273148148148148E-4</v>
      </c>
    </row>
    <row r="293" spans="1:12" x14ac:dyDescent="0.25">
      <c r="A293" s="3">
        <v>45693.423935185187</v>
      </c>
      <c r="B293" t="s">
        <v>276</v>
      </c>
      <c r="C293" s="3">
        <v>45693.424814814818</v>
      </c>
      <c r="D293" t="s">
        <v>277</v>
      </c>
      <c r="E293" s="4">
        <v>0.29929839032888411</v>
      </c>
      <c r="F293" s="4">
        <v>346525.54385731916</v>
      </c>
      <c r="G293" s="4">
        <v>346525.8431557095</v>
      </c>
      <c r="H293" s="5">
        <f t="shared" si="2"/>
        <v>0</v>
      </c>
      <c r="I293" t="s">
        <v>156</v>
      </c>
      <c r="J293" t="s">
        <v>52</v>
      </c>
      <c r="K293" s="5">
        <f>76 / 86400</f>
        <v>8.7962962962962962E-4</v>
      </c>
      <c r="L293" s="5">
        <f>19 / 86400</f>
        <v>2.199074074074074E-4</v>
      </c>
    </row>
    <row r="294" spans="1:12" x14ac:dyDescent="0.25">
      <c r="A294" s="3">
        <v>45693.425034722226</v>
      </c>
      <c r="B294" t="s">
        <v>277</v>
      </c>
      <c r="C294" s="3">
        <v>45693.426921296297</v>
      </c>
      <c r="D294" t="s">
        <v>278</v>
      </c>
      <c r="E294" s="4">
        <v>0.71083925086259847</v>
      </c>
      <c r="F294" s="4">
        <v>346525.86205562542</v>
      </c>
      <c r="G294" s="4">
        <v>346526.5728948763</v>
      </c>
      <c r="H294" s="5">
        <f t="shared" si="2"/>
        <v>0</v>
      </c>
      <c r="I294" t="s">
        <v>195</v>
      </c>
      <c r="J294" t="s">
        <v>31</v>
      </c>
      <c r="K294" s="5">
        <f>163 / 86400</f>
        <v>1.8865740740740742E-3</v>
      </c>
      <c r="L294" s="5">
        <f>5 / 86400</f>
        <v>5.7870370370370373E-5</v>
      </c>
    </row>
    <row r="295" spans="1:12" x14ac:dyDescent="0.25">
      <c r="A295" s="3">
        <v>45693.426979166667</v>
      </c>
      <c r="B295" t="s">
        <v>278</v>
      </c>
      <c r="C295" s="3">
        <v>45693.430277777778</v>
      </c>
      <c r="D295" t="s">
        <v>279</v>
      </c>
      <c r="E295" s="4">
        <v>2.2626629382371903</v>
      </c>
      <c r="F295" s="4">
        <v>346526.5759466142</v>
      </c>
      <c r="G295" s="4">
        <v>346528.83860955242</v>
      </c>
      <c r="H295" s="5">
        <f t="shared" si="2"/>
        <v>0</v>
      </c>
      <c r="I295" t="s">
        <v>131</v>
      </c>
      <c r="J295" t="s">
        <v>195</v>
      </c>
      <c r="K295" s="5">
        <f>285 / 86400</f>
        <v>3.2986111111111111E-3</v>
      </c>
      <c r="L295" s="5">
        <f>20 / 86400</f>
        <v>2.3148148148148149E-4</v>
      </c>
    </row>
    <row r="296" spans="1:12" x14ac:dyDescent="0.25">
      <c r="A296" s="3">
        <v>45693.430509259255</v>
      </c>
      <c r="B296" t="s">
        <v>279</v>
      </c>
      <c r="C296" s="3">
        <v>45693.433287037042</v>
      </c>
      <c r="D296" t="s">
        <v>112</v>
      </c>
      <c r="E296" s="4">
        <v>2.800718377828598</v>
      </c>
      <c r="F296" s="4">
        <v>346528.90824060107</v>
      </c>
      <c r="G296" s="4">
        <v>346531.70895897888</v>
      </c>
      <c r="H296" s="5">
        <f t="shared" si="2"/>
        <v>0</v>
      </c>
      <c r="I296" t="s">
        <v>38</v>
      </c>
      <c r="J296" t="s">
        <v>184</v>
      </c>
      <c r="K296" s="5">
        <f>240 / 86400</f>
        <v>2.7777777777777779E-3</v>
      </c>
      <c r="L296" s="5">
        <f>20 / 86400</f>
        <v>2.3148148148148149E-4</v>
      </c>
    </row>
    <row r="297" spans="1:12" x14ac:dyDescent="0.25">
      <c r="A297" s="3">
        <v>45693.433518518519</v>
      </c>
      <c r="B297" t="s">
        <v>112</v>
      </c>
      <c r="C297" s="3">
        <v>45693.435219907406</v>
      </c>
      <c r="D297" t="s">
        <v>99</v>
      </c>
      <c r="E297" s="4">
        <v>1.2489669211506844</v>
      </c>
      <c r="F297" s="4">
        <v>346531.83088651201</v>
      </c>
      <c r="G297" s="4">
        <v>346533.07985343313</v>
      </c>
      <c r="H297" s="5">
        <f t="shared" si="2"/>
        <v>0</v>
      </c>
      <c r="I297" t="s">
        <v>145</v>
      </c>
      <c r="J297" t="s">
        <v>159</v>
      </c>
      <c r="K297" s="5">
        <f>147 / 86400</f>
        <v>1.7013888888888888E-3</v>
      </c>
      <c r="L297" s="5">
        <f>20 / 86400</f>
        <v>2.3148148148148149E-4</v>
      </c>
    </row>
    <row r="298" spans="1:12" x14ac:dyDescent="0.25">
      <c r="A298" s="3">
        <v>45693.43545138889</v>
      </c>
      <c r="B298" t="s">
        <v>99</v>
      </c>
      <c r="C298" s="3">
        <v>45693.43886574074</v>
      </c>
      <c r="D298" t="s">
        <v>99</v>
      </c>
      <c r="E298" s="4">
        <v>3.4965227387547495</v>
      </c>
      <c r="F298" s="4">
        <v>346533.1317107405</v>
      </c>
      <c r="G298" s="4">
        <v>346536.62823347928</v>
      </c>
      <c r="H298" s="5">
        <f t="shared" si="2"/>
        <v>0</v>
      </c>
      <c r="I298" t="s">
        <v>127</v>
      </c>
      <c r="J298" t="s">
        <v>179</v>
      </c>
      <c r="K298" s="5">
        <f>295 / 86400</f>
        <v>3.414351851851852E-3</v>
      </c>
      <c r="L298" s="5">
        <f>5 / 86400</f>
        <v>5.7870370370370373E-5</v>
      </c>
    </row>
    <row r="299" spans="1:12" x14ac:dyDescent="0.25">
      <c r="A299" s="3">
        <v>45693.438923611116</v>
      </c>
      <c r="B299" t="s">
        <v>99</v>
      </c>
      <c r="C299" s="3">
        <v>45693.439618055556</v>
      </c>
      <c r="D299" t="s">
        <v>40</v>
      </c>
      <c r="E299" s="4">
        <v>0.66458083206415175</v>
      </c>
      <c r="F299" s="4">
        <v>346536.63140353956</v>
      </c>
      <c r="G299" s="4">
        <v>346537.29598437162</v>
      </c>
      <c r="H299" s="5">
        <f t="shared" si="2"/>
        <v>0</v>
      </c>
      <c r="I299" t="s">
        <v>127</v>
      </c>
      <c r="J299" t="s">
        <v>167</v>
      </c>
      <c r="K299" s="5">
        <f>60 / 86400</f>
        <v>6.9444444444444447E-4</v>
      </c>
      <c r="L299" s="5">
        <f>40 / 86400</f>
        <v>4.6296296296296298E-4</v>
      </c>
    </row>
    <row r="300" spans="1:12" x14ac:dyDescent="0.25">
      <c r="A300" s="3">
        <v>45693.440081018518</v>
      </c>
      <c r="B300" t="s">
        <v>280</v>
      </c>
      <c r="C300" s="3">
        <v>45693.441701388889</v>
      </c>
      <c r="D300" t="s">
        <v>281</v>
      </c>
      <c r="E300" s="4">
        <v>1.4149394083619118</v>
      </c>
      <c r="F300" s="4">
        <v>346537.32225047331</v>
      </c>
      <c r="G300" s="4">
        <v>346538.73718988168</v>
      </c>
      <c r="H300" s="5">
        <f t="shared" si="2"/>
        <v>0</v>
      </c>
      <c r="I300" t="s">
        <v>131</v>
      </c>
      <c r="J300" t="s">
        <v>169</v>
      </c>
      <c r="K300" s="5">
        <f>140 / 86400</f>
        <v>1.6203703703703703E-3</v>
      </c>
      <c r="L300" s="5">
        <f>20 / 86400</f>
        <v>2.3148148148148149E-4</v>
      </c>
    </row>
    <row r="301" spans="1:12" x14ac:dyDescent="0.25">
      <c r="A301" s="3">
        <v>45693.441932870366</v>
      </c>
      <c r="B301" t="s">
        <v>282</v>
      </c>
      <c r="C301" s="3">
        <v>45693.444016203706</v>
      </c>
      <c r="D301" t="s">
        <v>282</v>
      </c>
      <c r="E301" s="4">
        <v>1.6946230416893959</v>
      </c>
      <c r="F301" s="4">
        <v>346538.91263263248</v>
      </c>
      <c r="G301" s="4">
        <v>346540.6072556742</v>
      </c>
      <c r="H301" s="5">
        <f t="shared" si="2"/>
        <v>0</v>
      </c>
      <c r="I301" t="s">
        <v>66</v>
      </c>
      <c r="J301" t="s">
        <v>138</v>
      </c>
      <c r="K301" s="5">
        <f>180 / 86400</f>
        <v>2.0833333333333333E-3</v>
      </c>
      <c r="L301" s="5">
        <f>12 / 86400</f>
        <v>1.3888888888888889E-4</v>
      </c>
    </row>
    <row r="302" spans="1:12" x14ac:dyDescent="0.25">
      <c r="A302" s="3">
        <v>45693.444155092591</v>
      </c>
      <c r="B302" t="s">
        <v>282</v>
      </c>
      <c r="C302" s="3">
        <v>45693.444849537038</v>
      </c>
      <c r="D302" t="s">
        <v>130</v>
      </c>
      <c r="E302" s="4">
        <v>0.52043639379739759</v>
      </c>
      <c r="F302" s="4">
        <v>346540.61622039526</v>
      </c>
      <c r="G302" s="4">
        <v>346541.13665678905</v>
      </c>
      <c r="H302" s="5">
        <f t="shared" si="2"/>
        <v>0</v>
      </c>
      <c r="I302" t="s">
        <v>170</v>
      </c>
      <c r="J302" t="s">
        <v>159</v>
      </c>
      <c r="K302" s="5">
        <f>60 / 86400</f>
        <v>6.9444444444444447E-4</v>
      </c>
      <c r="L302" s="5">
        <f>20 / 86400</f>
        <v>2.3148148148148149E-4</v>
      </c>
    </row>
    <row r="303" spans="1:12" x14ac:dyDescent="0.25">
      <c r="A303" s="3">
        <v>45693.445081018523</v>
      </c>
      <c r="B303" t="s">
        <v>130</v>
      </c>
      <c r="C303" s="3">
        <v>45693.4453125</v>
      </c>
      <c r="D303" t="s">
        <v>130</v>
      </c>
      <c r="E303" s="4">
        <v>7.4847774505615236E-3</v>
      </c>
      <c r="F303" s="4">
        <v>346541.14927871211</v>
      </c>
      <c r="G303" s="4">
        <v>346541.15676348953</v>
      </c>
      <c r="H303" s="5">
        <f t="shared" si="2"/>
        <v>0</v>
      </c>
      <c r="I303" t="s">
        <v>86</v>
      </c>
      <c r="J303" t="s">
        <v>116</v>
      </c>
      <c r="K303" s="5">
        <f>20 / 86400</f>
        <v>2.3148148148148149E-4</v>
      </c>
      <c r="L303" s="5">
        <f>18 / 86400</f>
        <v>2.0833333333333335E-4</v>
      </c>
    </row>
    <row r="304" spans="1:12" x14ac:dyDescent="0.25">
      <c r="A304" s="3">
        <v>45693.445520833338</v>
      </c>
      <c r="B304" t="s">
        <v>130</v>
      </c>
      <c r="C304" s="3">
        <v>45693.445752314816</v>
      </c>
      <c r="D304" t="s">
        <v>108</v>
      </c>
      <c r="E304" s="4">
        <v>3.9510292768478394E-2</v>
      </c>
      <c r="F304" s="4">
        <v>346541.15958235809</v>
      </c>
      <c r="G304" s="4">
        <v>346541.19909265084</v>
      </c>
      <c r="H304" s="5">
        <f t="shared" si="2"/>
        <v>0</v>
      </c>
      <c r="I304" t="s">
        <v>133</v>
      </c>
      <c r="J304" t="s">
        <v>132</v>
      </c>
      <c r="K304" s="5">
        <f>20 / 86400</f>
        <v>2.3148148148148149E-4</v>
      </c>
      <c r="L304" s="5">
        <f>80 / 86400</f>
        <v>9.2592592592592596E-4</v>
      </c>
    </row>
    <row r="305" spans="1:12" x14ac:dyDescent="0.25">
      <c r="A305" s="3">
        <v>45693.44667824074</v>
      </c>
      <c r="B305" t="s">
        <v>108</v>
      </c>
      <c r="C305" s="3">
        <v>45693.447141203702</v>
      </c>
      <c r="D305" t="s">
        <v>108</v>
      </c>
      <c r="E305" s="4">
        <v>4.3765476882457736E-2</v>
      </c>
      <c r="F305" s="4">
        <v>346541.2064415433</v>
      </c>
      <c r="G305" s="4">
        <v>346541.25020702014</v>
      </c>
      <c r="H305" s="5">
        <f t="shared" si="2"/>
        <v>0</v>
      </c>
      <c r="I305" t="s">
        <v>116</v>
      </c>
      <c r="J305" t="s">
        <v>86</v>
      </c>
      <c r="K305" s="5">
        <f>40 / 86400</f>
        <v>4.6296296296296298E-4</v>
      </c>
      <c r="L305" s="5">
        <f>7 / 86400</f>
        <v>8.1018518518518516E-5</v>
      </c>
    </row>
    <row r="306" spans="1:12" x14ac:dyDescent="0.25">
      <c r="A306" s="3">
        <v>45693.447222222225</v>
      </c>
      <c r="B306" t="s">
        <v>108</v>
      </c>
      <c r="C306" s="3">
        <v>45693.447685185187</v>
      </c>
      <c r="D306" t="s">
        <v>130</v>
      </c>
      <c r="E306" s="4">
        <v>0.38263685393333435</v>
      </c>
      <c r="F306" s="4">
        <v>346541.25598907482</v>
      </c>
      <c r="G306" s="4">
        <v>346541.63862592878</v>
      </c>
      <c r="H306" s="5">
        <f t="shared" si="2"/>
        <v>0</v>
      </c>
      <c r="I306" t="s">
        <v>219</v>
      </c>
      <c r="J306" t="s">
        <v>138</v>
      </c>
      <c r="K306" s="5">
        <f>40 / 86400</f>
        <v>4.6296296296296298E-4</v>
      </c>
      <c r="L306" s="5">
        <f>20 / 86400</f>
        <v>2.3148148148148149E-4</v>
      </c>
    </row>
    <row r="307" spans="1:12" x14ac:dyDescent="0.25">
      <c r="A307" s="3">
        <v>45693.447916666672</v>
      </c>
      <c r="B307" t="s">
        <v>262</v>
      </c>
      <c r="C307" s="3">
        <v>45693.451157407406</v>
      </c>
      <c r="D307" t="s">
        <v>110</v>
      </c>
      <c r="E307" s="4">
        <v>2.8519154322743416</v>
      </c>
      <c r="F307" s="4">
        <v>346541.67790581781</v>
      </c>
      <c r="G307" s="4">
        <v>346544.52982125006</v>
      </c>
      <c r="H307" s="5">
        <f t="shared" si="2"/>
        <v>0</v>
      </c>
      <c r="I307" t="s">
        <v>127</v>
      </c>
      <c r="J307" t="s">
        <v>123</v>
      </c>
      <c r="K307" s="5">
        <f>280 / 86400</f>
        <v>3.2407407407407406E-3</v>
      </c>
      <c r="L307" s="5">
        <f>40 / 86400</f>
        <v>4.6296296296296298E-4</v>
      </c>
    </row>
    <row r="308" spans="1:12" x14ac:dyDescent="0.25">
      <c r="A308" s="3">
        <v>45693.451620370368</v>
      </c>
      <c r="B308" t="s">
        <v>110</v>
      </c>
      <c r="C308" s="3">
        <v>45693.452083333337</v>
      </c>
      <c r="D308" t="s">
        <v>110</v>
      </c>
      <c r="E308" s="4">
        <v>1.853763473033905E-2</v>
      </c>
      <c r="F308" s="4">
        <v>346544.53343503154</v>
      </c>
      <c r="G308" s="4">
        <v>346544.55197266629</v>
      </c>
      <c r="H308" s="5">
        <f t="shared" si="2"/>
        <v>0</v>
      </c>
      <c r="I308" t="s">
        <v>116</v>
      </c>
      <c r="J308" t="s">
        <v>126</v>
      </c>
      <c r="K308" s="5">
        <f>40 / 86400</f>
        <v>4.6296296296296298E-4</v>
      </c>
      <c r="L308" s="5">
        <f>42 / 86400</f>
        <v>4.861111111111111E-4</v>
      </c>
    </row>
    <row r="309" spans="1:12" x14ac:dyDescent="0.25">
      <c r="A309" s="3">
        <v>45693.452569444446</v>
      </c>
      <c r="B309" t="s">
        <v>110</v>
      </c>
      <c r="C309" s="3">
        <v>45693.45349537037</v>
      </c>
      <c r="D309" t="s">
        <v>110</v>
      </c>
      <c r="E309" s="4">
        <v>0.92048766624927525</v>
      </c>
      <c r="F309" s="4">
        <v>346544.55679065239</v>
      </c>
      <c r="G309" s="4">
        <v>346545.47727831866</v>
      </c>
      <c r="H309" s="5">
        <f t="shared" si="2"/>
        <v>0</v>
      </c>
      <c r="I309" t="s">
        <v>194</v>
      </c>
      <c r="J309" t="s">
        <v>234</v>
      </c>
      <c r="K309" s="5">
        <f>80 / 86400</f>
        <v>9.2592592592592596E-4</v>
      </c>
      <c r="L309" s="5">
        <f>56 / 86400</f>
        <v>6.4814814814814813E-4</v>
      </c>
    </row>
    <row r="310" spans="1:12" x14ac:dyDescent="0.25">
      <c r="A310" s="3">
        <v>45693.454143518524</v>
      </c>
      <c r="B310" t="s">
        <v>110</v>
      </c>
      <c r="C310" s="3">
        <v>45693.455335648148</v>
      </c>
      <c r="D310" t="s">
        <v>158</v>
      </c>
      <c r="E310" s="4">
        <v>1.2840122392177582</v>
      </c>
      <c r="F310" s="4">
        <v>346545.48098266084</v>
      </c>
      <c r="G310" s="4">
        <v>346546.76499490003</v>
      </c>
      <c r="H310" s="5">
        <f t="shared" si="2"/>
        <v>0</v>
      </c>
      <c r="I310" t="s">
        <v>36</v>
      </c>
      <c r="J310" t="s">
        <v>198</v>
      </c>
      <c r="K310" s="5">
        <f>103 / 86400</f>
        <v>1.1921296296296296E-3</v>
      </c>
      <c r="L310" s="5">
        <f>20 / 86400</f>
        <v>2.3148148148148149E-4</v>
      </c>
    </row>
    <row r="311" spans="1:12" x14ac:dyDescent="0.25">
      <c r="A311" s="3">
        <v>45693.455567129626</v>
      </c>
      <c r="B311" t="s">
        <v>158</v>
      </c>
      <c r="C311" s="3">
        <v>45693.45857638889</v>
      </c>
      <c r="D311" t="s">
        <v>173</v>
      </c>
      <c r="E311" s="4">
        <v>2.3218666830062866</v>
      </c>
      <c r="F311" s="4">
        <v>346546.77245324635</v>
      </c>
      <c r="G311" s="4">
        <v>346549.09431992937</v>
      </c>
      <c r="H311" s="5">
        <f t="shared" si="2"/>
        <v>0</v>
      </c>
      <c r="I311" t="s">
        <v>163</v>
      </c>
      <c r="J311" t="s">
        <v>174</v>
      </c>
      <c r="K311" s="5">
        <f>260 / 86400</f>
        <v>3.0092592592592593E-3</v>
      </c>
      <c r="L311" s="5">
        <f>40 / 86400</f>
        <v>4.6296296296296298E-4</v>
      </c>
    </row>
    <row r="312" spans="1:12" x14ac:dyDescent="0.25">
      <c r="A312" s="3">
        <v>45693.459039351852</v>
      </c>
      <c r="B312" t="s">
        <v>158</v>
      </c>
      <c r="C312" s="3">
        <v>45693.460891203707</v>
      </c>
      <c r="D312" t="s">
        <v>151</v>
      </c>
      <c r="E312" s="4">
        <v>1.7429028396606445</v>
      </c>
      <c r="F312" s="4">
        <v>346549.1538054783</v>
      </c>
      <c r="G312" s="4">
        <v>346550.89670831792</v>
      </c>
      <c r="H312" s="5">
        <f t="shared" si="2"/>
        <v>0</v>
      </c>
      <c r="I312" t="s">
        <v>283</v>
      </c>
      <c r="J312" t="s">
        <v>170</v>
      </c>
      <c r="K312" s="5">
        <f>160 / 86400</f>
        <v>1.8518518518518519E-3</v>
      </c>
      <c r="L312" s="5">
        <f>60 / 86400</f>
        <v>6.9444444444444447E-4</v>
      </c>
    </row>
    <row r="313" spans="1:12" x14ac:dyDescent="0.25">
      <c r="A313" s="3">
        <v>45693.461585648147</v>
      </c>
      <c r="B313" t="s">
        <v>151</v>
      </c>
      <c r="C313" s="3">
        <v>45693.462511574078</v>
      </c>
      <c r="D313" t="s">
        <v>151</v>
      </c>
      <c r="E313" s="4">
        <v>0.22413281512260436</v>
      </c>
      <c r="F313" s="4">
        <v>346550.97387891967</v>
      </c>
      <c r="G313" s="4">
        <v>346551.19801173476</v>
      </c>
      <c r="H313" s="5">
        <f t="shared" si="2"/>
        <v>0</v>
      </c>
      <c r="I313" t="s">
        <v>31</v>
      </c>
      <c r="J313" t="s">
        <v>20</v>
      </c>
      <c r="K313" s="5">
        <f>80 / 86400</f>
        <v>9.2592592592592596E-4</v>
      </c>
      <c r="L313" s="5">
        <f>21 / 86400</f>
        <v>2.4305555555555555E-4</v>
      </c>
    </row>
    <row r="314" spans="1:12" x14ac:dyDescent="0.25">
      <c r="A314" s="3">
        <v>45693.462754629625</v>
      </c>
      <c r="B314" t="s">
        <v>151</v>
      </c>
      <c r="C314" s="3">
        <v>45693.46366898148</v>
      </c>
      <c r="D314" t="s">
        <v>151</v>
      </c>
      <c r="E314" s="4">
        <v>0.26842269736528396</v>
      </c>
      <c r="F314" s="4">
        <v>346551.20237157063</v>
      </c>
      <c r="G314" s="4">
        <v>346551.47079426801</v>
      </c>
      <c r="H314" s="5">
        <f t="shared" si="2"/>
        <v>0</v>
      </c>
      <c r="I314" t="s">
        <v>128</v>
      </c>
      <c r="J314" t="s">
        <v>59</v>
      </c>
      <c r="K314" s="5">
        <f>79 / 86400</f>
        <v>9.1435185185185185E-4</v>
      </c>
      <c r="L314" s="5">
        <f>40 / 86400</f>
        <v>4.6296296296296298E-4</v>
      </c>
    </row>
    <row r="315" spans="1:12" x14ac:dyDescent="0.25">
      <c r="A315" s="3">
        <v>45693.464131944449</v>
      </c>
      <c r="B315" t="s">
        <v>151</v>
      </c>
      <c r="C315" s="3">
        <v>45693.464363425926</v>
      </c>
      <c r="D315" t="s">
        <v>151</v>
      </c>
      <c r="E315" s="4">
        <v>4.4843343734741213E-2</v>
      </c>
      <c r="F315" s="4">
        <v>346551.52336177294</v>
      </c>
      <c r="G315" s="4">
        <v>346551.56820511667</v>
      </c>
      <c r="H315" s="5">
        <f t="shared" si="2"/>
        <v>0</v>
      </c>
      <c r="I315" t="s">
        <v>24</v>
      </c>
      <c r="J315" t="s">
        <v>119</v>
      </c>
      <c r="K315" s="5">
        <f>20 / 86400</f>
        <v>2.3148148148148149E-4</v>
      </c>
      <c r="L315" s="5">
        <f>30 / 86400</f>
        <v>3.4722222222222224E-4</v>
      </c>
    </row>
    <row r="316" spans="1:12" x14ac:dyDescent="0.25">
      <c r="A316" s="3">
        <v>45693.46471064815</v>
      </c>
      <c r="B316" t="s">
        <v>151</v>
      </c>
      <c r="C316" s="3">
        <v>45693.464942129634</v>
      </c>
      <c r="D316" t="s">
        <v>151</v>
      </c>
      <c r="E316" s="4">
        <v>2.772825849056244E-2</v>
      </c>
      <c r="F316" s="4">
        <v>346551.59718687047</v>
      </c>
      <c r="G316" s="4">
        <v>346551.62491512892</v>
      </c>
      <c r="H316" s="5">
        <f t="shared" si="2"/>
        <v>0</v>
      </c>
      <c r="I316" t="s">
        <v>132</v>
      </c>
      <c r="J316" t="s">
        <v>133</v>
      </c>
      <c r="K316" s="5">
        <f>20 / 86400</f>
        <v>2.3148148148148149E-4</v>
      </c>
      <c r="L316" s="5">
        <f>40 / 86400</f>
        <v>4.6296296296296298E-4</v>
      </c>
    </row>
    <row r="317" spans="1:12" x14ac:dyDescent="0.25">
      <c r="A317" s="3">
        <v>45693.465405092589</v>
      </c>
      <c r="B317" t="s">
        <v>151</v>
      </c>
      <c r="C317" s="3">
        <v>45693.465868055559</v>
      </c>
      <c r="D317" t="s">
        <v>151</v>
      </c>
      <c r="E317" s="4">
        <v>0.11848200452327728</v>
      </c>
      <c r="F317" s="4">
        <v>346551.75605001947</v>
      </c>
      <c r="G317" s="4">
        <v>346551.87453202397</v>
      </c>
      <c r="H317" s="5">
        <f t="shared" si="2"/>
        <v>0</v>
      </c>
      <c r="I317" t="s">
        <v>31</v>
      </c>
      <c r="J317" t="s">
        <v>154</v>
      </c>
      <c r="K317" s="5">
        <f>40 / 86400</f>
        <v>4.6296296296296298E-4</v>
      </c>
      <c r="L317" s="5">
        <f>40 / 86400</f>
        <v>4.6296296296296298E-4</v>
      </c>
    </row>
    <row r="318" spans="1:12" x14ac:dyDescent="0.25">
      <c r="A318" s="3">
        <v>45693.466331018513</v>
      </c>
      <c r="B318" t="s">
        <v>151</v>
      </c>
      <c r="C318" s="3">
        <v>45693.467488425929</v>
      </c>
      <c r="D318" t="s">
        <v>257</v>
      </c>
      <c r="E318" s="4">
        <v>0.6085223540663719</v>
      </c>
      <c r="F318" s="4">
        <v>346551.93719229975</v>
      </c>
      <c r="G318" s="4">
        <v>346552.5457146538</v>
      </c>
      <c r="H318" s="5">
        <f t="shared" ref="H318:H381" si="4">0 / 86400</f>
        <v>0</v>
      </c>
      <c r="I318" t="s">
        <v>174</v>
      </c>
      <c r="J318" t="s">
        <v>39</v>
      </c>
      <c r="K318" s="5">
        <f>100 / 86400</f>
        <v>1.1574074074074073E-3</v>
      </c>
      <c r="L318" s="5">
        <f>20 / 86400</f>
        <v>2.3148148148148149E-4</v>
      </c>
    </row>
    <row r="319" spans="1:12" x14ac:dyDescent="0.25">
      <c r="A319" s="3">
        <v>45693.467719907407</v>
      </c>
      <c r="B319" t="s">
        <v>284</v>
      </c>
      <c r="C319" s="3">
        <v>45693.468645833331</v>
      </c>
      <c r="D319" t="s">
        <v>285</v>
      </c>
      <c r="E319" s="4">
        <v>0.44248821139335631</v>
      </c>
      <c r="F319" s="4">
        <v>346552.5575789166</v>
      </c>
      <c r="G319" s="4">
        <v>346553.00006712798</v>
      </c>
      <c r="H319" s="5">
        <f t="shared" si="4"/>
        <v>0</v>
      </c>
      <c r="I319" t="s">
        <v>184</v>
      </c>
      <c r="J319" t="s">
        <v>128</v>
      </c>
      <c r="K319" s="5">
        <f>80 / 86400</f>
        <v>9.2592592592592596E-4</v>
      </c>
      <c r="L319" s="5">
        <f>20 / 86400</f>
        <v>2.3148148148148149E-4</v>
      </c>
    </row>
    <row r="320" spans="1:12" x14ac:dyDescent="0.25">
      <c r="A320" s="3">
        <v>45693.468877314815</v>
      </c>
      <c r="B320" t="s">
        <v>285</v>
      </c>
      <c r="C320" s="3">
        <v>45693.471932870365</v>
      </c>
      <c r="D320" t="s">
        <v>256</v>
      </c>
      <c r="E320" s="4">
        <v>0.99320954096317293</v>
      </c>
      <c r="F320" s="4">
        <v>346553.07226160448</v>
      </c>
      <c r="G320" s="4">
        <v>346554.06547114544</v>
      </c>
      <c r="H320" s="5">
        <f t="shared" si="4"/>
        <v>0</v>
      </c>
      <c r="I320" t="s">
        <v>147</v>
      </c>
      <c r="J320" t="s">
        <v>52</v>
      </c>
      <c r="K320" s="5">
        <f>264 / 86400</f>
        <v>3.0555555555555557E-3</v>
      </c>
      <c r="L320" s="5">
        <f>20 / 86400</f>
        <v>2.3148148148148149E-4</v>
      </c>
    </row>
    <row r="321" spans="1:12" x14ac:dyDescent="0.25">
      <c r="A321" s="3">
        <v>45693.472164351857</v>
      </c>
      <c r="B321" t="s">
        <v>256</v>
      </c>
      <c r="C321" s="3">
        <v>45693.473090277781</v>
      </c>
      <c r="D321" t="s">
        <v>166</v>
      </c>
      <c r="E321" s="4">
        <v>0.28005665040016176</v>
      </c>
      <c r="F321" s="4">
        <v>346554.64608895435</v>
      </c>
      <c r="G321" s="4">
        <v>346554.92614560475</v>
      </c>
      <c r="H321" s="5">
        <f t="shared" si="4"/>
        <v>0</v>
      </c>
      <c r="I321" t="s">
        <v>234</v>
      </c>
      <c r="J321" t="s">
        <v>55</v>
      </c>
      <c r="K321" s="5">
        <f>80 / 86400</f>
        <v>9.2592592592592596E-4</v>
      </c>
      <c r="L321" s="5">
        <f>40 / 86400</f>
        <v>4.6296296296296298E-4</v>
      </c>
    </row>
    <row r="322" spans="1:12" x14ac:dyDescent="0.25">
      <c r="A322" s="3">
        <v>45693.473553240736</v>
      </c>
      <c r="B322" t="s">
        <v>166</v>
      </c>
      <c r="C322" s="3">
        <v>45693.474016203705</v>
      </c>
      <c r="D322" t="s">
        <v>166</v>
      </c>
      <c r="E322" s="4">
        <v>0.20973221868276595</v>
      </c>
      <c r="F322" s="4">
        <v>346554.95399267023</v>
      </c>
      <c r="G322" s="4">
        <v>346555.16372488893</v>
      </c>
      <c r="H322" s="5">
        <f t="shared" si="4"/>
        <v>0</v>
      </c>
      <c r="I322" t="s">
        <v>160</v>
      </c>
      <c r="J322" t="s">
        <v>37</v>
      </c>
      <c r="K322" s="5">
        <f>40 / 86400</f>
        <v>4.6296296296296298E-4</v>
      </c>
      <c r="L322" s="5">
        <f>20 / 86400</f>
        <v>2.3148148148148149E-4</v>
      </c>
    </row>
    <row r="323" spans="1:12" x14ac:dyDescent="0.25">
      <c r="A323" s="3">
        <v>45693.474247685182</v>
      </c>
      <c r="B323" t="s">
        <v>286</v>
      </c>
      <c r="C323" s="3">
        <v>45693.475405092591</v>
      </c>
      <c r="D323" t="s">
        <v>166</v>
      </c>
      <c r="E323" s="4">
        <v>0.48293191665410995</v>
      </c>
      <c r="F323" s="4">
        <v>346555.34245316155</v>
      </c>
      <c r="G323" s="4">
        <v>346555.82538507821</v>
      </c>
      <c r="H323" s="5">
        <f t="shared" si="4"/>
        <v>0</v>
      </c>
      <c r="I323" t="s">
        <v>204</v>
      </c>
      <c r="J323" t="s">
        <v>28</v>
      </c>
      <c r="K323" s="5">
        <f>100 / 86400</f>
        <v>1.1574074074074073E-3</v>
      </c>
      <c r="L323" s="5">
        <f>20 / 86400</f>
        <v>2.3148148148148149E-4</v>
      </c>
    </row>
    <row r="324" spans="1:12" x14ac:dyDescent="0.25">
      <c r="A324" s="3">
        <v>45693.475636574076</v>
      </c>
      <c r="B324" t="s">
        <v>166</v>
      </c>
      <c r="C324" s="3">
        <v>45693.477719907409</v>
      </c>
      <c r="D324" t="s">
        <v>253</v>
      </c>
      <c r="E324" s="4">
        <v>1.2689941794276238</v>
      </c>
      <c r="F324" s="4">
        <v>346555.83494722564</v>
      </c>
      <c r="G324" s="4">
        <v>346557.10394140508</v>
      </c>
      <c r="H324" s="5">
        <f t="shared" si="4"/>
        <v>0</v>
      </c>
      <c r="I324" t="s">
        <v>283</v>
      </c>
      <c r="J324" t="s">
        <v>153</v>
      </c>
      <c r="K324" s="5">
        <f>180 / 86400</f>
        <v>2.0833333333333333E-3</v>
      </c>
      <c r="L324" s="5">
        <f>20 / 86400</f>
        <v>2.3148148148148149E-4</v>
      </c>
    </row>
    <row r="325" spans="1:12" x14ac:dyDescent="0.25">
      <c r="A325" s="3">
        <v>45693.477951388893</v>
      </c>
      <c r="B325" t="s">
        <v>287</v>
      </c>
      <c r="C325" s="3">
        <v>45693.478414351848</v>
      </c>
      <c r="D325" t="s">
        <v>288</v>
      </c>
      <c r="E325" s="4">
        <v>0.29312320184707641</v>
      </c>
      <c r="F325" s="4">
        <v>346557.22711239435</v>
      </c>
      <c r="G325" s="4">
        <v>346557.52023559617</v>
      </c>
      <c r="H325" s="5">
        <f t="shared" si="4"/>
        <v>0</v>
      </c>
      <c r="I325" t="s">
        <v>204</v>
      </c>
      <c r="J325" t="s">
        <v>172</v>
      </c>
      <c r="K325" s="5">
        <f>40 / 86400</f>
        <v>4.6296296296296298E-4</v>
      </c>
      <c r="L325" s="5">
        <f>20 / 86400</f>
        <v>2.3148148148148149E-4</v>
      </c>
    </row>
    <row r="326" spans="1:12" x14ac:dyDescent="0.25">
      <c r="A326" s="3">
        <v>45693.478645833333</v>
      </c>
      <c r="B326" t="s">
        <v>288</v>
      </c>
      <c r="C326" s="3">
        <v>45693.48165509259</v>
      </c>
      <c r="D326" t="s">
        <v>289</v>
      </c>
      <c r="E326" s="4">
        <v>1.4234543797373771</v>
      </c>
      <c r="F326" s="4">
        <v>346557.52965585503</v>
      </c>
      <c r="G326" s="4">
        <v>346558.95311023481</v>
      </c>
      <c r="H326" s="5">
        <f t="shared" si="4"/>
        <v>0</v>
      </c>
      <c r="I326" t="s">
        <v>219</v>
      </c>
      <c r="J326" t="s">
        <v>128</v>
      </c>
      <c r="K326" s="5">
        <f>260 / 86400</f>
        <v>3.0092592592592593E-3</v>
      </c>
      <c r="L326" s="5">
        <f>40 / 86400</f>
        <v>4.6296296296296298E-4</v>
      </c>
    </row>
    <row r="327" spans="1:12" x14ac:dyDescent="0.25">
      <c r="A327" s="3">
        <v>45693.482118055559</v>
      </c>
      <c r="B327" t="s">
        <v>289</v>
      </c>
      <c r="C327" s="3">
        <v>45693.482349537036</v>
      </c>
      <c r="D327" t="s">
        <v>289</v>
      </c>
      <c r="E327" s="4">
        <v>7.2287094593048093E-3</v>
      </c>
      <c r="F327" s="4">
        <v>346558.95658530609</v>
      </c>
      <c r="G327" s="4">
        <v>346558.96381401556</v>
      </c>
      <c r="H327" s="5">
        <f t="shared" si="4"/>
        <v>0</v>
      </c>
      <c r="I327" t="s">
        <v>116</v>
      </c>
      <c r="J327" t="s">
        <v>116</v>
      </c>
      <c r="K327" s="5">
        <f>20 / 86400</f>
        <v>2.3148148148148149E-4</v>
      </c>
      <c r="L327" s="5">
        <f>20 / 86400</f>
        <v>2.3148148148148149E-4</v>
      </c>
    </row>
    <row r="328" spans="1:12" x14ac:dyDescent="0.25">
      <c r="A328" s="3">
        <v>45693.482581018514</v>
      </c>
      <c r="B328" t="s">
        <v>290</v>
      </c>
      <c r="C328" s="3">
        <v>45693.482812499999</v>
      </c>
      <c r="D328" t="s">
        <v>290</v>
      </c>
      <c r="E328" s="4">
        <v>3.2897242903709412E-3</v>
      </c>
      <c r="F328" s="4">
        <v>346558.98407442216</v>
      </c>
      <c r="G328" s="4">
        <v>346558.98736414645</v>
      </c>
      <c r="H328" s="5">
        <f t="shared" si="4"/>
        <v>0</v>
      </c>
      <c r="I328" t="s">
        <v>126</v>
      </c>
      <c r="J328" t="s">
        <v>116</v>
      </c>
      <c r="K328" s="5">
        <f>20 / 86400</f>
        <v>2.3148148148148149E-4</v>
      </c>
      <c r="L328" s="5">
        <f>100 / 86400</f>
        <v>1.1574074074074073E-3</v>
      </c>
    </row>
    <row r="329" spans="1:12" x14ac:dyDescent="0.25">
      <c r="A329" s="3">
        <v>45693.483969907407</v>
      </c>
      <c r="B329" t="s">
        <v>290</v>
      </c>
      <c r="C329" s="3">
        <v>45693.484270833331</v>
      </c>
      <c r="D329" t="s">
        <v>291</v>
      </c>
      <c r="E329" s="4">
        <v>4.9479737401008604E-2</v>
      </c>
      <c r="F329" s="4">
        <v>346559.02633996343</v>
      </c>
      <c r="G329" s="4">
        <v>346559.07581970084</v>
      </c>
      <c r="H329" s="5">
        <f t="shared" si="4"/>
        <v>0</v>
      </c>
      <c r="I329" t="s">
        <v>20</v>
      </c>
      <c r="J329" t="s">
        <v>132</v>
      </c>
      <c r="K329" s="5">
        <f>26 / 86400</f>
        <v>3.0092592592592595E-4</v>
      </c>
      <c r="L329" s="5">
        <f>78 / 86400</f>
        <v>9.0277777777777774E-4</v>
      </c>
    </row>
    <row r="330" spans="1:12" x14ac:dyDescent="0.25">
      <c r="A330" s="3">
        <v>45693.485173611116</v>
      </c>
      <c r="B330" t="s">
        <v>291</v>
      </c>
      <c r="C330" s="3">
        <v>45693.487256944441</v>
      </c>
      <c r="D330" t="s">
        <v>292</v>
      </c>
      <c r="E330" s="4">
        <v>0.87896366369724277</v>
      </c>
      <c r="F330" s="4">
        <v>346559.10423727729</v>
      </c>
      <c r="G330" s="4">
        <v>346559.98320094094</v>
      </c>
      <c r="H330" s="5">
        <f t="shared" si="4"/>
        <v>0</v>
      </c>
      <c r="I330" t="s">
        <v>195</v>
      </c>
      <c r="J330" t="s">
        <v>24</v>
      </c>
      <c r="K330" s="5">
        <f>180 / 86400</f>
        <v>2.0833333333333333E-3</v>
      </c>
      <c r="L330" s="5">
        <f>38 / 86400</f>
        <v>4.3981481481481481E-4</v>
      </c>
    </row>
    <row r="331" spans="1:12" x14ac:dyDescent="0.25">
      <c r="A331" s="3">
        <v>45693.487696759257</v>
      </c>
      <c r="B331" t="s">
        <v>189</v>
      </c>
      <c r="C331" s="3">
        <v>45693.488159722227</v>
      </c>
      <c r="D331" t="s">
        <v>106</v>
      </c>
      <c r="E331" s="4">
        <v>0.19177839869260788</v>
      </c>
      <c r="F331" s="4">
        <v>346559.99157413741</v>
      </c>
      <c r="G331" s="4">
        <v>346560.18335253606</v>
      </c>
      <c r="H331" s="5">
        <f t="shared" si="4"/>
        <v>0</v>
      </c>
      <c r="I331" t="s">
        <v>174</v>
      </c>
      <c r="J331" t="s">
        <v>28</v>
      </c>
      <c r="K331" s="5">
        <f>40 / 86400</f>
        <v>4.6296296296296298E-4</v>
      </c>
      <c r="L331" s="5">
        <f>40 / 86400</f>
        <v>4.6296296296296298E-4</v>
      </c>
    </row>
    <row r="332" spans="1:12" x14ac:dyDescent="0.25">
      <c r="A332" s="3">
        <v>45693.488622685181</v>
      </c>
      <c r="B332" t="s">
        <v>293</v>
      </c>
      <c r="C332" s="3">
        <v>45693.488854166666</v>
      </c>
      <c r="D332" t="s">
        <v>191</v>
      </c>
      <c r="E332" s="4">
        <v>6.3609059453010562E-3</v>
      </c>
      <c r="F332" s="4">
        <v>346560.21918547648</v>
      </c>
      <c r="G332" s="4">
        <v>346560.22554638243</v>
      </c>
      <c r="H332" s="5">
        <f t="shared" si="4"/>
        <v>0</v>
      </c>
      <c r="I332" t="s">
        <v>116</v>
      </c>
      <c r="J332" t="s">
        <v>116</v>
      </c>
      <c r="K332" s="5">
        <f>20 / 86400</f>
        <v>2.3148148148148149E-4</v>
      </c>
      <c r="L332" s="5">
        <f>80 / 86400</f>
        <v>9.2592592592592596E-4</v>
      </c>
    </row>
    <row r="333" spans="1:12" x14ac:dyDescent="0.25">
      <c r="A333" s="3">
        <v>45693.489780092597</v>
      </c>
      <c r="B333" t="s">
        <v>191</v>
      </c>
      <c r="C333" s="3">
        <v>45693.492627314816</v>
      </c>
      <c r="D333" t="s">
        <v>251</v>
      </c>
      <c r="E333" s="4">
        <v>1.0726427580118179</v>
      </c>
      <c r="F333" s="4">
        <v>346560.24882523011</v>
      </c>
      <c r="G333" s="4">
        <v>346561.32146798813</v>
      </c>
      <c r="H333" s="5">
        <f t="shared" si="4"/>
        <v>0</v>
      </c>
      <c r="I333" t="s">
        <v>202</v>
      </c>
      <c r="J333" t="s">
        <v>31</v>
      </c>
      <c r="K333" s="5">
        <f>246 / 86400</f>
        <v>2.8472222222222223E-3</v>
      </c>
      <c r="L333" s="5">
        <f>40 / 86400</f>
        <v>4.6296296296296298E-4</v>
      </c>
    </row>
    <row r="334" spans="1:12" x14ac:dyDescent="0.25">
      <c r="A334" s="3">
        <v>45693.493090277778</v>
      </c>
      <c r="B334" t="s">
        <v>251</v>
      </c>
      <c r="C334" s="3">
        <v>45693.496076388888</v>
      </c>
      <c r="D334" t="s">
        <v>294</v>
      </c>
      <c r="E334" s="4">
        <v>1.1496484099030495</v>
      </c>
      <c r="F334" s="4">
        <v>346561.32531031925</v>
      </c>
      <c r="G334" s="4">
        <v>346562.47495872917</v>
      </c>
      <c r="H334" s="5">
        <f t="shared" si="4"/>
        <v>0</v>
      </c>
      <c r="I334" t="s">
        <v>204</v>
      </c>
      <c r="J334" t="s">
        <v>31</v>
      </c>
      <c r="K334" s="5">
        <f>258 / 86400</f>
        <v>2.9861111111111113E-3</v>
      </c>
      <c r="L334" s="5">
        <f>20 / 86400</f>
        <v>2.3148148148148149E-4</v>
      </c>
    </row>
    <row r="335" spans="1:12" x14ac:dyDescent="0.25">
      <c r="A335" s="3">
        <v>45693.496307870373</v>
      </c>
      <c r="B335" t="s">
        <v>193</v>
      </c>
      <c r="C335" s="3">
        <v>45693.497141203705</v>
      </c>
      <c r="D335" t="s">
        <v>193</v>
      </c>
      <c r="E335" s="4">
        <v>0.27951093870401383</v>
      </c>
      <c r="F335" s="4">
        <v>346562.69301509275</v>
      </c>
      <c r="G335" s="4">
        <v>346562.97252603143</v>
      </c>
      <c r="H335" s="5">
        <f t="shared" si="4"/>
        <v>0</v>
      </c>
      <c r="I335" t="s">
        <v>172</v>
      </c>
      <c r="J335" t="s">
        <v>52</v>
      </c>
      <c r="K335" s="5">
        <f>72 / 86400</f>
        <v>8.3333333333333339E-4</v>
      </c>
      <c r="L335" s="5">
        <f>24 / 86400</f>
        <v>2.7777777777777778E-4</v>
      </c>
    </row>
    <row r="336" spans="1:12" x14ac:dyDescent="0.25">
      <c r="A336" s="3">
        <v>45693.497418981482</v>
      </c>
      <c r="B336" t="s">
        <v>193</v>
      </c>
      <c r="C336" s="3">
        <v>45693.499097222222</v>
      </c>
      <c r="D336" t="s">
        <v>295</v>
      </c>
      <c r="E336" s="4">
        <v>0.57149074035882952</v>
      </c>
      <c r="F336" s="4">
        <v>346562.98393917514</v>
      </c>
      <c r="G336" s="4">
        <v>346563.55542991549</v>
      </c>
      <c r="H336" s="5">
        <f t="shared" si="4"/>
        <v>0</v>
      </c>
      <c r="I336" t="s">
        <v>212</v>
      </c>
      <c r="J336" t="s">
        <v>52</v>
      </c>
      <c r="K336" s="5">
        <f>145 / 86400</f>
        <v>1.6782407407407408E-3</v>
      </c>
      <c r="L336" s="5">
        <f>20 / 86400</f>
        <v>2.3148148148148149E-4</v>
      </c>
    </row>
    <row r="337" spans="1:12" x14ac:dyDescent="0.25">
      <c r="A337" s="3">
        <v>45693.499328703707</v>
      </c>
      <c r="B337" t="s">
        <v>295</v>
      </c>
      <c r="C337" s="3">
        <v>45693.500254629631</v>
      </c>
      <c r="D337" t="s">
        <v>295</v>
      </c>
      <c r="E337" s="4">
        <v>0.11632246261835098</v>
      </c>
      <c r="F337" s="4">
        <v>346563.57789655868</v>
      </c>
      <c r="G337" s="4">
        <v>346563.6942190213</v>
      </c>
      <c r="H337" s="5">
        <f t="shared" si="4"/>
        <v>0</v>
      </c>
      <c r="I337" t="s">
        <v>119</v>
      </c>
      <c r="J337" t="s">
        <v>133</v>
      </c>
      <c r="K337" s="5">
        <f>80 / 86400</f>
        <v>9.2592592592592596E-4</v>
      </c>
      <c r="L337" s="5">
        <f>20 / 86400</f>
        <v>2.3148148148148149E-4</v>
      </c>
    </row>
    <row r="338" spans="1:12" x14ac:dyDescent="0.25">
      <c r="A338" s="3">
        <v>45693.500486111108</v>
      </c>
      <c r="B338" t="s">
        <v>296</v>
      </c>
      <c r="C338" s="3">
        <v>45693.50072916667</v>
      </c>
      <c r="D338" t="s">
        <v>296</v>
      </c>
      <c r="E338" s="4">
        <v>2.4691142320632936E-2</v>
      </c>
      <c r="F338" s="4">
        <v>346563.71841984399</v>
      </c>
      <c r="G338" s="4">
        <v>346563.74311098631</v>
      </c>
      <c r="H338" s="5">
        <f t="shared" si="4"/>
        <v>0</v>
      </c>
      <c r="I338" t="s">
        <v>133</v>
      </c>
      <c r="J338" t="s">
        <v>86</v>
      </c>
      <c r="K338" s="5">
        <f>21 / 86400</f>
        <v>2.4305555555555555E-4</v>
      </c>
      <c r="L338" s="5">
        <f>20 / 86400</f>
        <v>2.3148148148148149E-4</v>
      </c>
    </row>
    <row r="339" spans="1:12" x14ac:dyDescent="0.25">
      <c r="A339" s="3">
        <v>45693.500960648147</v>
      </c>
      <c r="B339" t="s">
        <v>297</v>
      </c>
      <c r="C339" s="3">
        <v>45693.501655092594</v>
      </c>
      <c r="D339" t="s">
        <v>246</v>
      </c>
      <c r="E339" s="4">
        <v>5.8098497867584226E-2</v>
      </c>
      <c r="F339" s="4">
        <v>346563.76921868644</v>
      </c>
      <c r="G339" s="4">
        <v>346563.8273171843</v>
      </c>
      <c r="H339" s="5">
        <f t="shared" si="4"/>
        <v>0</v>
      </c>
      <c r="I339" t="s">
        <v>260</v>
      </c>
      <c r="J339" t="s">
        <v>149</v>
      </c>
      <c r="K339" s="5">
        <f>60 / 86400</f>
        <v>6.9444444444444447E-4</v>
      </c>
      <c r="L339" s="5">
        <f>60 / 86400</f>
        <v>6.9444444444444447E-4</v>
      </c>
    </row>
    <row r="340" spans="1:12" x14ac:dyDescent="0.25">
      <c r="A340" s="3">
        <v>45693.502349537041</v>
      </c>
      <c r="B340" t="s">
        <v>246</v>
      </c>
      <c r="C340" s="3">
        <v>45693.502581018518</v>
      </c>
      <c r="D340" t="s">
        <v>246</v>
      </c>
      <c r="E340" s="4">
        <v>1.8580947697162627E-2</v>
      </c>
      <c r="F340" s="4">
        <v>346563.85737179086</v>
      </c>
      <c r="G340" s="4">
        <v>346563.87595273857</v>
      </c>
      <c r="H340" s="5">
        <f t="shared" si="4"/>
        <v>0</v>
      </c>
      <c r="I340" t="s">
        <v>260</v>
      </c>
      <c r="J340" t="s">
        <v>149</v>
      </c>
      <c r="K340" s="5">
        <f>20 / 86400</f>
        <v>2.3148148148148149E-4</v>
      </c>
      <c r="L340" s="5">
        <f>20 / 86400</f>
        <v>2.3148148148148149E-4</v>
      </c>
    </row>
    <row r="341" spans="1:12" x14ac:dyDescent="0.25">
      <c r="A341" s="3">
        <v>45693.502812499995</v>
      </c>
      <c r="B341" t="s">
        <v>246</v>
      </c>
      <c r="C341" s="3">
        <v>45693.50304398148</v>
      </c>
      <c r="D341" t="s">
        <v>246</v>
      </c>
      <c r="E341" s="4">
        <v>5.9874383211135866E-3</v>
      </c>
      <c r="F341" s="4">
        <v>346563.88102394401</v>
      </c>
      <c r="G341" s="4">
        <v>346563.88701138232</v>
      </c>
      <c r="H341" s="5">
        <f t="shared" si="4"/>
        <v>0</v>
      </c>
      <c r="I341" t="s">
        <v>116</v>
      </c>
      <c r="J341" t="s">
        <v>116</v>
      </c>
      <c r="K341" s="5">
        <f>20 / 86400</f>
        <v>2.3148148148148149E-4</v>
      </c>
      <c r="L341" s="5">
        <f>14 / 86400</f>
        <v>1.6203703703703703E-4</v>
      </c>
    </row>
    <row r="342" spans="1:12" x14ac:dyDescent="0.25">
      <c r="A342" s="3">
        <v>45693.503206018519</v>
      </c>
      <c r="B342" t="s">
        <v>246</v>
      </c>
      <c r="C342" s="3">
        <v>45693.503437499996</v>
      </c>
      <c r="D342" t="s">
        <v>246</v>
      </c>
      <c r="E342" s="4">
        <v>1.7427936553955078E-2</v>
      </c>
      <c r="F342" s="4">
        <v>346563.893274915</v>
      </c>
      <c r="G342" s="4">
        <v>346563.91070285154</v>
      </c>
      <c r="H342" s="5">
        <f t="shared" si="4"/>
        <v>0</v>
      </c>
      <c r="I342" t="s">
        <v>133</v>
      </c>
      <c r="J342" t="s">
        <v>149</v>
      </c>
      <c r="K342" s="5">
        <f>20 / 86400</f>
        <v>2.3148148148148149E-4</v>
      </c>
      <c r="L342" s="5">
        <f>18 / 86400</f>
        <v>2.0833333333333335E-4</v>
      </c>
    </row>
    <row r="343" spans="1:12" x14ac:dyDescent="0.25">
      <c r="A343" s="3">
        <v>45693.503645833334</v>
      </c>
      <c r="B343" t="s">
        <v>246</v>
      </c>
      <c r="C343" s="3">
        <v>45693.504340277781</v>
      </c>
      <c r="D343" t="s">
        <v>196</v>
      </c>
      <c r="E343" s="4">
        <v>0.10886232322454452</v>
      </c>
      <c r="F343" s="4">
        <v>346563.91445747769</v>
      </c>
      <c r="G343" s="4">
        <v>346564.02331980091</v>
      </c>
      <c r="H343" s="5">
        <f t="shared" si="4"/>
        <v>0</v>
      </c>
      <c r="I343" t="s">
        <v>132</v>
      </c>
      <c r="J343" t="s">
        <v>132</v>
      </c>
      <c r="K343" s="5">
        <f>60 / 86400</f>
        <v>6.9444444444444447E-4</v>
      </c>
      <c r="L343" s="5">
        <f>14 / 86400</f>
        <v>1.6203703703703703E-4</v>
      </c>
    </row>
    <row r="344" spans="1:12" x14ac:dyDescent="0.25">
      <c r="A344" s="3">
        <v>45693.504502314812</v>
      </c>
      <c r="B344" t="s">
        <v>196</v>
      </c>
      <c r="C344" s="3">
        <v>45693.505196759259</v>
      </c>
      <c r="D344" t="s">
        <v>196</v>
      </c>
      <c r="E344" s="4">
        <v>7.9062476336956025E-2</v>
      </c>
      <c r="F344" s="4">
        <v>346564.03145368659</v>
      </c>
      <c r="G344" s="4">
        <v>346564.11051616294</v>
      </c>
      <c r="H344" s="5">
        <f t="shared" si="4"/>
        <v>0</v>
      </c>
      <c r="I344" t="s">
        <v>119</v>
      </c>
      <c r="J344" t="s">
        <v>133</v>
      </c>
      <c r="K344" s="5">
        <f>60 / 86400</f>
        <v>6.9444444444444447E-4</v>
      </c>
      <c r="L344" s="5">
        <f>40 / 86400</f>
        <v>4.6296296296296298E-4</v>
      </c>
    </row>
    <row r="345" spans="1:12" x14ac:dyDescent="0.25">
      <c r="A345" s="3">
        <v>45693.505659722221</v>
      </c>
      <c r="B345" t="s">
        <v>196</v>
      </c>
      <c r="C345" s="3">
        <v>45693.510381944448</v>
      </c>
      <c r="D345" t="s">
        <v>298</v>
      </c>
      <c r="E345" s="4">
        <v>1.7894584569334984</v>
      </c>
      <c r="F345" s="4">
        <v>346564.11842515471</v>
      </c>
      <c r="G345" s="4">
        <v>346565.90788361162</v>
      </c>
      <c r="H345" s="5">
        <f t="shared" si="4"/>
        <v>0</v>
      </c>
      <c r="I345" t="s">
        <v>198</v>
      </c>
      <c r="J345" t="s">
        <v>31</v>
      </c>
      <c r="K345" s="5">
        <f>408 / 86400</f>
        <v>4.7222222222222223E-3</v>
      </c>
      <c r="L345" s="5">
        <f>14 / 86400</f>
        <v>1.6203703703703703E-4</v>
      </c>
    </row>
    <row r="346" spans="1:12" x14ac:dyDescent="0.25">
      <c r="A346" s="3">
        <v>45693.51054398148</v>
      </c>
      <c r="B346" t="s">
        <v>299</v>
      </c>
      <c r="C346" s="3">
        <v>45693.512210648143</v>
      </c>
      <c r="D346" t="s">
        <v>300</v>
      </c>
      <c r="E346" s="4">
        <v>0.73867242610454564</v>
      </c>
      <c r="F346" s="4">
        <v>346565.92878449598</v>
      </c>
      <c r="G346" s="4">
        <v>346566.66745692206</v>
      </c>
      <c r="H346" s="5">
        <f t="shared" si="4"/>
        <v>0</v>
      </c>
      <c r="I346" t="s">
        <v>219</v>
      </c>
      <c r="J346" t="s">
        <v>24</v>
      </c>
      <c r="K346" s="5">
        <f>144 / 86400</f>
        <v>1.6666666666666668E-3</v>
      </c>
      <c r="L346" s="5">
        <f>100 / 86400</f>
        <v>1.1574074074074073E-3</v>
      </c>
    </row>
    <row r="347" spans="1:12" x14ac:dyDescent="0.25">
      <c r="A347" s="3">
        <v>45693.513368055559</v>
      </c>
      <c r="B347" t="s">
        <v>301</v>
      </c>
      <c r="C347" s="3">
        <v>45693.514062499999</v>
      </c>
      <c r="D347" t="s">
        <v>302</v>
      </c>
      <c r="E347" s="4">
        <v>0.49954161721467971</v>
      </c>
      <c r="F347" s="4">
        <v>346566.80453710962</v>
      </c>
      <c r="G347" s="4">
        <v>346567.30407872685</v>
      </c>
      <c r="H347" s="5">
        <f t="shared" si="4"/>
        <v>0</v>
      </c>
      <c r="I347" t="s">
        <v>283</v>
      </c>
      <c r="J347" t="s">
        <v>85</v>
      </c>
      <c r="K347" s="5">
        <f>60 / 86400</f>
        <v>6.9444444444444447E-4</v>
      </c>
      <c r="L347" s="5">
        <f>20 / 86400</f>
        <v>2.3148148148148149E-4</v>
      </c>
    </row>
    <row r="348" spans="1:12" x14ac:dyDescent="0.25">
      <c r="A348" s="3">
        <v>45693.514293981483</v>
      </c>
      <c r="B348" t="s">
        <v>200</v>
      </c>
      <c r="C348" s="3">
        <v>45693.516400462962</v>
      </c>
      <c r="D348" t="s">
        <v>207</v>
      </c>
      <c r="E348" s="4">
        <v>1.2176089890599251</v>
      </c>
      <c r="F348" s="4">
        <v>346567.47262274451</v>
      </c>
      <c r="G348" s="4">
        <v>346568.69023173355</v>
      </c>
      <c r="H348" s="5">
        <f t="shared" si="4"/>
        <v>0</v>
      </c>
      <c r="I348" t="s">
        <v>194</v>
      </c>
      <c r="J348" t="s">
        <v>156</v>
      </c>
      <c r="K348" s="5">
        <f>182 / 86400</f>
        <v>2.1064814814814813E-3</v>
      </c>
      <c r="L348" s="5">
        <f>40 / 86400</f>
        <v>4.6296296296296298E-4</v>
      </c>
    </row>
    <row r="349" spans="1:12" x14ac:dyDescent="0.25">
      <c r="A349" s="3">
        <v>45693.516863425924</v>
      </c>
      <c r="B349" t="s">
        <v>208</v>
      </c>
      <c r="C349" s="3">
        <v>45693.517094907409</v>
      </c>
      <c r="D349" t="s">
        <v>208</v>
      </c>
      <c r="E349" s="4">
        <v>0</v>
      </c>
      <c r="F349" s="4">
        <v>346568.71301979903</v>
      </c>
      <c r="G349" s="4">
        <v>346568.71301979903</v>
      </c>
      <c r="H349" s="5">
        <f t="shared" si="4"/>
        <v>0</v>
      </c>
      <c r="I349" t="s">
        <v>116</v>
      </c>
      <c r="J349" t="s">
        <v>124</v>
      </c>
      <c r="K349" s="5">
        <f>20 / 86400</f>
        <v>2.3148148148148149E-4</v>
      </c>
      <c r="L349" s="5">
        <f>30 / 86400</f>
        <v>3.4722222222222224E-4</v>
      </c>
    </row>
    <row r="350" spans="1:12" x14ac:dyDescent="0.25">
      <c r="A350" s="3">
        <v>45693.517442129625</v>
      </c>
      <c r="B350" t="s">
        <v>208</v>
      </c>
      <c r="C350" s="3">
        <v>45693.518159722225</v>
      </c>
      <c r="D350" t="s">
        <v>303</v>
      </c>
      <c r="E350" s="4">
        <v>0.23062864953279497</v>
      </c>
      <c r="F350" s="4">
        <v>346568.76303748781</v>
      </c>
      <c r="G350" s="4">
        <v>346568.99366613734</v>
      </c>
      <c r="H350" s="5">
        <f t="shared" si="4"/>
        <v>0</v>
      </c>
      <c r="I350" t="s">
        <v>138</v>
      </c>
      <c r="J350" t="s">
        <v>55</v>
      </c>
      <c r="K350" s="5">
        <f>62 / 86400</f>
        <v>7.1759259259259259E-4</v>
      </c>
      <c r="L350" s="5">
        <f>32 / 86400</f>
        <v>3.7037037037037035E-4</v>
      </c>
    </row>
    <row r="351" spans="1:12" x14ac:dyDescent="0.25">
      <c r="A351" s="3">
        <v>45693.518530092595</v>
      </c>
      <c r="B351" t="s">
        <v>303</v>
      </c>
      <c r="C351" s="3">
        <v>45693.518761574072</v>
      </c>
      <c r="D351" t="s">
        <v>203</v>
      </c>
      <c r="E351" s="4">
        <v>5.6711659610271456E-2</v>
      </c>
      <c r="F351" s="4">
        <v>346569.00656249246</v>
      </c>
      <c r="G351" s="4">
        <v>346569.06327415211</v>
      </c>
      <c r="H351" s="5">
        <f t="shared" si="4"/>
        <v>0</v>
      </c>
      <c r="I351" t="s">
        <v>133</v>
      </c>
      <c r="J351" t="s">
        <v>20</v>
      </c>
      <c r="K351" s="5">
        <f>20 / 86400</f>
        <v>2.3148148148148149E-4</v>
      </c>
      <c r="L351" s="5">
        <f>100 / 86400</f>
        <v>1.1574074074074073E-3</v>
      </c>
    </row>
    <row r="352" spans="1:12" x14ac:dyDescent="0.25">
      <c r="A352" s="3">
        <v>45693.519918981481</v>
      </c>
      <c r="B352" t="s">
        <v>203</v>
      </c>
      <c r="C352" s="3">
        <v>45693.520150462966</v>
      </c>
      <c r="D352" t="s">
        <v>304</v>
      </c>
      <c r="E352" s="4">
        <v>1.1997307896614075E-2</v>
      </c>
      <c r="F352" s="4">
        <v>346569.09943795233</v>
      </c>
      <c r="G352" s="4">
        <v>346569.11143526022</v>
      </c>
      <c r="H352" s="5">
        <f t="shared" si="4"/>
        <v>0</v>
      </c>
      <c r="I352" t="s">
        <v>116</v>
      </c>
      <c r="J352" t="s">
        <v>126</v>
      </c>
      <c r="K352" s="5">
        <f>20 / 86400</f>
        <v>2.3148148148148149E-4</v>
      </c>
      <c r="L352" s="5">
        <f>100 / 86400</f>
        <v>1.1574074074074073E-3</v>
      </c>
    </row>
    <row r="353" spans="1:12" x14ac:dyDescent="0.25">
      <c r="A353" s="3">
        <v>45693.521307870367</v>
      </c>
      <c r="B353" t="s">
        <v>305</v>
      </c>
      <c r="C353" s="3">
        <v>45693.523298611108</v>
      </c>
      <c r="D353" t="s">
        <v>306</v>
      </c>
      <c r="E353" s="4">
        <v>1.2734684317708016</v>
      </c>
      <c r="F353" s="4">
        <v>346569.1644105197</v>
      </c>
      <c r="G353" s="4">
        <v>346570.43787895149</v>
      </c>
      <c r="H353" s="5">
        <f t="shared" si="4"/>
        <v>0</v>
      </c>
      <c r="I353" t="s">
        <v>101</v>
      </c>
      <c r="J353" t="s">
        <v>212</v>
      </c>
      <c r="K353" s="5">
        <f>172 / 86400</f>
        <v>1.9907407407407408E-3</v>
      </c>
      <c r="L353" s="5">
        <f>20 / 86400</f>
        <v>2.3148148148148149E-4</v>
      </c>
    </row>
    <row r="354" spans="1:12" x14ac:dyDescent="0.25">
      <c r="A354" s="3">
        <v>45693.523530092592</v>
      </c>
      <c r="B354" t="s">
        <v>306</v>
      </c>
      <c r="C354" s="3">
        <v>45693.524479166663</v>
      </c>
      <c r="D354" t="s">
        <v>307</v>
      </c>
      <c r="E354" s="4">
        <v>0.37356067740917204</v>
      </c>
      <c r="F354" s="4">
        <v>346570.47184627631</v>
      </c>
      <c r="G354" s="4">
        <v>346570.84540695371</v>
      </c>
      <c r="H354" s="5">
        <f t="shared" si="4"/>
        <v>0</v>
      </c>
      <c r="I354" t="s">
        <v>212</v>
      </c>
      <c r="J354" t="s">
        <v>31</v>
      </c>
      <c r="K354" s="5">
        <f>82 / 86400</f>
        <v>9.4907407407407408E-4</v>
      </c>
      <c r="L354" s="5">
        <f>19 / 86400</f>
        <v>2.199074074074074E-4</v>
      </c>
    </row>
    <row r="355" spans="1:12" x14ac:dyDescent="0.25">
      <c r="A355" s="3">
        <v>45693.524699074071</v>
      </c>
      <c r="B355" t="s">
        <v>307</v>
      </c>
      <c r="C355" s="3">
        <v>45693.525381944448</v>
      </c>
      <c r="D355" t="s">
        <v>308</v>
      </c>
      <c r="E355" s="4">
        <v>0.21606467628479004</v>
      </c>
      <c r="F355" s="4">
        <v>346570.86200379691</v>
      </c>
      <c r="G355" s="4">
        <v>346571.0780684732</v>
      </c>
      <c r="H355" s="5">
        <f t="shared" si="4"/>
        <v>0</v>
      </c>
      <c r="I355" t="s">
        <v>132</v>
      </c>
      <c r="J355" t="s">
        <v>55</v>
      </c>
      <c r="K355" s="5">
        <f>59 / 86400</f>
        <v>6.8287037037037036E-4</v>
      </c>
      <c r="L355" s="5">
        <f>20 / 86400</f>
        <v>2.3148148148148149E-4</v>
      </c>
    </row>
    <row r="356" spans="1:12" x14ac:dyDescent="0.25">
      <c r="A356" s="3">
        <v>45693.525613425925</v>
      </c>
      <c r="B356" t="s">
        <v>200</v>
      </c>
      <c r="C356" s="3">
        <v>45693.526076388887</v>
      </c>
      <c r="D356" t="s">
        <v>200</v>
      </c>
      <c r="E356" s="4">
        <v>0.17995658963918687</v>
      </c>
      <c r="F356" s="4">
        <v>346571.18495003699</v>
      </c>
      <c r="G356" s="4">
        <v>346571.36490662664</v>
      </c>
      <c r="H356" s="5">
        <f t="shared" si="4"/>
        <v>0</v>
      </c>
      <c r="I356" t="s">
        <v>234</v>
      </c>
      <c r="J356" t="s">
        <v>31</v>
      </c>
      <c r="K356" s="5">
        <f>40 / 86400</f>
        <v>4.6296296296296298E-4</v>
      </c>
      <c r="L356" s="5">
        <f>20 / 86400</f>
        <v>2.3148148148148149E-4</v>
      </c>
    </row>
    <row r="357" spans="1:12" x14ac:dyDescent="0.25">
      <c r="A357" s="3">
        <v>45693.526307870372</v>
      </c>
      <c r="B357" t="s">
        <v>200</v>
      </c>
      <c r="C357" s="3">
        <v>45693.526539351849</v>
      </c>
      <c r="D357" t="s">
        <v>309</v>
      </c>
      <c r="E357" s="4">
        <v>7.8934320807456972E-3</v>
      </c>
      <c r="F357" s="4">
        <v>346571.36758573755</v>
      </c>
      <c r="G357" s="4">
        <v>346571.3754791696</v>
      </c>
      <c r="H357" s="5">
        <f t="shared" si="4"/>
        <v>0</v>
      </c>
      <c r="I357" t="s">
        <v>126</v>
      </c>
      <c r="J357" t="s">
        <v>116</v>
      </c>
      <c r="K357" s="5">
        <f>20 / 86400</f>
        <v>2.3148148148148149E-4</v>
      </c>
      <c r="L357" s="5">
        <f>20 / 86400</f>
        <v>2.3148148148148149E-4</v>
      </c>
    </row>
    <row r="358" spans="1:12" x14ac:dyDescent="0.25">
      <c r="A358" s="3">
        <v>45693.526770833334</v>
      </c>
      <c r="B358" t="s">
        <v>309</v>
      </c>
      <c r="C358" s="3">
        <v>45693.528275462959</v>
      </c>
      <c r="D358" t="s">
        <v>241</v>
      </c>
      <c r="E358" s="4">
        <v>0.21504997652769089</v>
      </c>
      <c r="F358" s="4">
        <v>346571.38945024769</v>
      </c>
      <c r="G358" s="4">
        <v>346571.60450022423</v>
      </c>
      <c r="H358" s="5">
        <f t="shared" si="4"/>
        <v>0</v>
      </c>
      <c r="I358" t="s">
        <v>35</v>
      </c>
      <c r="J358" t="s">
        <v>260</v>
      </c>
      <c r="K358" s="5">
        <f>130 / 86400</f>
        <v>1.5046296296296296E-3</v>
      </c>
      <c r="L358" s="5">
        <f>60 / 86400</f>
        <v>6.9444444444444447E-4</v>
      </c>
    </row>
    <row r="359" spans="1:12" x14ac:dyDescent="0.25">
      <c r="A359" s="3">
        <v>45693.528969907406</v>
      </c>
      <c r="B359" t="s">
        <v>242</v>
      </c>
      <c r="C359" s="3">
        <v>45693.531331018516</v>
      </c>
      <c r="D359" t="s">
        <v>310</v>
      </c>
      <c r="E359" s="4">
        <v>0.36357369482517243</v>
      </c>
      <c r="F359" s="4">
        <v>346571.6361007613</v>
      </c>
      <c r="G359" s="4">
        <v>346571.99967445614</v>
      </c>
      <c r="H359" s="5">
        <f t="shared" si="4"/>
        <v>0</v>
      </c>
      <c r="I359" t="s">
        <v>55</v>
      </c>
      <c r="J359" t="s">
        <v>260</v>
      </c>
      <c r="K359" s="5">
        <f>204 / 86400</f>
        <v>2.3611111111111111E-3</v>
      </c>
      <c r="L359" s="5">
        <f>2 / 86400</f>
        <v>2.3148148148148147E-5</v>
      </c>
    </row>
    <row r="360" spans="1:12" x14ac:dyDescent="0.25">
      <c r="A360" s="3">
        <v>45693.531354166669</v>
      </c>
      <c r="B360" t="s">
        <v>310</v>
      </c>
      <c r="C360" s="3">
        <v>45693.532800925925</v>
      </c>
      <c r="D360" t="s">
        <v>246</v>
      </c>
      <c r="E360" s="4">
        <v>0.52398342978954315</v>
      </c>
      <c r="F360" s="4">
        <v>346572.00276148098</v>
      </c>
      <c r="G360" s="4">
        <v>346572.52674491075</v>
      </c>
      <c r="H360" s="5">
        <f t="shared" si="4"/>
        <v>0</v>
      </c>
      <c r="I360" t="s">
        <v>229</v>
      </c>
      <c r="J360" t="s">
        <v>35</v>
      </c>
      <c r="K360" s="5">
        <f>125 / 86400</f>
        <v>1.4467592592592592E-3</v>
      </c>
      <c r="L360" s="5">
        <f>20 / 86400</f>
        <v>2.3148148148148149E-4</v>
      </c>
    </row>
    <row r="361" spans="1:12" x14ac:dyDescent="0.25">
      <c r="A361" s="3">
        <v>45693.533032407402</v>
      </c>
      <c r="B361" t="s">
        <v>246</v>
      </c>
      <c r="C361" s="3">
        <v>45693.533263888894</v>
      </c>
      <c r="D361" t="s">
        <v>196</v>
      </c>
      <c r="E361" s="4">
        <v>1.020109349489212E-2</v>
      </c>
      <c r="F361" s="4">
        <v>346572.54679697735</v>
      </c>
      <c r="G361" s="4">
        <v>346572.55699807085</v>
      </c>
      <c r="H361" s="5">
        <f t="shared" si="4"/>
        <v>0</v>
      </c>
      <c r="I361" t="s">
        <v>116</v>
      </c>
      <c r="J361" t="s">
        <v>126</v>
      </c>
      <c r="K361" s="5">
        <f>20 / 86400</f>
        <v>2.3148148148148149E-4</v>
      </c>
      <c r="L361" s="5">
        <f>20 / 86400</f>
        <v>2.3148148148148149E-4</v>
      </c>
    </row>
    <row r="362" spans="1:12" x14ac:dyDescent="0.25">
      <c r="A362" s="3">
        <v>45693.533495370371</v>
      </c>
      <c r="B362" t="s">
        <v>196</v>
      </c>
      <c r="C362" s="3">
        <v>45693.535648148143</v>
      </c>
      <c r="D362" t="s">
        <v>246</v>
      </c>
      <c r="E362" s="4">
        <v>0.51069320362806325</v>
      </c>
      <c r="F362" s="4">
        <v>346572.56682655396</v>
      </c>
      <c r="G362" s="4">
        <v>346573.07751975756</v>
      </c>
      <c r="H362" s="5">
        <f t="shared" si="4"/>
        <v>0</v>
      </c>
      <c r="I362" t="s">
        <v>28</v>
      </c>
      <c r="J362" t="s">
        <v>20</v>
      </c>
      <c r="K362" s="5">
        <f>186 / 86400</f>
        <v>2.1527777777777778E-3</v>
      </c>
      <c r="L362" s="5">
        <f>20 / 86400</f>
        <v>2.3148148148148149E-4</v>
      </c>
    </row>
    <row r="363" spans="1:12" x14ac:dyDescent="0.25">
      <c r="A363" s="3">
        <v>45693.535879629635</v>
      </c>
      <c r="B363" t="s">
        <v>246</v>
      </c>
      <c r="C363" s="3">
        <v>45693.53837962963</v>
      </c>
      <c r="D363" t="s">
        <v>248</v>
      </c>
      <c r="E363" s="4">
        <v>1.0601247528791427</v>
      </c>
      <c r="F363" s="4">
        <v>346573.10055807955</v>
      </c>
      <c r="G363" s="4">
        <v>346574.16068283241</v>
      </c>
      <c r="H363" s="5">
        <f t="shared" si="4"/>
        <v>0</v>
      </c>
      <c r="I363" t="s">
        <v>219</v>
      </c>
      <c r="J363" t="s">
        <v>24</v>
      </c>
      <c r="K363" s="5">
        <f>216 / 86400</f>
        <v>2.5000000000000001E-3</v>
      </c>
      <c r="L363" s="5">
        <f>60 / 86400</f>
        <v>6.9444444444444447E-4</v>
      </c>
    </row>
    <row r="364" spans="1:12" x14ac:dyDescent="0.25">
      <c r="A364" s="3">
        <v>45693.53907407407</v>
      </c>
      <c r="B364" t="s">
        <v>248</v>
      </c>
      <c r="C364" s="3">
        <v>45693.540821759263</v>
      </c>
      <c r="D364" t="s">
        <v>311</v>
      </c>
      <c r="E364" s="4">
        <v>1.3483598361611366</v>
      </c>
      <c r="F364" s="4">
        <v>346574.2415042877</v>
      </c>
      <c r="G364" s="4">
        <v>346575.5898641239</v>
      </c>
      <c r="H364" s="5">
        <f t="shared" si="4"/>
        <v>0</v>
      </c>
      <c r="I364" t="s">
        <v>142</v>
      </c>
      <c r="J364" t="s">
        <v>174</v>
      </c>
      <c r="K364" s="5">
        <f>151 / 86400</f>
        <v>1.7476851851851852E-3</v>
      </c>
      <c r="L364" s="5">
        <f>9 / 86400</f>
        <v>1.0416666666666667E-4</v>
      </c>
    </row>
    <row r="365" spans="1:12" x14ac:dyDescent="0.25">
      <c r="A365" s="3">
        <v>45693.540925925925</v>
      </c>
      <c r="B365" t="s">
        <v>311</v>
      </c>
      <c r="C365" s="3">
        <v>45693.542314814811</v>
      </c>
      <c r="D365" t="s">
        <v>251</v>
      </c>
      <c r="E365" s="4">
        <v>1.0672020768523216</v>
      </c>
      <c r="F365" s="4">
        <v>346575.59401020344</v>
      </c>
      <c r="G365" s="4">
        <v>346576.66121228028</v>
      </c>
      <c r="H365" s="5">
        <f t="shared" si="4"/>
        <v>0</v>
      </c>
      <c r="I365" t="s">
        <v>163</v>
      </c>
      <c r="J365" t="s">
        <v>174</v>
      </c>
      <c r="K365" s="5">
        <f>120 / 86400</f>
        <v>1.3888888888888889E-3</v>
      </c>
      <c r="L365" s="5">
        <f>40 / 86400</f>
        <v>4.6296296296296298E-4</v>
      </c>
    </row>
    <row r="366" spans="1:12" x14ac:dyDescent="0.25">
      <c r="A366" s="3">
        <v>45693.54277777778</v>
      </c>
      <c r="B366" t="s">
        <v>251</v>
      </c>
      <c r="C366" s="3">
        <v>45693.543703703705</v>
      </c>
      <c r="D366" t="s">
        <v>312</v>
      </c>
      <c r="E366" s="4">
        <v>0.70549989569187166</v>
      </c>
      <c r="F366" s="4">
        <v>346576.67727688997</v>
      </c>
      <c r="G366" s="4">
        <v>346577.3827767857</v>
      </c>
      <c r="H366" s="5">
        <f t="shared" si="4"/>
        <v>0</v>
      </c>
      <c r="I366" t="s">
        <v>58</v>
      </c>
      <c r="J366" t="s">
        <v>174</v>
      </c>
      <c r="K366" s="5">
        <f>80 / 86400</f>
        <v>9.2592592592592596E-4</v>
      </c>
      <c r="L366" s="5">
        <f>161 / 86400</f>
        <v>1.8634259259259259E-3</v>
      </c>
    </row>
    <row r="367" spans="1:12" x14ac:dyDescent="0.25">
      <c r="A367" s="3">
        <v>45693.545567129629</v>
      </c>
      <c r="B367" t="s">
        <v>313</v>
      </c>
      <c r="C367" s="3">
        <v>45693.546527777777</v>
      </c>
      <c r="D367" t="s">
        <v>314</v>
      </c>
      <c r="E367" s="4">
        <v>0.38380082684755323</v>
      </c>
      <c r="F367" s="4">
        <v>346577.41368652496</v>
      </c>
      <c r="G367" s="4">
        <v>346577.79748735181</v>
      </c>
      <c r="H367" s="5">
        <f t="shared" si="4"/>
        <v>0</v>
      </c>
      <c r="I367" t="s">
        <v>85</v>
      </c>
      <c r="J367" t="s">
        <v>28</v>
      </c>
      <c r="K367" s="5">
        <f>83 / 86400</f>
        <v>9.6064814814814819E-4</v>
      </c>
      <c r="L367" s="5">
        <f>27 / 86400</f>
        <v>3.1250000000000001E-4</v>
      </c>
    </row>
    <row r="368" spans="1:12" x14ac:dyDescent="0.25">
      <c r="A368" s="3">
        <v>45693.546840277777</v>
      </c>
      <c r="B368" t="s">
        <v>314</v>
      </c>
      <c r="C368" s="3">
        <v>45693.548460648148</v>
      </c>
      <c r="D368" t="s">
        <v>122</v>
      </c>
      <c r="E368" s="4">
        <v>0.56016497814655308</v>
      </c>
      <c r="F368" s="4">
        <v>346577.80960907007</v>
      </c>
      <c r="G368" s="4">
        <v>346578.36977404822</v>
      </c>
      <c r="H368" s="5">
        <f t="shared" si="4"/>
        <v>0</v>
      </c>
      <c r="I368" t="s">
        <v>179</v>
      </c>
      <c r="J368" t="s">
        <v>52</v>
      </c>
      <c r="K368" s="5">
        <f>140 / 86400</f>
        <v>1.6203703703703703E-3</v>
      </c>
      <c r="L368" s="5">
        <f>20 / 86400</f>
        <v>2.3148148148148149E-4</v>
      </c>
    </row>
    <row r="369" spans="1:12" x14ac:dyDescent="0.25">
      <c r="A369" s="3">
        <v>45693.548692129625</v>
      </c>
      <c r="B369" t="s">
        <v>122</v>
      </c>
      <c r="C369" s="3">
        <v>45693.54892361111</v>
      </c>
      <c r="D369" t="s">
        <v>122</v>
      </c>
      <c r="E369" s="4">
        <v>5.9497800469398496E-3</v>
      </c>
      <c r="F369" s="4">
        <v>346578.37446604902</v>
      </c>
      <c r="G369" s="4">
        <v>346578.38041582907</v>
      </c>
      <c r="H369" s="5">
        <f t="shared" si="4"/>
        <v>0</v>
      </c>
      <c r="I369" t="s">
        <v>126</v>
      </c>
      <c r="J369" t="s">
        <v>116</v>
      </c>
      <c r="K369" s="5">
        <f>20 / 86400</f>
        <v>2.3148148148148149E-4</v>
      </c>
      <c r="L369" s="5">
        <f>7 / 86400</f>
        <v>8.1018518518518516E-5</v>
      </c>
    </row>
    <row r="370" spans="1:12" x14ac:dyDescent="0.25">
      <c r="A370" s="3">
        <v>45693.549004629633</v>
      </c>
      <c r="B370" t="s">
        <v>122</v>
      </c>
      <c r="C370" s="3">
        <v>45693.551782407405</v>
      </c>
      <c r="D370" t="s">
        <v>253</v>
      </c>
      <c r="E370" s="4">
        <v>1.9447275407910347</v>
      </c>
      <c r="F370" s="4">
        <v>346578.39141584787</v>
      </c>
      <c r="G370" s="4">
        <v>346580.3361433887</v>
      </c>
      <c r="H370" s="5">
        <f t="shared" si="4"/>
        <v>0</v>
      </c>
      <c r="I370" t="s">
        <v>219</v>
      </c>
      <c r="J370" t="s">
        <v>195</v>
      </c>
      <c r="K370" s="5">
        <f>240 / 86400</f>
        <v>2.7777777777777779E-3</v>
      </c>
      <c r="L370" s="5">
        <f>8 / 86400</f>
        <v>9.2592592592592588E-5</v>
      </c>
    </row>
    <row r="371" spans="1:12" x14ac:dyDescent="0.25">
      <c r="A371" s="3">
        <v>45693.551875000005</v>
      </c>
      <c r="B371" t="s">
        <v>253</v>
      </c>
      <c r="C371" s="3">
        <v>45693.553252314814</v>
      </c>
      <c r="D371" t="s">
        <v>254</v>
      </c>
      <c r="E371" s="4">
        <v>0.45023918449878692</v>
      </c>
      <c r="F371" s="4">
        <v>346580.34379306901</v>
      </c>
      <c r="G371" s="4">
        <v>346580.7940322535</v>
      </c>
      <c r="H371" s="5">
        <f t="shared" si="4"/>
        <v>0</v>
      </c>
      <c r="I371" t="s">
        <v>138</v>
      </c>
      <c r="J371" t="s">
        <v>52</v>
      </c>
      <c r="K371" s="5">
        <f>119 / 86400</f>
        <v>1.3773148148148147E-3</v>
      </c>
      <c r="L371" s="5">
        <f>33 / 86400</f>
        <v>3.8194444444444446E-4</v>
      </c>
    </row>
    <row r="372" spans="1:12" x14ac:dyDescent="0.25">
      <c r="A372" s="3">
        <v>45693.55363425926</v>
      </c>
      <c r="B372" t="s">
        <v>255</v>
      </c>
      <c r="C372" s="3">
        <v>45693.555486111116</v>
      </c>
      <c r="D372" t="s">
        <v>166</v>
      </c>
      <c r="E372" s="4">
        <v>1.2368535868525505</v>
      </c>
      <c r="F372" s="4">
        <v>346580.80501276959</v>
      </c>
      <c r="G372" s="4">
        <v>346582.04186635645</v>
      </c>
      <c r="H372" s="5">
        <f t="shared" si="4"/>
        <v>0</v>
      </c>
      <c r="I372" t="s">
        <v>81</v>
      </c>
      <c r="J372" t="s">
        <v>231</v>
      </c>
      <c r="K372" s="5">
        <f>160 / 86400</f>
        <v>1.8518518518518519E-3</v>
      </c>
      <c r="L372" s="5">
        <f>20 / 86400</f>
        <v>2.3148148148148149E-4</v>
      </c>
    </row>
    <row r="373" spans="1:12" x14ac:dyDescent="0.25">
      <c r="A373" s="3">
        <v>45693.555717592593</v>
      </c>
      <c r="B373" t="s">
        <v>166</v>
      </c>
      <c r="C373" s="3">
        <v>45693.55641203704</v>
      </c>
      <c r="D373" t="s">
        <v>256</v>
      </c>
      <c r="E373" s="4">
        <v>0.27840661823749541</v>
      </c>
      <c r="F373" s="4">
        <v>346582.16992411215</v>
      </c>
      <c r="G373" s="4">
        <v>346582.44833073037</v>
      </c>
      <c r="H373" s="5">
        <f t="shared" si="4"/>
        <v>0</v>
      </c>
      <c r="I373" t="s">
        <v>156</v>
      </c>
      <c r="J373" t="s">
        <v>28</v>
      </c>
      <c r="K373" s="5">
        <f>60 / 86400</f>
        <v>6.9444444444444447E-4</v>
      </c>
      <c r="L373" s="5">
        <f>20 / 86400</f>
        <v>2.3148148148148149E-4</v>
      </c>
    </row>
    <row r="374" spans="1:12" x14ac:dyDescent="0.25">
      <c r="A374" s="3">
        <v>45693.556643518517</v>
      </c>
      <c r="B374" t="s">
        <v>256</v>
      </c>
      <c r="C374" s="3">
        <v>45693.556874999995</v>
      </c>
      <c r="D374" t="s">
        <v>256</v>
      </c>
      <c r="E374" s="4">
        <v>2.2745419621467592E-2</v>
      </c>
      <c r="F374" s="4">
        <v>346582.45684113709</v>
      </c>
      <c r="G374" s="4">
        <v>346582.47958655673</v>
      </c>
      <c r="H374" s="5">
        <f t="shared" si="4"/>
        <v>0</v>
      </c>
      <c r="I374" t="s">
        <v>126</v>
      </c>
      <c r="J374" t="s">
        <v>86</v>
      </c>
      <c r="K374" s="5">
        <f>20 / 86400</f>
        <v>2.3148148148148149E-4</v>
      </c>
      <c r="L374" s="5">
        <f>10 / 86400</f>
        <v>1.1574074074074075E-4</v>
      </c>
    </row>
    <row r="375" spans="1:12" x14ac:dyDescent="0.25">
      <c r="A375" s="3">
        <v>45693.556990740741</v>
      </c>
      <c r="B375" t="s">
        <v>256</v>
      </c>
      <c r="C375" s="3">
        <v>45693.557916666672</v>
      </c>
      <c r="D375" t="s">
        <v>166</v>
      </c>
      <c r="E375" s="4">
        <v>0.28248681634664535</v>
      </c>
      <c r="F375" s="4">
        <v>346582.4825580254</v>
      </c>
      <c r="G375" s="4">
        <v>346582.76504484174</v>
      </c>
      <c r="H375" s="5">
        <f t="shared" si="4"/>
        <v>0</v>
      </c>
      <c r="I375" t="s">
        <v>156</v>
      </c>
      <c r="J375" t="s">
        <v>55</v>
      </c>
      <c r="K375" s="5">
        <f>80 / 86400</f>
        <v>9.2592592592592596E-4</v>
      </c>
      <c r="L375" s="5">
        <f>20 / 86400</f>
        <v>2.3148148148148149E-4</v>
      </c>
    </row>
    <row r="376" spans="1:12" x14ac:dyDescent="0.25">
      <c r="A376" s="3">
        <v>45693.558148148149</v>
      </c>
      <c r="B376" t="s">
        <v>166</v>
      </c>
      <c r="C376" s="3">
        <v>45693.559687500005</v>
      </c>
      <c r="D376" t="s">
        <v>166</v>
      </c>
      <c r="E376" s="4">
        <v>1.0482787529230118</v>
      </c>
      <c r="F376" s="4">
        <v>346582.84013391216</v>
      </c>
      <c r="G376" s="4">
        <v>346583.88841266505</v>
      </c>
      <c r="H376" s="5">
        <f t="shared" si="4"/>
        <v>0</v>
      </c>
      <c r="I376" t="s">
        <v>141</v>
      </c>
      <c r="J376" t="s">
        <v>231</v>
      </c>
      <c r="K376" s="5">
        <f>133 / 86400</f>
        <v>1.5393518518518519E-3</v>
      </c>
      <c r="L376" s="5">
        <f>80 / 86400</f>
        <v>9.2592592592592596E-4</v>
      </c>
    </row>
    <row r="377" spans="1:12" x14ac:dyDescent="0.25">
      <c r="A377" s="3">
        <v>45693.560613425929</v>
      </c>
      <c r="B377" t="s">
        <v>166</v>
      </c>
      <c r="C377" s="3">
        <v>45693.560844907406</v>
      </c>
      <c r="D377" t="s">
        <v>315</v>
      </c>
      <c r="E377" s="4">
        <v>3.9963026642799377E-3</v>
      </c>
      <c r="F377" s="4">
        <v>346583.89798212348</v>
      </c>
      <c r="G377" s="4">
        <v>346583.90197842615</v>
      </c>
      <c r="H377" s="5">
        <f t="shared" si="4"/>
        <v>0</v>
      </c>
      <c r="I377" t="s">
        <v>116</v>
      </c>
      <c r="J377" t="s">
        <v>116</v>
      </c>
      <c r="K377" s="5">
        <f>20 / 86400</f>
        <v>2.3148148148148149E-4</v>
      </c>
      <c r="L377" s="5">
        <f>60 / 86400</f>
        <v>6.9444444444444447E-4</v>
      </c>
    </row>
    <row r="378" spans="1:12" x14ac:dyDescent="0.25">
      <c r="A378" s="3">
        <v>45693.561539351853</v>
      </c>
      <c r="B378" t="s">
        <v>316</v>
      </c>
      <c r="C378" s="3">
        <v>45693.56177083333</v>
      </c>
      <c r="D378" t="s">
        <v>316</v>
      </c>
      <c r="E378" s="4">
        <v>2.5846202373504641E-3</v>
      </c>
      <c r="F378" s="4">
        <v>346583.90923934145</v>
      </c>
      <c r="G378" s="4">
        <v>346583.91182396165</v>
      </c>
      <c r="H378" s="5">
        <f t="shared" si="4"/>
        <v>0</v>
      </c>
      <c r="I378" t="s">
        <v>116</v>
      </c>
      <c r="J378" t="s">
        <v>124</v>
      </c>
      <c r="K378" s="5">
        <f>20 / 86400</f>
        <v>2.3148148148148149E-4</v>
      </c>
      <c r="L378" s="5">
        <f>20 / 86400</f>
        <v>2.3148148148148149E-4</v>
      </c>
    </row>
    <row r="379" spans="1:12" x14ac:dyDescent="0.25">
      <c r="A379" s="3">
        <v>45693.562002314815</v>
      </c>
      <c r="B379" t="s">
        <v>317</v>
      </c>
      <c r="C379" s="3">
        <v>45693.5622337963</v>
      </c>
      <c r="D379" t="s">
        <v>257</v>
      </c>
      <c r="E379" s="4">
        <v>2.2206854522228241E-2</v>
      </c>
      <c r="F379" s="4">
        <v>346583.92176572763</v>
      </c>
      <c r="G379" s="4">
        <v>346583.94397258217</v>
      </c>
      <c r="H379" s="5">
        <f t="shared" si="4"/>
        <v>0</v>
      </c>
      <c r="I379" t="s">
        <v>86</v>
      </c>
      <c r="J379" t="s">
        <v>86</v>
      </c>
      <c r="K379" s="5">
        <f>20 / 86400</f>
        <v>2.3148148148148149E-4</v>
      </c>
      <c r="L379" s="5">
        <f>20 / 86400</f>
        <v>2.3148148148148149E-4</v>
      </c>
    </row>
    <row r="380" spans="1:12" x14ac:dyDescent="0.25">
      <c r="A380" s="3">
        <v>45693.562465277777</v>
      </c>
      <c r="B380" t="s">
        <v>166</v>
      </c>
      <c r="C380" s="3">
        <v>45693.563831018517</v>
      </c>
      <c r="D380" t="s">
        <v>257</v>
      </c>
      <c r="E380" s="4">
        <v>0.15036758351325988</v>
      </c>
      <c r="F380" s="4">
        <v>346583.9616414319</v>
      </c>
      <c r="G380" s="4">
        <v>346584.11200901546</v>
      </c>
      <c r="H380" s="5">
        <f t="shared" si="4"/>
        <v>0</v>
      </c>
      <c r="I380" t="s">
        <v>119</v>
      </c>
      <c r="J380" t="s">
        <v>133</v>
      </c>
      <c r="K380" s="5">
        <f>118 / 86400</f>
        <v>1.3657407407407407E-3</v>
      </c>
      <c r="L380" s="5">
        <f>40 / 86400</f>
        <v>4.6296296296296298E-4</v>
      </c>
    </row>
    <row r="381" spans="1:12" x14ac:dyDescent="0.25">
      <c r="A381" s="3">
        <v>45693.564293981486</v>
      </c>
      <c r="B381" t="s">
        <v>257</v>
      </c>
      <c r="C381" s="3">
        <v>45693.564525462964</v>
      </c>
      <c r="D381" t="s">
        <v>257</v>
      </c>
      <c r="E381" s="4">
        <v>2.5002930343151094E-2</v>
      </c>
      <c r="F381" s="4">
        <v>346584.13692675316</v>
      </c>
      <c r="G381" s="4">
        <v>346584.16192968353</v>
      </c>
      <c r="H381" s="5">
        <f t="shared" si="4"/>
        <v>0</v>
      </c>
      <c r="I381" t="s">
        <v>132</v>
      </c>
      <c r="J381" t="s">
        <v>133</v>
      </c>
      <c r="K381" s="5">
        <f>20 / 86400</f>
        <v>2.3148148148148149E-4</v>
      </c>
      <c r="L381" s="5">
        <f>40 / 86400</f>
        <v>4.6296296296296298E-4</v>
      </c>
    </row>
    <row r="382" spans="1:12" x14ac:dyDescent="0.25">
      <c r="A382" s="3">
        <v>45693.564988425926</v>
      </c>
      <c r="B382" t="s">
        <v>257</v>
      </c>
      <c r="C382" s="3">
        <v>45693.568541666667</v>
      </c>
      <c r="D382" t="s">
        <v>166</v>
      </c>
      <c r="E382" s="4">
        <v>0.97997661864757535</v>
      </c>
      <c r="F382" s="4">
        <v>346584.16737787466</v>
      </c>
      <c r="G382" s="4">
        <v>346585.14735449333</v>
      </c>
      <c r="H382" s="5">
        <f t="shared" ref="H382:H407" si="5">0 / 86400</f>
        <v>0</v>
      </c>
      <c r="I382" t="s">
        <v>204</v>
      </c>
      <c r="J382" t="s">
        <v>154</v>
      </c>
      <c r="K382" s="5">
        <f>307 / 86400</f>
        <v>3.5532407407407409E-3</v>
      </c>
      <c r="L382" s="5">
        <f>40 / 86400</f>
        <v>4.6296296296296298E-4</v>
      </c>
    </row>
    <row r="383" spans="1:12" x14ac:dyDescent="0.25">
      <c r="A383" s="3">
        <v>45693.569004629629</v>
      </c>
      <c r="B383" t="s">
        <v>151</v>
      </c>
      <c r="C383" s="3">
        <v>45693.569467592592</v>
      </c>
      <c r="D383" t="s">
        <v>318</v>
      </c>
      <c r="E383" s="4">
        <v>0.11020770555734634</v>
      </c>
      <c r="F383" s="4">
        <v>346585.21182746917</v>
      </c>
      <c r="G383" s="4">
        <v>346585.3220351747</v>
      </c>
      <c r="H383" s="5">
        <f t="shared" si="5"/>
        <v>0</v>
      </c>
      <c r="I383" t="s">
        <v>20</v>
      </c>
      <c r="J383" t="s">
        <v>20</v>
      </c>
      <c r="K383" s="5">
        <f>40 / 86400</f>
        <v>4.6296296296296298E-4</v>
      </c>
      <c r="L383" s="5">
        <f>20 / 86400</f>
        <v>2.3148148148148149E-4</v>
      </c>
    </row>
    <row r="384" spans="1:12" x14ac:dyDescent="0.25">
      <c r="A384" s="3">
        <v>45693.569699074069</v>
      </c>
      <c r="B384" t="s">
        <v>318</v>
      </c>
      <c r="C384" s="3">
        <v>45693.570856481485</v>
      </c>
      <c r="D384" t="s">
        <v>151</v>
      </c>
      <c r="E384" s="4">
        <v>0.1382098706960678</v>
      </c>
      <c r="F384" s="4">
        <v>346585.35735477699</v>
      </c>
      <c r="G384" s="4">
        <v>346585.49556464766</v>
      </c>
      <c r="H384" s="5">
        <f t="shared" si="5"/>
        <v>0</v>
      </c>
      <c r="I384" t="s">
        <v>86</v>
      </c>
      <c r="J384" t="s">
        <v>133</v>
      </c>
      <c r="K384" s="5">
        <f>100 / 86400</f>
        <v>1.1574074074074073E-3</v>
      </c>
      <c r="L384" s="5">
        <f>60 / 86400</f>
        <v>6.9444444444444447E-4</v>
      </c>
    </row>
    <row r="385" spans="1:12" x14ac:dyDescent="0.25">
      <c r="A385" s="3">
        <v>45693.571550925924</v>
      </c>
      <c r="B385" t="s">
        <v>151</v>
      </c>
      <c r="C385" s="3">
        <v>45693.571782407409</v>
      </c>
      <c r="D385" t="s">
        <v>151</v>
      </c>
      <c r="E385" s="4">
        <v>1.8874512016773225E-2</v>
      </c>
      <c r="F385" s="4">
        <v>346585.54973143514</v>
      </c>
      <c r="G385" s="4">
        <v>346585.56860594713</v>
      </c>
      <c r="H385" s="5">
        <f t="shared" si="5"/>
        <v>0</v>
      </c>
      <c r="I385" t="s">
        <v>132</v>
      </c>
      <c r="J385" t="s">
        <v>149</v>
      </c>
      <c r="K385" s="5">
        <f>20 / 86400</f>
        <v>2.3148148148148149E-4</v>
      </c>
      <c r="L385" s="5">
        <f>20 / 86400</f>
        <v>2.3148148148148149E-4</v>
      </c>
    </row>
    <row r="386" spans="1:12" x14ac:dyDescent="0.25">
      <c r="A386" s="3">
        <v>45693.572013888886</v>
      </c>
      <c r="B386" t="s">
        <v>151</v>
      </c>
      <c r="C386" s="3">
        <v>45693.572777777779</v>
      </c>
      <c r="D386" t="s">
        <v>151</v>
      </c>
      <c r="E386" s="4">
        <v>0.24610257810354233</v>
      </c>
      <c r="F386" s="4">
        <v>346585.60083094705</v>
      </c>
      <c r="G386" s="4">
        <v>346585.84693352517</v>
      </c>
      <c r="H386" s="5">
        <f t="shared" si="5"/>
        <v>0</v>
      </c>
      <c r="I386" t="s">
        <v>37</v>
      </c>
      <c r="J386" t="s">
        <v>55</v>
      </c>
      <c r="K386" s="5">
        <f>66 / 86400</f>
        <v>7.6388888888888893E-4</v>
      </c>
      <c r="L386" s="5">
        <f>40 / 86400</f>
        <v>4.6296296296296298E-4</v>
      </c>
    </row>
    <row r="387" spans="1:12" x14ac:dyDescent="0.25">
      <c r="A387" s="3">
        <v>45693.573240740741</v>
      </c>
      <c r="B387" t="s">
        <v>151</v>
      </c>
      <c r="C387" s="3">
        <v>45693.575787037036</v>
      </c>
      <c r="D387" t="s">
        <v>151</v>
      </c>
      <c r="E387" s="4">
        <v>0.6720401310920715</v>
      </c>
      <c r="F387" s="4">
        <v>346585.88926574239</v>
      </c>
      <c r="G387" s="4">
        <v>346586.56130587345</v>
      </c>
      <c r="H387" s="5">
        <f t="shared" si="5"/>
        <v>0</v>
      </c>
      <c r="I387" t="s">
        <v>24</v>
      </c>
      <c r="J387" t="s">
        <v>154</v>
      </c>
      <c r="K387" s="5">
        <f>220 / 86400</f>
        <v>2.5462962962962965E-3</v>
      </c>
      <c r="L387" s="5">
        <f>20 / 86400</f>
        <v>2.3148148148148149E-4</v>
      </c>
    </row>
    <row r="388" spans="1:12" x14ac:dyDescent="0.25">
      <c r="A388" s="3">
        <v>45693.576018518521</v>
      </c>
      <c r="B388" t="s">
        <v>151</v>
      </c>
      <c r="C388" s="3">
        <v>45693.576481481483</v>
      </c>
      <c r="D388" t="s">
        <v>151</v>
      </c>
      <c r="E388" s="4">
        <v>1.9880303382873533E-2</v>
      </c>
      <c r="F388" s="4">
        <v>346586.60102480481</v>
      </c>
      <c r="G388" s="4">
        <v>346586.62090510823</v>
      </c>
      <c r="H388" s="5">
        <f t="shared" si="5"/>
        <v>0</v>
      </c>
      <c r="I388" t="s">
        <v>86</v>
      </c>
      <c r="J388" t="s">
        <v>126</v>
      </c>
      <c r="K388" s="5">
        <f>40 / 86400</f>
        <v>4.6296296296296298E-4</v>
      </c>
      <c r="L388" s="5">
        <f>20 / 86400</f>
        <v>2.3148148148148149E-4</v>
      </c>
    </row>
    <row r="389" spans="1:12" x14ac:dyDescent="0.25">
      <c r="A389" s="3">
        <v>45693.576712962968</v>
      </c>
      <c r="B389" t="s">
        <v>151</v>
      </c>
      <c r="C389" s="3">
        <v>45693.578564814816</v>
      </c>
      <c r="D389" t="s">
        <v>319</v>
      </c>
      <c r="E389" s="4">
        <v>1.5878586972951889</v>
      </c>
      <c r="F389" s="4">
        <v>346586.62254174065</v>
      </c>
      <c r="G389" s="4">
        <v>346588.21040043794</v>
      </c>
      <c r="H389" s="5">
        <f t="shared" si="5"/>
        <v>0</v>
      </c>
      <c r="I389" t="s">
        <v>145</v>
      </c>
      <c r="J389" t="s">
        <v>169</v>
      </c>
      <c r="K389" s="5">
        <f>160 / 86400</f>
        <v>1.8518518518518519E-3</v>
      </c>
      <c r="L389" s="5">
        <f>20 / 86400</f>
        <v>2.3148148148148149E-4</v>
      </c>
    </row>
    <row r="390" spans="1:12" x14ac:dyDescent="0.25">
      <c r="A390" s="3">
        <v>45693.578796296293</v>
      </c>
      <c r="B390" t="s">
        <v>158</v>
      </c>
      <c r="C390" s="3">
        <v>45693.579027777778</v>
      </c>
      <c r="D390" t="s">
        <v>158</v>
      </c>
      <c r="E390" s="4">
        <v>1.7538441240787506E-2</v>
      </c>
      <c r="F390" s="4">
        <v>346588.31917906966</v>
      </c>
      <c r="G390" s="4">
        <v>346588.33671751089</v>
      </c>
      <c r="H390" s="5">
        <f t="shared" si="5"/>
        <v>0</v>
      </c>
      <c r="I390" t="s">
        <v>52</v>
      </c>
      <c r="J390" t="s">
        <v>149</v>
      </c>
      <c r="K390" s="5">
        <f>20 / 86400</f>
        <v>2.3148148148148149E-4</v>
      </c>
      <c r="L390" s="5">
        <f>29 / 86400</f>
        <v>3.3564814814814812E-4</v>
      </c>
    </row>
    <row r="391" spans="1:12" x14ac:dyDescent="0.25">
      <c r="A391" s="3">
        <v>45693.579363425924</v>
      </c>
      <c r="B391" t="s">
        <v>158</v>
      </c>
      <c r="C391" s="3">
        <v>45693.579826388886</v>
      </c>
      <c r="D391" t="s">
        <v>158</v>
      </c>
      <c r="E391" s="4">
        <v>4.018375653028488E-2</v>
      </c>
      <c r="F391" s="4">
        <v>346588.36881244701</v>
      </c>
      <c r="G391" s="4">
        <v>346588.40899620357</v>
      </c>
      <c r="H391" s="5">
        <f t="shared" si="5"/>
        <v>0</v>
      </c>
      <c r="I391" t="s">
        <v>20</v>
      </c>
      <c r="J391" t="s">
        <v>86</v>
      </c>
      <c r="K391" s="5">
        <f>40 / 86400</f>
        <v>4.6296296296296298E-4</v>
      </c>
      <c r="L391" s="5">
        <f>48 / 86400</f>
        <v>5.5555555555555556E-4</v>
      </c>
    </row>
    <row r="392" spans="1:12" x14ac:dyDescent="0.25">
      <c r="A392" s="3">
        <v>45693.580381944441</v>
      </c>
      <c r="B392" t="s">
        <v>158</v>
      </c>
      <c r="C392" s="3">
        <v>45693.586400462962</v>
      </c>
      <c r="D392" t="s">
        <v>320</v>
      </c>
      <c r="E392" s="4">
        <v>4.5421853557825091</v>
      </c>
      <c r="F392" s="4">
        <v>346588.41841634782</v>
      </c>
      <c r="G392" s="4">
        <v>346592.96060170361</v>
      </c>
      <c r="H392" s="5">
        <f t="shared" si="5"/>
        <v>0</v>
      </c>
      <c r="I392" t="s">
        <v>66</v>
      </c>
      <c r="J392" t="s">
        <v>159</v>
      </c>
      <c r="K392" s="5">
        <f>520 / 86400</f>
        <v>6.0185185185185185E-3</v>
      </c>
      <c r="L392" s="5">
        <f>20 / 86400</f>
        <v>2.3148148148148149E-4</v>
      </c>
    </row>
    <row r="393" spans="1:12" x14ac:dyDescent="0.25">
      <c r="A393" s="3">
        <v>45693.586631944447</v>
      </c>
      <c r="B393" t="s">
        <v>320</v>
      </c>
      <c r="C393" s="3">
        <v>45693.586863425924</v>
      </c>
      <c r="D393" t="s">
        <v>320</v>
      </c>
      <c r="E393" s="4">
        <v>4.8882955908775326E-3</v>
      </c>
      <c r="F393" s="4">
        <v>346592.96369448246</v>
      </c>
      <c r="G393" s="4">
        <v>346592.96858277806</v>
      </c>
      <c r="H393" s="5">
        <f t="shared" si="5"/>
        <v>0</v>
      </c>
      <c r="I393" t="s">
        <v>116</v>
      </c>
      <c r="J393" t="s">
        <v>116</v>
      </c>
      <c r="K393" s="5">
        <f>20 / 86400</f>
        <v>2.3148148148148149E-4</v>
      </c>
      <c r="L393" s="5">
        <f>20 / 86400</f>
        <v>2.3148148148148149E-4</v>
      </c>
    </row>
    <row r="394" spans="1:12" x14ac:dyDescent="0.25">
      <c r="A394" s="3">
        <v>45693.587094907409</v>
      </c>
      <c r="B394" t="s">
        <v>321</v>
      </c>
      <c r="C394" s="3">
        <v>45693.588333333333</v>
      </c>
      <c r="D394" t="s">
        <v>168</v>
      </c>
      <c r="E394" s="4">
        <v>0.79724904167652133</v>
      </c>
      <c r="F394" s="4">
        <v>346592.97527808743</v>
      </c>
      <c r="G394" s="4">
        <v>346593.7725271291</v>
      </c>
      <c r="H394" s="5">
        <f t="shared" si="5"/>
        <v>0</v>
      </c>
      <c r="I394" t="s">
        <v>147</v>
      </c>
      <c r="J394" t="s">
        <v>212</v>
      </c>
      <c r="K394" s="5">
        <f>107 / 86400</f>
        <v>1.238425925925926E-3</v>
      </c>
      <c r="L394" s="5">
        <f>4 / 86400</f>
        <v>4.6296296296296294E-5</v>
      </c>
    </row>
    <row r="395" spans="1:12" x14ac:dyDescent="0.25">
      <c r="A395" s="3">
        <v>45693.588379629626</v>
      </c>
      <c r="B395" t="s">
        <v>168</v>
      </c>
      <c r="C395" s="3">
        <v>45693.590231481481</v>
      </c>
      <c r="D395" t="s">
        <v>130</v>
      </c>
      <c r="E395" s="4">
        <v>1.4176295763254165</v>
      </c>
      <c r="F395" s="4">
        <v>346593.77668853372</v>
      </c>
      <c r="G395" s="4">
        <v>346595.19431811007</v>
      </c>
      <c r="H395" s="5">
        <f t="shared" si="5"/>
        <v>0</v>
      </c>
      <c r="I395" t="s">
        <v>142</v>
      </c>
      <c r="J395" t="s">
        <v>174</v>
      </c>
      <c r="K395" s="5">
        <f>160 / 86400</f>
        <v>1.8518518518518519E-3</v>
      </c>
      <c r="L395" s="5">
        <f>15 / 86400</f>
        <v>1.7361111111111112E-4</v>
      </c>
    </row>
    <row r="396" spans="1:12" x14ac:dyDescent="0.25">
      <c r="A396" s="3">
        <v>45693.590405092589</v>
      </c>
      <c r="B396" t="s">
        <v>130</v>
      </c>
      <c r="C396" s="3">
        <v>45693.591331018513</v>
      </c>
      <c r="D396" t="s">
        <v>262</v>
      </c>
      <c r="E396" s="4">
        <v>0.6526126434803009</v>
      </c>
      <c r="F396" s="4">
        <v>346595.21117810358</v>
      </c>
      <c r="G396" s="4">
        <v>346595.86379074707</v>
      </c>
      <c r="H396" s="5">
        <f t="shared" si="5"/>
        <v>0</v>
      </c>
      <c r="I396" t="s">
        <v>179</v>
      </c>
      <c r="J396" t="s">
        <v>195</v>
      </c>
      <c r="K396" s="5">
        <f>80 / 86400</f>
        <v>9.2592592592592596E-4</v>
      </c>
      <c r="L396" s="5">
        <f>20 / 86400</f>
        <v>2.3148148148148149E-4</v>
      </c>
    </row>
    <row r="397" spans="1:12" x14ac:dyDescent="0.25">
      <c r="A397" s="3">
        <v>45693.591562500005</v>
      </c>
      <c r="B397" t="s">
        <v>130</v>
      </c>
      <c r="C397" s="3">
        <v>45693.591793981483</v>
      </c>
      <c r="D397" t="s">
        <v>130</v>
      </c>
      <c r="E397" s="4">
        <v>0.12963779991865157</v>
      </c>
      <c r="F397" s="4">
        <v>346596.03214931936</v>
      </c>
      <c r="G397" s="4">
        <v>346596.16178711929</v>
      </c>
      <c r="H397" s="5">
        <f t="shared" si="5"/>
        <v>0</v>
      </c>
      <c r="I397" t="s">
        <v>180</v>
      </c>
      <c r="J397" t="s">
        <v>150</v>
      </c>
      <c r="K397" s="5">
        <f>20 / 86400</f>
        <v>2.3148148148148149E-4</v>
      </c>
      <c r="L397" s="5">
        <f>19 / 86400</f>
        <v>2.199074074074074E-4</v>
      </c>
    </row>
    <row r="398" spans="1:12" x14ac:dyDescent="0.25">
      <c r="A398" s="3">
        <v>45693.592013888891</v>
      </c>
      <c r="B398" t="s">
        <v>130</v>
      </c>
      <c r="C398" s="3">
        <v>45693.592708333337</v>
      </c>
      <c r="D398" t="s">
        <v>130</v>
      </c>
      <c r="E398" s="4">
        <v>0.10999695086479187</v>
      </c>
      <c r="F398" s="4">
        <v>346596.16681121732</v>
      </c>
      <c r="G398" s="4">
        <v>346596.27680816816</v>
      </c>
      <c r="H398" s="5">
        <f t="shared" si="5"/>
        <v>0</v>
      </c>
      <c r="I398" t="s">
        <v>132</v>
      </c>
      <c r="J398" t="s">
        <v>132</v>
      </c>
      <c r="K398" s="5">
        <f>60 / 86400</f>
        <v>6.9444444444444447E-4</v>
      </c>
      <c r="L398" s="5">
        <f>10 / 86400</f>
        <v>1.1574074074074075E-4</v>
      </c>
    </row>
    <row r="399" spans="1:12" x14ac:dyDescent="0.25">
      <c r="A399" s="3">
        <v>45693.592824074076</v>
      </c>
      <c r="B399" t="s">
        <v>130</v>
      </c>
      <c r="C399" s="3">
        <v>45693.593055555553</v>
      </c>
      <c r="D399" t="s">
        <v>130</v>
      </c>
      <c r="E399" s="4">
        <v>5.2239841818809505E-3</v>
      </c>
      <c r="F399" s="4">
        <v>346596.2808323499</v>
      </c>
      <c r="G399" s="4">
        <v>346596.28605633409</v>
      </c>
      <c r="H399" s="5">
        <f t="shared" si="5"/>
        <v>0</v>
      </c>
      <c r="I399" t="s">
        <v>260</v>
      </c>
      <c r="J399" t="s">
        <v>116</v>
      </c>
      <c r="K399" s="5">
        <f>20 / 86400</f>
        <v>2.3148148148148149E-4</v>
      </c>
      <c r="L399" s="5">
        <f>17 / 86400</f>
        <v>1.9675925925925926E-4</v>
      </c>
    </row>
    <row r="400" spans="1:12" x14ac:dyDescent="0.25">
      <c r="A400" s="3">
        <v>45693.593252314815</v>
      </c>
      <c r="B400" t="s">
        <v>130</v>
      </c>
      <c r="C400" s="3">
        <v>45693.593946759254</v>
      </c>
      <c r="D400" t="s">
        <v>282</v>
      </c>
      <c r="E400" s="4">
        <v>0.42642799901962281</v>
      </c>
      <c r="F400" s="4">
        <v>346596.28984789463</v>
      </c>
      <c r="G400" s="4">
        <v>346596.71627589362</v>
      </c>
      <c r="H400" s="5">
        <f t="shared" si="5"/>
        <v>0</v>
      </c>
      <c r="I400" t="s">
        <v>202</v>
      </c>
      <c r="J400" t="s">
        <v>172</v>
      </c>
      <c r="K400" s="5">
        <f>60 / 86400</f>
        <v>6.9444444444444447E-4</v>
      </c>
      <c r="L400" s="5">
        <f>30 / 86400</f>
        <v>3.4722222222222224E-4</v>
      </c>
    </row>
    <row r="401" spans="1:12" x14ac:dyDescent="0.25">
      <c r="A401" s="3">
        <v>45693.594293981485</v>
      </c>
      <c r="B401" t="s">
        <v>282</v>
      </c>
      <c r="C401" s="3">
        <v>45693.594594907408</v>
      </c>
      <c r="D401" t="s">
        <v>282</v>
      </c>
      <c r="E401" s="4">
        <v>3.148346745967865E-2</v>
      </c>
      <c r="F401" s="4">
        <v>346596.72316186037</v>
      </c>
      <c r="G401" s="4">
        <v>346596.7546453278</v>
      </c>
      <c r="H401" s="5">
        <f t="shared" si="5"/>
        <v>0</v>
      </c>
      <c r="I401" t="s">
        <v>35</v>
      </c>
      <c r="J401" t="s">
        <v>86</v>
      </c>
      <c r="K401" s="5">
        <f>26 / 86400</f>
        <v>3.0092592592592595E-4</v>
      </c>
      <c r="L401" s="5">
        <f>41 / 86400</f>
        <v>4.7453703703703704E-4</v>
      </c>
    </row>
    <row r="402" spans="1:12" x14ac:dyDescent="0.25">
      <c r="A402" s="3">
        <v>45693.595069444447</v>
      </c>
      <c r="B402" t="s">
        <v>282</v>
      </c>
      <c r="C402" s="3">
        <v>45693.596458333333</v>
      </c>
      <c r="D402" t="s">
        <v>130</v>
      </c>
      <c r="E402" s="4">
        <v>1.338578552186489</v>
      </c>
      <c r="F402" s="4">
        <v>346596.89984959079</v>
      </c>
      <c r="G402" s="4">
        <v>346598.23842814297</v>
      </c>
      <c r="H402" s="5">
        <f t="shared" si="5"/>
        <v>0</v>
      </c>
      <c r="I402" t="s">
        <v>163</v>
      </c>
      <c r="J402" t="s">
        <v>167</v>
      </c>
      <c r="K402" s="5">
        <f>120 / 86400</f>
        <v>1.3888888888888889E-3</v>
      </c>
      <c r="L402" s="5">
        <f>20 / 86400</f>
        <v>2.3148148148148149E-4</v>
      </c>
    </row>
    <row r="403" spans="1:12" x14ac:dyDescent="0.25">
      <c r="A403" s="3">
        <v>45693.596689814818</v>
      </c>
      <c r="B403" t="s">
        <v>130</v>
      </c>
      <c r="C403" s="3">
        <v>45693.598773148144</v>
      </c>
      <c r="D403" t="s">
        <v>110</v>
      </c>
      <c r="E403" s="4">
        <v>2.0477249574661256</v>
      </c>
      <c r="F403" s="4">
        <v>346598.3640735115</v>
      </c>
      <c r="G403" s="4">
        <v>346600.41179846897</v>
      </c>
      <c r="H403" s="5">
        <f t="shared" si="5"/>
        <v>0</v>
      </c>
      <c r="I403" t="s">
        <v>261</v>
      </c>
      <c r="J403" t="s">
        <v>234</v>
      </c>
      <c r="K403" s="5">
        <f>180 / 86400</f>
        <v>2.0833333333333333E-3</v>
      </c>
      <c r="L403" s="5">
        <f>40 / 86400</f>
        <v>4.6296296296296298E-4</v>
      </c>
    </row>
    <row r="404" spans="1:12" x14ac:dyDescent="0.25">
      <c r="A404" s="3">
        <v>45693.599236111113</v>
      </c>
      <c r="B404" t="s">
        <v>110</v>
      </c>
      <c r="C404" s="3">
        <v>45693.600624999999</v>
      </c>
      <c r="D404" t="s">
        <v>110</v>
      </c>
      <c r="E404" s="4">
        <v>0.96291896706819535</v>
      </c>
      <c r="F404" s="4">
        <v>346600.43245138298</v>
      </c>
      <c r="G404" s="4">
        <v>346601.39537035004</v>
      </c>
      <c r="H404" s="5">
        <f t="shared" si="5"/>
        <v>0</v>
      </c>
      <c r="I404" t="s">
        <v>58</v>
      </c>
      <c r="J404" t="s">
        <v>195</v>
      </c>
      <c r="K404" s="5">
        <f>120 / 86400</f>
        <v>1.3888888888888889E-3</v>
      </c>
      <c r="L404" s="5">
        <f>26 / 86400</f>
        <v>3.0092592592592595E-4</v>
      </c>
    </row>
    <row r="405" spans="1:12" x14ac:dyDescent="0.25">
      <c r="A405" s="3">
        <v>45693.60092592593</v>
      </c>
      <c r="B405" t="s">
        <v>110</v>
      </c>
      <c r="C405" s="3">
        <v>45693.601388888885</v>
      </c>
      <c r="D405" t="s">
        <v>322</v>
      </c>
      <c r="E405" s="4">
        <v>5.0692816913127901E-2</v>
      </c>
      <c r="F405" s="4">
        <v>346601.39940503665</v>
      </c>
      <c r="G405" s="4">
        <v>346601.45009785355</v>
      </c>
      <c r="H405" s="5">
        <f t="shared" si="5"/>
        <v>0</v>
      </c>
      <c r="I405" t="s">
        <v>52</v>
      </c>
      <c r="J405" t="s">
        <v>133</v>
      </c>
      <c r="K405" s="5">
        <f>40 / 86400</f>
        <v>4.6296296296296298E-4</v>
      </c>
      <c r="L405" s="5">
        <f>524 / 86400</f>
        <v>6.0648148148148145E-3</v>
      </c>
    </row>
    <row r="406" spans="1:12" x14ac:dyDescent="0.25">
      <c r="A406" s="3">
        <v>45693.607453703706</v>
      </c>
      <c r="B406" t="s">
        <v>322</v>
      </c>
      <c r="C406" s="3">
        <v>45693.607824074075</v>
      </c>
      <c r="D406" t="s">
        <v>323</v>
      </c>
      <c r="E406" s="4">
        <v>6.0160288095474246E-2</v>
      </c>
      <c r="F406" s="4">
        <v>346601.45644468832</v>
      </c>
      <c r="G406" s="4">
        <v>346601.51660497644</v>
      </c>
      <c r="H406" s="5">
        <f t="shared" si="5"/>
        <v>0</v>
      </c>
      <c r="I406" t="s">
        <v>59</v>
      </c>
      <c r="J406" t="s">
        <v>132</v>
      </c>
      <c r="K406" s="5">
        <f>32 / 86400</f>
        <v>3.7037037037037035E-4</v>
      </c>
      <c r="L406" s="5">
        <f>97 / 86400</f>
        <v>1.1226851851851851E-3</v>
      </c>
    </row>
    <row r="407" spans="1:12" x14ac:dyDescent="0.25">
      <c r="A407" s="3">
        <v>45693.608946759261</v>
      </c>
      <c r="B407" t="s">
        <v>323</v>
      </c>
      <c r="C407" s="3">
        <v>45693.611261574071</v>
      </c>
      <c r="D407" t="s">
        <v>29</v>
      </c>
      <c r="E407" s="4">
        <v>0.80964372098445891</v>
      </c>
      <c r="F407" s="4">
        <v>346601.52640589833</v>
      </c>
      <c r="G407" s="4">
        <v>346602.33604961931</v>
      </c>
      <c r="H407" s="5">
        <f t="shared" si="5"/>
        <v>0</v>
      </c>
      <c r="I407" t="s">
        <v>136</v>
      </c>
      <c r="J407" t="s">
        <v>35</v>
      </c>
      <c r="K407" s="5">
        <f>200 / 86400</f>
        <v>2.3148148148148147E-3</v>
      </c>
      <c r="L407" s="5">
        <f>33586 / 86400</f>
        <v>0.38872685185185185</v>
      </c>
    </row>
    <row r="408" spans="1:12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 spans="1:12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 spans="1:12" s="10" customFormat="1" ht="20.100000000000001" customHeight="1" x14ac:dyDescent="0.35">
      <c r="A410" s="12" t="s">
        <v>406</v>
      </c>
      <c r="B410" s="12"/>
      <c r="C410" s="12"/>
      <c r="D410" s="12"/>
      <c r="E410" s="12"/>
      <c r="F410" s="12"/>
      <c r="G410" s="12"/>
      <c r="H410" s="12"/>
      <c r="I410" s="12"/>
      <c r="J410" s="12"/>
    </row>
    <row r="411" spans="1:12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 spans="1:12" ht="30" x14ac:dyDescent="0.25">
      <c r="A412" s="2" t="s">
        <v>6</v>
      </c>
      <c r="B412" s="2" t="s">
        <v>7</v>
      </c>
      <c r="C412" s="2" t="s">
        <v>8</v>
      </c>
      <c r="D412" s="2" t="s">
        <v>9</v>
      </c>
      <c r="E412" s="2" t="s">
        <v>10</v>
      </c>
      <c r="F412" s="2" t="s">
        <v>11</v>
      </c>
      <c r="G412" s="2" t="s">
        <v>12</v>
      </c>
      <c r="H412" s="2" t="s">
        <v>13</v>
      </c>
      <c r="I412" s="2" t="s">
        <v>14</v>
      </c>
      <c r="J412" s="2" t="s">
        <v>15</v>
      </c>
      <c r="K412" s="2" t="s">
        <v>16</v>
      </c>
      <c r="L412" s="2" t="s">
        <v>17</v>
      </c>
    </row>
    <row r="413" spans="1:12" x14ac:dyDescent="0.25">
      <c r="A413" s="3">
        <v>45693.170555555553</v>
      </c>
      <c r="B413" t="s">
        <v>40</v>
      </c>
      <c r="C413" s="3">
        <v>45693.376168981486</v>
      </c>
      <c r="D413" t="s">
        <v>111</v>
      </c>
      <c r="E413" s="4">
        <v>84.293999999999997</v>
      </c>
      <c r="F413" s="4">
        <v>483131.13799999998</v>
      </c>
      <c r="G413" s="4">
        <v>483215.43199999997</v>
      </c>
      <c r="H413" s="5">
        <f>5378 / 86400</f>
        <v>6.2245370370370368E-2</v>
      </c>
      <c r="I413" t="s">
        <v>66</v>
      </c>
      <c r="J413" t="s">
        <v>28</v>
      </c>
      <c r="K413" s="5">
        <f>17765 / 86400</f>
        <v>0.20561342592592594</v>
      </c>
      <c r="L413" s="5">
        <f>15282 / 86400</f>
        <v>0.176875</v>
      </c>
    </row>
    <row r="414" spans="1:12" x14ac:dyDescent="0.25">
      <c r="A414" s="3">
        <v>45693.382488425923</v>
      </c>
      <c r="B414" t="s">
        <v>111</v>
      </c>
      <c r="C414" s="3">
        <v>45693.38344907407</v>
      </c>
      <c r="D414" t="s">
        <v>324</v>
      </c>
      <c r="E414" s="4">
        <v>8.2000000000000003E-2</v>
      </c>
      <c r="F414" s="4">
        <v>483215.43199999997</v>
      </c>
      <c r="G414" s="4">
        <v>483215.51400000002</v>
      </c>
      <c r="H414" s="5">
        <f>39 / 86400</f>
        <v>4.5138888888888887E-4</v>
      </c>
      <c r="I414" t="s">
        <v>20</v>
      </c>
      <c r="J414" t="s">
        <v>86</v>
      </c>
      <c r="K414" s="5">
        <f>82 / 86400</f>
        <v>9.4907407407407408E-4</v>
      </c>
      <c r="L414" s="5">
        <f>1937 / 86400</f>
        <v>2.2418981481481481E-2</v>
      </c>
    </row>
    <row r="415" spans="1:12" x14ac:dyDescent="0.25">
      <c r="A415" s="3">
        <v>45693.405868055561</v>
      </c>
      <c r="B415" t="s">
        <v>324</v>
      </c>
      <c r="C415" s="3">
        <v>45693.409328703703</v>
      </c>
      <c r="D415" t="s">
        <v>118</v>
      </c>
      <c r="E415" s="4">
        <v>1.0489999999999999</v>
      </c>
      <c r="F415" s="4">
        <v>483215.51400000002</v>
      </c>
      <c r="G415" s="4">
        <v>483216.56300000002</v>
      </c>
      <c r="H415" s="5">
        <f>0 / 86400</f>
        <v>0</v>
      </c>
      <c r="I415" t="s">
        <v>37</v>
      </c>
      <c r="J415" t="s">
        <v>55</v>
      </c>
      <c r="K415" s="5">
        <f>298 / 86400</f>
        <v>3.449074074074074E-3</v>
      </c>
      <c r="L415" s="5">
        <f>120 / 86400</f>
        <v>1.3888888888888889E-3</v>
      </c>
    </row>
    <row r="416" spans="1:12" x14ac:dyDescent="0.25">
      <c r="A416" s="3">
        <v>45693.410717592589</v>
      </c>
      <c r="B416" t="s">
        <v>118</v>
      </c>
      <c r="C416" s="3">
        <v>45693.647592592592</v>
      </c>
      <c r="D416" t="s">
        <v>40</v>
      </c>
      <c r="E416" s="4">
        <v>84.233000000000004</v>
      </c>
      <c r="F416" s="4">
        <v>483216.56300000002</v>
      </c>
      <c r="G416" s="4">
        <v>483300.79599999997</v>
      </c>
      <c r="H416" s="5">
        <f>7679 / 86400</f>
        <v>8.8877314814814812E-2</v>
      </c>
      <c r="I416" t="s">
        <v>36</v>
      </c>
      <c r="J416" t="s">
        <v>35</v>
      </c>
      <c r="K416" s="5">
        <f>20465 / 86400</f>
        <v>0.23686342592592594</v>
      </c>
      <c r="L416" s="5">
        <f>30447 / 86400</f>
        <v>0.35239583333333335</v>
      </c>
    </row>
    <row r="417" spans="1:12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 spans="1:12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 spans="1:12" s="10" customFormat="1" ht="20.100000000000001" customHeight="1" x14ac:dyDescent="0.35">
      <c r="A419" s="12" t="s">
        <v>407</v>
      </c>
      <c r="B419" s="12"/>
      <c r="C419" s="12"/>
      <c r="D419" s="12"/>
      <c r="E419" s="12"/>
      <c r="F419" s="12"/>
      <c r="G419" s="12"/>
      <c r="H419" s="12"/>
      <c r="I419" s="12"/>
      <c r="J419" s="12"/>
    </row>
    <row r="420" spans="1:12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 spans="1:12" ht="30" x14ac:dyDescent="0.25">
      <c r="A421" s="2" t="s">
        <v>6</v>
      </c>
      <c r="B421" s="2" t="s">
        <v>7</v>
      </c>
      <c r="C421" s="2" t="s">
        <v>8</v>
      </c>
      <c r="D421" s="2" t="s">
        <v>9</v>
      </c>
      <c r="E421" s="2" t="s">
        <v>10</v>
      </c>
      <c r="F421" s="2" t="s">
        <v>11</v>
      </c>
      <c r="G421" s="2" t="s">
        <v>12</v>
      </c>
      <c r="H421" s="2" t="s">
        <v>13</v>
      </c>
      <c r="I421" s="2" t="s">
        <v>14</v>
      </c>
      <c r="J421" s="2" t="s">
        <v>15</v>
      </c>
      <c r="K421" s="2" t="s">
        <v>16</v>
      </c>
      <c r="L421" s="2" t="s">
        <v>17</v>
      </c>
    </row>
    <row r="422" spans="1:12" x14ac:dyDescent="0.25">
      <c r="A422" s="3">
        <v>45693.082997685182</v>
      </c>
      <c r="B422" t="s">
        <v>41</v>
      </c>
      <c r="C422" s="3">
        <v>45693.085162037038</v>
      </c>
      <c r="D422" t="s">
        <v>41</v>
      </c>
      <c r="E422" s="4">
        <v>0</v>
      </c>
      <c r="F422" s="4">
        <v>506615.603</v>
      </c>
      <c r="G422" s="4">
        <v>506615.603</v>
      </c>
      <c r="H422" s="5">
        <f>179 / 86400</f>
        <v>2.0717592592592593E-3</v>
      </c>
      <c r="I422" t="s">
        <v>124</v>
      </c>
      <c r="J422" t="s">
        <v>124</v>
      </c>
      <c r="K422" s="5">
        <f>187 / 86400</f>
        <v>2.1643518518518518E-3</v>
      </c>
      <c r="L422" s="5">
        <f>7245 / 86400</f>
        <v>8.385416666666666E-2</v>
      </c>
    </row>
    <row r="423" spans="1:12" x14ac:dyDescent="0.25">
      <c r="A423" s="3">
        <v>45693.086018518516</v>
      </c>
      <c r="B423" t="s">
        <v>41</v>
      </c>
      <c r="C423" s="3">
        <v>45693.092303240745</v>
      </c>
      <c r="D423" t="s">
        <v>48</v>
      </c>
      <c r="E423" s="4">
        <v>1.5660000000000001</v>
      </c>
      <c r="F423" s="4">
        <v>506615.603</v>
      </c>
      <c r="G423" s="4">
        <v>506617.16899999999</v>
      </c>
      <c r="H423" s="5">
        <f>79 / 86400</f>
        <v>9.1435185185185185E-4</v>
      </c>
      <c r="I423" t="s">
        <v>128</v>
      </c>
      <c r="J423" t="s">
        <v>20</v>
      </c>
      <c r="K423" s="5">
        <f>543 / 86400</f>
        <v>6.2847222222222219E-3</v>
      </c>
      <c r="L423" s="5">
        <f>921 / 86400</f>
        <v>1.0659722222222221E-2</v>
      </c>
    </row>
    <row r="424" spans="1:12" x14ac:dyDescent="0.25">
      <c r="A424" s="3">
        <v>45693.102962962963</v>
      </c>
      <c r="B424" t="s">
        <v>48</v>
      </c>
      <c r="C424" s="3">
        <v>45693.110335648147</v>
      </c>
      <c r="D424" t="s">
        <v>325</v>
      </c>
      <c r="E424" s="4">
        <v>2.476</v>
      </c>
      <c r="F424" s="4">
        <v>506617.16899999999</v>
      </c>
      <c r="G424" s="4">
        <v>506619.64500000002</v>
      </c>
      <c r="H424" s="5">
        <f>0 / 86400</f>
        <v>0</v>
      </c>
      <c r="I424" t="s">
        <v>85</v>
      </c>
      <c r="J424" t="s">
        <v>52</v>
      </c>
      <c r="K424" s="5">
        <f>636 / 86400</f>
        <v>7.3611111111111108E-3</v>
      </c>
      <c r="L424" s="5">
        <f>163 / 86400</f>
        <v>1.8865740740740742E-3</v>
      </c>
    </row>
    <row r="425" spans="1:12" x14ac:dyDescent="0.25">
      <c r="A425" s="3">
        <v>45693.112222222218</v>
      </c>
      <c r="B425" t="s">
        <v>325</v>
      </c>
      <c r="C425" s="3">
        <v>45693.116168981476</v>
      </c>
      <c r="D425" t="s">
        <v>326</v>
      </c>
      <c r="E425" s="4">
        <v>1.377</v>
      </c>
      <c r="F425" s="4">
        <v>506619.64500000002</v>
      </c>
      <c r="G425" s="4">
        <v>506621.022</v>
      </c>
      <c r="H425" s="5">
        <f>40 / 86400</f>
        <v>4.6296296296296298E-4</v>
      </c>
      <c r="I425" t="s">
        <v>156</v>
      </c>
      <c r="J425" t="s">
        <v>35</v>
      </c>
      <c r="K425" s="5">
        <f>340 / 86400</f>
        <v>3.9351851851851848E-3</v>
      </c>
      <c r="L425" s="5">
        <f>444 / 86400</f>
        <v>5.138888888888889E-3</v>
      </c>
    </row>
    <row r="426" spans="1:12" x14ac:dyDescent="0.25">
      <c r="A426" s="3">
        <v>45693.121307870373</v>
      </c>
      <c r="B426" t="s">
        <v>326</v>
      </c>
      <c r="C426" s="3">
        <v>45693.399814814809</v>
      </c>
      <c r="D426" t="s">
        <v>327</v>
      </c>
      <c r="E426" s="4">
        <v>146.249</v>
      </c>
      <c r="F426" s="4">
        <v>506621.022</v>
      </c>
      <c r="G426" s="4">
        <v>506767.27100000001</v>
      </c>
      <c r="H426" s="5">
        <f>6120 / 86400</f>
        <v>7.0833333333333331E-2</v>
      </c>
      <c r="I426" t="s">
        <v>43</v>
      </c>
      <c r="J426" t="s">
        <v>39</v>
      </c>
      <c r="K426" s="5">
        <f>24063 / 86400</f>
        <v>0.27850694444444446</v>
      </c>
      <c r="L426" s="5">
        <f>216 / 86400</f>
        <v>2.5000000000000001E-3</v>
      </c>
    </row>
    <row r="427" spans="1:12" x14ac:dyDescent="0.25">
      <c r="A427" s="3">
        <v>45693.402314814812</v>
      </c>
      <c r="B427" t="s">
        <v>327</v>
      </c>
      <c r="C427" s="3">
        <v>45693.558865740742</v>
      </c>
      <c r="D427" t="s">
        <v>73</v>
      </c>
      <c r="E427" s="4">
        <v>52.488</v>
      </c>
      <c r="F427" s="4">
        <v>506767.27100000001</v>
      </c>
      <c r="G427" s="4">
        <v>506819.75900000002</v>
      </c>
      <c r="H427" s="5">
        <f>5039 / 86400</f>
        <v>5.8321759259259261E-2</v>
      </c>
      <c r="I427" t="s">
        <v>127</v>
      </c>
      <c r="J427" t="s">
        <v>52</v>
      </c>
      <c r="K427" s="5">
        <f>13526 / 86400</f>
        <v>0.15655092592592593</v>
      </c>
      <c r="L427" s="5">
        <f>367 / 86400</f>
        <v>4.2476851851851851E-3</v>
      </c>
    </row>
    <row r="428" spans="1:12" x14ac:dyDescent="0.25">
      <c r="A428" s="3">
        <v>45693.563113425931</v>
      </c>
      <c r="B428" t="s">
        <v>73</v>
      </c>
      <c r="C428" s="3">
        <v>45693.565752314811</v>
      </c>
      <c r="D428" t="s">
        <v>129</v>
      </c>
      <c r="E428" s="4">
        <v>0.85699999999999998</v>
      </c>
      <c r="F428" s="4">
        <v>506819.75900000002</v>
      </c>
      <c r="G428" s="4">
        <v>506820.61599999998</v>
      </c>
      <c r="H428" s="5">
        <f>40 / 86400</f>
        <v>4.6296296296296298E-4</v>
      </c>
      <c r="I428" t="s">
        <v>222</v>
      </c>
      <c r="J428" t="s">
        <v>52</v>
      </c>
      <c r="K428" s="5">
        <f>227 / 86400</f>
        <v>2.627314814814815E-3</v>
      </c>
      <c r="L428" s="5">
        <f>402 / 86400</f>
        <v>4.6527777777777774E-3</v>
      </c>
    </row>
    <row r="429" spans="1:12" x14ac:dyDescent="0.25">
      <c r="A429" s="3">
        <v>45693.570405092592</v>
      </c>
      <c r="B429" t="s">
        <v>328</v>
      </c>
      <c r="C429" s="3">
        <v>45693.858842592592</v>
      </c>
      <c r="D429" t="s">
        <v>144</v>
      </c>
      <c r="E429" s="4">
        <v>100.191</v>
      </c>
      <c r="F429" s="4">
        <v>506820.61599999998</v>
      </c>
      <c r="G429" s="4">
        <v>506920.80699999997</v>
      </c>
      <c r="H429" s="5">
        <f>8959 / 86400</f>
        <v>0.10369212962962963</v>
      </c>
      <c r="I429" t="s">
        <v>36</v>
      </c>
      <c r="J429" t="s">
        <v>52</v>
      </c>
      <c r="K429" s="5">
        <f>24921 / 86400</f>
        <v>0.28843750000000001</v>
      </c>
      <c r="L429" s="5">
        <f>575 / 86400</f>
        <v>6.6550925925925927E-3</v>
      </c>
    </row>
    <row r="430" spans="1:12" x14ac:dyDescent="0.25">
      <c r="A430" s="3">
        <v>45693.865497685183</v>
      </c>
      <c r="B430" t="s">
        <v>144</v>
      </c>
      <c r="C430" s="3">
        <v>45693.868067129632</v>
      </c>
      <c r="D430" t="s">
        <v>49</v>
      </c>
      <c r="E430" s="4">
        <v>0.72</v>
      </c>
      <c r="F430" s="4">
        <v>506920.80699999997</v>
      </c>
      <c r="G430" s="4">
        <v>506921.527</v>
      </c>
      <c r="H430" s="5">
        <f>20 / 86400</f>
        <v>2.3148148148148149E-4</v>
      </c>
      <c r="I430" t="s">
        <v>156</v>
      </c>
      <c r="J430" t="s">
        <v>59</v>
      </c>
      <c r="K430" s="5">
        <f>221 / 86400</f>
        <v>2.5578703703703705E-3</v>
      </c>
      <c r="L430" s="5">
        <f>983 / 86400</f>
        <v>1.1377314814814814E-2</v>
      </c>
    </row>
    <row r="431" spans="1:12" x14ac:dyDescent="0.25">
      <c r="A431" s="3">
        <v>45693.879444444443</v>
      </c>
      <c r="B431" t="s">
        <v>49</v>
      </c>
      <c r="C431" s="3">
        <v>45693.891342592593</v>
      </c>
      <c r="D431" t="s">
        <v>42</v>
      </c>
      <c r="E431" s="4">
        <v>0.86599999999999999</v>
      </c>
      <c r="F431" s="4">
        <v>506921.527</v>
      </c>
      <c r="G431" s="4">
        <v>506922.39299999998</v>
      </c>
      <c r="H431" s="5">
        <f>700 / 86400</f>
        <v>8.1018518518518514E-3</v>
      </c>
      <c r="I431" t="s">
        <v>52</v>
      </c>
      <c r="J431" t="s">
        <v>149</v>
      </c>
      <c r="K431" s="5">
        <f>1027 / 86400</f>
        <v>1.1886574074074074E-2</v>
      </c>
      <c r="L431" s="5">
        <f>9387 / 86400</f>
        <v>0.10864583333333333</v>
      </c>
    </row>
    <row r="432" spans="1:12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 spans="1:12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 spans="1:12" s="10" customFormat="1" ht="20.100000000000001" customHeight="1" x14ac:dyDescent="0.35">
      <c r="A434" s="12" t="s">
        <v>408</v>
      </c>
      <c r="B434" s="12"/>
      <c r="C434" s="12"/>
      <c r="D434" s="12"/>
      <c r="E434" s="12"/>
      <c r="F434" s="12"/>
      <c r="G434" s="12"/>
      <c r="H434" s="12"/>
      <c r="I434" s="12"/>
      <c r="J434" s="12"/>
    </row>
    <row r="435" spans="1:12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 spans="1:12" ht="30" x14ac:dyDescent="0.25">
      <c r="A436" s="2" t="s">
        <v>6</v>
      </c>
      <c r="B436" s="2" t="s">
        <v>7</v>
      </c>
      <c r="C436" s="2" t="s">
        <v>8</v>
      </c>
      <c r="D436" s="2" t="s">
        <v>9</v>
      </c>
      <c r="E436" s="2" t="s">
        <v>10</v>
      </c>
      <c r="F436" s="2" t="s">
        <v>11</v>
      </c>
      <c r="G436" s="2" t="s">
        <v>12</v>
      </c>
      <c r="H436" s="2" t="s">
        <v>13</v>
      </c>
      <c r="I436" s="2" t="s">
        <v>14</v>
      </c>
      <c r="J436" s="2" t="s">
        <v>15</v>
      </c>
      <c r="K436" s="2" t="s">
        <v>16</v>
      </c>
      <c r="L436" s="2" t="s">
        <v>17</v>
      </c>
    </row>
    <row r="437" spans="1:12" x14ac:dyDescent="0.25">
      <c r="A437" s="3">
        <v>45693.237754629634</v>
      </c>
      <c r="B437" t="s">
        <v>44</v>
      </c>
      <c r="C437" s="3">
        <v>45693.247453703705</v>
      </c>
      <c r="D437" t="s">
        <v>118</v>
      </c>
      <c r="E437" s="4">
        <v>1.629</v>
      </c>
      <c r="F437" s="4">
        <v>406866.54399999999</v>
      </c>
      <c r="G437" s="4">
        <v>406868.17300000001</v>
      </c>
      <c r="H437" s="5">
        <f>439 / 86400</f>
        <v>5.0810185185185186E-3</v>
      </c>
      <c r="I437" t="s">
        <v>174</v>
      </c>
      <c r="J437" t="s">
        <v>132</v>
      </c>
      <c r="K437" s="5">
        <f>838 / 86400</f>
        <v>9.6990740740740735E-3</v>
      </c>
      <c r="L437" s="5">
        <f>21383 / 86400</f>
        <v>0.24748842592592593</v>
      </c>
    </row>
    <row r="438" spans="1:12" x14ac:dyDescent="0.25">
      <c r="A438" s="3">
        <v>45693.257187499999</v>
      </c>
      <c r="B438" t="s">
        <v>118</v>
      </c>
      <c r="C438" s="3">
        <v>45693.317986111113</v>
      </c>
      <c r="D438" t="s">
        <v>329</v>
      </c>
      <c r="E438" s="4">
        <v>32.427999999999997</v>
      </c>
      <c r="F438" s="4">
        <v>406868.17300000001</v>
      </c>
      <c r="G438" s="4">
        <v>406900.60100000002</v>
      </c>
      <c r="H438" s="5">
        <f>1379 / 86400</f>
        <v>1.5960648148148147E-2</v>
      </c>
      <c r="I438" t="s">
        <v>45</v>
      </c>
      <c r="J438" t="s">
        <v>39</v>
      </c>
      <c r="K438" s="5">
        <f>5252 / 86400</f>
        <v>6.0787037037037035E-2</v>
      </c>
      <c r="L438" s="5">
        <f>2 / 86400</f>
        <v>2.3148148148148147E-5</v>
      </c>
    </row>
    <row r="439" spans="1:12" x14ac:dyDescent="0.25">
      <c r="A439" s="3">
        <v>45693.318009259259</v>
      </c>
      <c r="B439" t="s">
        <v>329</v>
      </c>
      <c r="C439" s="3">
        <v>45693.359155092592</v>
      </c>
      <c r="D439" t="s">
        <v>196</v>
      </c>
      <c r="E439" s="4">
        <v>10.637</v>
      </c>
      <c r="F439" s="4">
        <v>406900.60100000002</v>
      </c>
      <c r="G439" s="4">
        <v>406911.23800000001</v>
      </c>
      <c r="H439" s="5">
        <f>1300 / 86400</f>
        <v>1.5046296296296295E-2</v>
      </c>
      <c r="I439" t="s">
        <v>66</v>
      </c>
      <c r="J439" t="s">
        <v>154</v>
      </c>
      <c r="K439" s="5">
        <f>3555 / 86400</f>
        <v>4.1145833333333333E-2</v>
      </c>
      <c r="L439" s="5">
        <f>4 / 86400</f>
        <v>4.6296296296296294E-5</v>
      </c>
    </row>
    <row r="440" spans="1:12" x14ac:dyDescent="0.25">
      <c r="A440" s="3">
        <v>45693.359201388885</v>
      </c>
      <c r="B440" t="s">
        <v>196</v>
      </c>
      <c r="C440" s="3">
        <v>45693.390706018516</v>
      </c>
      <c r="D440" t="s">
        <v>161</v>
      </c>
      <c r="E440" s="4">
        <v>8.0020000000000007</v>
      </c>
      <c r="F440" s="4">
        <v>406911.24</v>
      </c>
      <c r="G440" s="4">
        <v>406919.24200000003</v>
      </c>
      <c r="H440" s="5">
        <f>1200 / 86400</f>
        <v>1.3888888888888888E-2</v>
      </c>
      <c r="I440" t="s">
        <v>219</v>
      </c>
      <c r="J440" t="s">
        <v>154</v>
      </c>
      <c r="K440" s="5">
        <f>2722 / 86400</f>
        <v>3.1504629629629632E-2</v>
      </c>
      <c r="L440" s="5">
        <f>6692 / 86400</f>
        <v>7.7453703703703705E-2</v>
      </c>
    </row>
    <row r="441" spans="1:12" x14ac:dyDescent="0.25">
      <c r="A441" s="3">
        <v>45693.468159722222</v>
      </c>
      <c r="B441" t="s">
        <v>161</v>
      </c>
      <c r="C441" s="3">
        <v>45693.613645833335</v>
      </c>
      <c r="D441" t="s">
        <v>137</v>
      </c>
      <c r="E441" s="4">
        <v>50.02</v>
      </c>
      <c r="F441" s="4">
        <v>406919.24200000003</v>
      </c>
      <c r="G441" s="4">
        <v>406969.26199999999</v>
      </c>
      <c r="H441" s="5">
        <f>4340 / 86400</f>
        <v>5.0231481481481481E-2</v>
      </c>
      <c r="I441" t="s">
        <v>101</v>
      </c>
      <c r="J441" t="s">
        <v>52</v>
      </c>
      <c r="K441" s="5">
        <f>12569 / 86400</f>
        <v>0.14547453703703703</v>
      </c>
      <c r="L441" s="5">
        <f>2113 / 86400</f>
        <v>2.4456018518518519E-2</v>
      </c>
    </row>
    <row r="442" spans="1:12" x14ac:dyDescent="0.25">
      <c r="A442" s="3">
        <v>45693.638101851851</v>
      </c>
      <c r="B442" t="s">
        <v>137</v>
      </c>
      <c r="C442" s="3">
        <v>45693.640821759254</v>
      </c>
      <c r="D442" t="s">
        <v>330</v>
      </c>
      <c r="E442" s="4">
        <v>0.71</v>
      </c>
      <c r="F442" s="4">
        <v>406969.26199999999</v>
      </c>
      <c r="G442" s="4">
        <v>406969.97200000001</v>
      </c>
      <c r="H442" s="5">
        <f>19 / 86400</f>
        <v>2.199074074074074E-4</v>
      </c>
      <c r="I442" t="s">
        <v>37</v>
      </c>
      <c r="J442" t="s">
        <v>154</v>
      </c>
      <c r="K442" s="5">
        <f>235 / 86400</f>
        <v>2.7199074074074074E-3</v>
      </c>
      <c r="L442" s="5">
        <f>1635 / 86400</f>
        <v>1.892361111111111E-2</v>
      </c>
    </row>
    <row r="443" spans="1:12" x14ac:dyDescent="0.25">
      <c r="A443" s="3">
        <v>45693.659745370373</v>
      </c>
      <c r="B443" t="s">
        <v>118</v>
      </c>
      <c r="C443" s="3">
        <v>45693.663946759261</v>
      </c>
      <c r="D443" t="s">
        <v>144</v>
      </c>
      <c r="E443" s="4">
        <v>1.155</v>
      </c>
      <c r="F443" s="4">
        <v>406969.97200000001</v>
      </c>
      <c r="G443" s="4">
        <v>406971.12699999998</v>
      </c>
      <c r="H443" s="5">
        <f>39 / 86400</f>
        <v>4.5138888888888887E-4</v>
      </c>
      <c r="I443" t="s">
        <v>150</v>
      </c>
      <c r="J443" t="s">
        <v>154</v>
      </c>
      <c r="K443" s="5">
        <f>362 / 86400</f>
        <v>4.1898148148148146E-3</v>
      </c>
      <c r="L443" s="5">
        <f>426 / 86400</f>
        <v>4.9305555555555552E-3</v>
      </c>
    </row>
    <row r="444" spans="1:12" x14ac:dyDescent="0.25">
      <c r="A444" s="3">
        <v>45693.66887731482</v>
      </c>
      <c r="B444" t="s">
        <v>144</v>
      </c>
      <c r="C444" s="3">
        <v>45693.791863425926</v>
      </c>
      <c r="D444" t="s">
        <v>331</v>
      </c>
      <c r="E444" s="4">
        <v>47.058</v>
      </c>
      <c r="F444" s="4">
        <v>406971.12699999998</v>
      </c>
      <c r="G444" s="4">
        <v>407018.185</v>
      </c>
      <c r="H444" s="5">
        <f>3658 / 86400</f>
        <v>4.2337962962962966E-2</v>
      </c>
      <c r="I444" t="s">
        <v>165</v>
      </c>
      <c r="J444" t="s">
        <v>31</v>
      </c>
      <c r="K444" s="5">
        <f>10625 / 86400</f>
        <v>0.12297453703703703</v>
      </c>
      <c r="L444" s="5">
        <f>69 / 86400</f>
        <v>7.9861111111111116E-4</v>
      </c>
    </row>
    <row r="445" spans="1:12" x14ac:dyDescent="0.25">
      <c r="A445" s="3">
        <v>45693.792662037042</v>
      </c>
      <c r="B445" t="s">
        <v>332</v>
      </c>
      <c r="C445" s="3">
        <v>45693.936701388884</v>
      </c>
      <c r="D445" t="s">
        <v>73</v>
      </c>
      <c r="E445" s="4">
        <v>46.375999999999998</v>
      </c>
      <c r="F445" s="4">
        <v>407018.185</v>
      </c>
      <c r="G445" s="4">
        <v>407064.56099999999</v>
      </c>
      <c r="H445" s="5">
        <f>4758 / 86400</f>
        <v>5.5069444444444442E-2</v>
      </c>
      <c r="I445" t="s">
        <v>171</v>
      </c>
      <c r="J445" t="s">
        <v>55</v>
      </c>
      <c r="K445" s="5">
        <f>12445 / 86400</f>
        <v>0.14403935185185185</v>
      </c>
      <c r="L445" s="5">
        <f>515 / 86400</f>
        <v>5.9606481481481481E-3</v>
      </c>
    </row>
    <row r="446" spans="1:12" x14ac:dyDescent="0.25">
      <c r="A446" s="3">
        <v>45693.942662037036</v>
      </c>
      <c r="B446" t="s">
        <v>73</v>
      </c>
      <c r="C446" s="3">
        <v>45693.944143518514</v>
      </c>
      <c r="D446" t="s">
        <v>144</v>
      </c>
      <c r="E446" s="4">
        <v>0.20499999999999999</v>
      </c>
      <c r="F446" s="4">
        <v>407064.56099999999</v>
      </c>
      <c r="G446" s="4">
        <v>407064.766</v>
      </c>
      <c r="H446" s="5">
        <f>39 / 86400</f>
        <v>4.5138888888888887E-4</v>
      </c>
      <c r="I446" t="s">
        <v>28</v>
      </c>
      <c r="J446" t="s">
        <v>260</v>
      </c>
      <c r="K446" s="5">
        <f>128 / 86400</f>
        <v>1.4814814814814814E-3</v>
      </c>
      <c r="L446" s="5">
        <f>254 / 86400</f>
        <v>2.9398148148148148E-3</v>
      </c>
    </row>
    <row r="447" spans="1:12" x14ac:dyDescent="0.25">
      <c r="A447" s="3">
        <v>45693.947083333333</v>
      </c>
      <c r="B447" t="s">
        <v>144</v>
      </c>
      <c r="C447" s="3">
        <v>45693.94740740741</v>
      </c>
      <c r="D447" t="s">
        <v>144</v>
      </c>
      <c r="E447" s="4">
        <v>3.6999999999999998E-2</v>
      </c>
      <c r="F447" s="4">
        <v>407064.766</v>
      </c>
      <c r="G447" s="4">
        <v>407064.80300000001</v>
      </c>
      <c r="H447" s="5">
        <f>0 / 86400</f>
        <v>0</v>
      </c>
      <c r="I447" t="s">
        <v>82</v>
      </c>
      <c r="J447" t="s">
        <v>133</v>
      </c>
      <c r="K447" s="5">
        <f>27 / 86400</f>
        <v>3.1250000000000001E-4</v>
      </c>
      <c r="L447" s="5">
        <f>147 / 86400</f>
        <v>1.7013888888888888E-3</v>
      </c>
    </row>
    <row r="448" spans="1:12" x14ac:dyDescent="0.25">
      <c r="A448" s="3">
        <v>45693.949108796296</v>
      </c>
      <c r="B448" t="s">
        <v>144</v>
      </c>
      <c r="C448" s="3">
        <v>45693.950775462959</v>
      </c>
      <c r="D448" t="s">
        <v>117</v>
      </c>
      <c r="E448" s="4">
        <v>0.505</v>
      </c>
      <c r="F448" s="4">
        <v>407064.80300000001</v>
      </c>
      <c r="G448" s="4">
        <v>407065.30800000002</v>
      </c>
      <c r="H448" s="5">
        <f>20 / 86400</f>
        <v>2.3148148148148149E-4</v>
      </c>
      <c r="I448" t="s">
        <v>85</v>
      </c>
      <c r="J448" t="s">
        <v>55</v>
      </c>
      <c r="K448" s="5">
        <f>143 / 86400</f>
        <v>1.6550925925925926E-3</v>
      </c>
      <c r="L448" s="5">
        <f>380 / 86400</f>
        <v>4.3981481481481484E-3</v>
      </c>
    </row>
    <row r="449" spans="1:12" x14ac:dyDescent="0.25">
      <c r="A449" s="3">
        <v>45693.95517361111</v>
      </c>
      <c r="B449" t="s">
        <v>117</v>
      </c>
      <c r="C449" s="3">
        <v>45693.957523148143</v>
      </c>
      <c r="D449" t="s">
        <v>333</v>
      </c>
      <c r="E449" s="4">
        <v>0.497</v>
      </c>
      <c r="F449" s="4">
        <v>407065.30800000002</v>
      </c>
      <c r="G449" s="4">
        <v>407065.80499999999</v>
      </c>
      <c r="H449" s="5">
        <f>39 / 86400</f>
        <v>4.5138888888888887E-4</v>
      </c>
      <c r="I449" t="s">
        <v>28</v>
      </c>
      <c r="J449" t="s">
        <v>82</v>
      </c>
      <c r="K449" s="5">
        <f>202 / 86400</f>
        <v>2.3379629629629631E-3</v>
      </c>
      <c r="L449" s="5">
        <f>475 / 86400</f>
        <v>5.4976851851851853E-3</v>
      </c>
    </row>
    <row r="450" spans="1:12" x14ac:dyDescent="0.25">
      <c r="A450" s="3">
        <v>45693.963020833333</v>
      </c>
      <c r="B450" t="s">
        <v>333</v>
      </c>
      <c r="C450" s="3">
        <v>45693.965370370366</v>
      </c>
      <c r="D450" t="s">
        <v>44</v>
      </c>
      <c r="E450" s="4">
        <v>0.25700000000000001</v>
      </c>
      <c r="F450" s="4">
        <v>407065.80499999999</v>
      </c>
      <c r="G450" s="4">
        <v>407066.06199999998</v>
      </c>
      <c r="H450" s="5">
        <f>59 / 86400</f>
        <v>6.8287037037037036E-4</v>
      </c>
      <c r="I450" t="s">
        <v>31</v>
      </c>
      <c r="J450" t="s">
        <v>133</v>
      </c>
      <c r="K450" s="5">
        <f>202 / 86400</f>
        <v>2.3379629629629631E-3</v>
      </c>
      <c r="L450" s="5">
        <f>2991 / 86400</f>
        <v>3.4618055555555555E-2</v>
      </c>
    </row>
    <row r="451" spans="1:12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 spans="1:12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 spans="1:12" s="10" customFormat="1" ht="20.100000000000001" customHeight="1" x14ac:dyDescent="0.35">
      <c r="A453" s="12" t="s">
        <v>409</v>
      </c>
      <c r="B453" s="12"/>
      <c r="C453" s="12"/>
      <c r="D453" s="12"/>
      <c r="E453" s="12"/>
      <c r="F453" s="12"/>
      <c r="G453" s="12"/>
      <c r="H453" s="12"/>
      <c r="I453" s="12"/>
      <c r="J453" s="12"/>
    </row>
    <row r="454" spans="1:12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 spans="1:12" ht="30" x14ac:dyDescent="0.25">
      <c r="A455" s="2" t="s">
        <v>6</v>
      </c>
      <c r="B455" s="2" t="s">
        <v>7</v>
      </c>
      <c r="C455" s="2" t="s">
        <v>8</v>
      </c>
      <c r="D455" s="2" t="s">
        <v>9</v>
      </c>
      <c r="E455" s="2" t="s">
        <v>10</v>
      </c>
      <c r="F455" s="2" t="s">
        <v>11</v>
      </c>
      <c r="G455" s="2" t="s">
        <v>12</v>
      </c>
      <c r="H455" s="2" t="s">
        <v>13</v>
      </c>
      <c r="I455" s="2" t="s">
        <v>14</v>
      </c>
      <c r="J455" s="2" t="s">
        <v>15</v>
      </c>
      <c r="K455" s="2" t="s">
        <v>16</v>
      </c>
      <c r="L455" s="2" t="s">
        <v>17</v>
      </c>
    </row>
    <row r="456" spans="1:12" x14ac:dyDescent="0.25">
      <c r="A456" s="3">
        <v>45693.26626157407</v>
      </c>
      <c r="B456" t="s">
        <v>46</v>
      </c>
      <c r="C456" s="3">
        <v>45693.266342592593</v>
      </c>
      <c r="D456" t="s">
        <v>46</v>
      </c>
      <c r="E456" s="4">
        <v>0</v>
      </c>
      <c r="F456" s="4">
        <v>436396.04300000001</v>
      </c>
      <c r="G456" s="4">
        <v>436396.04300000001</v>
      </c>
      <c r="H456" s="5">
        <f>0 / 86400</f>
        <v>0</v>
      </c>
      <c r="I456" t="s">
        <v>124</v>
      </c>
      <c r="J456" t="s">
        <v>124</v>
      </c>
      <c r="K456" s="5">
        <f>7 / 86400</f>
        <v>8.1018518518518516E-5</v>
      </c>
      <c r="L456" s="5">
        <f>23007 / 86400</f>
        <v>0.26628472222222221</v>
      </c>
    </row>
    <row r="457" spans="1:12" x14ac:dyDescent="0.25">
      <c r="A457" s="3">
        <v>45693.266365740739</v>
      </c>
      <c r="B457" t="s">
        <v>46</v>
      </c>
      <c r="C457" s="3">
        <v>45693.280462962968</v>
      </c>
      <c r="D457" t="s">
        <v>152</v>
      </c>
      <c r="E457" s="4">
        <v>0.86499999999999999</v>
      </c>
      <c r="F457" s="4">
        <v>436396.04300000001</v>
      </c>
      <c r="G457" s="4">
        <v>436396.908</v>
      </c>
      <c r="H457" s="5">
        <f>1010 / 86400</f>
        <v>1.1689814814814814E-2</v>
      </c>
      <c r="I457" t="s">
        <v>159</v>
      </c>
      <c r="J457" t="s">
        <v>149</v>
      </c>
      <c r="K457" s="5">
        <f>1218 / 86400</f>
        <v>1.4097222222222223E-2</v>
      </c>
      <c r="L457" s="5">
        <f>2783 / 86400</f>
        <v>3.2210648148148148E-2</v>
      </c>
    </row>
    <row r="458" spans="1:12" x14ac:dyDescent="0.25">
      <c r="A458" s="3">
        <v>45693.312673611115</v>
      </c>
      <c r="B458" t="s">
        <v>152</v>
      </c>
      <c r="C458" s="3">
        <v>45693.316238425927</v>
      </c>
      <c r="D458" t="s">
        <v>148</v>
      </c>
      <c r="E458" s="4">
        <v>0.94699999999999995</v>
      </c>
      <c r="F458" s="4">
        <v>436396.908</v>
      </c>
      <c r="G458" s="4">
        <v>436397.85499999998</v>
      </c>
      <c r="H458" s="5">
        <f>99 / 86400</f>
        <v>1.1458333333333333E-3</v>
      </c>
      <c r="I458" t="s">
        <v>85</v>
      </c>
      <c r="J458" t="s">
        <v>154</v>
      </c>
      <c r="K458" s="5">
        <f>308 / 86400</f>
        <v>3.5648148148148149E-3</v>
      </c>
      <c r="L458" s="5">
        <f>1764 / 86400</f>
        <v>2.0416666666666666E-2</v>
      </c>
    </row>
    <row r="459" spans="1:12" x14ac:dyDescent="0.25">
      <c r="A459" s="3">
        <v>45693.336655092593</v>
      </c>
      <c r="B459" t="s">
        <v>148</v>
      </c>
      <c r="C459" s="3">
        <v>45693.580659722225</v>
      </c>
      <c r="D459" t="s">
        <v>46</v>
      </c>
      <c r="E459" s="4">
        <v>100.077</v>
      </c>
      <c r="F459" s="4">
        <v>436397.85499999998</v>
      </c>
      <c r="G459" s="4">
        <v>436497.93199999997</v>
      </c>
      <c r="H459" s="5">
        <f>6682 / 86400</f>
        <v>7.7337962962962969E-2</v>
      </c>
      <c r="I459" t="s">
        <v>47</v>
      </c>
      <c r="J459" t="s">
        <v>28</v>
      </c>
      <c r="K459" s="5">
        <f>21081 / 86400</f>
        <v>0.24399305555555556</v>
      </c>
      <c r="L459" s="5">
        <f>6569 / 86400</f>
        <v>7.6030092592592594E-2</v>
      </c>
    </row>
    <row r="460" spans="1:12" x14ac:dyDescent="0.25">
      <c r="A460" s="3">
        <v>45693.656689814816</v>
      </c>
      <c r="B460" t="s">
        <v>46</v>
      </c>
      <c r="C460" s="3">
        <v>45693.661458333328</v>
      </c>
      <c r="D460" t="s">
        <v>117</v>
      </c>
      <c r="E460" s="4">
        <v>0.96899999999999997</v>
      </c>
      <c r="F460" s="4">
        <v>436497.93199999997</v>
      </c>
      <c r="G460" s="4">
        <v>436498.90100000001</v>
      </c>
      <c r="H460" s="5">
        <f>159 / 86400</f>
        <v>1.8402777777777777E-3</v>
      </c>
      <c r="I460" t="s">
        <v>153</v>
      </c>
      <c r="J460" t="s">
        <v>119</v>
      </c>
      <c r="K460" s="5">
        <f>411 / 86400</f>
        <v>4.7569444444444447E-3</v>
      </c>
      <c r="L460" s="5">
        <f>279 / 86400</f>
        <v>3.2291666666666666E-3</v>
      </c>
    </row>
    <row r="461" spans="1:12" x14ac:dyDescent="0.25">
      <c r="A461" s="3">
        <v>45693.664687500001</v>
      </c>
      <c r="B461" t="s">
        <v>117</v>
      </c>
      <c r="C461" s="3">
        <v>45693.666504629626</v>
      </c>
      <c r="D461" t="s">
        <v>334</v>
      </c>
      <c r="E461" s="4">
        <v>0.30599999999999999</v>
      </c>
      <c r="F461" s="4">
        <v>436498.90100000001</v>
      </c>
      <c r="G461" s="4">
        <v>436499.20699999999</v>
      </c>
      <c r="H461" s="5">
        <f>59 / 86400</f>
        <v>6.8287037037037036E-4</v>
      </c>
      <c r="I461" t="s">
        <v>85</v>
      </c>
      <c r="J461" t="s">
        <v>132</v>
      </c>
      <c r="K461" s="5">
        <f>157 / 86400</f>
        <v>1.8171296296296297E-3</v>
      </c>
      <c r="L461" s="5">
        <f>2095 / 86400</f>
        <v>2.4247685185185185E-2</v>
      </c>
    </row>
    <row r="462" spans="1:12" x14ac:dyDescent="0.25">
      <c r="A462" s="3">
        <v>45693.690752314811</v>
      </c>
      <c r="B462" t="s">
        <v>335</v>
      </c>
      <c r="C462" s="3">
        <v>45693.691828703704</v>
      </c>
      <c r="D462" t="s">
        <v>50</v>
      </c>
      <c r="E462" s="4">
        <v>2.1999999999999999E-2</v>
      </c>
      <c r="F462" s="4">
        <v>436499.20699999999</v>
      </c>
      <c r="G462" s="4">
        <v>436499.22899999999</v>
      </c>
      <c r="H462" s="5">
        <f>0 / 86400</f>
        <v>0</v>
      </c>
      <c r="I462" t="s">
        <v>116</v>
      </c>
      <c r="J462" t="s">
        <v>116</v>
      </c>
      <c r="K462" s="5">
        <f>92 / 86400</f>
        <v>1.0648148148148149E-3</v>
      </c>
      <c r="L462" s="5">
        <f>598 / 86400</f>
        <v>6.9212962962962961E-3</v>
      </c>
    </row>
    <row r="463" spans="1:12" x14ac:dyDescent="0.25">
      <c r="A463" s="3">
        <v>45693.698749999996</v>
      </c>
      <c r="B463" t="s">
        <v>50</v>
      </c>
      <c r="C463" s="3">
        <v>45693.717488425929</v>
      </c>
      <c r="D463" t="s">
        <v>73</v>
      </c>
      <c r="E463" s="4">
        <v>0.51600000000000001</v>
      </c>
      <c r="F463" s="4">
        <v>436499.22899999999</v>
      </c>
      <c r="G463" s="4">
        <v>436499.745</v>
      </c>
      <c r="H463" s="5">
        <f>1439 / 86400</f>
        <v>1.6655092592592593E-2</v>
      </c>
      <c r="I463" t="s">
        <v>153</v>
      </c>
      <c r="J463" t="s">
        <v>116</v>
      </c>
      <c r="K463" s="5">
        <f>1618 / 86400</f>
        <v>1.8726851851851852E-2</v>
      </c>
      <c r="L463" s="5">
        <f>682 / 86400</f>
        <v>7.8935185185185185E-3</v>
      </c>
    </row>
    <row r="464" spans="1:12" x14ac:dyDescent="0.25">
      <c r="A464" s="3">
        <v>45693.725381944445</v>
      </c>
      <c r="B464" t="s">
        <v>73</v>
      </c>
      <c r="C464" s="3">
        <v>45693.729363425926</v>
      </c>
      <c r="D464" t="s">
        <v>46</v>
      </c>
      <c r="E464" s="4">
        <v>0.96</v>
      </c>
      <c r="F464" s="4">
        <v>436499.745</v>
      </c>
      <c r="G464" s="4">
        <v>436500.70500000002</v>
      </c>
      <c r="H464" s="5">
        <f>79 / 86400</f>
        <v>9.1435185185185185E-4</v>
      </c>
      <c r="I464" t="s">
        <v>231</v>
      </c>
      <c r="J464" t="s">
        <v>20</v>
      </c>
      <c r="K464" s="5">
        <f>343 / 86400</f>
        <v>3.9699074074074072E-3</v>
      </c>
      <c r="L464" s="5">
        <f>23382 / 86400</f>
        <v>0.270625</v>
      </c>
    </row>
    <row r="465" spans="1:12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 spans="1:12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 spans="1:12" s="10" customFormat="1" ht="20.100000000000001" customHeight="1" x14ac:dyDescent="0.35">
      <c r="A467" s="12" t="s">
        <v>410</v>
      </c>
      <c r="B467" s="12"/>
      <c r="C467" s="12"/>
      <c r="D467" s="12"/>
      <c r="E467" s="12"/>
      <c r="F467" s="12"/>
      <c r="G467" s="12"/>
      <c r="H467" s="12"/>
      <c r="I467" s="12"/>
      <c r="J467" s="12"/>
    </row>
    <row r="468" spans="1:12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 spans="1:12" ht="30" x14ac:dyDescent="0.25">
      <c r="A469" s="2" t="s">
        <v>6</v>
      </c>
      <c r="B469" s="2" t="s">
        <v>7</v>
      </c>
      <c r="C469" s="2" t="s">
        <v>8</v>
      </c>
      <c r="D469" s="2" t="s">
        <v>9</v>
      </c>
      <c r="E469" s="2" t="s">
        <v>10</v>
      </c>
      <c r="F469" s="2" t="s">
        <v>11</v>
      </c>
      <c r="G469" s="2" t="s">
        <v>12</v>
      </c>
      <c r="H469" s="2" t="s">
        <v>13</v>
      </c>
      <c r="I469" s="2" t="s">
        <v>14</v>
      </c>
      <c r="J469" s="2" t="s">
        <v>15</v>
      </c>
      <c r="K469" s="2" t="s">
        <v>16</v>
      </c>
      <c r="L469" s="2" t="s">
        <v>17</v>
      </c>
    </row>
    <row r="470" spans="1:12" x14ac:dyDescent="0.25">
      <c r="A470" s="3">
        <v>45693.131539351853</v>
      </c>
      <c r="B470" t="s">
        <v>22</v>
      </c>
      <c r="C470" s="3">
        <v>45693.133842592593</v>
      </c>
      <c r="D470" t="s">
        <v>144</v>
      </c>
      <c r="E470" s="4">
        <v>0.70799999999999996</v>
      </c>
      <c r="F470" s="4">
        <v>52581.021000000001</v>
      </c>
      <c r="G470" s="4">
        <v>52581.728999999999</v>
      </c>
      <c r="H470" s="5">
        <f>59 / 86400</f>
        <v>6.8287037037037036E-4</v>
      </c>
      <c r="I470" t="s">
        <v>160</v>
      </c>
      <c r="J470" t="s">
        <v>55</v>
      </c>
      <c r="K470" s="5">
        <f>199 / 86400</f>
        <v>2.3032407407407407E-3</v>
      </c>
      <c r="L470" s="5">
        <f>11504 / 86400</f>
        <v>0.13314814814814815</v>
      </c>
    </row>
    <row r="471" spans="1:12" x14ac:dyDescent="0.25">
      <c r="A471" s="3">
        <v>45693.135451388887</v>
      </c>
      <c r="B471" t="s">
        <v>144</v>
      </c>
      <c r="C471" s="3">
        <v>45693.305868055555</v>
      </c>
      <c r="D471" t="s">
        <v>336</v>
      </c>
      <c r="E471" s="4">
        <v>105.58199999999999</v>
      </c>
      <c r="F471" s="4">
        <v>52581.728999999999</v>
      </c>
      <c r="G471" s="4">
        <v>52687.311000000002</v>
      </c>
      <c r="H471" s="5">
        <f>2841 / 86400</f>
        <v>3.2881944444444443E-2</v>
      </c>
      <c r="I471" t="s">
        <v>337</v>
      </c>
      <c r="J471" t="s">
        <v>172</v>
      </c>
      <c r="K471" s="5">
        <f>14723 / 86400</f>
        <v>0.17040509259259259</v>
      </c>
      <c r="L471" s="5">
        <f>999 / 86400</f>
        <v>1.15625E-2</v>
      </c>
    </row>
    <row r="472" spans="1:12" x14ac:dyDescent="0.25">
      <c r="A472" s="3">
        <v>45693.317430555559</v>
      </c>
      <c r="B472" t="s">
        <v>336</v>
      </c>
      <c r="C472" s="3">
        <v>45693.318807870368</v>
      </c>
      <c r="D472" t="s">
        <v>118</v>
      </c>
      <c r="E472" s="4">
        <v>0.42099999999999999</v>
      </c>
      <c r="F472" s="4">
        <v>52687.311000000002</v>
      </c>
      <c r="G472" s="4">
        <v>52687.732000000004</v>
      </c>
      <c r="H472" s="5">
        <f>0 / 86400</f>
        <v>0</v>
      </c>
      <c r="I472" t="s">
        <v>172</v>
      </c>
      <c r="J472" t="s">
        <v>55</v>
      </c>
      <c r="K472" s="5">
        <f>118 / 86400</f>
        <v>1.3657407407407407E-3</v>
      </c>
      <c r="L472" s="5">
        <f>237 / 86400</f>
        <v>2.7430555555555554E-3</v>
      </c>
    </row>
    <row r="473" spans="1:12" x14ac:dyDescent="0.25">
      <c r="A473" s="3">
        <v>45693.321550925924</v>
      </c>
      <c r="B473" t="s">
        <v>118</v>
      </c>
      <c r="C473" s="3">
        <v>45693.577997685185</v>
      </c>
      <c r="D473" t="s">
        <v>73</v>
      </c>
      <c r="E473" s="4">
        <v>100.18600000000001</v>
      </c>
      <c r="F473" s="4">
        <v>52687.732000000004</v>
      </c>
      <c r="G473" s="4">
        <v>52787.917999999998</v>
      </c>
      <c r="H473" s="5">
        <f>7493 / 86400</f>
        <v>8.6724537037037031E-2</v>
      </c>
      <c r="I473" t="s">
        <v>19</v>
      </c>
      <c r="J473" t="s">
        <v>31</v>
      </c>
      <c r="K473" s="5">
        <f>22157 / 86400</f>
        <v>0.25644675925925925</v>
      </c>
      <c r="L473" s="5">
        <f>264 / 86400</f>
        <v>3.0555555555555557E-3</v>
      </c>
    </row>
    <row r="474" spans="1:12" x14ac:dyDescent="0.25">
      <c r="A474" s="3">
        <v>45693.581053240741</v>
      </c>
      <c r="B474" t="s">
        <v>73</v>
      </c>
      <c r="C474" s="3">
        <v>45693.582268518519</v>
      </c>
      <c r="D474" t="s">
        <v>144</v>
      </c>
      <c r="E474" s="4">
        <v>0.20100000000000001</v>
      </c>
      <c r="F474" s="4">
        <v>52787.917999999998</v>
      </c>
      <c r="G474" s="4">
        <v>52788.118999999999</v>
      </c>
      <c r="H474" s="5">
        <f>19 / 86400</f>
        <v>2.199074074074074E-4</v>
      </c>
      <c r="I474" t="s">
        <v>35</v>
      </c>
      <c r="J474" t="s">
        <v>132</v>
      </c>
      <c r="K474" s="5">
        <f>105 / 86400</f>
        <v>1.2152777777777778E-3</v>
      </c>
      <c r="L474" s="5">
        <f>350 / 86400</f>
        <v>4.0509259259259257E-3</v>
      </c>
    </row>
    <row r="475" spans="1:12" x14ac:dyDescent="0.25">
      <c r="A475" s="3">
        <v>45693.586319444439</v>
      </c>
      <c r="B475" t="s">
        <v>144</v>
      </c>
      <c r="C475" s="3">
        <v>45693.587418981479</v>
      </c>
      <c r="D475" t="s">
        <v>73</v>
      </c>
      <c r="E475" s="4">
        <v>0.24199999999999999</v>
      </c>
      <c r="F475" s="4">
        <v>52788.118999999999</v>
      </c>
      <c r="G475" s="4">
        <v>52788.360999999997</v>
      </c>
      <c r="H475" s="5">
        <f>0 / 86400</f>
        <v>0</v>
      </c>
      <c r="I475" t="s">
        <v>154</v>
      </c>
      <c r="J475" t="s">
        <v>82</v>
      </c>
      <c r="K475" s="5">
        <f>95 / 86400</f>
        <v>1.0995370370370371E-3</v>
      </c>
      <c r="L475" s="5">
        <f>2327 / 86400</f>
        <v>2.6932870370370371E-2</v>
      </c>
    </row>
    <row r="476" spans="1:12" x14ac:dyDescent="0.25">
      <c r="A476" s="3">
        <v>45693.614351851851</v>
      </c>
      <c r="B476" t="s">
        <v>73</v>
      </c>
      <c r="C476" s="3">
        <v>45693.616909722223</v>
      </c>
      <c r="D476" t="s">
        <v>73</v>
      </c>
      <c r="E476" s="4">
        <v>0</v>
      </c>
      <c r="F476" s="4">
        <v>52788.360999999997</v>
      </c>
      <c r="G476" s="4">
        <v>52788.360999999997</v>
      </c>
      <c r="H476" s="5">
        <f>219 / 86400</f>
        <v>2.5347222222222221E-3</v>
      </c>
      <c r="I476" t="s">
        <v>124</v>
      </c>
      <c r="J476" t="s">
        <v>124</v>
      </c>
      <c r="K476" s="5">
        <f>221 / 86400</f>
        <v>2.5578703703703705E-3</v>
      </c>
      <c r="L476" s="5">
        <f>82 / 86400</f>
        <v>9.4907407407407408E-4</v>
      </c>
    </row>
    <row r="477" spans="1:12" x14ac:dyDescent="0.25">
      <c r="A477" s="3">
        <v>45693.617858796293</v>
      </c>
      <c r="B477" t="s">
        <v>73</v>
      </c>
      <c r="C477" s="3">
        <v>45693.618796296301</v>
      </c>
      <c r="D477" t="s">
        <v>73</v>
      </c>
      <c r="E477" s="4">
        <v>0</v>
      </c>
      <c r="F477" s="4">
        <v>52788.360999999997</v>
      </c>
      <c r="G477" s="4">
        <v>52788.360999999997</v>
      </c>
      <c r="H477" s="5">
        <f>80 / 86400</f>
        <v>9.2592592592592596E-4</v>
      </c>
      <c r="I477" t="s">
        <v>124</v>
      </c>
      <c r="J477" t="s">
        <v>124</v>
      </c>
      <c r="K477" s="5">
        <f>81 / 86400</f>
        <v>9.3749999999999997E-4</v>
      </c>
      <c r="L477" s="5">
        <f>1068 / 86400</f>
        <v>1.2361111111111111E-2</v>
      </c>
    </row>
    <row r="478" spans="1:12" x14ac:dyDescent="0.25">
      <c r="A478" s="3">
        <v>45693.631157407406</v>
      </c>
      <c r="B478" t="s">
        <v>73</v>
      </c>
      <c r="C478" s="3">
        <v>45693.634120370371</v>
      </c>
      <c r="D478" t="s">
        <v>271</v>
      </c>
      <c r="E478" s="4">
        <v>0.41599999999999998</v>
      </c>
      <c r="F478" s="4">
        <v>52788.360999999997</v>
      </c>
      <c r="G478" s="4">
        <v>52788.777000000002</v>
      </c>
      <c r="H478" s="5">
        <f>100 / 86400</f>
        <v>1.1574074074074073E-3</v>
      </c>
      <c r="I478" t="s">
        <v>138</v>
      </c>
      <c r="J478" t="s">
        <v>260</v>
      </c>
      <c r="K478" s="5">
        <f>256 / 86400</f>
        <v>2.9629629629629628E-3</v>
      </c>
      <c r="L478" s="5">
        <f>85 / 86400</f>
        <v>9.837962962962962E-4</v>
      </c>
    </row>
    <row r="479" spans="1:12" x14ac:dyDescent="0.25">
      <c r="A479" s="3">
        <v>45693.635104166664</v>
      </c>
      <c r="B479" t="s">
        <v>271</v>
      </c>
      <c r="C479" s="3">
        <v>45693.757291666669</v>
      </c>
      <c r="D479" t="s">
        <v>203</v>
      </c>
      <c r="E479" s="4">
        <v>45.267000000000003</v>
      </c>
      <c r="F479" s="4">
        <v>52788.777000000002</v>
      </c>
      <c r="G479" s="4">
        <v>52834.044000000002</v>
      </c>
      <c r="H479" s="5">
        <f>4557 / 86400</f>
        <v>5.2743055555555557E-2</v>
      </c>
      <c r="I479" t="s">
        <v>45</v>
      </c>
      <c r="J479" t="s">
        <v>35</v>
      </c>
      <c r="K479" s="5">
        <f>10557 / 86400</f>
        <v>0.1221875</v>
      </c>
      <c r="L479" s="5">
        <f>45 / 86400</f>
        <v>5.2083333333333333E-4</v>
      </c>
    </row>
    <row r="480" spans="1:12" x14ac:dyDescent="0.25">
      <c r="A480" s="3">
        <v>45693.7578125</v>
      </c>
      <c r="B480" t="s">
        <v>203</v>
      </c>
      <c r="C480" s="3">
        <v>45693.884965277779</v>
      </c>
      <c r="D480" t="s">
        <v>144</v>
      </c>
      <c r="E480" s="4">
        <v>45.869</v>
      </c>
      <c r="F480" s="4">
        <v>52834.044000000002</v>
      </c>
      <c r="G480" s="4">
        <v>52879.913</v>
      </c>
      <c r="H480" s="5">
        <f>4039 / 86400</f>
        <v>4.6747685185185184E-2</v>
      </c>
      <c r="I480" t="s">
        <v>194</v>
      </c>
      <c r="J480" t="s">
        <v>35</v>
      </c>
      <c r="K480" s="5">
        <f>10985 / 86400</f>
        <v>0.12714120370370371</v>
      </c>
      <c r="L480" s="5">
        <f>680 / 86400</f>
        <v>7.8703703703703696E-3</v>
      </c>
    </row>
    <row r="481" spans="1:12" x14ac:dyDescent="0.25">
      <c r="A481" s="3">
        <v>45693.892835648148</v>
      </c>
      <c r="B481" t="s">
        <v>144</v>
      </c>
      <c r="C481" s="3">
        <v>45693.909178240741</v>
      </c>
      <c r="D481" t="s">
        <v>48</v>
      </c>
      <c r="E481" s="4">
        <v>4.8449999999999998</v>
      </c>
      <c r="F481" s="4">
        <v>52879.913</v>
      </c>
      <c r="G481" s="4">
        <v>52884.758000000002</v>
      </c>
      <c r="H481" s="5">
        <f>260 / 86400</f>
        <v>3.0092592592592593E-3</v>
      </c>
      <c r="I481" t="s">
        <v>159</v>
      </c>
      <c r="J481" t="s">
        <v>59</v>
      </c>
      <c r="K481" s="5">
        <f>1411 / 86400</f>
        <v>1.6331018518518519E-2</v>
      </c>
      <c r="L481" s="5">
        <f>7846 / 86400</f>
        <v>9.0810185185185188E-2</v>
      </c>
    </row>
    <row r="482" spans="1:12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 spans="1:12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 spans="1:12" s="10" customFormat="1" ht="20.100000000000001" customHeight="1" x14ac:dyDescent="0.35">
      <c r="A484" s="12" t="s">
        <v>411</v>
      </c>
      <c r="B484" s="12"/>
      <c r="C484" s="12"/>
      <c r="D484" s="12"/>
      <c r="E484" s="12"/>
      <c r="F484" s="12"/>
      <c r="G484" s="12"/>
      <c r="H484" s="12"/>
      <c r="I484" s="12"/>
      <c r="J484" s="12"/>
    </row>
    <row r="485" spans="1:12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 spans="1:12" ht="30" x14ac:dyDescent="0.25">
      <c r="A486" s="2" t="s">
        <v>6</v>
      </c>
      <c r="B486" s="2" t="s">
        <v>7</v>
      </c>
      <c r="C486" s="2" t="s">
        <v>8</v>
      </c>
      <c r="D486" s="2" t="s">
        <v>9</v>
      </c>
      <c r="E486" s="2" t="s">
        <v>10</v>
      </c>
      <c r="F486" s="2" t="s">
        <v>11</v>
      </c>
      <c r="G486" s="2" t="s">
        <v>12</v>
      </c>
      <c r="H486" s="2" t="s">
        <v>13</v>
      </c>
      <c r="I486" s="2" t="s">
        <v>14</v>
      </c>
      <c r="J486" s="2" t="s">
        <v>15</v>
      </c>
      <c r="K486" s="2" t="s">
        <v>16</v>
      </c>
      <c r="L486" s="2" t="s">
        <v>17</v>
      </c>
    </row>
    <row r="487" spans="1:12" x14ac:dyDescent="0.25">
      <c r="A487" s="3">
        <v>45693.227604166663</v>
      </c>
      <c r="B487" t="s">
        <v>49</v>
      </c>
      <c r="C487" s="3">
        <v>45693.227743055555</v>
      </c>
      <c r="D487" t="s">
        <v>49</v>
      </c>
      <c r="E487" s="4">
        <v>0</v>
      </c>
      <c r="F487" s="4">
        <v>214342.359</v>
      </c>
      <c r="G487" s="4">
        <v>214342.359</v>
      </c>
      <c r="H487" s="5">
        <f>0 / 86400</f>
        <v>0</v>
      </c>
      <c r="I487" t="s">
        <v>124</v>
      </c>
      <c r="J487" t="s">
        <v>124</v>
      </c>
      <c r="K487" s="5">
        <f>11 / 86400</f>
        <v>1.273148148148148E-4</v>
      </c>
      <c r="L487" s="5">
        <f>19779 / 86400</f>
        <v>0.22892361111111112</v>
      </c>
    </row>
    <row r="488" spans="1:12" x14ac:dyDescent="0.25">
      <c r="A488" s="3">
        <v>45693.229062500002</v>
      </c>
      <c r="B488" t="s">
        <v>49</v>
      </c>
      <c r="C488" s="3">
        <v>45693.229108796295</v>
      </c>
      <c r="D488" t="s">
        <v>49</v>
      </c>
      <c r="E488" s="4">
        <v>0</v>
      </c>
      <c r="F488" s="4">
        <v>214342.359</v>
      </c>
      <c r="G488" s="4">
        <v>214342.359</v>
      </c>
      <c r="H488" s="5">
        <f>0 / 86400</f>
        <v>0</v>
      </c>
      <c r="I488" t="s">
        <v>124</v>
      </c>
      <c r="J488" t="s">
        <v>124</v>
      </c>
      <c r="K488" s="5">
        <f>4 / 86400</f>
        <v>4.6296296296296294E-5</v>
      </c>
      <c r="L488" s="5">
        <f>167 / 86400</f>
        <v>1.9328703703703704E-3</v>
      </c>
    </row>
    <row r="489" spans="1:12" x14ac:dyDescent="0.25">
      <c r="A489" s="3">
        <v>45693.231041666666</v>
      </c>
      <c r="B489" t="s">
        <v>49</v>
      </c>
      <c r="C489" s="3">
        <v>45693.231307870374</v>
      </c>
      <c r="D489" t="s">
        <v>49</v>
      </c>
      <c r="E489" s="4">
        <v>3.0000000000000001E-3</v>
      </c>
      <c r="F489" s="4">
        <v>214342.359</v>
      </c>
      <c r="G489" s="4">
        <v>214342.36199999999</v>
      </c>
      <c r="H489" s="5">
        <f>19 / 86400</f>
        <v>2.199074074074074E-4</v>
      </c>
      <c r="I489" t="s">
        <v>124</v>
      </c>
      <c r="J489" t="s">
        <v>124</v>
      </c>
      <c r="K489" s="5">
        <f>23 / 86400</f>
        <v>2.6620370370370372E-4</v>
      </c>
      <c r="L489" s="5">
        <f>426 / 86400</f>
        <v>4.9305555555555552E-3</v>
      </c>
    </row>
    <row r="490" spans="1:12" x14ac:dyDescent="0.25">
      <c r="A490" s="3">
        <v>45693.236238425925</v>
      </c>
      <c r="B490" t="s">
        <v>49</v>
      </c>
      <c r="C490" s="3">
        <v>45693.515520833331</v>
      </c>
      <c r="D490" t="s">
        <v>73</v>
      </c>
      <c r="E490" s="4">
        <v>102.262</v>
      </c>
      <c r="F490" s="4">
        <v>214342.36199999999</v>
      </c>
      <c r="G490" s="4">
        <v>214444.62400000001</v>
      </c>
      <c r="H490" s="5">
        <f>8998 / 86400</f>
        <v>0.10414351851851852</v>
      </c>
      <c r="I490" t="s">
        <v>51</v>
      </c>
      <c r="J490" t="s">
        <v>35</v>
      </c>
      <c r="K490" s="5">
        <f>24129 / 86400</f>
        <v>0.27927083333333336</v>
      </c>
      <c r="L490" s="5">
        <f>829 / 86400</f>
        <v>9.5949074074074079E-3</v>
      </c>
    </row>
    <row r="491" spans="1:12" x14ac:dyDescent="0.25">
      <c r="A491" s="3">
        <v>45693.52511574074</v>
      </c>
      <c r="B491" t="s">
        <v>73</v>
      </c>
      <c r="C491" s="3">
        <v>45693.528981481482</v>
      </c>
      <c r="D491" t="s">
        <v>49</v>
      </c>
      <c r="E491" s="4">
        <v>0.89800000000000002</v>
      </c>
      <c r="F491" s="4">
        <v>214444.62400000001</v>
      </c>
      <c r="G491" s="4">
        <v>214445.522</v>
      </c>
      <c r="H491" s="5">
        <f>59 / 86400</f>
        <v>6.8287037037037036E-4</v>
      </c>
      <c r="I491" t="s">
        <v>123</v>
      </c>
      <c r="J491" t="s">
        <v>20</v>
      </c>
      <c r="K491" s="5">
        <f>333 / 86400</f>
        <v>3.8541666666666668E-3</v>
      </c>
      <c r="L491" s="5">
        <f>377 / 86400</f>
        <v>4.363425925925926E-3</v>
      </c>
    </row>
    <row r="492" spans="1:12" x14ac:dyDescent="0.25">
      <c r="A492" s="3">
        <v>45693.53334490741</v>
      </c>
      <c r="B492" t="s">
        <v>49</v>
      </c>
      <c r="C492" s="3">
        <v>45693.547256944439</v>
      </c>
      <c r="D492" t="s">
        <v>148</v>
      </c>
      <c r="E492" s="4">
        <v>2.6070000000000002</v>
      </c>
      <c r="F492" s="4">
        <v>214445.522</v>
      </c>
      <c r="G492" s="4">
        <v>214448.12899999999</v>
      </c>
      <c r="H492" s="5">
        <f>520 / 86400</f>
        <v>6.0185185185185185E-3</v>
      </c>
      <c r="I492" t="s">
        <v>39</v>
      </c>
      <c r="J492" t="s">
        <v>119</v>
      </c>
      <c r="K492" s="5">
        <f>1202 / 86400</f>
        <v>1.3912037037037037E-2</v>
      </c>
      <c r="L492" s="5">
        <f>7 / 86400</f>
        <v>8.1018518518518516E-5</v>
      </c>
    </row>
    <row r="493" spans="1:12" x14ac:dyDescent="0.25">
      <c r="A493" s="3">
        <v>45693.547337962962</v>
      </c>
      <c r="B493" t="s">
        <v>148</v>
      </c>
      <c r="C493" s="3">
        <v>45693.547534722224</v>
      </c>
      <c r="D493" t="s">
        <v>148</v>
      </c>
      <c r="E493" s="4">
        <v>0</v>
      </c>
      <c r="F493" s="4">
        <v>214448.12899999999</v>
      </c>
      <c r="G493" s="4">
        <v>214448.12899999999</v>
      </c>
      <c r="H493" s="5">
        <f>0 / 86400</f>
        <v>0</v>
      </c>
      <c r="I493" t="s">
        <v>124</v>
      </c>
      <c r="J493" t="s">
        <v>124</v>
      </c>
      <c r="K493" s="5">
        <f>17 / 86400</f>
        <v>1.9675925925925926E-4</v>
      </c>
      <c r="L493" s="5">
        <f>360 / 86400</f>
        <v>4.1666666666666666E-3</v>
      </c>
    </row>
    <row r="494" spans="1:12" x14ac:dyDescent="0.25">
      <c r="A494" s="3">
        <v>45693.551701388889</v>
      </c>
      <c r="B494" t="s">
        <v>148</v>
      </c>
      <c r="C494" s="3">
        <v>45693.551886574074</v>
      </c>
      <c r="D494" t="s">
        <v>148</v>
      </c>
      <c r="E494" s="4">
        <v>0</v>
      </c>
      <c r="F494" s="4">
        <v>214448.12899999999</v>
      </c>
      <c r="G494" s="4">
        <v>214448.12899999999</v>
      </c>
      <c r="H494" s="5">
        <f>0 / 86400</f>
        <v>0</v>
      </c>
      <c r="I494" t="s">
        <v>124</v>
      </c>
      <c r="J494" t="s">
        <v>124</v>
      </c>
      <c r="K494" s="5">
        <f>16 / 86400</f>
        <v>1.8518518518518518E-4</v>
      </c>
      <c r="L494" s="5">
        <f>661 / 86400</f>
        <v>7.6504629629629631E-3</v>
      </c>
    </row>
    <row r="495" spans="1:12" x14ac:dyDescent="0.25">
      <c r="A495" s="3">
        <v>45693.559537037036</v>
      </c>
      <c r="B495" t="s">
        <v>148</v>
      </c>
      <c r="C495" s="3">
        <v>45693.559675925921</v>
      </c>
      <c r="D495" t="s">
        <v>148</v>
      </c>
      <c r="E495" s="4">
        <v>0</v>
      </c>
      <c r="F495" s="4">
        <v>214448.12899999999</v>
      </c>
      <c r="G495" s="4">
        <v>214448.12899999999</v>
      </c>
      <c r="H495" s="5">
        <f>0 / 86400</f>
        <v>0</v>
      </c>
      <c r="I495" t="s">
        <v>124</v>
      </c>
      <c r="J495" t="s">
        <v>124</v>
      </c>
      <c r="K495" s="5">
        <f>11 / 86400</f>
        <v>1.273148148148148E-4</v>
      </c>
      <c r="L495" s="5">
        <f>209 / 86400</f>
        <v>2.4189814814814816E-3</v>
      </c>
    </row>
    <row r="496" spans="1:12" x14ac:dyDescent="0.25">
      <c r="A496" s="3">
        <v>45693.562094907407</v>
      </c>
      <c r="B496" t="s">
        <v>148</v>
      </c>
      <c r="C496" s="3">
        <v>45693.562268518523</v>
      </c>
      <c r="D496" t="s">
        <v>148</v>
      </c>
      <c r="E496" s="4">
        <v>0</v>
      </c>
      <c r="F496" s="4">
        <v>214448.12899999999</v>
      </c>
      <c r="G496" s="4">
        <v>214448.12899999999</v>
      </c>
      <c r="H496" s="5">
        <f>0 / 86400</f>
        <v>0</v>
      </c>
      <c r="I496" t="s">
        <v>124</v>
      </c>
      <c r="J496" t="s">
        <v>124</v>
      </c>
      <c r="K496" s="5">
        <f>14 / 86400</f>
        <v>1.6203703703703703E-4</v>
      </c>
      <c r="L496" s="5">
        <f>2952 / 86400</f>
        <v>3.4166666666666665E-2</v>
      </c>
    </row>
    <row r="497" spans="1:12" x14ac:dyDescent="0.25">
      <c r="A497" s="3">
        <v>45693.596435185187</v>
      </c>
      <c r="B497" t="s">
        <v>148</v>
      </c>
      <c r="C497" s="3">
        <v>45693.598634259259</v>
      </c>
      <c r="D497" t="s">
        <v>144</v>
      </c>
      <c r="E497" s="4">
        <v>0.187</v>
      </c>
      <c r="F497" s="4">
        <v>214448.12899999999</v>
      </c>
      <c r="G497" s="4">
        <v>214448.31599999999</v>
      </c>
      <c r="H497" s="5">
        <f>119 / 86400</f>
        <v>1.3773148148148147E-3</v>
      </c>
      <c r="I497" t="s">
        <v>153</v>
      </c>
      <c r="J497" t="s">
        <v>86</v>
      </c>
      <c r="K497" s="5">
        <f>189 / 86400</f>
        <v>2.1875000000000002E-3</v>
      </c>
      <c r="L497" s="5">
        <f>35 / 86400</f>
        <v>4.0509259259259258E-4</v>
      </c>
    </row>
    <row r="498" spans="1:12" x14ac:dyDescent="0.25">
      <c r="A498" s="3">
        <v>45693.599039351851</v>
      </c>
      <c r="B498" t="s">
        <v>144</v>
      </c>
      <c r="C498" s="3">
        <v>45693.599236111113</v>
      </c>
      <c r="D498" t="s">
        <v>144</v>
      </c>
      <c r="E498" s="4">
        <v>1.2999999999999999E-2</v>
      </c>
      <c r="F498" s="4">
        <v>214448.31599999999</v>
      </c>
      <c r="G498" s="4">
        <v>214448.329</v>
      </c>
      <c r="H498" s="5">
        <f>0 / 86400</f>
        <v>0</v>
      </c>
      <c r="I498" t="s">
        <v>133</v>
      </c>
      <c r="J498" t="s">
        <v>149</v>
      </c>
      <c r="K498" s="5">
        <f>16 / 86400</f>
        <v>1.8518518518518518E-4</v>
      </c>
      <c r="L498" s="5">
        <f>937 / 86400</f>
        <v>1.0844907407407407E-2</v>
      </c>
    </row>
    <row r="499" spans="1:12" x14ac:dyDescent="0.25">
      <c r="A499" s="3">
        <v>45693.610081018516</v>
      </c>
      <c r="B499" t="s">
        <v>73</v>
      </c>
      <c r="C499" s="3">
        <v>45693.610486111109</v>
      </c>
      <c r="D499" t="s">
        <v>144</v>
      </c>
      <c r="E499" s="4">
        <v>4.3999999999999997E-2</v>
      </c>
      <c r="F499" s="4">
        <v>214448.329</v>
      </c>
      <c r="G499" s="4">
        <v>214448.37299999999</v>
      </c>
      <c r="H499" s="5">
        <f>0 / 86400</f>
        <v>0</v>
      </c>
      <c r="I499" t="s">
        <v>59</v>
      </c>
      <c r="J499" t="s">
        <v>133</v>
      </c>
      <c r="K499" s="5">
        <f>34 / 86400</f>
        <v>3.9351851851851852E-4</v>
      </c>
      <c r="L499" s="5">
        <f>39 / 86400</f>
        <v>4.5138888888888887E-4</v>
      </c>
    </row>
    <row r="500" spans="1:12" x14ac:dyDescent="0.25">
      <c r="A500" s="3">
        <v>45693.610937500001</v>
      </c>
      <c r="B500" t="s">
        <v>144</v>
      </c>
      <c r="C500" s="3">
        <v>45693.612800925926</v>
      </c>
      <c r="D500" t="s">
        <v>137</v>
      </c>
      <c r="E500" s="4">
        <v>0.55700000000000005</v>
      </c>
      <c r="F500" s="4">
        <v>214448.37299999999</v>
      </c>
      <c r="G500" s="4">
        <v>214448.93</v>
      </c>
      <c r="H500" s="5">
        <f>0 / 86400</f>
        <v>0</v>
      </c>
      <c r="I500" t="s">
        <v>159</v>
      </c>
      <c r="J500" t="s">
        <v>59</v>
      </c>
      <c r="K500" s="5">
        <f>161 / 86400</f>
        <v>1.8634259259259259E-3</v>
      </c>
      <c r="L500" s="5">
        <f>127 / 86400</f>
        <v>1.4699074074074074E-3</v>
      </c>
    </row>
    <row r="501" spans="1:12" x14ac:dyDescent="0.25">
      <c r="A501" s="3">
        <v>45693.614270833335</v>
      </c>
      <c r="B501" t="s">
        <v>137</v>
      </c>
      <c r="C501" s="3">
        <v>45693.617118055554</v>
      </c>
      <c r="D501" t="s">
        <v>129</v>
      </c>
      <c r="E501" s="4">
        <v>2.5999999999999999E-2</v>
      </c>
      <c r="F501" s="4">
        <v>214448.93</v>
      </c>
      <c r="G501" s="4">
        <v>214448.95600000001</v>
      </c>
      <c r="H501" s="5">
        <f>200 / 86400</f>
        <v>2.3148148148148147E-3</v>
      </c>
      <c r="I501" t="s">
        <v>260</v>
      </c>
      <c r="J501" t="s">
        <v>124</v>
      </c>
      <c r="K501" s="5">
        <f>245 / 86400</f>
        <v>2.8356481481481483E-3</v>
      </c>
      <c r="L501" s="5">
        <f>82 / 86400</f>
        <v>9.4907407407407408E-4</v>
      </c>
    </row>
    <row r="502" spans="1:12" x14ac:dyDescent="0.25">
      <c r="A502" s="3">
        <v>45693.618067129632</v>
      </c>
      <c r="B502" t="s">
        <v>129</v>
      </c>
      <c r="C502" s="3">
        <v>45693.618217592593</v>
      </c>
      <c r="D502" t="s">
        <v>129</v>
      </c>
      <c r="E502" s="4">
        <v>6.0000000000000001E-3</v>
      </c>
      <c r="F502" s="4">
        <v>214448.95600000001</v>
      </c>
      <c r="G502" s="4">
        <v>214448.962</v>
      </c>
      <c r="H502" s="5">
        <f>0 / 86400</f>
        <v>0</v>
      </c>
      <c r="I502" t="s">
        <v>124</v>
      </c>
      <c r="J502" t="s">
        <v>126</v>
      </c>
      <c r="K502" s="5">
        <f>12 / 86400</f>
        <v>1.3888888888888889E-4</v>
      </c>
      <c r="L502" s="5">
        <f>199 / 86400</f>
        <v>2.3032407407407407E-3</v>
      </c>
    </row>
    <row r="503" spans="1:12" x14ac:dyDescent="0.25">
      <c r="A503" s="3">
        <v>45693.620520833334</v>
      </c>
      <c r="B503" t="s">
        <v>129</v>
      </c>
      <c r="C503" s="3">
        <v>45693.620729166665</v>
      </c>
      <c r="D503" t="s">
        <v>129</v>
      </c>
      <c r="E503" s="4">
        <v>1E-3</v>
      </c>
      <c r="F503" s="4">
        <v>214448.962</v>
      </c>
      <c r="G503" s="4">
        <v>214448.96299999999</v>
      </c>
      <c r="H503" s="5">
        <f>0 / 86400</f>
        <v>0</v>
      </c>
      <c r="I503" t="s">
        <v>124</v>
      </c>
      <c r="J503" t="s">
        <v>124</v>
      </c>
      <c r="K503" s="5">
        <f>17 / 86400</f>
        <v>1.9675925925925926E-4</v>
      </c>
      <c r="L503" s="5">
        <f>33 / 86400</f>
        <v>3.8194444444444446E-4</v>
      </c>
    </row>
    <row r="504" spans="1:12" x14ac:dyDescent="0.25">
      <c r="A504" s="3">
        <v>45693.621111111112</v>
      </c>
      <c r="B504" t="s">
        <v>129</v>
      </c>
      <c r="C504" s="3">
        <v>45693.621307870373</v>
      </c>
      <c r="D504" t="s">
        <v>129</v>
      </c>
      <c r="E504" s="4">
        <v>0</v>
      </c>
      <c r="F504" s="4">
        <v>214448.96299999999</v>
      </c>
      <c r="G504" s="4">
        <v>214448.96299999999</v>
      </c>
      <c r="H504" s="5">
        <f>0 / 86400</f>
        <v>0</v>
      </c>
      <c r="I504" t="s">
        <v>124</v>
      </c>
      <c r="J504" t="s">
        <v>124</v>
      </c>
      <c r="K504" s="5">
        <f>16 / 86400</f>
        <v>1.8518518518518518E-4</v>
      </c>
      <c r="L504" s="5">
        <f>194 / 86400</f>
        <v>2.2453703703703702E-3</v>
      </c>
    </row>
    <row r="505" spans="1:12" x14ac:dyDescent="0.25">
      <c r="A505" s="3">
        <v>45693.623553240745</v>
      </c>
      <c r="B505" t="s">
        <v>129</v>
      </c>
      <c r="C505" s="3">
        <v>45693.958171296297</v>
      </c>
      <c r="D505" t="s">
        <v>338</v>
      </c>
      <c r="E505" s="4">
        <v>108.312</v>
      </c>
      <c r="F505" s="4">
        <v>214448.96299999999</v>
      </c>
      <c r="G505" s="4">
        <v>214557.27499999999</v>
      </c>
      <c r="H505" s="5">
        <f>11798 / 86400</f>
        <v>0.13655092592592594</v>
      </c>
      <c r="I505" t="s">
        <v>165</v>
      </c>
      <c r="J505" t="s">
        <v>55</v>
      </c>
      <c r="K505" s="5">
        <f>28910 / 86400</f>
        <v>0.33460648148148148</v>
      </c>
      <c r="L505" s="5">
        <f>394 / 86400</f>
        <v>4.5601851851851853E-3</v>
      </c>
    </row>
    <row r="506" spans="1:12" x14ac:dyDescent="0.25">
      <c r="A506" s="3">
        <v>45693.962731481486</v>
      </c>
      <c r="B506" t="s">
        <v>338</v>
      </c>
      <c r="C506" s="3">
        <v>45693.973402777774</v>
      </c>
      <c r="D506" t="s">
        <v>144</v>
      </c>
      <c r="E506" s="4">
        <v>4.7510000000000003</v>
      </c>
      <c r="F506" s="4">
        <v>214557.27499999999</v>
      </c>
      <c r="G506" s="4">
        <v>214562.02600000001</v>
      </c>
      <c r="H506" s="5">
        <f>160 / 86400</f>
        <v>1.8518518518518519E-3</v>
      </c>
      <c r="I506" t="s">
        <v>123</v>
      </c>
      <c r="J506" t="s">
        <v>37</v>
      </c>
      <c r="K506" s="5">
        <f>922 / 86400</f>
        <v>1.0671296296296297E-2</v>
      </c>
      <c r="L506" s="5">
        <f>170 / 86400</f>
        <v>1.9675925925925924E-3</v>
      </c>
    </row>
    <row r="507" spans="1:12" x14ac:dyDescent="0.25">
      <c r="A507" s="3">
        <v>45693.975370370375</v>
      </c>
      <c r="B507" t="s">
        <v>50</v>
      </c>
      <c r="C507" s="3">
        <v>45693.975393518514</v>
      </c>
      <c r="D507" t="s">
        <v>50</v>
      </c>
      <c r="E507" s="4">
        <v>0</v>
      </c>
      <c r="F507" s="4">
        <v>214562.02600000001</v>
      </c>
      <c r="G507" s="4">
        <v>214562.02600000001</v>
      </c>
      <c r="H507" s="5">
        <f>0 / 86400</f>
        <v>0</v>
      </c>
      <c r="I507" t="s">
        <v>116</v>
      </c>
      <c r="J507" t="s">
        <v>124</v>
      </c>
      <c r="K507" s="5">
        <f>1 / 86400</f>
        <v>1.1574074074074073E-5</v>
      </c>
      <c r="L507" s="5">
        <f>2125 / 86400</f>
        <v>2.4594907407407409E-2</v>
      </c>
    </row>
    <row r="508" spans="1:12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 spans="1:12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 spans="1:12" s="10" customFormat="1" ht="20.100000000000001" customHeight="1" x14ac:dyDescent="0.35">
      <c r="A510" s="12" t="s">
        <v>412</v>
      </c>
      <c r="B510" s="12"/>
      <c r="C510" s="12"/>
      <c r="D510" s="12"/>
      <c r="E510" s="12"/>
      <c r="F510" s="12"/>
      <c r="G510" s="12"/>
      <c r="H510" s="12"/>
      <c r="I510" s="12"/>
      <c r="J510" s="12"/>
    </row>
    <row r="511" spans="1:12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 spans="1:12" ht="30" x14ac:dyDescent="0.25">
      <c r="A512" s="2" t="s">
        <v>6</v>
      </c>
      <c r="B512" s="2" t="s">
        <v>7</v>
      </c>
      <c r="C512" s="2" t="s">
        <v>8</v>
      </c>
      <c r="D512" s="2" t="s">
        <v>9</v>
      </c>
      <c r="E512" s="2" t="s">
        <v>10</v>
      </c>
      <c r="F512" s="2" t="s">
        <v>11</v>
      </c>
      <c r="G512" s="2" t="s">
        <v>12</v>
      </c>
      <c r="H512" s="2" t="s">
        <v>13</v>
      </c>
      <c r="I512" s="2" t="s">
        <v>14</v>
      </c>
      <c r="J512" s="2" t="s">
        <v>15</v>
      </c>
      <c r="K512" s="2" t="s">
        <v>16</v>
      </c>
      <c r="L512" s="2" t="s">
        <v>17</v>
      </c>
    </row>
    <row r="513" spans="1:12" x14ac:dyDescent="0.25">
      <c r="A513" s="3">
        <v>45693.251307870371</v>
      </c>
      <c r="B513" t="s">
        <v>53</v>
      </c>
      <c r="C513" s="3">
        <v>45693.259571759263</v>
      </c>
      <c r="D513" t="s">
        <v>282</v>
      </c>
      <c r="E513" s="4">
        <v>1.5580000000000001</v>
      </c>
      <c r="F513" s="4">
        <v>523742.98700000002</v>
      </c>
      <c r="G513" s="4">
        <v>523744.54499999998</v>
      </c>
      <c r="H513" s="5">
        <f>299 / 86400</f>
        <v>3.460648148148148E-3</v>
      </c>
      <c r="I513" t="s">
        <v>123</v>
      </c>
      <c r="J513" t="s">
        <v>119</v>
      </c>
      <c r="K513" s="5">
        <f>714 / 86400</f>
        <v>8.2638888888888883E-3</v>
      </c>
      <c r="L513" s="5">
        <f>23646 / 86400</f>
        <v>0.27368055555555554</v>
      </c>
    </row>
    <row r="514" spans="1:12" x14ac:dyDescent="0.25">
      <c r="A514" s="3">
        <v>45693.281944444447</v>
      </c>
      <c r="B514" t="s">
        <v>282</v>
      </c>
      <c r="C514" s="3">
        <v>45693.282476851848</v>
      </c>
      <c r="D514" t="s">
        <v>282</v>
      </c>
      <c r="E514" s="4">
        <v>8.5000000000000006E-2</v>
      </c>
      <c r="F514" s="4">
        <v>523744.54499999998</v>
      </c>
      <c r="G514" s="4">
        <v>523744.63</v>
      </c>
      <c r="H514" s="5">
        <f>0 / 86400</f>
        <v>0</v>
      </c>
      <c r="I514" t="s">
        <v>28</v>
      </c>
      <c r="J514" t="s">
        <v>132</v>
      </c>
      <c r="K514" s="5">
        <f>45 / 86400</f>
        <v>5.2083333333333333E-4</v>
      </c>
      <c r="L514" s="5">
        <f>473 / 86400</f>
        <v>5.4745370370370373E-3</v>
      </c>
    </row>
    <row r="515" spans="1:12" x14ac:dyDescent="0.25">
      <c r="A515" s="3">
        <v>45693.287951388891</v>
      </c>
      <c r="B515" t="s">
        <v>282</v>
      </c>
      <c r="C515" s="3">
        <v>45693.532592592594</v>
      </c>
      <c r="D515" t="s">
        <v>49</v>
      </c>
      <c r="E515" s="4">
        <v>83.623000000000005</v>
      </c>
      <c r="F515" s="4">
        <v>523744.63</v>
      </c>
      <c r="G515" s="4">
        <v>523828.25300000003</v>
      </c>
      <c r="H515" s="5">
        <f>10717 / 86400</f>
        <v>0.12403935185185185</v>
      </c>
      <c r="I515" t="s">
        <v>135</v>
      </c>
      <c r="J515" t="s">
        <v>52</v>
      </c>
      <c r="K515" s="5">
        <f>21136 / 86400</f>
        <v>0.24462962962962964</v>
      </c>
      <c r="L515" s="5">
        <f>1926 / 86400</f>
        <v>2.2291666666666668E-2</v>
      </c>
    </row>
    <row r="516" spans="1:12" x14ac:dyDescent="0.25">
      <c r="A516" s="3">
        <v>45693.554884259254</v>
      </c>
      <c r="B516" t="s">
        <v>339</v>
      </c>
      <c r="C516" s="3">
        <v>45693.560844907406</v>
      </c>
      <c r="D516" t="s">
        <v>73</v>
      </c>
      <c r="E516" s="4">
        <v>1.1200000000000001</v>
      </c>
      <c r="F516" s="4">
        <v>523828.25300000003</v>
      </c>
      <c r="G516" s="4">
        <v>523829.37300000002</v>
      </c>
      <c r="H516" s="5">
        <f>200 / 86400</f>
        <v>2.3148148148148147E-3</v>
      </c>
      <c r="I516" t="s">
        <v>174</v>
      </c>
      <c r="J516" t="s">
        <v>119</v>
      </c>
      <c r="K516" s="5">
        <f>515 / 86400</f>
        <v>5.9606481481481481E-3</v>
      </c>
      <c r="L516" s="5">
        <f>621 / 86400</f>
        <v>7.1875000000000003E-3</v>
      </c>
    </row>
    <row r="517" spans="1:12" x14ac:dyDescent="0.25">
      <c r="A517" s="3">
        <v>45693.568032407406</v>
      </c>
      <c r="B517" t="s">
        <v>73</v>
      </c>
      <c r="C517" s="3">
        <v>45693.570879629631</v>
      </c>
      <c r="D517" t="s">
        <v>73</v>
      </c>
      <c r="E517" s="4">
        <v>0.114</v>
      </c>
      <c r="F517" s="4">
        <v>523829.37300000002</v>
      </c>
      <c r="G517" s="4">
        <v>523829.48700000002</v>
      </c>
      <c r="H517" s="5">
        <f>179 / 86400</f>
        <v>2.0717592592592593E-3</v>
      </c>
      <c r="I517" t="s">
        <v>133</v>
      </c>
      <c r="J517" t="s">
        <v>126</v>
      </c>
      <c r="K517" s="5">
        <f>246 / 86400</f>
        <v>2.8472222222222223E-3</v>
      </c>
      <c r="L517" s="5">
        <f>190 / 86400</f>
        <v>2.1990740740740742E-3</v>
      </c>
    </row>
    <row r="518" spans="1:12" x14ac:dyDescent="0.25">
      <c r="A518" s="3">
        <v>45693.573078703703</v>
      </c>
      <c r="B518" t="s">
        <v>73</v>
      </c>
      <c r="C518" s="3">
        <v>45693.574780092589</v>
      </c>
      <c r="D518" t="s">
        <v>50</v>
      </c>
      <c r="E518" s="4">
        <v>0.46899999999999997</v>
      </c>
      <c r="F518" s="4">
        <v>523829.48700000002</v>
      </c>
      <c r="G518" s="4">
        <v>523829.95600000001</v>
      </c>
      <c r="H518" s="5">
        <f>39 / 86400</f>
        <v>4.5138888888888887E-4</v>
      </c>
      <c r="I518" t="s">
        <v>85</v>
      </c>
      <c r="J518" t="s">
        <v>154</v>
      </c>
      <c r="K518" s="5">
        <f>147 / 86400</f>
        <v>1.7013888888888888E-3</v>
      </c>
      <c r="L518" s="5">
        <f>510 / 86400</f>
        <v>5.9027777777777776E-3</v>
      </c>
    </row>
    <row r="519" spans="1:12" x14ac:dyDescent="0.25">
      <c r="A519" s="3">
        <v>45693.580682870372</v>
      </c>
      <c r="B519" t="s">
        <v>50</v>
      </c>
      <c r="C519" s="3">
        <v>45693.581550925926</v>
      </c>
      <c r="D519" t="s">
        <v>129</v>
      </c>
      <c r="E519" s="4">
        <v>0.106</v>
      </c>
      <c r="F519" s="4">
        <v>523829.95600000001</v>
      </c>
      <c r="G519" s="4">
        <v>523830.06199999998</v>
      </c>
      <c r="H519" s="5">
        <f>19 / 86400</f>
        <v>2.199074074074074E-4</v>
      </c>
      <c r="I519" t="s">
        <v>52</v>
      </c>
      <c r="J519" t="s">
        <v>133</v>
      </c>
      <c r="K519" s="5">
        <f>75 / 86400</f>
        <v>8.6805555555555551E-4</v>
      </c>
      <c r="L519" s="5">
        <f>242 / 86400</f>
        <v>2.8009259259259259E-3</v>
      </c>
    </row>
    <row r="520" spans="1:12" x14ac:dyDescent="0.25">
      <c r="A520" s="3">
        <v>45693.584351851852</v>
      </c>
      <c r="B520" t="s">
        <v>129</v>
      </c>
      <c r="C520" s="3">
        <v>45693.584513888884</v>
      </c>
      <c r="D520" t="s">
        <v>129</v>
      </c>
      <c r="E520" s="4">
        <v>8.9999999999999993E-3</v>
      </c>
      <c r="F520" s="4">
        <v>523830.06199999998</v>
      </c>
      <c r="G520" s="4">
        <v>523830.071</v>
      </c>
      <c r="H520" s="5">
        <f>0 / 86400</f>
        <v>0</v>
      </c>
      <c r="I520" t="s">
        <v>260</v>
      </c>
      <c r="J520" t="s">
        <v>126</v>
      </c>
      <c r="K520" s="5">
        <f>14 / 86400</f>
        <v>1.6203703703703703E-4</v>
      </c>
      <c r="L520" s="5">
        <f>609 / 86400</f>
        <v>7.0486111111111114E-3</v>
      </c>
    </row>
    <row r="521" spans="1:12" x14ac:dyDescent="0.25">
      <c r="A521" s="3">
        <v>45693.591562500005</v>
      </c>
      <c r="B521" t="s">
        <v>129</v>
      </c>
      <c r="C521" s="3">
        <v>45693.702094907407</v>
      </c>
      <c r="D521" t="s">
        <v>340</v>
      </c>
      <c r="E521" s="4">
        <v>49.759</v>
      </c>
      <c r="F521" s="4">
        <v>523830.071</v>
      </c>
      <c r="G521" s="4">
        <v>523879.83</v>
      </c>
      <c r="H521" s="5">
        <f>4180 / 86400</f>
        <v>4.8379629629629627E-2</v>
      </c>
      <c r="I521" t="s">
        <v>54</v>
      </c>
      <c r="J521" t="s">
        <v>37</v>
      </c>
      <c r="K521" s="5">
        <f>9549 / 86400</f>
        <v>0.11052083333333333</v>
      </c>
      <c r="L521" s="5">
        <f>127 / 86400</f>
        <v>1.4699074074074074E-3</v>
      </c>
    </row>
    <row r="522" spans="1:12" x14ac:dyDescent="0.25">
      <c r="A522" s="3">
        <v>45693.703564814816</v>
      </c>
      <c r="B522" t="s">
        <v>341</v>
      </c>
      <c r="C522" s="3">
        <v>45693.704675925925</v>
      </c>
      <c r="D522" t="s">
        <v>327</v>
      </c>
      <c r="E522" s="4">
        <v>9.2999999999999999E-2</v>
      </c>
      <c r="F522" s="4">
        <v>523879.83</v>
      </c>
      <c r="G522" s="4">
        <v>523879.92300000001</v>
      </c>
      <c r="H522" s="5">
        <f>59 / 86400</f>
        <v>6.8287037037037036E-4</v>
      </c>
      <c r="I522" t="s">
        <v>35</v>
      </c>
      <c r="J522" t="s">
        <v>86</v>
      </c>
      <c r="K522" s="5">
        <f>95 / 86400</f>
        <v>1.0995370370370371E-3</v>
      </c>
      <c r="L522" s="5">
        <f>1275 / 86400</f>
        <v>1.4756944444444444E-2</v>
      </c>
    </row>
    <row r="523" spans="1:12" x14ac:dyDescent="0.25">
      <c r="A523" s="3">
        <v>45693.71943287037</v>
      </c>
      <c r="B523" t="s">
        <v>327</v>
      </c>
      <c r="C523" s="3">
        <v>45693.814444444448</v>
      </c>
      <c r="D523" t="s">
        <v>158</v>
      </c>
      <c r="E523" s="4">
        <v>8.7889999999999997</v>
      </c>
      <c r="F523" s="4">
        <v>523879.92300000001</v>
      </c>
      <c r="G523" s="4">
        <v>523888.712</v>
      </c>
      <c r="H523" s="5">
        <f>6668 / 86400</f>
        <v>7.7175925925925926E-2</v>
      </c>
      <c r="I523" t="s">
        <v>145</v>
      </c>
      <c r="J523" t="s">
        <v>86</v>
      </c>
      <c r="K523" s="5">
        <f>8209 / 86400</f>
        <v>9.5011574074074068E-2</v>
      </c>
      <c r="L523" s="5">
        <f>90 / 86400</f>
        <v>1.0416666666666667E-3</v>
      </c>
    </row>
    <row r="524" spans="1:12" x14ac:dyDescent="0.25">
      <c r="A524" s="3">
        <v>45693.815486111111</v>
      </c>
      <c r="B524" t="s">
        <v>158</v>
      </c>
      <c r="C524" s="3">
        <v>45693.827141203699</v>
      </c>
      <c r="D524" t="s">
        <v>40</v>
      </c>
      <c r="E524" s="4">
        <v>6.2960000000000003</v>
      </c>
      <c r="F524" s="4">
        <v>523888.71299999999</v>
      </c>
      <c r="G524" s="4">
        <v>523895.00900000002</v>
      </c>
      <c r="H524" s="5">
        <f>300 / 86400</f>
        <v>3.472222222222222E-3</v>
      </c>
      <c r="I524" t="s">
        <v>147</v>
      </c>
      <c r="J524" t="s">
        <v>150</v>
      </c>
      <c r="K524" s="5">
        <f>1006 / 86400</f>
        <v>1.1643518518518518E-2</v>
      </c>
      <c r="L524" s="5">
        <f>507 / 86400</f>
        <v>5.8680555555555552E-3</v>
      </c>
    </row>
    <row r="525" spans="1:12" x14ac:dyDescent="0.25">
      <c r="A525" s="3">
        <v>45693.833009259259</v>
      </c>
      <c r="B525" t="s">
        <v>40</v>
      </c>
      <c r="C525" s="3">
        <v>45693.833310185189</v>
      </c>
      <c r="D525" t="s">
        <v>342</v>
      </c>
      <c r="E525" s="4">
        <v>2.1999999999999999E-2</v>
      </c>
      <c r="F525" s="4">
        <v>523895.00900000002</v>
      </c>
      <c r="G525" s="4">
        <v>523895.03100000002</v>
      </c>
      <c r="H525" s="5">
        <f>0 / 86400</f>
        <v>0</v>
      </c>
      <c r="I525" t="s">
        <v>260</v>
      </c>
      <c r="J525" t="s">
        <v>149</v>
      </c>
      <c r="K525" s="5">
        <f>26 / 86400</f>
        <v>3.0092592592592595E-4</v>
      </c>
      <c r="L525" s="5">
        <f>286 / 86400</f>
        <v>3.3101851851851851E-3</v>
      </c>
    </row>
    <row r="526" spans="1:12" x14ac:dyDescent="0.25">
      <c r="A526" s="3">
        <v>45693.83662037037</v>
      </c>
      <c r="B526" t="s">
        <v>342</v>
      </c>
      <c r="C526" s="3">
        <v>45693.844189814816</v>
      </c>
      <c r="D526" t="s">
        <v>53</v>
      </c>
      <c r="E526" s="4">
        <v>2.0739999999999998</v>
      </c>
      <c r="F526" s="4">
        <v>523895.03100000002</v>
      </c>
      <c r="G526" s="4">
        <v>523897.10499999998</v>
      </c>
      <c r="H526" s="5">
        <f>279 / 86400</f>
        <v>3.2291666666666666E-3</v>
      </c>
      <c r="I526" t="s">
        <v>180</v>
      </c>
      <c r="J526" t="s">
        <v>154</v>
      </c>
      <c r="K526" s="5">
        <f>654 / 86400</f>
        <v>7.5694444444444446E-3</v>
      </c>
      <c r="L526" s="5">
        <f>13461 / 86400</f>
        <v>0.15579861111111112</v>
      </c>
    </row>
    <row r="527" spans="1:12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 spans="1:12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 spans="1:12" s="10" customFormat="1" ht="20.100000000000001" customHeight="1" x14ac:dyDescent="0.35">
      <c r="A529" s="12" t="s">
        <v>413</v>
      </c>
      <c r="B529" s="12"/>
      <c r="C529" s="12"/>
      <c r="D529" s="12"/>
      <c r="E529" s="12"/>
      <c r="F529" s="12"/>
      <c r="G529" s="12"/>
      <c r="H529" s="12"/>
      <c r="I529" s="12"/>
      <c r="J529" s="12"/>
    </row>
    <row r="530" spans="1:12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 spans="1:12" ht="30" x14ac:dyDescent="0.25">
      <c r="A531" s="2" t="s">
        <v>6</v>
      </c>
      <c r="B531" s="2" t="s">
        <v>7</v>
      </c>
      <c r="C531" s="2" t="s">
        <v>8</v>
      </c>
      <c r="D531" s="2" t="s">
        <v>9</v>
      </c>
      <c r="E531" s="2" t="s">
        <v>10</v>
      </c>
      <c r="F531" s="2" t="s">
        <v>11</v>
      </c>
      <c r="G531" s="2" t="s">
        <v>12</v>
      </c>
      <c r="H531" s="2" t="s">
        <v>13</v>
      </c>
      <c r="I531" s="2" t="s">
        <v>14</v>
      </c>
      <c r="J531" s="2" t="s">
        <v>15</v>
      </c>
      <c r="K531" s="2" t="s">
        <v>16</v>
      </c>
      <c r="L531" s="2" t="s">
        <v>17</v>
      </c>
    </row>
    <row r="532" spans="1:12" x14ac:dyDescent="0.25">
      <c r="A532" s="3">
        <v>45693.254305555558</v>
      </c>
      <c r="B532" t="s">
        <v>56</v>
      </c>
      <c r="C532" s="3">
        <v>45693.255844907406</v>
      </c>
      <c r="D532" t="s">
        <v>56</v>
      </c>
      <c r="E532" s="4">
        <v>4.3999999999999997E-2</v>
      </c>
      <c r="F532" s="4">
        <v>343795.79499999998</v>
      </c>
      <c r="G532" s="4">
        <v>343795.83899999998</v>
      </c>
      <c r="H532" s="5">
        <f>80 / 86400</f>
        <v>9.2592592592592596E-4</v>
      </c>
      <c r="I532" t="s">
        <v>260</v>
      </c>
      <c r="J532" t="s">
        <v>116</v>
      </c>
      <c r="K532" s="5">
        <f>132 / 86400</f>
        <v>1.5277777777777779E-3</v>
      </c>
      <c r="L532" s="5">
        <f>22112 / 86400</f>
        <v>0.25592592592592595</v>
      </c>
    </row>
    <row r="533" spans="1:12" x14ac:dyDescent="0.25">
      <c r="A533" s="3">
        <v>45693.257465277777</v>
      </c>
      <c r="B533" t="s">
        <v>56</v>
      </c>
      <c r="C533" s="3">
        <v>45693.307071759264</v>
      </c>
      <c r="D533" t="s">
        <v>118</v>
      </c>
      <c r="E533" s="4">
        <v>31.277000000000001</v>
      </c>
      <c r="F533" s="4">
        <v>343795.83899999998</v>
      </c>
      <c r="G533" s="4">
        <v>343827.11599999998</v>
      </c>
      <c r="H533" s="5">
        <f>860 / 86400</f>
        <v>9.9537037037037042E-3</v>
      </c>
      <c r="I533" t="s">
        <v>33</v>
      </c>
      <c r="J533" t="s">
        <v>172</v>
      </c>
      <c r="K533" s="5">
        <f>4285 / 86400</f>
        <v>4.9594907407407407E-2</v>
      </c>
      <c r="L533" s="5">
        <f>176 / 86400</f>
        <v>2.0370370370370369E-3</v>
      </c>
    </row>
    <row r="534" spans="1:12" x14ac:dyDescent="0.25">
      <c r="A534" s="3">
        <v>45693.309108796297</v>
      </c>
      <c r="B534" t="s">
        <v>118</v>
      </c>
      <c r="C534" s="3">
        <v>45693.311956018515</v>
      </c>
      <c r="D534" t="s">
        <v>73</v>
      </c>
      <c r="E534" s="4">
        <v>1.232</v>
      </c>
      <c r="F534" s="4">
        <v>343827.11599999998</v>
      </c>
      <c r="G534" s="4">
        <v>343828.348</v>
      </c>
      <c r="H534" s="5">
        <f>39 / 86400</f>
        <v>4.5138888888888887E-4</v>
      </c>
      <c r="I534" t="s">
        <v>85</v>
      </c>
      <c r="J534" t="s">
        <v>24</v>
      </c>
      <c r="K534" s="5">
        <f>246 / 86400</f>
        <v>2.8472222222222223E-3</v>
      </c>
      <c r="L534" s="5">
        <f>252 / 86400</f>
        <v>2.9166666666666668E-3</v>
      </c>
    </row>
    <row r="535" spans="1:12" x14ac:dyDescent="0.25">
      <c r="A535" s="3">
        <v>45693.314872685187</v>
      </c>
      <c r="B535" t="s">
        <v>73</v>
      </c>
      <c r="C535" s="3">
        <v>45693.315208333333</v>
      </c>
      <c r="D535" t="s">
        <v>73</v>
      </c>
      <c r="E535" s="4">
        <v>0</v>
      </c>
      <c r="F535" s="4">
        <v>343828.348</v>
      </c>
      <c r="G535" s="4">
        <v>343828.348</v>
      </c>
      <c r="H535" s="5">
        <f>19 / 86400</f>
        <v>2.199074074074074E-4</v>
      </c>
      <c r="I535" t="s">
        <v>124</v>
      </c>
      <c r="J535" t="s">
        <v>124</v>
      </c>
      <c r="K535" s="5">
        <f>29 / 86400</f>
        <v>3.3564814814814812E-4</v>
      </c>
      <c r="L535" s="5">
        <f>189 / 86400</f>
        <v>2.1875000000000002E-3</v>
      </c>
    </row>
    <row r="536" spans="1:12" x14ac:dyDescent="0.25">
      <c r="A536" s="3">
        <v>45693.317395833335</v>
      </c>
      <c r="B536" t="s">
        <v>73</v>
      </c>
      <c r="C536" s="3">
        <v>45693.319502314815</v>
      </c>
      <c r="D536" t="s">
        <v>148</v>
      </c>
      <c r="E536" s="4">
        <v>0.27100000000000002</v>
      </c>
      <c r="F536" s="4">
        <v>343828.348</v>
      </c>
      <c r="G536" s="4">
        <v>343828.61900000001</v>
      </c>
      <c r="H536" s="5">
        <f>99 / 86400</f>
        <v>1.1458333333333333E-3</v>
      </c>
      <c r="I536" t="s">
        <v>39</v>
      </c>
      <c r="J536" t="s">
        <v>133</v>
      </c>
      <c r="K536" s="5">
        <f>182 / 86400</f>
        <v>2.1064814814814813E-3</v>
      </c>
      <c r="L536" s="5">
        <f>1438 / 86400</f>
        <v>1.6643518518518519E-2</v>
      </c>
    </row>
    <row r="537" spans="1:12" x14ac:dyDescent="0.25">
      <c r="A537" s="3">
        <v>45693.336145833338</v>
      </c>
      <c r="B537" t="s">
        <v>148</v>
      </c>
      <c r="C537" s="3">
        <v>45693.486574074079</v>
      </c>
      <c r="D537" t="s">
        <v>343</v>
      </c>
      <c r="E537" s="4">
        <v>56.183</v>
      </c>
      <c r="F537" s="4">
        <v>343828.61900000001</v>
      </c>
      <c r="G537" s="4">
        <v>343884.80200000003</v>
      </c>
      <c r="H537" s="5">
        <f>5120 / 86400</f>
        <v>5.9259259259259262E-2</v>
      </c>
      <c r="I537" t="s">
        <v>344</v>
      </c>
      <c r="J537" t="s">
        <v>31</v>
      </c>
      <c r="K537" s="5">
        <f>12997 / 86400</f>
        <v>0.15042824074074074</v>
      </c>
      <c r="L537" s="5">
        <f>17 / 86400</f>
        <v>1.9675925925925926E-4</v>
      </c>
    </row>
    <row r="538" spans="1:12" x14ac:dyDescent="0.25">
      <c r="A538" s="3">
        <v>45693.486770833333</v>
      </c>
      <c r="B538" t="s">
        <v>343</v>
      </c>
      <c r="C538" s="3">
        <v>45693.486967592587</v>
      </c>
      <c r="D538" t="s">
        <v>343</v>
      </c>
      <c r="E538" s="4">
        <v>0</v>
      </c>
      <c r="F538" s="4">
        <v>343884.80200000003</v>
      </c>
      <c r="G538" s="4">
        <v>343884.80200000003</v>
      </c>
      <c r="H538" s="5">
        <f>0 / 86400</f>
        <v>0</v>
      </c>
      <c r="I538" t="s">
        <v>124</v>
      </c>
      <c r="J538" t="s">
        <v>124</v>
      </c>
      <c r="K538" s="5">
        <f>17 / 86400</f>
        <v>1.9675925925925926E-4</v>
      </c>
      <c r="L538" s="5">
        <f>136 / 86400</f>
        <v>1.5740740740740741E-3</v>
      </c>
    </row>
    <row r="539" spans="1:12" x14ac:dyDescent="0.25">
      <c r="A539" s="3">
        <v>45693.488541666666</v>
      </c>
      <c r="B539" t="s">
        <v>343</v>
      </c>
      <c r="C539" s="3">
        <v>45693.582256944443</v>
      </c>
      <c r="D539" t="s">
        <v>73</v>
      </c>
      <c r="E539" s="4">
        <v>43.972999999999999</v>
      </c>
      <c r="F539" s="4">
        <v>343884.80200000003</v>
      </c>
      <c r="G539" s="4">
        <v>343928.77500000002</v>
      </c>
      <c r="H539" s="5">
        <f>2279 / 86400</f>
        <v>2.6377314814814815E-2</v>
      </c>
      <c r="I539" t="s">
        <v>54</v>
      </c>
      <c r="J539" t="s">
        <v>128</v>
      </c>
      <c r="K539" s="5">
        <f>8096 / 86400</f>
        <v>9.3703703703703706E-2</v>
      </c>
      <c r="L539" s="5">
        <f>245 / 86400</f>
        <v>2.8356481481481483E-3</v>
      </c>
    </row>
    <row r="540" spans="1:12" x14ac:dyDescent="0.25">
      <c r="A540" s="3">
        <v>45693.585092592592</v>
      </c>
      <c r="B540" t="s">
        <v>73</v>
      </c>
      <c r="C540" s="3">
        <v>45693.586377314816</v>
      </c>
      <c r="D540" t="s">
        <v>144</v>
      </c>
      <c r="E540" s="4">
        <v>0.24299999999999999</v>
      </c>
      <c r="F540" s="4">
        <v>343928.77500000002</v>
      </c>
      <c r="G540" s="4">
        <v>343929.01799999998</v>
      </c>
      <c r="H540" s="5">
        <f>39 / 86400</f>
        <v>4.5138888888888887E-4</v>
      </c>
      <c r="I540" t="s">
        <v>37</v>
      </c>
      <c r="J540" t="s">
        <v>119</v>
      </c>
      <c r="K540" s="5">
        <f>111 / 86400</f>
        <v>1.2847222222222223E-3</v>
      </c>
      <c r="L540" s="5">
        <f>946 / 86400</f>
        <v>1.0949074074074075E-2</v>
      </c>
    </row>
    <row r="541" spans="1:12" x14ac:dyDescent="0.25">
      <c r="A541" s="3">
        <v>45693.597326388888</v>
      </c>
      <c r="B541" t="s">
        <v>144</v>
      </c>
      <c r="C541" s="3">
        <v>45693.814780092594</v>
      </c>
      <c r="D541" t="s">
        <v>345</v>
      </c>
      <c r="E541" s="4">
        <v>86.126999999999995</v>
      </c>
      <c r="F541" s="4">
        <v>343929.01799999998</v>
      </c>
      <c r="G541" s="4">
        <v>344015.14500000002</v>
      </c>
      <c r="H541" s="5">
        <f>6498 / 86400</f>
        <v>7.5208333333333335E-2</v>
      </c>
      <c r="I541" t="s">
        <v>19</v>
      </c>
      <c r="J541" t="s">
        <v>28</v>
      </c>
      <c r="K541" s="5">
        <f>18787 / 86400</f>
        <v>0.21744212962962964</v>
      </c>
      <c r="L541" s="5">
        <f>862 / 86400</f>
        <v>9.9768518518518513E-3</v>
      </c>
    </row>
    <row r="542" spans="1:12" x14ac:dyDescent="0.25">
      <c r="A542" s="3">
        <v>45693.824756944443</v>
      </c>
      <c r="B542" t="s">
        <v>345</v>
      </c>
      <c r="C542" s="3">
        <v>45693.854872685188</v>
      </c>
      <c r="D542" t="s">
        <v>56</v>
      </c>
      <c r="E542" s="4">
        <v>17.552</v>
      </c>
      <c r="F542" s="4">
        <v>344015.14500000002</v>
      </c>
      <c r="G542" s="4">
        <v>344032.69699999999</v>
      </c>
      <c r="H542" s="5">
        <f>760 / 86400</f>
        <v>8.7962962962962968E-3</v>
      </c>
      <c r="I542" t="s">
        <v>54</v>
      </c>
      <c r="J542" t="s">
        <v>156</v>
      </c>
      <c r="K542" s="5">
        <f>2602 / 86400</f>
        <v>3.0115740740740742E-2</v>
      </c>
      <c r="L542" s="5">
        <f>278 / 86400</f>
        <v>3.2175925925925926E-3</v>
      </c>
    </row>
    <row r="543" spans="1:12" x14ac:dyDescent="0.25">
      <c r="A543" s="3">
        <v>45693.858090277776</v>
      </c>
      <c r="B543" t="s">
        <v>56</v>
      </c>
      <c r="C543" s="3">
        <v>45693.85900462963</v>
      </c>
      <c r="D543" t="s">
        <v>56</v>
      </c>
      <c r="E543" s="4">
        <v>2.1000000000000001E-2</v>
      </c>
      <c r="F543" s="4">
        <v>344032.69699999999</v>
      </c>
      <c r="G543" s="4">
        <v>344032.71799999999</v>
      </c>
      <c r="H543" s="5">
        <f>39 / 86400</f>
        <v>4.5138888888888887E-4</v>
      </c>
      <c r="I543" t="s">
        <v>116</v>
      </c>
      <c r="J543" t="s">
        <v>116</v>
      </c>
      <c r="K543" s="5">
        <f>78 / 86400</f>
        <v>9.0277777777777774E-4</v>
      </c>
      <c r="L543" s="5">
        <f>259 / 86400</f>
        <v>2.9976851851851853E-3</v>
      </c>
    </row>
    <row r="544" spans="1:12" x14ac:dyDescent="0.25">
      <c r="A544" s="3">
        <v>45693.862002314811</v>
      </c>
      <c r="B544" t="s">
        <v>56</v>
      </c>
      <c r="C544" s="3">
        <v>45693.862777777773</v>
      </c>
      <c r="D544" t="s">
        <v>56</v>
      </c>
      <c r="E544" s="4">
        <v>1.7999999999999999E-2</v>
      </c>
      <c r="F544" s="4">
        <v>344032.71799999999</v>
      </c>
      <c r="G544" s="4">
        <v>344032.73599999998</v>
      </c>
      <c r="H544" s="5">
        <f>40 / 86400</f>
        <v>4.6296296296296298E-4</v>
      </c>
      <c r="I544" t="s">
        <v>126</v>
      </c>
      <c r="J544" t="s">
        <v>116</v>
      </c>
      <c r="K544" s="5">
        <f>67 / 86400</f>
        <v>7.7546296296296293E-4</v>
      </c>
      <c r="L544" s="5">
        <f>11855 / 86400</f>
        <v>0.13721064814814815</v>
      </c>
    </row>
    <row r="545" spans="1:12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 spans="1:12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 spans="1:12" s="10" customFormat="1" ht="20.100000000000001" customHeight="1" x14ac:dyDescent="0.35">
      <c r="A547" s="12" t="s">
        <v>414</v>
      </c>
      <c r="B547" s="12"/>
      <c r="C547" s="12"/>
      <c r="D547" s="12"/>
      <c r="E547" s="12"/>
      <c r="F547" s="12"/>
      <c r="G547" s="12"/>
      <c r="H547" s="12"/>
      <c r="I547" s="12"/>
      <c r="J547" s="12"/>
    </row>
    <row r="548" spans="1:12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 spans="1:12" ht="30" x14ac:dyDescent="0.25">
      <c r="A549" s="2" t="s">
        <v>6</v>
      </c>
      <c r="B549" s="2" t="s">
        <v>7</v>
      </c>
      <c r="C549" s="2" t="s">
        <v>8</v>
      </c>
      <c r="D549" s="2" t="s">
        <v>9</v>
      </c>
      <c r="E549" s="2" t="s">
        <v>10</v>
      </c>
      <c r="F549" s="2" t="s">
        <v>11</v>
      </c>
      <c r="G549" s="2" t="s">
        <v>12</v>
      </c>
      <c r="H549" s="2" t="s">
        <v>13</v>
      </c>
      <c r="I549" s="2" t="s">
        <v>14</v>
      </c>
      <c r="J549" s="2" t="s">
        <v>15</v>
      </c>
      <c r="K549" s="2" t="s">
        <v>16</v>
      </c>
      <c r="L549" s="2" t="s">
        <v>17</v>
      </c>
    </row>
    <row r="550" spans="1:12" x14ac:dyDescent="0.25">
      <c r="A550" s="3">
        <v>45693.266851851848</v>
      </c>
      <c r="B550" t="s">
        <v>57</v>
      </c>
      <c r="C550" s="3">
        <v>45693.269212962958</v>
      </c>
      <c r="D550" t="s">
        <v>346</v>
      </c>
      <c r="E550" s="4">
        <v>0.33700000000000002</v>
      </c>
      <c r="F550" s="4">
        <v>424913.098</v>
      </c>
      <c r="G550" s="4">
        <v>424913.435</v>
      </c>
      <c r="H550" s="5">
        <f>80 / 86400</f>
        <v>9.2592592592592596E-4</v>
      </c>
      <c r="I550" t="s">
        <v>31</v>
      </c>
      <c r="J550" t="s">
        <v>260</v>
      </c>
      <c r="K550" s="5">
        <f>204 / 86400</f>
        <v>2.3611111111111111E-3</v>
      </c>
      <c r="L550" s="5">
        <f>23437 / 86400</f>
        <v>0.27126157407407409</v>
      </c>
    </row>
    <row r="551" spans="1:12" x14ac:dyDescent="0.25">
      <c r="A551" s="3">
        <v>45693.273622685185</v>
      </c>
      <c r="B551" t="s">
        <v>346</v>
      </c>
      <c r="C551" s="3">
        <v>45693.288043981476</v>
      </c>
      <c r="D551" t="s">
        <v>313</v>
      </c>
      <c r="E551" s="4">
        <v>6.7549999999999999</v>
      </c>
      <c r="F551" s="4">
        <v>424913.435</v>
      </c>
      <c r="G551" s="4">
        <v>424920.19</v>
      </c>
      <c r="H551" s="5">
        <f>360 / 86400</f>
        <v>4.1666666666666666E-3</v>
      </c>
      <c r="I551" t="s">
        <v>204</v>
      </c>
      <c r="J551" t="s">
        <v>128</v>
      </c>
      <c r="K551" s="5">
        <f>1246 / 86400</f>
        <v>1.4421296296296297E-2</v>
      </c>
      <c r="L551" s="5">
        <f>37 / 86400</f>
        <v>4.2824074074074075E-4</v>
      </c>
    </row>
    <row r="552" spans="1:12" x14ac:dyDescent="0.25">
      <c r="A552" s="3">
        <v>45693.288472222222</v>
      </c>
      <c r="B552" t="s">
        <v>313</v>
      </c>
      <c r="C552" s="3">
        <v>45693.319502314815</v>
      </c>
      <c r="D552" t="s">
        <v>151</v>
      </c>
      <c r="E552" s="4">
        <v>9.4600000000000009</v>
      </c>
      <c r="F552" s="4">
        <v>424920.19</v>
      </c>
      <c r="G552" s="4">
        <v>424929.65</v>
      </c>
      <c r="H552" s="5">
        <f>1099 / 86400</f>
        <v>1.2719907407407407E-2</v>
      </c>
      <c r="I552" t="s">
        <v>58</v>
      </c>
      <c r="J552" t="s">
        <v>55</v>
      </c>
      <c r="K552" s="5">
        <f>2681 / 86400</f>
        <v>3.1030092592592592E-2</v>
      </c>
      <c r="L552" s="5">
        <f>761 / 86400</f>
        <v>8.8078703703703704E-3</v>
      </c>
    </row>
    <row r="553" spans="1:12" x14ac:dyDescent="0.25">
      <c r="A553" s="3">
        <v>45693.328310185185</v>
      </c>
      <c r="B553" t="s">
        <v>151</v>
      </c>
      <c r="C553" s="3">
        <v>45693.329340277778</v>
      </c>
      <c r="D553" t="s">
        <v>151</v>
      </c>
      <c r="E553" s="4">
        <v>0</v>
      </c>
      <c r="F553" s="4">
        <v>424929.65</v>
      </c>
      <c r="G553" s="4">
        <v>424929.65</v>
      </c>
      <c r="H553" s="5">
        <f>79 / 86400</f>
        <v>9.1435185185185185E-4</v>
      </c>
      <c r="I553" t="s">
        <v>124</v>
      </c>
      <c r="J553" t="s">
        <v>124</v>
      </c>
      <c r="K553" s="5">
        <f>88 / 86400</f>
        <v>1.0185185185185184E-3</v>
      </c>
      <c r="L553" s="5">
        <f>47 / 86400</f>
        <v>5.4398148148148144E-4</v>
      </c>
    </row>
    <row r="554" spans="1:12" x14ac:dyDescent="0.25">
      <c r="A554" s="3">
        <v>45693.329884259263</v>
      </c>
      <c r="B554" t="s">
        <v>151</v>
      </c>
      <c r="C554" s="3">
        <v>45693.330312499995</v>
      </c>
      <c r="D554" t="s">
        <v>151</v>
      </c>
      <c r="E554" s="4">
        <v>0</v>
      </c>
      <c r="F554" s="4">
        <v>424929.65</v>
      </c>
      <c r="G554" s="4">
        <v>424929.65</v>
      </c>
      <c r="H554" s="5">
        <f>19 / 86400</f>
        <v>2.199074074074074E-4</v>
      </c>
      <c r="I554" t="s">
        <v>124</v>
      </c>
      <c r="J554" t="s">
        <v>124</v>
      </c>
      <c r="K554" s="5">
        <f>36 / 86400</f>
        <v>4.1666666666666669E-4</v>
      </c>
      <c r="L554" s="5">
        <f>44 / 86400</f>
        <v>5.0925925925925921E-4</v>
      </c>
    </row>
    <row r="555" spans="1:12" x14ac:dyDescent="0.25">
      <c r="A555" s="3">
        <v>45693.330821759257</v>
      </c>
      <c r="B555" t="s">
        <v>151</v>
      </c>
      <c r="C555" s="3">
        <v>45693.332303240742</v>
      </c>
      <c r="D555" t="s">
        <v>151</v>
      </c>
      <c r="E555" s="4">
        <v>0</v>
      </c>
      <c r="F555" s="4">
        <v>424929.65</v>
      </c>
      <c r="G555" s="4">
        <v>424929.65</v>
      </c>
      <c r="H555" s="5">
        <f>119 / 86400</f>
        <v>1.3773148148148147E-3</v>
      </c>
      <c r="I555" t="s">
        <v>124</v>
      </c>
      <c r="J555" t="s">
        <v>124</v>
      </c>
      <c r="K555" s="5">
        <f>127 / 86400</f>
        <v>1.4699074074074074E-3</v>
      </c>
      <c r="L555" s="5">
        <f>1783 / 86400</f>
        <v>2.0636574074074075E-2</v>
      </c>
    </row>
    <row r="556" spans="1:12" x14ac:dyDescent="0.25">
      <c r="A556" s="3">
        <v>45693.352939814809</v>
      </c>
      <c r="B556" t="s">
        <v>151</v>
      </c>
      <c r="C556" s="3">
        <v>45693.353113425925</v>
      </c>
      <c r="D556" t="s">
        <v>151</v>
      </c>
      <c r="E556" s="4">
        <v>3.0000000000000001E-3</v>
      </c>
      <c r="F556" s="4">
        <v>424929.65</v>
      </c>
      <c r="G556" s="4">
        <v>424929.65299999999</v>
      </c>
      <c r="H556" s="5">
        <f>0 / 86400</f>
        <v>0</v>
      </c>
      <c r="I556" t="s">
        <v>124</v>
      </c>
      <c r="J556" t="s">
        <v>116</v>
      </c>
      <c r="K556" s="5">
        <f>15 / 86400</f>
        <v>1.7361111111111112E-4</v>
      </c>
      <c r="L556" s="5">
        <f>124 / 86400</f>
        <v>1.4351851851851852E-3</v>
      </c>
    </row>
    <row r="557" spans="1:12" x14ac:dyDescent="0.25">
      <c r="A557" s="3">
        <v>45693.354548611111</v>
      </c>
      <c r="B557" t="s">
        <v>151</v>
      </c>
      <c r="C557" s="3">
        <v>45693.373425925922</v>
      </c>
      <c r="D557" t="s">
        <v>346</v>
      </c>
      <c r="E557" s="4">
        <v>6.7439999999999998</v>
      </c>
      <c r="F557" s="4">
        <v>424929.65299999999</v>
      </c>
      <c r="G557" s="4">
        <v>424936.397</v>
      </c>
      <c r="H557" s="5">
        <f>200 / 86400</f>
        <v>2.3148148148148147E-3</v>
      </c>
      <c r="I557" t="s">
        <v>160</v>
      </c>
      <c r="J557" t="s">
        <v>35</v>
      </c>
      <c r="K557" s="5">
        <f>1630 / 86400</f>
        <v>1.8865740740740742E-2</v>
      </c>
      <c r="L557" s="5">
        <f>507 / 86400</f>
        <v>5.8680555555555552E-3</v>
      </c>
    </row>
    <row r="558" spans="1:12" x14ac:dyDescent="0.25">
      <c r="A558" s="3">
        <v>45693.379293981481</v>
      </c>
      <c r="B558" t="s">
        <v>346</v>
      </c>
      <c r="C558" s="3">
        <v>45693.381782407407</v>
      </c>
      <c r="D558" t="s">
        <v>346</v>
      </c>
      <c r="E558" s="4">
        <v>0.64900000000000002</v>
      </c>
      <c r="F558" s="4">
        <v>424936.397</v>
      </c>
      <c r="G558" s="4">
        <v>424937.04599999997</v>
      </c>
      <c r="H558" s="5">
        <f>20 / 86400</f>
        <v>2.3148148148148149E-4</v>
      </c>
      <c r="I558" t="s">
        <v>128</v>
      </c>
      <c r="J558" t="s">
        <v>154</v>
      </c>
      <c r="K558" s="5">
        <f>215 / 86400</f>
        <v>2.488425925925926E-3</v>
      </c>
      <c r="L558" s="5">
        <f>790 / 86400</f>
        <v>9.1435185185185178E-3</v>
      </c>
    </row>
    <row r="559" spans="1:12" x14ac:dyDescent="0.25">
      <c r="A559" s="3">
        <v>45693.390925925924</v>
      </c>
      <c r="B559" t="s">
        <v>346</v>
      </c>
      <c r="C559" s="3">
        <v>45693.397997685184</v>
      </c>
      <c r="D559" t="s">
        <v>347</v>
      </c>
      <c r="E559" s="4">
        <v>1.728</v>
      </c>
      <c r="F559" s="4">
        <v>424937.04599999997</v>
      </c>
      <c r="G559" s="4">
        <v>424938.77399999998</v>
      </c>
      <c r="H559" s="5">
        <f>180 / 86400</f>
        <v>2.0833333333333333E-3</v>
      </c>
      <c r="I559" t="s">
        <v>150</v>
      </c>
      <c r="J559" t="s">
        <v>20</v>
      </c>
      <c r="K559" s="5">
        <f>611 / 86400</f>
        <v>7.0717592592592594E-3</v>
      </c>
      <c r="L559" s="5">
        <f>3700 / 86400</f>
        <v>4.2824074074074077E-2</v>
      </c>
    </row>
    <row r="560" spans="1:12" x14ac:dyDescent="0.25">
      <c r="A560" s="3">
        <v>45693.440821759257</v>
      </c>
      <c r="B560" t="s">
        <v>347</v>
      </c>
      <c r="C560" s="3">
        <v>45693.445011574076</v>
      </c>
      <c r="D560" t="s">
        <v>346</v>
      </c>
      <c r="E560" s="4">
        <v>1.0720000000000001</v>
      </c>
      <c r="F560" s="4">
        <v>424938.77399999998</v>
      </c>
      <c r="G560" s="4">
        <v>424939.84600000002</v>
      </c>
      <c r="H560" s="5">
        <f>138 / 86400</f>
        <v>1.5972222222222223E-3</v>
      </c>
      <c r="I560" t="s">
        <v>174</v>
      </c>
      <c r="J560" t="s">
        <v>154</v>
      </c>
      <c r="K560" s="5">
        <f>361 / 86400</f>
        <v>4.178240740740741E-3</v>
      </c>
      <c r="L560" s="5">
        <f>587 / 86400</f>
        <v>6.7939814814814816E-3</v>
      </c>
    </row>
    <row r="561" spans="1:12" x14ac:dyDescent="0.25">
      <c r="A561" s="3">
        <v>45693.451805555553</v>
      </c>
      <c r="B561" t="s">
        <v>346</v>
      </c>
      <c r="C561" s="3">
        <v>45693.453900462962</v>
      </c>
      <c r="D561" t="s">
        <v>18</v>
      </c>
      <c r="E561" s="4">
        <v>0.67700000000000005</v>
      </c>
      <c r="F561" s="4">
        <v>424939.84600000002</v>
      </c>
      <c r="G561" s="4">
        <v>424940.52299999999</v>
      </c>
      <c r="H561" s="5">
        <f>20 / 86400</f>
        <v>2.3148148148148149E-4</v>
      </c>
      <c r="I561" t="s">
        <v>150</v>
      </c>
      <c r="J561" t="s">
        <v>55</v>
      </c>
      <c r="K561" s="5">
        <f>181 / 86400</f>
        <v>2.0949074074074073E-3</v>
      </c>
      <c r="L561" s="5">
        <f>4853 / 86400</f>
        <v>5.6168981481481479E-2</v>
      </c>
    </row>
    <row r="562" spans="1:12" x14ac:dyDescent="0.25">
      <c r="A562" s="3">
        <v>45693.510069444441</v>
      </c>
      <c r="B562" t="s">
        <v>18</v>
      </c>
      <c r="C562" s="3">
        <v>45693.51163194445</v>
      </c>
      <c r="D562" t="s">
        <v>346</v>
      </c>
      <c r="E562" s="4">
        <v>0.215</v>
      </c>
      <c r="F562" s="4">
        <v>424940.52299999999</v>
      </c>
      <c r="G562" s="4">
        <v>424940.73800000001</v>
      </c>
      <c r="H562" s="5">
        <f>40 / 86400</f>
        <v>4.6296296296296298E-4</v>
      </c>
      <c r="I562" t="s">
        <v>154</v>
      </c>
      <c r="J562" t="s">
        <v>260</v>
      </c>
      <c r="K562" s="5">
        <f>134 / 86400</f>
        <v>1.5509259259259259E-3</v>
      </c>
      <c r="L562" s="5">
        <f>2718 / 86400</f>
        <v>3.1458333333333331E-2</v>
      </c>
    </row>
    <row r="563" spans="1:12" x14ac:dyDescent="0.25">
      <c r="A563" s="3">
        <v>45693.543090277773</v>
      </c>
      <c r="B563" t="s">
        <v>346</v>
      </c>
      <c r="C563" s="3">
        <v>45693.54824074074</v>
      </c>
      <c r="D563" t="s">
        <v>348</v>
      </c>
      <c r="E563" s="4">
        <v>0.89400000000000002</v>
      </c>
      <c r="F563" s="4">
        <v>424940.73800000001</v>
      </c>
      <c r="G563" s="4">
        <v>424941.63199999998</v>
      </c>
      <c r="H563" s="5">
        <f>160 / 86400</f>
        <v>1.8518518518518519E-3</v>
      </c>
      <c r="I563" t="s">
        <v>128</v>
      </c>
      <c r="J563" t="s">
        <v>132</v>
      </c>
      <c r="K563" s="5">
        <f>445 / 86400</f>
        <v>5.1504629629629626E-3</v>
      </c>
      <c r="L563" s="5">
        <f>9422 / 86400</f>
        <v>0.10905092592592593</v>
      </c>
    </row>
    <row r="564" spans="1:12" x14ac:dyDescent="0.25">
      <c r="A564" s="3">
        <v>45693.657291666663</v>
      </c>
      <c r="B564" t="s">
        <v>348</v>
      </c>
      <c r="C564" s="3">
        <v>45693.657824074078</v>
      </c>
      <c r="D564" t="s">
        <v>348</v>
      </c>
      <c r="E564" s="4">
        <v>0.02</v>
      </c>
      <c r="F564" s="4">
        <v>424941.63199999998</v>
      </c>
      <c r="G564" s="4">
        <v>424941.652</v>
      </c>
      <c r="H564" s="5">
        <f>19 / 86400</f>
        <v>2.199074074074074E-4</v>
      </c>
      <c r="I564" t="s">
        <v>86</v>
      </c>
      <c r="J564" t="s">
        <v>126</v>
      </c>
      <c r="K564" s="5">
        <f>46 / 86400</f>
        <v>5.3240740740740744E-4</v>
      </c>
      <c r="L564" s="5">
        <f>3949 / 86400</f>
        <v>4.5706018518518521E-2</v>
      </c>
    </row>
    <row r="565" spans="1:12" x14ac:dyDescent="0.25">
      <c r="A565" s="3">
        <v>45693.703530092593</v>
      </c>
      <c r="B565" t="s">
        <v>348</v>
      </c>
      <c r="C565" s="3">
        <v>45693.704571759255</v>
      </c>
      <c r="D565" t="s">
        <v>348</v>
      </c>
      <c r="E565" s="4">
        <v>0.03</v>
      </c>
      <c r="F565" s="4">
        <v>424941.652</v>
      </c>
      <c r="G565" s="4">
        <v>424941.68199999997</v>
      </c>
      <c r="H565" s="5">
        <f>79 / 86400</f>
        <v>9.1435185185185185E-4</v>
      </c>
      <c r="I565" t="s">
        <v>124</v>
      </c>
      <c r="J565" t="s">
        <v>116</v>
      </c>
      <c r="K565" s="5">
        <f>89 / 86400</f>
        <v>1.0300925925925926E-3</v>
      </c>
      <c r="L565" s="5">
        <f>6797 / 86400</f>
        <v>7.8668981481481479E-2</v>
      </c>
    </row>
    <row r="566" spans="1:12" x14ac:dyDescent="0.25">
      <c r="A566" s="3">
        <v>45693.78324074074</v>
      </c>
      <c r="B566" t="s">
        <v>348</v>
      </c>
      <c r="C566" s="3">
        <v>45693.783634259264</v>
      </c>
      <c r="D566" t="s">
        <v>348</v>
      </c>
      <c r="E566" s="4">
        <v>2E-3</v>
      </c>
      <c r="F566" s="4">
        <v>424941.68199999997</v>
      </c>
      <c r="G566" s="4">
        <v>424941.68400000001</v>
      </c>
      <c r="H566" s="5">
        <f>19 / 86400</f>
        <v>2.199074074074074E-4</v>
      </c>
      <c r="I566" t="s">
        <v>124</v>
      </c>
      <c r="J566" t="s">
        <v>124</v>
      </c>
      <c r="K566" s="5">
        <f>33 / 86400</f>
        <v>3.8194444444444446E-4</v>
      </c>
      <c r="L566" s="5">
        <f>151 / 86400</f>
        <v>1.7476851851851852E-3</v>
      </c>
    </row>
    <row r="567" spans="1:12" x14ac:dyDescent="0.25">
      <c r="A567" s="3">
        <v>45693.785381944443</v>
      </c>
      <c r="B567" t="s">
        <v>348</v>
      </c>
      <c r="C567" s="3">
        <v>45693.789236111115</v>
      </c>
      <c r="D567" t="s">
        <v>57</v>
      </c>
      <c r="E567" s="4">
        <v>1.073</v>
      </c>
      <c r="F567" s="4">
        <v>424941.68400000001</v>
      </c>
      <c r="G567" s="4">
        <v>424942.75699999998</v>
      </c>
      <c r="H567" s="5">
        <f>39 / 86400</f>
        <v>4.5138888888888887E-4</v>
      </c>
      <c r="I567" t="s">
        <v>172</v>
      </c>
      <c r="J567" t="s">
        <v>59</v>
      </c>
      <c r="K567" s="5">
        <f>332 / 86400</f>
        <v>3.8425925925925928E-3</v>
      </c>
      <c r="L567" s="5">
        <f>155 / 86400</f>
        <v>1.7939814814814815E-3</v>
      </c>
    </row>
    <row r="568" spans="1:12" x14ac:dyDescent="0.25">
      <c r="A568" s="3">
        <v>45693.791030092594</v>
      </c>
      <c r="B568" t="s">
        <v>57</v>
      </c>
      <c r="C568" s="3">
        <v>45693.793900462959</v>
      </c>
      <c r="D568" t="s">
        <v>57</v>
      </c>
      <c r="E568" s="4">
        <v>3.2000000000000001E-2</v>
      </c>
      <c r="F568" s="4">
        <v>424942.75699999998</v>
      </c>
      <c r="G568" s="4">
        <v>424942.78899999999</v>
      </c>
      <c r="H568" s="5">
        <f>160 / 86400</f>
        <v>1.8518518518518519E-3</v>
      </c>
      <c r="I568" t="s">
        <v>133</v>
      </c>
      <c r="J568" t="s">
        <v>124</v>
      </c>
      <c r="K568" s="5">
        <f>248 / 86400</f>
        <v>2.8703703703703703E-3</v>
      </c>
      <c r="L568" s="5">
        <f>17806 / 86400</f>
        <v>0.20608796296296297</v>
      </c>
    </row>
    <row r="569" spans="1:12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 spans="1:12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 spans="1:12" s="10" customFormat="1" ht="20.100000000000001" customHeight="1" x14ac:dyDescent="0.35">
      <c r="A571" s="12" t="s">
        <v>415</v>
      </c>
      <c r="B571" s="12"/>
      <c r="C571" s="12"/>
      <c r="D571" s="12"/>
      <c r="E571" s="12"/>
      <c r="F571" s="12"/>
      <c r="G571" s="12"/>
      <c r="H571" s="12"/>
      <c r="I571" s="12"/>
      <c r="J571" s="12"/>
    </row>
    <row r="572" spans="1:12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 spans="1:12" ht="30" x14ac:dyDescent="0.25">
      <c r="A573" s="2" t="s">
        <v>6</v>
      </c>
      <c r="B573" s="2" t="s">
        <v>7</v>
      </c>
      <c r="C573" s="2" t="s">
        <v>8</v>
      </c>
      <c r="D573" s="2" t="s">
        <v>9</v>
      </c>
      <c r="E573" s="2" t="s">
        <v>10</v>
      </c>
      <c r="F573" s="2" t="s">
        <v>11</v>
      </c>
      <c r="G573" s="2" t="s">
        <v>12</v>
      </c>
      <c r="H573" s="2" t="s">
        <v>13</v>
      </c>
      <c r="I573" s="2" t="s">
        <v>14</v>
      </c>
      <c r="J573" s="2" t="s">
        <v>15</v>
      </c>
      <c r="K573" s="2" t="s">
        <v>16</v>
      </c>
      <c r="L573" s="2" t="s">
        <v>17</v>
      </c>
    </row>
    <row r="574" spans="1:12" x14ac:dyDescent="0.25">
      <c r="A574" s="3">
        <v>45693.232037037036</v>
      </c>
      <c r="B574" t="s">
        <v>29</v>
      </c>
      <c r="C574" s="3">
        <v>45693.237696759257</v>
      </c>
      <c r="D574" t="s">
        <v>29</v>
      </c>
      <c r="E574" s="4">
        <v>0</v>
      </c>
      <c r="F574" s="4">
        <v>11420.902</v>
      </c>
      <c r="G574" s="4">
        <v>11420.902</v>
      </c>
      <c r="H574" s="5">
        <f>479 / 86400</f>
        <v>5.5439814814814813E-3</v>
      </c>
      <c r="I574" t="s">
        <v>124</v>
      </c>
      <c r="J574" t="s">
        <v>124</v>
      </c>
      <c r="K574" s="5">
        <f>489 / 86400</f>
        <v>5.6597222222222222E-3</v>
      </c>
      <c r="L574" s="5">
        <f>20195 / 86400</f>
        <v>0.23373842592592592</v>
      </c>
    </row>
    <row r="575" spans="1:12" x14ac:dyDescent="0.25">
      <c r="A575" s="3">
        <v>45693.239398148144</v>
      </c>
      <c r="B575" t="s">
        <v>26</v>
      </c>
      <c r="C575" s="3">
        <v>45693.240081018521</v>
      </c>
      <c r="D575" t="s">
        <v>349</v>
      </c>
      <c r="E575" s="4">
        <v>3.9E-2</v>
      </c>
      <c r="F575" s="4">
        <v>11420.902</v>
      </c>
      <c r="G575" s="4">
        <v>11420.941000000001</v>
      </c>
      <c r="H575" s="5">
        <f>20 / 86400</f>
        <v>2.3148148148148149E-4</v>
      </c>
      <c r="I575" t="s">
        <v>119</v>
      </c>
      <c r="J575" t="s">
        <v>126</v>
      </c>
      <c r="K575" s="5">
        <f>58 / 86400</f>
        <v>6.7129629629629625E-4</v>
      </c>
      <c r="L575" s="5">
        <f>172 / 86400</f>
        <v>1.9907407407407408E-3</v>
      </c>
    </row>
    <row r="576" spans="1:12" x14ac:dyDescent="0.25">
      <c r="A576" s="3">
        <v>45693.242071759261</v>
      </c>
      <c r="B576" t="s">
        <v>26</v>
      </c>
      <c r="C576" s="3">
        <v>45693.319988425923</v>
      </c>
      <c r="D576" t="s">
        <v>350</v>
      </c>
      <c r="E576" s="4">
        <v>30.664000000000001</v>
      </c>
      <c r="F576" s="4">
        <v>11420.941000000001</v>
      </c>
      <c r="G576" s="4">
        <v>11451.605</v>
      </c>
      <c r="H576" s="5">
        <f>2182 / 86400</f>
        <v>2.525462962962963E-2</v>
      </c>
      <c r="I576" t="s">
        <v>60</v>
      </c>
      <c r="J576" t="s">
        <v>31</v>
      </c>
      <c r="K576" s="5">
        <f>6731 / 86400</f>
        <v>7.7905092592592595E-2</v>
      </c>
      <c r="L576" s="5">
        <f>51 / 86400</f>
        <v>5.9027777777777778E-4</v>
      </c>
    </row>
    <row r="577" spans="1:12" x14ac:dyDescent="0.25">
      <c r="A577" s="3">
        <v>45693.3205787037</v>
      </c>
      <c r="B577" t="s">
        <v>350</v>
      </c>
      <c r="C577" s="3">
        <v>45693.432094907403</v>
      </c>
      <c r="D577" t="s">
        <v>73</v>
      </c>
      <c r="E577" s="4">
        <v>49.363</v>
      </c>
      <c r="F577" s="4">
        <v>11451.605</v>
      </c>
      <c r="G577" s="4">
        <v>11500.968000000001</v>
      </c>
      <c r="H577" s="5">
        <f>2849 / 86400</f>
        <v>3.2974537037037038E-2</v>
      </c>
      <c r="I577" t="s">
        <v>165</v>
      </c>
      <c r="J577" t="s">
        <v>24</v>
      </c>
      <c r="K577" s="5">
        <f>9635 / 86400</f>
        <v>0.1115162037037037</v>
      </c>
      <c r="L577" s="5">
        <f>120 / 86400</f>
        <v>1.3888888888888889E-3</v>
      </c>
    </row>
    <row r="578" spans="1:12" x14ac:dyDescent="0.25">
      <c r="A578" s="3">
        <v>45693.433483796296</v>
      </c>
      <c r="B578" t="s">
        <v>73</v>
      </c>
      <c r="C578" s="3">
        <v>45693.435590277775</v>
      </c>
      <c r="D578" t="s">
        <v>50</v>
      </c>
      <c r="E578" s="4">
        <v>0.45100000000000001</v>
      </c>
      <c r="F578" s="4">
        <v>11500.968000000001</v>
      </c>
      <c r="G578" s="4">
        <v>11501.419</v>
      </c>
      <c r="H578" s="5">
        <f>79 / 86400</f>
        <v>9.1435185185185185E-4</v>
      </c>
      <c r="I578" t="s">
        <v>195</v>
      </c>
      <c r="J578" t="s">
        <v>82</v>
      </c>
      <c r="K578" s="5">
        <f>181 / 86400</f>
        <v>2.0949074074074073E-3</v>
      </c>
      <c r="L578" s="5">
        <f>414 / 86400</f>
        <v>4.7916666666666663E-3</v>
      </c>
    </row>
    <row r="579" spans="1:12" x14ac:dyDescent="0.25">
      <c r="A579" s="3">
        <v>45693.440381944441</v>
      </c>
      <c r="B579" t="s">
        <v>50</v>
      </c>
      <c r="C579" s="3">
        <v>45693.440659722226</v>
      </c>
      <c r="D579" t="s">
        <v>351</v>
      </c>
      <c r="E579" s="4">
        <v>0</v>
      </c>
      <c r="F579" s="4">
        <v>11501.419</v>
      </c>
      <c r="G579" s="4">
        <v>11501.419</v>
      </c>
      <c r="H579" s="5">
        <f>19 / 86400</f>
        <v>2.199074074074074E-4</v>
      </c>
      <c r="I579" t="s">
        <v>126</v>
      </c>
      <c r="J579" t="s">
        <v>124</v>
      </c>
      <c r="K579" s="5">
        <f>23 / 86400</f>
        <v>2.6620370370370372E-4</v>
      </c>
      <c r="L579" s="5">
        <f>209 / 86400</f>
        <v>2.4189814814814816E-3</v>
      </c>
    </row>
    <row r="580" spans="1:12" x14ac:dyDescent="0.25">
      <c r="A580" s="3">
        <v>45693.443078703705</v>
      </c>
      <c r="B580" t="s">
        <v>352</v>
      </c>
      <c r="C580" s="3">
        <v>45693.445335648154</v>
      </c>
      <c r="D580" t="s">
        <v>49</v>
      </c>
      <c r="E580" s="4">
        <v>0.40500000000000003</v>
      </c>
      <c r="F580" s="4">
        <v>11501.419</v>
      </c>
      <c r="G580" s="4">
        <v>11501.824000000001</v>
      </c>
      <c r="H580" s="5">
        <f>79 / 86400</f>
        <v>9.1435185185185185E-4</v>
      </c>
      <c r="I580" t="s">
        <v>39</v>
      </c>
      <c r="J580" t="s">
        <v>119</v>
      </c>
      <c r="K580" s="5">
        <f>194 / 86400</f>
        <v>2.2453703703703702E-3</v>
      </c>
      <c r="L580" s="5">
        <f>2209 / 86400</f>
        <v>2.5567129629629631E-2</v>
      </c>
    </row>
    <row r="581" spans="1:12" x14ac:dyDescent="0.25">
      <c r="A581" s="3">
        <v>45693.470902777779</v>
      </c>
      <c r="B581" t="s">
        <v>328</v>
      </c>
      <c r="C581" s="3">
        <v>45693.473912037036</v>
      </c>
      <c r="D581" t="s">
        <v>118</v>
      </c>
      <c r="E581" s="4">
        <v>0.81200000000000006</v>
      </c>
      <c r="F581" s="4">
        <v>11501.824000000001</v>
      </c>
      <c r="G581" s="4">
        <v>11502.636</v>
      </c>
      <c r="H581" s="5">
        <f>39 / 86400</f>
        <v>4.5138888888888887E-4</v>
      </c>
      <c r="I581" t="s">
        <v>156</v>
      </c>
      <c r="J581" t="s">
        <v>154</v>
      </c>
      <c r="K581" s="5">
        <f>259 / 86400</f>
        <v>2.9976851851851853E-3</v>
      </c>
      <c r="L581" s="5">
        <f>731 / 86400</f>
        <v>8.4606481481481477E-3</v>
      </c>
    </row>
    <row r="582" spans="1:12" x14ac:dyDescent="0.25">
      <c r="A582" s="3">
        <v>45693.48237268519</v>
      </c>
      <c r="B582" t="s">
        <v>118</v>
      </c>
      <c r="C582" s="3">
        <v>45693.611655092594</v>
      </c>
      <c r="D582" t="s">
        <v>327</v>
      </c>
      <c r="E582" s="4">
        <v>50.406999999999996</v>
      </c>
      <c r="F582" s="4">
        <v>11502.636</v>
      </c>
      <c r="G582" s="4">
        <v>11553.043</v>
      </c>
      <c r="H582" s="5">
        <f>4222 / 86400</f>
        <v>4.8865740740740737E-2</v>
      </c>
      <c r="I582" t="s">
        <v>105</v>
      </c>
      <c r="J582" t="s">
        <v>31</v>
      </c>
      <c r="K582" s="5">
        <f>11169 / 86400</f>
        <v>0.12927083333333333</v>
      </c>
      <c r="L582" s="5">
        <f>52 / 86400</f>
        <v>6.018518518518519E-4</v>
      </c>
    </row>
    <row r="583" spans="1:12" x14ac:dyDescent="0.25">
      <c r="A583" s="3">
        <v>45693.612256944441</v>
      </c>
      <c r="B583" t="s">
        <v>327</v>
      </c>
      <c r="C583" s="3">
        <v>45693.693125000005</v>
      </c>
      <c r="D583" t="s">
        <v>122</v>
      </c>
      <c r="E583" s="4">
        <v>18.794</v>
      </c>
      <c r="F583" s="4">
        <v>11553.043</v>
      </c>
      <c r="G583" s="4">
        <v>11571.837</v>
      </c>
      <c r="H583" s="5">
        <f>3819 / 86400</f>
        <v>4.4201388888888887E-2</v>
      </c>
      <c r="I583" t="s">
        <v>261</v>
      </c>
      <c r="J583" t="s">
        <v>20</v>
      </c>
      <c r="K583" s="5">
        <f>6986 / 86400</f>
        <v>8.0856481481481488E-2</v>
      </c>
      <c r="L583" s="5">
        <f>293 / 86400</f>
        <v>3.3912037037037036E-3</v>
      </c>
    </row>
    <row r="584" spans="1:12" x14ac:dyDescent="0.25">
      <c r="A584" s="3">
        <v>45693.696516203709</v>
      </c>
      <c r="B584" t="s">
        <v>122</v>
      </c>
      <c r="C584" s="3">
        <v>45693.738425925927</v>
      </c>
      <c r="D584" t="s">
        <v>89</v>
      </c>
      <c r="E584" s="4">
        <v>14.816000000000001</v>
      </c>
      <c r="F584" s="4">
        <v>11571.837</v>
      </c>
      <c r="G584" s="4">
        <v>11586.653</v>
      </c>
      <c r="H584" s="5">
        <f>1681 / 86400</f>
        <v>1.9456018518518518E-2</v>
      </c>
      <c r="I584" t="s">
        <v>101</v>
      </c>
      <c r="J584" t="s">
        <v>35</v>
      </c>
      <c r="K584" s="5">
        <f>3620 / 86400</f>
        <v>4.189814814814815E-2</v>
      </c>
      <c r="L584" s="5">
        <f>72 / 86400</f>
        <v>8.3333333333333339E-4</v>
      </c>
    </row>
    <row r="585" spans="1:12" x14ac:dyDescent="0.25">
      <c r="A585" s="3">
        <v>45693.739259259259</v>
      </c>
      <c r="B585" t="s">
        <v>89</v>
      </c>
      <c r="C585" s="3">
        <v>45693.744884259257</v>
      </c>
      <c r="D585" t="s">
        <v>282</v>
      </c>
      <c r="E585" s="4">
        <v>2.7080000000000002</v>
      </c>
      <c r="F585" s="4">
        <v>11586.653</v>
      </c>
      <c r="G585" s="4">
        <v>11589.361000000001</v>
      </c>
      <c r="H585" s="5">
        <f>140 / 86400</f>
        <v>1.6203703703703703E-3</v>
      </c>
      <c r="I585" t="s">
        <v>181</v>
      </c>
      <c r="J585" t="s">
        <v>128</v>
      </c>
      <c r="K585" s="5">
        <f>486 / 86400</f>
        <v>5.6249999999999998E-3</v>
      </c>
      <c r="L585" s="5">
        <f>71 / 86400</f>
        <v>8.2175925925925927E-4</v>
      </c>
    </row>
    <row r="586" spans="1:12" x14ac:dyDescent="0.25">
      <c r="A586" s="3">
        <v>45693.745706018519</v>
      </c>
      <c r="B586" t="s">
        <v>40</v>
      </c>
      <c r="C586" s="3">
        <v>45693.746030092589</v>
      </c>
      <c r="D586" t="s">
        <v>353</v>
      </c>
      <c r="E586" s="4">
        <v>0</v>
      </c>
      <c r="F586" s="4">
        <v>11589.361000000001</v>
      </c>
      <c r="G586" s="4">
        <v>11589.361000000001</v>
      </c>
      <c r="H586" s="5">
        <f>19 / 86400</f>
        <v>2.199074074074074E-4</v>
      </c>
      <c r="I586" t="s">
        <v>124</v>
      </c>
      <c r="J586" t="s">
        <v>124</v>
      </c>
      <c r="K586" s="5">
        <f>27 / 86400</f>
        <v>3.1250000000000001E-4</v>
      </c>
      <c r="L586" s="5">
        <f>30 / 86400</f>
        <v>3.4722222222222224E-4</v>
      </c>
    </row>
    <row r="587" spans="1:12" x14ac:dyDescent="0.25">
      <c r="A587" s="3">
        <v>45693.746377314819</v>
      </c>
      <c r="B587" t="s">
        <v>353</v>
      </c>
      <c r="C587" s="3">
        <v>45693.772743055553</v>
      </c>
      <c r="D587" t="s">
        <v>354</v>
      </c>
      <c r="E587" s="4">
        <v>5.3609999999999998</v>
      </c>
      <c r="F587" s="4">
        <v>11589.361000000001</v>
      </c>
      <c r="G587" s="4">
        <v>11594.722</v>
      </c>
      <c r="H587" s="5">
        <f>1240 / 86400</f>
        <v>1.4351851851851852E-2</v>
      </c>
      <c r="I587" t="s">
        <v>202</v>
      </c>
      <c r="J587" t="s">
        <v>119</v>
      </c>
      <c r="K587" s="5">
        <f>2277 / 86400</f>
        <v>2.6354166666666668E-2</v>
      </c>
      <c r="L587" s="5">
        <f>226 / 86400</f>
        <v>2.6157407407407405E-3</v>
      </c>
    </row>
    <row r="588" spans="1:12" x14ac:dyDescent="0.25">
      <c r="A588" s="3">
        <v>45693.775358796294</v>
      </c>
      <c r="B588" t="s">
        <v>354</v>
      </c>
      <c r="C588" s="3">
        <v>45693.77579861111</v>
      </c>
      <c r="D588" t="s">
        <v>354</v>
      </c>
      <c r="E588" s="4">
        <v>7.0999999999999994E-2</v>
      </c>
      <c r="F588" s="4">
        <v>11594.722</v>
      </c>
      <c r="G588" s="4">
        <v>11594.793</v>
      </c>
      <c r="H588" s="5">
        <f>0 / 86400</f>
        <v>0</v>
      </c>
      <c r="I588" t="s">
        <v>59</v>
      </c>
      <c r="J588" t="s">
        <v>132</v>
      </c>
      <c r="K588" s="5">
        <f>37 / 86400</f>
        <v>4.2824074074074075E-4</v>
      </c>
      <c r="L588" s="5">
        <f>148 / 86400</f>
        <v>1.712962962962963E-3</v>
      </c>
    </row>
    <row r="589" spans="1:12" x14ac:dyDescent="0.25">
      <c r="A589" s="3">
        <v>45693.777511574073</v>
      </c>
      <c r="B589" t="s">
        <v>354</v>
      </c>
      <c r="C589" s="3">
        <v>45693.779687499999</v>
      </c>
      <c r="D589" t="s">
        <v>162</v>
      </c>
      <c r="E589" s="4">
        <v>0.17499999999999999</v>
      </c>
      <c r="F589" s="4">
        <v>11594.793</v>
      </c>
      <c r="G589" s="4">
        <v>11594.968000000001</v>
      </c>
      <c r="H589" s="5">
        <f>80 / 86400</f>
        <v>9.2592592592592596E-4</v>
      </c>
      <c r="I589" t="s">
        <v>59</v>
      </c>
      <c r="J589" t="s">
        <v>149</v>
      </c>
      <c r="K589" s="5">
        <f>188 / 86400</f>
        <v>2.1759259259259258E-3</v>
      </c>
      <c r="L589" s="5">
        <f>1064 / 86400</f>
        <v>1.2314814814814815E-2</v>
      </c>
    </row>
    <row r="590" spans="1:12" x14ac:dyDescent="0.25">
      <c r="A590" s="3">
        <v>45693.792002314818</v>
      </c>
      <c r="B590" t="s">
        <v>162</v>
      </c>
      <c r="C590" s="3">
        <v>45693.7965162037</v>
      </c>
      <c r="D590" t="s">
        <v>29</v>
      </c>
      <c r="E590" s="4">
        <v>1.361</v>
      </c>
      <c r="F590" s="4">
        <v>11594.968000000001</v>
      </c>
      <c r="G590" s="4">
        <v>11596.329</v>
      </c>
      <c r="H590" s="5">
        <f>60 / 86400</f>
        <v>6.9444444444444447E-4</v>
      </c>
      <c r="I590" t="s">
        <v>156</v>
      </c>
      <c r="J590" t="s">
        <v>55</v>
      </c>
      <c r="K590" s="5">
        <f>390 / 86400</f>
        <v>4.5138888888888885E-3</v>
      </c>
      <c r="L590" s="5">
        <f>59 / 86400</f>
        <v>6.8287037037037036E-4</v>
      </c>
    </row>
    <row r="591" spans="1:12" x14ac:dyDescent="0.25">
      <c r="A591" s="3">
        <v>45693.797199074077</v>
      </c>
      <c r="B591" t="s">
        <v>29</v>
      </c>
      <c r="C591" s="3">
        <v>45693.798321759255</v>
      </c>
      <c r="D591" t="s">
        <v>29</v>
      </c>
      <c r="E591" s="4">
        <v>2.7E-2</v>
      </c>
      <c r="F591" s="4">
        <v>11596.329</v>
      </c>
      <c r="G591" s="4">
        <v>11596.356</v>
      </c>
      <c r="H591" s="5">
        <f>59 / 86400</f>
        <v>6.8287037037037036E-4</v>
      </c>
      <c r="I591" t="s">
        <v>260</v>
      </c>
      <c r="J591" t="s">
        <v>116</v>
      </c>
      <c r="K591" s="5">
        <f>97 / 86400</f>
        <v>1.1226851851851851E-3</v>
      </c>
      <c r="L591" s="5">
        <f>17424 / 86400</f>
        <v>0.20166666666666666</v>
      </c>
    </row>
    <row r="592" spans="1:12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 spans="1:12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 spans="1:12" s="10" customFormat="1" ht="20.100000000000001" customHeight="1" x14ac:dyDescent="0.35">
      <c r="A594" s="12" t="s">
        <v>416</v>
      </c>
      <c r="B594" s="12"/>
      <c r="C594" s="12"/>
      <c r="D594" s="12"/>
      <c r="E594" s="12"/>
      <c r="F594" s="12"/>
      <c r="G594" s="12"/>
      <c r="H594" s="12"/>
      <c r="I594" s="12"/>
      <c r="J594" s="12"/>
    </row>
    <row r="595" spans="1:12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 spans="1:12" ht="30" x14ac:dyDescent="0.25">
      <c r="A596" s="2" t="s">
        <v>6</v>
      </c>
      <c r="B596" s="2" t="s">
        <v>7</v>
      </c>
      <c r="C596" s="2" t="s">
        <v>8</v>
      </c>
      <c r="D596" s="2" t="s">
        <v>9</v>
      </c>
      <c r="E596" s="2" t="s">
        <v>10</v>
      </c>
      <c r="F596" s="2" t="s">
        <v>11</v>
      </c>
      <c r="G596" s="2" t="s">
        <v>12</v>
      </c>
      <c r="H596" s="2" t="s">
        <v>13</v>
      </c>
      <c r="I596" s="2" t="s">
        <v>14</v>
      </c>
      <c r="J596" s="2" t="s">
        <v>15</v>
      </c>
      <c r="K596" s="2" t="s">
        <v>16</v>
      </c>
      <c r="L596" s="2" t="s">
        <v>17</v>
      </c>
    </row>
    <row r="597" spans="1:12" x14ac:dyDescent="0.25">
      <c r="A597" s="3">
        <v>45693.258946759262</v>
      </c>
      <c r="B597" t="s">
        <v>61</v>
      </c>
      <c r="C597" s="3">
        <v>45693.268263888887</v>
      </c>
      <c r="D597" t="s">
        <v>355</v>
      </c>
      <c r="E597" s="4">
        <v>2.9580000000000002</v>
      </c>
      <c r="F597" s="4">
        <v>137695.90400000001</v>
      </c>
      <c r="G597" s="4">
        <v>137698.86199999999</v>
      </c>
      <c r="H597" s="5">
        <f>339 / 86400</f>
        <v>3.9236111111111112E-3</v>
      </c>
      <c r="I597" t="s">
        <v>194</v>
      </c>
      <c r="J597" t="s">
        <v>55</v>
      </c>
      <c r="K597" s="5">
        <f>804 / 86400</f>
        <v>9.3055555555555548E-3</v>
      </c>
      <c r="L597" s="5">
        <f>22494 / 86400</f>
        <v>0.26034722222222223</v>
      </c>
    </row>
    <row r="598" spans="1:12" x14ac:dyDescent="0.25">
      <c r="A598" s="3">
        <v>45693.26966435185</v>
      </c>
      <c r="B598" t="s">
        <v>355</v>
      </c>
      <c r="C598" s="3">
        <v>45693.405486111107</v>
      </c>
      <c r="D598" t="s">
        <v>49</v>
      </c>
      <c r="E598" s="4">
        <v>69.58</v>
      </c>
      <c r="F598" s="4">
        <v>137698.86199999999</v>
      </c>
      <c r="G598" s="4">
        <v>137768.44200000001</v>
      </c>
      <c r="H598" s="5">
        <f>3179 / 86400</f>
        <v>3.6793981481481483E-2</v>
      </c>
      <c r="I598" t="s">
        <v>27</v>
      </c>
      <c r="J598" t="s">
        <v>136</v>
      </c>
      <c r="K598" s="5">
        <f>11734 / 86400</f>
        <v>0.13581018518518517</v>
      </c>
      <c r="L598" s="5">
        <f>2513 / 86400</f>
        <v>2.9085648148148149E-2</v>
      </c>
    </row>
    <row r="599" spans="1:12" x14ac:dyDescent="0.25">
      <c r="A599" s="3">
        <v>45693.434571759259</v>
      </c>
      <c r="B599" t="s">
        <v>49</v>
      </c>
      <c r="C599" s="3">
        <v>45693.439872685187</v>
      </c>
      <c r="D599" t="s">
        <v>330</v>
      </c>
      <c r="E599" s="4">
        <v>0.79500000000000004</v>
      </c>
      <c r="F599" s="4">
        <v>137768.44200000001</v>
      </c>
      <c r="G599" s="4">
        <v>137769.23699999999</v>
      </c>
      <c r="H599" s="5">
        <f>239 / 86400</f>
        <v>2.7662037037037039E-3</v>
      </c>
      <c r="I599" t="s">
        <v>231</v>
      </c>
      <c r="J599" t="s">
        <v>260</v>
      </c>
      <c r="K599" s="5">
        <f>458 / 86400</f>
        <v>5.3009259259259259E-3</v>
      </c>
      <c r="L599" s="5">
        <f>1518 / 86400</f>
        <v>1.7569444444444443E-2</v>
      </c>
    </row>
    <row r="600" spans="1:12" x14ac:dyDescent="0.25">
      <c r="A600" s="3">
        <v>45693.457442129627</v>
      </c>
      <c r="B600" t="s">
        <v>330</v>
      </c>
      <c r="C600" s="3">
        <v>45693.458877314813</v>
      </c>
      <c r="D600" t="s">
        <v>330</v>
      </c>
      <c r="E600" s="4">
        <v>2E-3</v>
      </c>
      <c r="F600" s="4">
        <v>137769.23699999999</v>
      </c>
      <c r="G600" s="4">
        <v>137769.239</v>
      </c>
      <c r="H600" s="5">
        <f>120 / 86400</f>
        <v>1.3888888888888889E-3</v>
      </c>
      <c r="I600" t="s">
        <v>124</v>
      </c>
      <c r="J600" t="s">
        <v>124</v>
      </c>
      <c r="K600" s="5">
        <f>124 / 86400</f>
        <v>1.4351851851851852E-3</v>
      </c>
      <c r="L600" s="5">
        <f>758 / 86400</f>
        <v>8.773148148148148E-3</v>
      </c>
    </row>
    <row r="601" spans="1:12" x14ac:dyDescent="0.25">
      <c r="A601" s="3">
        <v>45693.467650462961</v>
      </c>
      <c r="B601" t="s">
        <v>330</v>
      </c>
      <c r="C601" s="3">
        <v>45693.691365740742</v>
      </c>
      <c r="D601" t="s">
        <v>264</v>
      </c>
      <c r="E601" s="4">
        <v>90.869</v>
      </c>
      <c r="F601" s="4">
        <v>137769.239</v>
      </c>
      <c r="G601" s="4">
        <v>137860.10800000001</v>
      </c>
      <c r="H601" s="5">
        <f>6778 / 86400</f>
        <v>7.8449074074074074E-2</v>
      </c>
      <c r="I601" t="s">
        <v>47</v>
      </c>
      <c r="J601" t="s">
        <v>28</v>
      </c>
      <c r="K601" s="5">
        <f>19328 / 86400</f>
        <v>0.22370370370370371</v>
      </c>
      <c r="L601" s="5">
        <f>119 / 86400</f>
        <v>1.3773148148148147E-3</v>
      </c>
    </row>
    <row r="602" spans="1:12" x14ac:dyDescent="0.25">
      <c r="A602" s="3">
        <v>45693.692743055552</v>
      </c>
      <c r="B602" t="s">
        <v>264</v>
      </c>
      <c r="C602" s="3">
        <v>45693.715451388889</v>
      </c>
      <c r="D602" t="s">
        <v>73</v>
      </c>
      <c r="E602" s="4">
        <v>9.8439999999999994</v>
      </c>
      <c r="F602" s="4">
        <v>137860.10800000001</v>
      </c>
      <c r="G602" s="4">
        <v>137869.95199999999</v>
      </c>
      <c r="H602" s="5">
        <f>479 / 86400</f>
        <v>5.5439814814814813E-3</v>
      </c>
      <c r="I602" t="s">
        <v>141</v>
      </c>
      <c r="J602" t="s">
        <v>24</v>
      </c>
      <c r="K602" s="5">
        <f>1961 / 86400</f>
        <v>2.269675925925926E-2</v>
      </c>
      <c r="L602" s="5">
        <f>121 / 86400</f>
        <v>1.4004629629629629E-3</v>
      </c>
    </row>
    <row r="603" spans="1:12" x14ac:dyDescent="0.25">
      <c r="A603" s="3">
        <v>45693.716851851852</v>
      </c>
      <c r="B603" t="s">
        <v>73</v>
      </c>
      <c r="C603" s="3">
        <v>45693.827303240745</v>
      </c>
      <c r="D603" t="s">
        <v>157</v>
      </c>
      <c r="E603" s="4">
        <v>48.594999999999999</v>
      </c>
      <c r="F603" s="4">
        <v>137869.95199999999</v>
      </c>
      <c r="G603" s="4">
        <v>137918.54699999999</v>
      </c>
      <c r="H603" s="5">
        <f>2998 / 86400</f>
        <v>3.4699074074074077E-2</v>
      </c>
      <c r="I603" t="s">
        <v>60</v>
      </c>
      <c r="J603" t="s">
        <v>24</v>
      </c>
      <c r="K603" s="5">
        <f>9543 / 86400</f>
        <v>0.11045138888888889</v>
      </c>
      <c r="L603" s="5">
        <f>482 / 86400</f>
        <v>5.5787037037037038E-3</v>
      </c>
    </row>
    <row r="604" spans="1:12" x14ac:dyDescent="0.25">
      <c r="A604" s="3">
        <v>45693.832881944443</v>
      </c>
      <c r="B604" t="s">
        <v>157</v>
      </c>
      <c r="C604" s="3">
        <v>45693.838553240741</v>
      </c>
      <c r="D604" t="s">
        <v>356</v>
      </c>
      <c r="E604" s="4">
        <v>1.1419999999999999</v>
      </c>
      <c r="F604" s="4">
        <v>137918.54699999999</v>
      </c>
      <c r="G604" s="4">
        <v>137919.68900000001</v>
      </c>
      <c r="H604" s="5">
        <f>120 / 86400</f>
        <v>1.3888888888888889E-3</v>
      </c>
      <c r="I604" t="s">
        <v>212</v>
      </c>
      <c r="J604" t="s">
        <v>119</v>
      </c>
      <c r="K604" s="5">
        <f>489 / 86400</f>
        <v>5.6597222222222222E-3</v>
      </c>
      <c r="L604" s="5">
        <f>13 / 86400</f>
        <v>1.5046296296296297E-4</v>
      </c>
    </row>
    <row r="605" spans="1:12" x14ac:dyDescent="0.25">
      <c r="A605" s="3">
        <v>45693.838703703703</v>
      </c>
      <c r="B605" t="s">
        <v>356</v>
      </c>
      <c r="C605" s="3">
        <v>45693.839004629626</v>
      </c>
      <c r="D605" t="s">
        <v>356</v>
      </c>
      <c r="E605" s="4">
        <v>0</v>
      </c>
      <c r="F605" s="4">
        <v>137919.68900000001</v>
      </c>
      <c r="G605" s="4">
        <v>137919.68900000001</v>
      </c>
      <c r="H605" s="5">
        <f>20 / 86400</f>
        <v>2.3148148148148149E-4</v>
      </c>
      <c r="I605" t="s">
        <v>124</v>
      </c>
      <c r="J605" t="s">
        <v>124</v>
      </c>
      <c r="K605" s="5">
        <f>26 / 86400</f>
        <v>3.0092592592592595E-4</v>
      </c>
      <c r="L605" s="5">
        <f>481 / 86400</f>
        <v>5.5671296296296293E-3</v>
      </c>
    </row>
    <row r="606" spans="1:12" x14ac:dyDescent="0.25">
      <c r="A606" s="3">
        <v>45693.844571759255</v>
      </c>
      <c r="B606" t="s">
        <v>356</v>
      </c>
      <c r="C606" s="3">
        <v>45693.844791666663</v>
      </c>
      <c r="D606" t="s">
        <v>356</v>
      </c>
      <c r="E606" s="4">
        <v>2E-3</v>
      </c>
      <c r="F606" s="4">
        <v>137919.68900000001</v>
      </c>
      <c r="G606" s="4">
        <v>137919.69099999999</v>
      </c>
      <c r="H606" s="5">
        <f>0 / 86400</f>
        <v>0</v>
      </c>
      <c r="I606" t="s">
        <v>124</v>
      </c>
      <c r="J606" t="s">
        <v>124</v>
      </c>
      <c r="K606" s="5">
        <f>19 / 86400</f>
        <v>2.199074074074074E-4</v>
      </c>
      <c r="L606" s="5">
        <f>563 / 86400</f>
        <v>6.5162037037037037E-3</v>
      </c>
    </row>
    <row r="607" spans="1:12" x14ac:dyDescent="0.25">
      <c r="A607" s="3">
        <v>45693.851307870369</v>
      </c>
      <c r="B607" t="s">
        <v>356</v>
      </c>
      <c r="C607" s="3">
        <v>45693.86</v>
      </c>
      <c r="D607" t="s">
        <v>61</v>
      </c>
      <c r="E607" s="4">
        <v>2.1880000000000002</v>
      </c>
      <c r="F607" s="4">
        <v>137919.69099999999</v>
      </c>
      <c r="G607" s="4">
        <v>137921.87899999999</v>
      </c>
      <c r="H607" s="5">
        <f>299 / 86400</f>
        <v>3.460648148148148E-3</v>
      </c>
      <c r="I607" t="s">
        <v>357</v>
      </c>
      <c r="J607" t="s">
        <v>20</v>
      </c>
      <c r="K607" s="5">
        <f>751 / 86400</f>
        <v>8.6921296296296295E-3</v>
      </c>
      <c r="L607" s="5">
        <f>12095 / 86400</f>
        <v>0.13998842592592592</v>
      </c>
    </row>
    <row r="608" spans="1:12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 spans="1:12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 spans="1:12" s="10" customFormat="1" ht="20.100000000000001" customHeight="1" x14ac:dyDescent="0.35">
      <c r="A610" s="12" t="s">
        <v>417</v>
      </c>
      <c r="B610" s="12"/>
      <c r="C610" s="12"/>
      <c r="D610" s="12"/>
      <c r="E610" s="12"/>
      <c r="F610" s="12"/>
      <c r="G610" s="12"/>
      <c r="H610" s="12"/>
      <c r="I610" s="12"/>
      <c r="J610" s="12"/>
    </row>
    <row r="611" spans="1:12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 spans="1:12" ht="30" x14ac:dyDescent="0.25">
      <c r="A612" s="2" t="s">
        <v>6</v>
      </c>
      <c r="B612" s="2" t="s">
        <v>7</v>
      </c>
      <c r="C612" s="2" t="s">
        <v>8</v>
      </c>
      <c r="D612" s="2" t="s">
        <v>9</v>
      </c>
      <c r="E612" s="2" t="s">
        <v>10</v>
      </c>
      <c r="F612" s="2" t="s">
        <v>11</v>
      </c>
      <c r="G612" s="2" t="s">
        <v>12</v>
      </c>
      <c r="H612" s="2" t="s">
        <v>13</v>
      </c>
      <c r="I612" s="2" t="s">
        <v>14</v>
      </c>
      <c r="J612" s="2" t="s">
        <v>15</v>
      </c>
      <c r="K612" s="2" t="s">
        <v>16</v>
      </c>
      <c r="L612" s="2" t="s">
        <v>17</v>
      </c>
    </row>
    <row r="613" spans="1:12" x14ac:dyDescent="0.25">
      <c r="A613" s="3">
        <v>45693.232708333337</v>
      </c>
      <c r="B613" t="s">
        <v>29</v>
      </c>
      <c r="C613" s="3">
        <v>45693.235717592594</v>
      </c>
      <c r="D613" t="s">
        <v>29</v>
      </c>
      <c r="E613" s="4">
        <v>0</v>
      </c>
      <c r="F613" s="4">
        <v>4374.1589999999997</v>
      </c>
      <c r="G613" s="4">
        <v>4374.1589999999997</v>
      </c>
      <c r="H613" s="5">
        <f>239 / 86400</f>
        <v>2.7662037037037039E-3</v>
      </c>
      <c r="I613" t="s">
        <v>124</v>
      </c>
      <c r="J613" t="s">
        <v>124</v>
      </c>
      <c r="K613" s="5">
        <f>259 / 86400</f>
        <v>2.9976851851851853E-3</v>
      </c>
      <c r="L613" s="5">
        <f>22887 / 86400</f>
        <v>0.26489583333333333</v>
      </c>
    </row>
    <row r="614" spans="1:12" x14ac:dyDescent="0.25">
      <c r="A614" s="3">
        <v>45693.267905092594</v>
      </c>
      <c r="B614" t="s">
        <v>29</v>
      </c>
      <c r="C614" s="3">
        <v>45693.522928240738</v>
      </c>
      <c r="D614" t="s">
        <v>73</v>
      </c>
      <c r="E614" s="4">
        <v>75.960999999999999</v>
      </c>
      <c r="F614" s="4">
        <v>4374.1589999999997</v>
      </c>
      <c r="G614" s="4">
        <v>4450.12</v>
      </c>
      <c r="H614" s="5">
        <f>11158 / 86400</f>
        <v>0.12914351851851852</v>
      </c>
      <c r="I614" t="s">
        <v>165</v>
      </c>
      <c r="J614" t="s">
        <v>59</v>
      </c>
      <c r="K614" s="5">
        <f>22033 / 86400</f>
        <v>0.2550115740740741</v>
      </c>
      <c r="L614" s="5">
        <f>529 / 86400</f>
        <v>6.122685185185185E-3</v>
      </c>
    </row>
    <row r="615" spans="1:12" x14ac:dyDescent="0.25">
      <c r="A615" s="3">
        <v>45693.529050925921</v>
      </c>
      <c r="B615" t="s">
        <v>73</v>
      </c>
      <c r="C615" s="3">
        <v>45693.530555555553</v>
      </c>
      <c r="D615" t="s">
        <v>144</v>
      </c>
      <c r="E615" s="4">
        <v>0.17299999999999999</v>
      </c>
      <c r="F615" s="4">
        <v>4450.12</v>
      </c>
      <c r="G615" s="4">
        <v>4450.2929999999997</v>
      </c>
      <c r="H615" s="5">
        <f>40 / 86400</f>
        <v>4.6296296296296298E-4</v>
      </c>
      <c r="I615" t="s">
        <v>55</v>
      </c>
      <c r="J615" t="s">
        <v>133</v>
      </c>
      <c r="K615" s="5">
        <f>129 / 86400</f>
        <v>1.4930555555555556E-3</v>
      </c>
      <c r="L615" s="5">
        <f>174 / 86400</f>
        <v>2.0138888888888888E-3</v>
      </c>
    </row>
    <row r="616" spans="1:12" x14ac:dyDescent="0.25">
      <c r="A616" s="3">
        <v>45693.532569444447</v>
      </c>
      <c r="B616" t="s">
        <v>144</v>
      </c>
      <c r="C616" s="3">
        <v>45693.537222222221</v>
      </c>
      <c r="D616" t="s">
        <v>118</v>
      </c>
      <c r="E616" s="4">
        <v>1.1399999999999999</v>
      </c>
      <c r="F616" s="4">
        <v>4450.2929999999997</v>
      </c>
      <c r="G616" s="4">
        <v>4451.433</v>
      </c>
      <c r="H616" s="5">
        <f>80 / 86400</f>
        <v>9.2592592592592596E-4</v>
      </c>
      <c r="I616" t="s">
        <v>150</v>
      </c>
      <c r="J616" t="s">
        <v>20</v>
      </c>
      <c r="K616" s="5">
        <f>402 / 86400</f>
        <v>4.6527777777777774E-3</v>
      </c>
      <c r="L616" s="5">
        <f>915 / 86400</f>
        <v>1.0590277777777778E-2</v>
      </c>
    </row>
    <row r="617" spans="1:12" x14ac:dyDescent="0.25">
      <c r="A617" s="3">
        <v>45693.547812500001</v>
      </c>
      <c r="B617" t="s">
        <v>118</v>
      </c>
      <c r="C617" s="3">
        <v>45693.551157407404</v>
      </c>
      <c r="D617" t="s">
        <v>137</v>
      </c>
      <c r="E617" s="4">
        <v>0.66600000000000004</v>
      </c>
      <c r="F617" s="4">
        <v>4451.433</v>
      </c>
      <c r="G617" s="4">
        <v>4452.0990000000002</v>
      </c>
      <c r="H617" s="5">
        <f>60 / 86400</f>
        <v>6.9444444444444447E-4</v>
      </c>
      <c r="I617" t="s">
        <v>24</v>
      </c>
      <c r="J617" t="s">
        <v>119</v>
      </c>
      <c r="K617" s="5">
        <f>288 / 86400</f>
        <v>3.3333333333333335E-3</v>
      </c>
      <c r="L617" s="5">
        <f>3202 / 86400</f>
        <v>3.7060185185185182E-2</v>
      </c>
    </row>
    <row r="618" spans="1:12" x14ac:dyDescent="0.25">
      <c r="A618" s="3">
        <v>45693.588217592594</v>
      </c>
      <c r="B618" t="s">
        <v>137</v>
      </c>
      <c r="C618" s="3">
        <v>45693.918402777781</v>
      </c>
      <c r="D618" t="s">
        <v>162</v>
      </c>
      <c r="E618" s="4">
        <v>99.832999999999998</v>
      </c>
      <c r="F618" s="4">
        <v>4452.0990000000002</v>
      </c>
      <c r="G618" s="4">
        <v>4551.9319999999998</v>
      </c>
      <c r="H618" s="5">
        <f>14959 / 86400</f>
        <v>0.17313657407407407</v>
      </c>
      <c r="I618" t="s">
        <v>36</v>
      </c>
      <c r="J618" t="s">
        <v>55</v>
      </c>
      <c r="K618" s="5">
        <f>28527 / 86400</f>
        <v>0.3301736111111111</v>
      </c>
      <c r="L618" s="5">
        <f>1150 / 86400</f>
        <v>1.3310185185185185E-2</v>
      </c>
    </row>
    <row r="619" spans="1:12" x14ac:dyDescent="0.25">
      <c r="A619" s="3">
        <v>45693.931712962964</v>
      </c>
      <c r="B619" t="s">
        <v>162</v>
      </c>
      <c r="C619" s="3">
        <v>45693.934305555551</v>
      </c>
      <c r="D619" t="s">
        <v>26</v>
      </c>
      <c r="E619" s="4">
        <v>1.0580000000000001</v>
      </c>
      <c r="F619" s="4">
        <v>4551.9319999999998</v>
      </c>
      <c r="G619" s="4">
        <v>4552.99</v>
      </c>
      <c r="H619" s="5">
        <f>20 / 86400</f>
        <v>2.3148148148148149E-4</v>
      </c>
      <c r="I619" t="s">
        <v>184</v>
      </c>
      <c r="J619" t="s">
        <v>28</v>
      </c>
      <c r="K619" s="5">
        <f>223 / 86400</f>
        <v>2.5810185185185185E-3</v>
      </c>
      <c r="L619" s="5">
        <f>382 / 86400</f>
        <v>4.4212962962962964E-3</v>
      </c>
    </row>
    <row r="620" spans="1:12" x14ac:dyDescent="0.25">
      <c r="A620" s="3">
        <v>45693.938726851848</v>
      </c>
      <c r="B620" t="s">
        <v>26</v>
      </c>
      <c r="C620" s="3">
        <v>45693.943576388891</v>
      </c>
      <c r="D620" t="s">
        <v>29</v>
      </c>
      <c r="E620" s="4">
        <v>0.44800000000000001</v>
      </c>
      <c r="F620" s="4">
        <v>4552.99</v>
      </c>
      <c r="G620" s="4">
        <v>4553.4380000000001</v>
      </c>
      <c r="H620" s="5">
        <f>259 / 86400</f>
        <v>2.9976851851851853E-3</v>
      </c>
      <c r="I620" t="s">
        <v>136</v>
      </c>
      <c r="J620" t="s">
        <v>86</v>
      </c>
      <c r="K620" s="5">
        <f>419 / 86400</f>
        <v>4.8495370370370368E-3</v>
      </c>
      <c r="L620" s="5">
        <f>4874 / 86400</f>
        <v>5.6412037037037038E-2</v>
      </c>
    </row>
    <row r="621" spans="1:12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 spans="1:12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 spans="1:12" s="10" customFormat="1" ht="20.100000000000001" customHeight="1" x14ac:dyDescent="0.35">
      <c r="A623" s="12" t="s">
        <v>418</v>
      </c>
      <c r="B623" s="12"/>
      <c r="C623" s="12"/>
      <c r="D623" s="12"/>
      <c r="E623" s="12"/>
      <c r="F623" s="12"/>
      <c r="G623" s="12"/>
      <c r="H623" s="12"/>
      <c r="I623" s="12"/>
      <c r="J623" s="12"/>
    </row>
    <row r="624" spans="1:12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 spans="1:12" ht="30" x14ac:dyDescent="0.25">
      <c r="A625" s="2" t="s">
        <v>6</v>
      </c>
      <c r="B625" s="2" t="s">
        <v>7</v>
      </c>
      <c r="C625" s="2" t="s">
        <v>8</v>
      </c>
      <c r="D625" s="2" t="s">
        <v>9</v>
      </c>
      <c r="E625" s="2" t="s">
        <v>10</v>
      </c>
      <c r="F625" s="2" t="s">
        <v>11</v>
      </c>
      <c r="G625" s="2" t="s">
        <v>12</v>
      </c>
      <c r="H625" s="2" t="s">
        <v>13</v>
      </c>
      <c r="I625" s="2" t="s">
        <v>14</v>
      </c>
      <c r="J625" s="2" t="s">
        <v>15</v>
      </c>
      <c r="K625" s="2" t="s">
        <v>16</v>
      </c>
      <c r="L625" s="2" t="s">
        <v>17</v>
      </c>
    </row>
    <row r="626" spans="1:12" x14ac:dyDescent="0.25">
      <c r="A626" s="3">
        <v>45693.208194444444</v>
      </c>
      <c r="B626" t="s">
        <v>40</v>
      </c>
      <c r="C626" s="3">
        <v>45693.448599537034</v>
      </c>
      <c r="D626" t="s">
        <v>111</v>
      </c>
      <c r="E626" s="4">
        <v>81.328000000000003</v>
      </c>
      <c r="F626" s="4">
        <v>385592.13799999998</v>
      </c>
      <c r="G626" s="4">
        <v>385673.46600000001</v>
      </c>
      <c r="H626" s="5">
        <f>8540 / 86400</f>
        <v>9.8842592592592593E-2</v>
      </c>
      <c r="I626" t="s">
        <v>239</v>
      </c>
      <c r="J626" t="s">
        <v>52</v>
      </c>
      <c r="K626" s="5">
        <f>20771 / 86400</f>
        <v>0.2404050925925926</v>
      </c>
      <c r="L626" s="5">
        <f>19880 / 86400</f>
        <v>0.2300925925925926</v>
      </c>
    </row>
    <row r="627" spans="1:12" x14ac:dyDescent="0.25">
      <c r="A627" s="3">
        <v>45693.470497685186</v>
      </c>
      <c r="B627" t="s">
        <v>111</v>
      </c>
      <c r="C627" s="3">
        <v>45693.47210648148</v>
      </c>
      <c r="D627" t="s">
        <v>111</v>
      </c>
      <c r="E627" s="4">
        <v>8.5999999999999993E-2</v>
      </c>
      <c r="F627" s="4">
        <v>385673.46600000001</v>
      </c>
      <c r="G627" s="4">
        <v>385673.55200000003</v>
      </c>
      <c r="H627" s="5">
        <f>79 / 86400</f>
        <v>9.1435185185185185E-4</v>
      </c>
      <c r="I627" t="s">
        <v>82</v>
      </c>
      <c r="J627" t="s">
        <v>126</v>
      </c>
      <c r="K627" s="5">
        <f>138 / 86400</f>
        <v>1.5972222222222223E-3</v>
      </c>
      <c r="L627" s="5">
        <f>971 / 86400</f>
        <v>1.1238425925925926E-2</v>
      </c>
    </row>
    <row r="628" spans="1:12" x14ac:dyDescent="0.25">
      <c r="A628" s="3">
        <v>45693.483344907407</v>
      </c>
      <c r="B628" t="s">
        <v>111</v>
      </c>
      <c r="C628" s="3">
        <v>45693.59756944445</v>
      </c>
      <c r="D628" t="s">
        <v>358</v>
      </c>
      <c r="E628" s="4">
        <v>48.521000000000001</v>
      </c>
      <c r="F628" s="4">
        <v>385673.55200000003</v>
      </c>
      <c r="G628" s="4">
        <v>385722.07299999997</v>
      </c>
      <c r="H628" s="5">
        <f>2997 / 86400</f>
        <v>3.4687500000000003E-2</v>
      </c>
      <c r="I628" t="s">
        <v>54</v>
      </c>
      <c r="J628" t="s">
        <v>24</v>
      </c>
      <c r="K628" s="5">
        <f>9868 / 86400</f>
        <v>0.11421296296296296</v>
      </c>
      <c r="L628" s="5">
        <f>83 / 86400</f>
        <v>9.6064814814814819E-4</v>
      </c>
    </row>
    <row r="629" spans="1:12" x14ac:dyDescent="0.25">
      <c r="A629" s="3">
        <v>45693.598530092597</v>
      </c>
      <c r="B629" t="s">
        <v>358</v>
      </c>
      <c r="C629" s="3">
        <v>45693.772685185184</v>
      </c>
      <c r="D629" t="s">
        <v>157</v>
      </c>
      <c r="E629" s="4">
        <v>72.343000000000004</v>
      </c>
      <c r="F629" s="4">
        <v>385722.07299999997</v>
      </c>
      <c r="G629" s="4">
        <v>385794.41600000003</v>
      </c>
      <c r="H629" s="5">
        <f>4439 / 86400</f>
        <v>5.1377314814814813E-2</v>
      </c>
      <c r="I629" t="s">
        <v>66</v>
      </c>
      <c r="J629" t="s">
        <v>28</v>
      </c>
      <c r="K629" s="5">
        <f>15047 / 86400</f>
        <v>0.1741550925925926</v>
      </c>
      <c r="L629" s="5">
        <f>466 / 86400</f>
        <v>5.3935185185185188E-3</v>
      </c>
    </row>
    <row r="630" spans="1:12" x14ac:dyDescent="0.25">
      <c r="A630" s="3">
        <v>45693.778078703705</v>
      </c>
      <c r="B630" t="s">
        <v>157</v>
      </c>
      <c r="C630" s="3">
        <v>45693.787986111114</v>
      </c>
      <c r="D630" t="s">
        <v>40</v>
      </c>
      <c r="E630" s="4">
        <v>0.69699999999999995</v>
      </c>
      <c r="F630" s="4">
        <v>385794.41600000003</v>
      </c>
      <c r="G630" s="4">
        <v>385795.11300000001</v>
      </c>
      <c r="H630" s="5">
        <f>700 / 86400</f>
        <v>8.1018518518518514E-3</v>
      </c>
      <c r="I630" t="s">
        <v>138</v>
      </c>
      <c r="J630" t="s">
        <v>149</v>
      </c>
      <c r="K630" s="5">
        <f>855 / 86400</f>
        <v>9.8958333333333329E-3</v>
      </c>
      <c r="L630" s="5">
        <f>18317 / 86400</f>
        <v>0.21200231481481482</v>
      </c>
    </row>
    <row r="631" spans="1:12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 spans="1:12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 spans="1:12" s="10" customFormat="1" ht="20.100000000000001" customHeight="1" x14ac:dyDescent="0.35">
      <c r="A633" s="12" t="s">
        <v>419</v>
      </c>
      <c r="B633" s="12"/>
      <c r="C633" s="12"/>
      <c r="D633" s="12"/>
      <c r="E633" s="12"/>
      <c r="F633" s="12"/>
      <c r="G633" s="12"/>
      <c r="H633" s="12"/>
      <c r="I633" s="12"/>
      <c r="J633" s="12"/>
    </row>
    <row r="634" spans="1:12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 spans="1:12" ht="30" x14ac:dyDescent="0.25">
      <c r="A635" s="2" t="s">
        <v>6</v>
      </c>
      <c r="B635" s="2" t="s">
        <v>7</v>
      </c>
      <c r="C635" s="2" t="s">
        <v>8</v>
      </c>
      <c r="D635" s="2" t="s">
        <v>9</v>
      </c>
      <c r="E635" s="2" t="s">
        <v>10</v>
      </c>
      <c r="F635" s="2" t="s">
        <v>11</v>
      </c>
      <c r="G635" s="2" t="s">
        <v>12</v>
      </c>
      <c r="H635" s="2" t="s">
        <v>13</v>
      </c>
      <c r="I635" s="2" t="s">
        <v>14</v>
      </c>
      <c r="J635" s="2" t="s">
        <v>15</v>
      </c>
      <c r="K635" s="2" t="s">
        <v>16</v>
      </c>
      <c r="L635" s="2" t="s">
        <v>17</v>
      </c>
    </row>
    <row r="636" spans="1:12" x14ac:dyDescent="0.25">
      <c r="A636" s="3">
        <v>45693.297708333332</v>
      </c>
      <c r="B636" t="s">
        <v>62</v>
      </c>
      <c r="C636" s="3">
        <v>45693.347152777773</v>
      </c>
      <c r="D636" t="s">
        <v>148</v>
      </c>
      <c r="E636" s="4">
        <v>30.939</v>
      </c>
      <c r="F636" s="4">
        <v>391331.592</v>
      </c>
      <c r="G636" s="4">
        <v>391362.53100000002</v>
      </c>
      <c r="H636" s="5">
        <f>880 / 86400</f>
        <v>1.0185185185185186E-2</v>
      </c>
      <c r="I636" t="s">
        <v>135</v>
      </c>
      <c r="J636" t="s">
        <v>172</v>
      </c>
      <c r="K636" s="5">
        <f>4271 / 86400</f>
        <v>4.943287037037037E-2</v>
      </c>
      <c r="L636" s="5">
        <f>26109 / 86400</f>
        <v>0.3021875</v>
      </c>
    </row>
    <row r="637" spans="1:12" x14ac:dyDescent="0.25">
      <c r="A637" s="3">
        <v>45693.351631944446</v>
      </c>
      <c r="B637" t="s">
        <v>148</v>
      </c>
      <c r="C637" s="3">
        <v>45693.357638888891</v>
      </c>
      <c r="D637" t="s">
        <v>148</v>
      </c>
      <c r="E637" s="4">
        <v>6.2E-2</v>
      </c>
      <c r="F637" s="4">
        <v>391362.53100000002</v>
      </c>
      <c r="G637" s="4">
        <v>391362.59299999999</v>
      </c>
      <c r="H637" s="5">
        <f>460 / 86400</f>
        <v>5.324074074074074E-3</v>
      </c>
      <c r="I637" t="s">
        <v>82</v>
      </c>
      <c r="J637" t="s">
        <v>124</v>
      </c>
      <c r="K637" s="5">
        <f>519 / 86400</f>
        <v>6.0069444444444441E-3</v>
      </c>
      <c r="L637" s="5">
        <f>655 / 86400</f>
        <v>7.5810185185185182E-3</v>
      </c>
    </row>
    <row r="638" spans="1:12" x14ac:dyDescent="0.25">
      <c r="A638" s="3">
        <v>45693.365219907406</v>
      </c>
      <c r="B638" t="s">
        <v>148</v>
      </c>
      <c r="C638" s="3">
        <v>45693.366423611107</v>
      </c>
      <c r="D638" t="s">
        <v>144</v>
      </c>
      <c r="E638" s="4">
        <v>0.13700000000000001</v>
      </c>
      <c r="F638" s="4">
        <v>391362.59299999999</v>
      </c>
      <c r="G638" s="4">
        <v>391362.73</v>
      </c>
      <c r="H638" s="5">
        <f>59 / 86400</f>
        <v>6.8287037037037036E-4</v>
      </c>
      <c r="I638" t="s">
        <v>119</v>
      </c>
      <c r="J638" t="s">
        <v>133</v>
      </c>
      <c r="K638" s="5">
        <f>104 / 86400</f>
        <v>1.2037037037037038E-3</v>
      </c>
      <c r="L638" s="5">
        <f>16 / 86400</f>
        <v>1.8518518518518518E-4</v>
      </c>
    </row>
    <row r="639" spans="1:12" x14ac:dyDescent="0.25">
      <c r="A639" s="3">
        <v>45693.366608796292</v>
      </c>
      <c r="B639" t="s">
        <v>144</v>
      </c>
      <c r="C639" s="3">
        <v>45693.369988425926</v>
      </c>
      <c r="D639" t="s">
        <v>144</v>
      </c>
      <c r="E639" s="4">
        <v>5.8000000000000003E-2</v>
      </c>
      <c r="F639" s="4">
        <v>391362.73</v>
      </c>
      <c r="G639" s="4">
        <v>391362.788</v>
      </c>
      <c r="H639" s="5">
        <f>241 / 86400</f>
        <v>2.7893518518518519E-3</v>
      </c>
      <c r="I639" t="s">
        <v>82</v>
      </c>
      <c r="J639" t="s">
        <v>116</v>
      </c>
      <c r="K639" s="5">
        <f>292 / 86400</f>
        <v>3.3796296296296296E-3</v>
      </c>
      <c r="L639" s="5">
        <f>89 / 86400</f>
        <v>1.0300925925925926E-3</v>
      </c>
    </row>
    <row r="640" spans="1:12" x14ac:dyDescent="0.25">
      <c r="A640" s="3">
        <v>45693.371018518519</v>
      </c>
      <c r="B640" t="s">
        <v>144</v>
      </c>
      <c r="C640" s="3">
        <v>45693.377685185187</v>
      </c>
      <c r="D640" t="s">
        <v>118</v>
      </c>
      <c r="E640" s="4">
        <v>1.1180000000000001</v>
      </c>
      <c r="F640" s="4">
        <v>391362.788</v>
      </c>
      <c r="G640" s="4">
        <v>391363.90600000002</v>
      </c>
      <c r="H640" s="5">
        <f>319 / 86400</f>
        <v>3.6921296296296298E-3</v>
      </c>
      <c r="I640" t="s">
        <v>231</v>
      </c>
      <c r="J640" t="s">
        <v>132</v>
      </c>
      <c r="K640" s="5">
        <f>575 / 86400</f>
        <v>6.6550925925925927E-3</v>
      </c>
      <c r="L640" s="5">
        <f>2929 / 86400</f>
        <v>3.3900462962962966E-2</v>
      </c>
    </row>
    <row r="641" spans="1:12" x14ac:dyDescent="0.25">
      <c r="A641" s="3">
        <v>45693.411585648151</v>
      </c>
      <c r="B641" t="s">
        <v>118</v>
      </c>
      <c r="C641" s="3">
        <v>45693.538252314815</v>
      </c>
      <c r="D641" t="s">
        <v>359</v>
      </c>
      <c r="E641" s="4">
        <v>51.204000000000001</v>
      </c>
      <c r="F641" s="4">
        <v>391363.90600000002</v>
      </c>
      <c r="G641" s="4">
        <v>391415.11</v>
      </c>
      <c r="H641" s="5">
        <f>4198 / 86400</f>
        <v>4.8587962962962965E-2</v>
      </c>
      <c r="I641" t="s">
        <v>45</v>
      </c>
      <c r="J641" t="s">
        <v>28</v>
      </c>
      <c r="K641" s="5">
        <f>10943 / 86400</f>
        <v>0.12665509259259258</v>
      </c>
      <c r="L641" s="5">
        <f>82 / 86400</f>
        <v>9.4907407407407408E-4</v>
      </c>
    </row>
    <row r="642" spans="1:12" x14ac:dyDescent="0.25">
      <c r="A642" s="3">
        <v>45693.539201388892</v>
      </c>
      <c r="B642" t="s">
        <v>359</v>
      </c>
      <c r="C642" s="3">
        <v>45693.539363425924</v>
      </c>
      <c r="D642" t="s">
        <v>155</v>
      </c>
      <c r="E642" s="4">
        <v>1.2E-2</v>
      </c>
      <c r="F642" s="4">
        <v>391415.11</v>
      </c>
      <c r="G642" s="4">
        <v>391415.12199999997</v>
      </c>
      <c r="H642" s="5">
        <f>0 / 86400</f>
        <v>0</v>
      </c>
      <c r="I642" t="s">
        <v>133</v>
      </c>
      <c r="J642" t="s">
        <v>149</v>
      </c>
      <c r="K642" s="5">
        <f>13 / 86400</f>
        <v>1.5046296296296297E-4</v>
      </c>
      <c r="L642" s="5">
        <f>882 / 86400</f>
        <v>1.0208333333333333E-2</v>
      </c>
    </row>
    <row r="643" spans="1:12" x14ac:dyDescent="0.25">
      <c r="A643" s="3">
        <v>45693.549571759257</v>
      </c>
      <c r="B643" t="s">
        <v>155</v>
      </c>
      <c r="C643" s="3">
        <v>45693.681296296301</v>
      </c>
      <c r="D643" t="s">
        <v>148</v>
      </c>
      <c r="E643" s="4">
        <v>50.430999999999997</v>
      </c>
      <c r="F643" s="4">
        <v>391415.12199999997</v>
      </c>
      <c r="G643" s="4">
        <v>391465.55300000001</v>
      </c>
      <c r="H643" s="5">
        <f>4399 / 86400</f>
        <v>5.091435185185185E-2</v>
      </c>
      <c r="I643" t="s">
        <v>60</v>
      </c>
      <c r="J643" t="s">
        <v>31</v>
      </c>
      <c r="K643" s="5">
        <f>11380 / 86400</f>
        <v>0.13171296296296298</v>
      </c>
      <c r="L643" s="5">
        <f>250 / 86400</f>
        <v>2.8935185185185184E-3</v>
      </c>
    </row>
    <row r="644" spans="1:12" x14ac:dyDescent="0.25">
      <c r="A644" s="3">
        <v>45693.684189814812</v>
      </c>
      <c r="B644" t="s">
        <v>148</v>
      </c>
      <c r="C644" s="3">
        <v>45693.690960648149</v>
      </c>
      <c r="D644" t="s">
        <v>144</v>
      </c>
      <c r="E644" s="4">
        <v>0.438</v>
      </c>
      <c r="F644" s="4">
        <v>391465.55300000001</v>
      </c>
      <c r="G644" s="4">
        <v>391465.99099999998</v>
      </c>
      <c r="H644" s="5">
        <f>459 / 86400</f>
        <v>5.3125000000000004E-3</v>
      </c>
      <c r="I644" t="s">
        <v>85</v>
      </c>
      <c r="J644" t="s">
        <v>149</v>
      </c>
      <c r="K644" s="5">
        <f>584 / 86400</f>
        <v>6.7592592592592591E-3</v>
      </c>
      <c r="L644" s="5">
        <f>360 / 86400</f>
        <v>4.1666666666666666E-3</v>
      </c>
    </row>
    <row r="645" spans="1:12" x14ac:dyDescent="0.25">
      <c r="A645" s="3">
        <v>45693.695127314815</v>
      </c>
      <c r="B645" t="s">
        <v>50</v>
      </c>
      <c r="C645" s="3">
        <v>45693.697499999995</v>
      </c>
      <c r="D645" t="s">
        <v>269</v>
      </c>
      <c r="E645" s="4">
        <v>0.27900000000000003</v>
      </c>
      <c r="F645" s="4">
        <v>391465.99099999998</v>
      </c>
      <c r="G645" s="4">
        <v>391466.27</v>
      </c>
      <c r="H645" s="5">
        <f>81 / 86400</f>
        <v>9.3749999999999997E-4</v>
      </c>
      <c r="I645" t="s">
        <v>159</v>
      </c>
      <c r="J645" t="s">
        <v>133</v>
      </c>
      <c r="K645" s="5">
        <f>205 / 86400</f>
        <v>2.3726851851851851E-3</v>
      </c>
      <c r="L645" s="5">
        <f>96 / 86400</f>
        <v>1.1111111111111111E-3</v>
      </c>
    </row>
    <row r="646" spans="1:12" x14ac:dyDescent="0.25">
      <c r="A646" s="3">
        <v>45693.698611111111</v>
      </c>
      <c r="B646" t="s">
        <v>269</v>
      </c>
      <c r="C646" s="3">
        <v>45693.698784722219</v>
      </c>
      <c r="D646" t="s">
        <v>269</v>
      </c>
      <c r="E646" s="4">
        <v>0</v>
      </c>
      <c r="F646" s="4">
        <v>391466.27</v>
      </c>
      <c r="G646" s="4">
        <v>391466.27</v>
      </c>
      <c r="H646" s="5">
        <f>0 / 86400</f>
        <v>0</v>
      </c>
      <c r="I646" t="s">
        <v>124</v>
      </c>
      <c r="J646" t="s">
        <v>124</v>
      </c>
      <c r="K646" s="5">
        <f>14 / 86400</f>
        <v>1.6203703703703703E-4</v>
      </c>
      <c r="L646" s="5">
        <f>91 / 86400</f>
        <v>1.0532407407407407E-3</v>
      </c>
    </row>
    <row r="647" spans="1:12" x14ac:dyDescent="0.25">
      <c r="A647" s="3">
        <v>45693.699837962966</v>
      </c>
      <c r="B647" t="s">
        <v>269</v>
      </c>
      <c r="C647" s="3">
        <v>45693.701145833329</v>
      </c>
      <c r="D647" t="s">
        <v>269</v>
      </c>
      <c r="E647" s="4">
        <v>0</v>
      </c>
      <c r="F647" s="4">
        <v>391466.27</v>
      </c>
      <c r="G647" s="4">
        <v>391466.27</v>
      </c>
      <c r="H647" s="5">
        <f>99 / 86400</f>
        <v>1.1458333333333333E-3</v>
      </c>
      <c r="I647" t="s">
        <v>124</v>
      </c>
      <c r="J647" t="s">
        <v>124</v>
      </c>
      <c r="K647" s="5">
        <f>112 / 86400</f>
        <v>1.2962962962962963E-3</v>
      </c>
      <c r="L647" s="5">
        <f>23 / 86400</f>
        <v>2.6620370370370372E-4</v>
      </c>
    </row>
    <row r="648" spans="1:12" x14ac:dyDescent="0.25">
      <c r="A648" s="3">
        <v>45693.701412037037</v>
      </c>
      <c r="B648" t="s">
        <v>269</v>
      </c>
      <c r="C648" s="3">
        <v>45693.704976851848</v>
      </c>
      <c r="D648" t="s">
        <v>148</v>
      </c>
      <c r="E648" s="4">
        <v>0.628</v>
      </c>
      <c r="F648" s="4">
        <v>391466.27</v>
      </c>
      <c r="G648" s="4">
        <v>391466.89799999999</v>
      </c>
      <c r="H648" s="5">
        <f>159 / 86400</f>
        <v>1.8402777777777777E-3</v>
      </c>
      <c r="I648" t="s">
        <v>85</v>
      </c>
      <c r="J648" t="s">
        <v>132</v>
      </c>
      <c r="K648" s="5">
        <f>307 / 86400</f>
        <v>3.5532407407407409E-3</v>
      </c>
      <c r="L648" s="5">
        <f>153 / 86400</f>
        <v>1.7708333333333332E-3</v>
      </c>
    </row>
    <row r="649" spans="1:12" x14ac:dyDescent="0.25">
      <c r="A649" s="3">
        <v>45693.706747685181</v>
      </c>
      <c r="B649" t="s">
        <v>148</v>
      </c>
      <c r="C649" s="3">
        <v>45693.707488425927</v>
      </c>
      <c r="D649" t="s">
        <v>73</v>
      </c>
      <c r="E649" s="4">
        <v>1.9E-2</v>
      </c>
      <c r="F649" s="4">
        <v>391466.89799999999</v>
      </c>
      <c r="G649" s="4">
        <v>391466.91700000002</v>
      </c>
      <c r="H649" s="5">
        <f>20 / 86400</f>
        <v>2.3148148148148149E-4</v>
      </c>
      <c r="I649" t="s">
        <v>119</v>
      </c>
      <c r="J649" t="s">
        <v>116</v>
      </c>
      <c r="K649" s="5">
        <f>63 / 86400</f>
        <v>7.291666666666667E-4</v>
      </c>
      <c r="L649" s="5">
        <f>16 / 86400</f>
        <v>1.8518518518518518E-4</v>
      </c>
    </row>
    <row r="650" spans="1:12" x14ac:dyDescent="0.25">
      <c r="A650" s="3">
        <v>45693.707673611112</v>
      </c>
      <c r="B650" t="s">
        <v>73</v>
      </c>
      <c r="C650" s="3">
        <v>45693.708391203705</v>
      </c>
      <c r="D650" t="s">
        <v>73</v>
      </c>
      <c r="E650" s="4">
        <v>7.0000000000000001E-3</v>
      </c>
      <c r="F650" s="4">
        <v>391466.91700000002</v>
      </c>
      <c r="G650" s="4">
        <v>391466.924</v>
      </c>
      <c r="H650" s="5">
        <f>39 / 86400</f>
        <v>4.5138888888888887E-4</v>
      </c>
      <c r="I650" t="s">
        <v>116</v>
      </c>
      <c r="J650" t="s">
        <v>124</v>
      </c>
      <c r="K650" s="5">
        <f>62 / 86400</f>
        <v>7.1759259259259259E-4</v>
      </c>
      <c r="L650" s="5">
        <f>256 / 86400</f>
        <v>2.9629629629629628E-3</v>
      </c>
    </row>
    <row r="651" spans="1:12" x14ac:dyDescent="0.25">
      <c r="A651" s="3">
        <v>45693.711354166662</v>
      </c>
      <c r="B651" t="s">
        <v>73</v>
      </c>
      <c r="C651" s="3">
        <v>45693.711631944447</v>
      </c>
      <c r="D651" t="s">
        <v>73</v>
      </c>
      <c r="E651" s="4">
        <v>0</v>
      </c>
      <c r="F651" s="4">
        <v>391466.924</v>
      </c>
      <c r="G651" s="4">
        <v>391466.924</v>
      </c>
      <c r="H651" s="5">
        <f>19 / 86400</f>
        <v>2.199074074074074E-4</v>
      </c>
      <c r="I651" t="s">
        <v>124</v>
      </c>
      <c r="J651" t="s">
        <v>124</v>
      </c>
      <c r="K651" s="5">
        <f>23 / 86400</f>
        <v>2.6620370370370372E-4</v>
      </c>
      <c r="L651" s="5">
        <f>5033 / 86400</f>
        <v>5.8252314814814812E-2</v>
      </c>
    </row>
    <row r="652" spans="1:12" x14ac:dyDescent="0.25">
      <c r="A652" s="3">
        <v>45693.769884259258</v>
      </c>
      <c r="B652" t="s">
        <v>73</v>
      </c>
      <c r="C652" s="3">
        <v>45693.772916666669</v>
      </c>
      <c r="D652" t="s">
        <v>137</v>
      </c>
      <c r="E652" s="4">
        <v>0.71799999999999997</v>
      </c>
      <c r="F652" s="4">
        <v>391466.924</v>
      </c>
      <c r="G652" s="4">
        <v>391467.64199999999</v>
      </c>
      <c r="H652" s="5">
        <f>99 / 86400</f>
        <v>1.1458333333333333E-3</v>
      </c>
      <c r="I652" t="s">
        <v>212</v>
      </c>
      <c r="J652" t="s">
        <v>20</v>
      </c>
      <c r="K652" s="5">
        <f>262 / 86400</f>
        <v>3.0324074074074073E-3</v>
      </c>
      <c r="L652" s="5">
        <f>2317 / 86400</f>
        <v>2.6817129629629628E-2</v>
      </c>
    </row>
    <row r="653" spans="1:12" x14ac:dyDescent="0.25">
      <c r="A653" s="3">
        <v>45693.799733796295</v>
      </c>
      <c r="B653" t="s">
        <v>137</v>
      </c>
      <c r="C653" s="3">
        <v>45693.849675925929</v>
      </c>
      <c r="D653" t="s">
        <v>360</v>
      </c>
      <c r="E653" s="4">
        <v>24.158000000000001</v>
      </c>
      <c r="F653" s="4">
        <v>391467.64199999999</v>
      </c>
      <c r="G653" s="4">
        <v>391491.8</v>
      </c>
      <c r="H653" s="5">
        <f>1726 / 86400</f>
        <v>1.9976851851851853E-2</v>
      </c>
      <c r="I653" t="s">
        <v>54</v>
      </c>
      <c r="J653" t="s">
        <v>128</v>
      </c>
      <c r="K653" s="5">
        <f>4315 / 86400</f>
        <v>4.9942129629629628E-2</v>
      </c>
      <c r="L653" s="5">
        <f>3480 / 86400</f>
        <v>4.027777777777778E-2</v>
      </c>
    </row>
    <row r="654" spans="1:12" x14ac:dyDescent="0.25">
      <c r="A654" s="3">
        <v>45693.889953703707</v>
      </c>
      <c r="B654" t="s">
        <v>360</v>
      </c>
      <c r="C654" s="3">
        <v>45693.907430555555</v>
      </c>
      <c r="D654" t="s">
        <v>62</v>
      </c>
      <c r="E654" s="4">
        <v>8.4429999999999996</v>
      </c>
      <c r="F654" s="4">
        <v>391491.8</v>
      </c>
      <c r="G654" s="4">
        <v>391500.24300000002</v>
      </c>
      <c r="H654" s="5">
        <f>359 / 86400</f>
        <v>4.1550925925925922E-3</v>
      </c>
      <c r="I654" t="s">
        <v>261</v>
      </c>
      <c r="J654" t="s">
        <v>128</v>
      </c>
      <c r="K654" s="5">
        <f>1510 / 86400</f>
        <v>1.7476851851851851E-2</v>
      </c>
      <c r="L654" s="5">
        <f>7997 / 86400</f>
        <v>9.2557870370370374E-2</v>
      </c>
    </row>
    <row r="655" spans="1:12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 spans="1:12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 spans="1:12" s="10" customFormat="1" ht="20.100000000000001" customHeight="1" x14ac:dyDescent="0.35">
      <c r="A657" s="12" t="s">
        <v>420</v>
      </c>
      <c r="B657" s="12"/>
      <c r="C657" s="12"/>
      <c r="D657" s="12"/>
      <c r="E657" s="12"/>
      <c r="F657" s="12"/>
      <c r="G657" s="12"/>
      <c r="H657" s="12"/>
      <c r="I657" s="12"/>
      <c r="J657" s="12"/>
    </row>
    <row r="658" spans="1:12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 spans="1:12" ht="30" x14ac:dyDescent="0.25">
      <c r="A659" s="2" t="s">
        <v>6</v>
      </c>
      <c r="B659" s="2" t="s">
        <v>7</v>
      </c>
      <c r="C659" s="2" t="s">
        <v>8</v>
      </c>
      <c r="D659" s="2" t="s">
        <v>9</v>
      </c>
      <c r="E659" s="2" t="s">
        <v>10</v>
      </c>
      <c r="F659" s="2" t="s">
        <v>11</v>
      </c>
      <c r="G659" s="2" t="s">
        <v>12</v>
      </c>
      <c r="H659" s="2" t="s">
        <v>13</v>
      </c>
      <c r="I659" s="2" t="s">
        <v>14</v>
      </c>
      <c r="J659" s="2" t="s">
        <v>15</v>
      </c>
      <c r="K659" s="2" t="s">
        <v>16</v>
      </c>
      <c r="L659" s="2" t="s">
        <v>17</v>
      </c>
    </row>
    <row r="660" spans="1:12" x14ac:dyDescent="0.25">
      <c r="A660" s="3">
        <v>45693.146678240737</v>
      </c>
      <c r="B660" t="s">
        <v>63</v>
      </c>
      <c r="C660" s="3">
        <v>45693.294131944444</v>
      </c>
      <c r="D660" t="s">
        <v>330</v>
      </c>
      <c r="E660" s="4">
        <v>81.605000000000004</v>
      </c>
      <c r="F660" s="4">
        <v>521545.68199999997</v>
      </c>
      <c r="G660" s="4">
        <v>521627.28700000001</v>
      </c>
      <c r="H660" s="5">
        <f>2518 / 86400</f>
        <v>2.914351851851852E-2</v>
      </c>
      <c r="I660" t="s">
        <v>105</v>
      </c>
      <c r="J660" t="s">
        <v>150</v>
      </c>
      <c r="K660" s="5">
        <f>12740 / 86400</f>
        <v>0.1474537037037037</v>
      </c>
      <c r="L660" s="5">
        <f>14315 / 86400</f>
        <v>0.16568287037037038</v>
      </c>
    </row>
    <row r="661" spans="1:12" x14ac:dyDescent="0.25">
      <c r="A661" s="3">
        <v>45693.31313657407</v>
      </c>
      <c r="B661" t="s">
        <v>330</v>
      </c>
      <c r="C661" s="3">
        <v>45693.425162037034</v>
      </c>
      <c r="D661" t="s">
        <v>327</v>
      </c>
      <c r="E661" s="4">
        <v>50.975999999999999</v>
      </c>
      <c r="F661" s="4">
        <v>521627.28700000001</v>
      </c>
      <c r="G661" s="4">
        <v>521678.26299999998</v>
      </c>
      <c r="H661" s="5">
        <f>2899 / 86400</f>
        <v>3.3553240740740738E-2</v>
      </c>
      <c r="I661" t="s">
        <v>54</v>
      </c>
      <c r="J661" t="s">
        <v>37</v>
      </c>
      <c r="K661" s="5">
        <f>9678 / 86400</f>
        <v>0.11201388888888889</v>
      </c>
      <c r="L661" s="5">
        <f>109 / 86400</f>
        <v>1.261574074074074E-3</v>
      </c>
    </row>
    <row r="662" spans="1:12" x14ac:dyDescent="0.25">
      <c r="A662" s="3">
        <v>45693.426423611112</v>
      </c>
      <c r="B662" t="s">
        <v>327</v>
      </c>
      <c r="C662" s="3">
        <v>45693.571076388893</v>
      </c>
      <c r="D662" t="s">
        <v>111</v>
      </c>
      <c r="E662" s="4">
        <v>50.512999999999998</v>
      </c>
      <c r="F662" s="4">
        <v>521678.26299999998</v>
      </c>
      <c r="G662" s="4">
        <v>521728.77600000001</v>
      </c>
      <c r="H662" s="5">
        <f>4618 / 86400</f>
        <v>5.3449074074074072E-2</v>
      </c>
      <c r="I662" t="s">
        <v>145</v>
      </c>
      <c r="J662" t="s">
        <v>35</v>
      </c>
      <c r="K662" s="5">
        <f>12498 / 86400</f>
        <v>0.14465277777777777</v>
      </c>
      <c r="L662" s="5">
        <f>2795 / 86400</f>
        <v>3.2349537037037038E-2</v>
      </c>
    </row>
    <row r="663" spans="1:12" x14ac:dyDescent="0.25">
      <c r="A663" s="3">
        <v>45693.603425925925</v>
      </c>
      <c r="B663" t="s">
        <v>111</v>
      </c>
      <c r="C663" s="3">
        <v>45693.608784722222</v>
      </c>
      <c r="D663" t="s">
        <v>73</v>
      </c>
      <c r="E663" s="4">
        <v>1.05</v>
      </c>
      <c r="F663" s="4">
        <v>521728.77600000001</v>
      </c>
      <c r="G663" s="4">
        <v>521729.826</v>
      </c>
      <c r="H663" s="5">
        <f>219 / 86400</f>
        <v>2.5347222222222221E-3</v>
      </c>
      <c r="I663" t="s">
        <v>160</v>
      </c>
      <c r="J663" t="s">
        <v>119</v>
      </c>
      <c r="K663" s="5">
        <f>462 / 86400</f>
        <v>5.347222222222222E-3</v>
      </c>
      <c r="L663" s="5">
        <f>145 / 86400</f>
        <v>1.6782407407407408E-3</v>
      </c>
    </row>
    <row r="664" spans="1:12" x14ac:dyDescent="0.25">
      <c r="A664" s="3">
        <v>45693.610462962963</v>
      </c>
      <c r="B664" t="s">
        <v>73</v>
      </c>
      <c r="C664" s="3">
        <v>45693.61146990741</v>
      </c>
      <c r="D664" t="s">
        <v>73</v>
      </c>
      <c r="E664" s="4">
        <v>0.13400000000000001</v>
      </c>
      <c r="F664" s="4">
        <v>521729.826</v>
      </c>
      <c r="G664" s="4">
        <v>521729.96</v>
      </c>
      <c r="H664" s="5">
        <f>0 / 86400</f>
        <v>0</v>
      </c>
      <c r="I664" t="s">
        <v>132</v>
      </c>
      <c r="J664" t="s">
        <v>260</v>
      </c>
      <c r="K664" s="5">
        <f>87 / 86400</f>
        <v>1.0069444444444444E-3</v>
      </c>
      <c r="L664" s="5">
        <f>716 / 86400</f>
        <v>8.2870370370370372E-3</v>
      </c>
    </row>
    <row r="665" spans="1:12" x14ac:dyDescent="0.25">
      <c r="A665" s="3">
        <v>45693.619756944448</v>
      </c>
      <c r="B665" t="s">
        <v>73</v>
      </c>
      <c r="C665" s="3">
        <v>45693.668344907404</v>
      </c>
      <c r="D665" t="s">
        <v>26</v>
      </c>
      <c r="E665" s="4">
        <v>25.757000000000001</v>
      </c>
      <c r="F665" s="4">
        <v>521729.96</v>
      </c>
      <c r="G665" s="4">
        <v>521755.717</v>
      </c>
      <c r="H665" s="5">
        <f>760 / 86400</f>
        <v>8.7962962962962968E-3</v>
      </c>
      <c r="I665" t="s">
        <v>105</v>
      </c>
      <c r="J665" t="s">
        <v>39</v>
      </c>
      <c r="K665" s="5">
        <f>4198 / 86400</f>
        <v>4.8587962962962965E-2</v>
      </c>
      <c r="L665" s="5">
        <f>380 / 86400</f>
        <v>4.3981481481481484E-3</v>
      </c>
    </row>
    <row r="666" spans="1:12" x14ac:dyDescent="0.25">
      <c r="A666" s="3">
        <v>45693.672743055555</v>
      </c>
      <c r="B666" t="s">
        <v>26</v>
      </c>
      <c r="C666" s="3">
        <v>45693.677627314813</v>
      </c>
      <c r="D666" t="s">
        <v>63</v>
      </c>
      <c r="E666" s="4">
        <v>1.97</v>
      </c>
      <c r="F666" s="4">
        <v>521755.717</v>
      </c>
      <c r="G666" s="4">
        <v>521757.68699999998</v>
      </c>
      <c r="H666" s="5">
        <f>19 / 86400</f>
        <v>2.199074074074074E-4</v>
      </c>
      <c r="I666" t="s">
        <v>222</v>
      </c>
      <c r="J666" t="s">
        <v>28</v>
      </c>
      <c r="K666" s="5">
        <f>421 / 86400</f>
        <v>4.8726851851851848E-3</v>
      </c>
      <c r="L666" s="5">
        <f>3519 / 86400</f>
        <v>4.0729166666666664E-2</v>
      </c>
    </row>
    <row r="667" spans="1:12" x14ac:dyDescent="0.25">
      <c r="A667" s="3">
        <v>45693.718356481477</v>
      </c>
      <c r="B667" t="s">
        <v>63</v>
      </c>
      <c r="C667" s="3">
        <v>45693.720659722225</v>
      </c>
      <c r="D667" t="s">
        <v>110</v>
      </c>
      <c r="E667" s="4">
        <v>1.1080000000000001</v>
      </c>
      <c r="F667" s="4">
        <v>521757.68699999998</v>
      </c>
      <c r="G667" s="4">
        <v>521758.79499999998</v>
      </c>
      <c r="H667" s="5">
        <f>20 / 86400</f>
        <v>2.3148148148148149E-4</v>
      </c>
      <c r="I667" t="s">
        <v>58</v>
      </c>
      <c r="J667" t="s">
        <v>128</v>
      </c>
      <c r="K667" s="5">
        <f>199 / 86400</f>
        <v>2.3032407407407407E-3</v>
      </c>
      <c r="L667" s="5">
        <f>55 / 86400</f>
        <v>6.3657407407407413E-4</v>
      </c>
    </row>
    <row r="668" spans="1:12" x14ac:dyDescent="0.25">
      <c r="A668" s="3">
        <v>45693.721296296295</v>
      </c>
      <c r="B668" t="s">
        <v>110</v>
      </c>
      <c r="C668" s="3">
        <v>45693.816099537042</v>
      </c>
      <c r="D668" t="s">
        <v>361</v>
      </c>
      <c r="E668" s="4">
        <v>46.003999999999998</v>
      </c>
      <c r="F668" s="4">
        <v>521758.79499999998</v>
      </c>
      <c r="G668" s="4">
        <v>521804.799</v>
      </c>
      <c r="H668" s="5">
        <f>2082 / 86400</f>
        <v>2.4097222222222221E-2</v>
      </c>
      <c r="I668" t="s">
        <v>145</v>
      </c>
      <c r="J668" t="s">
        <v>128</v>
      </c>
      <c r="K668" s="5">
        <f>8191 / 86400</f>
        <v>9.4803240740740743E-2</v>
      </c>
      <c r="L668" s="5">
        <f>211 / 86400</f>
        <v>2.4421296296296296E-3</v>
      </c>
    </row>
    <row r="669" spans="1:12" x14ac:dyDescent="0.25">
      <c r="A669" s="3">
        <v>45693.818541666667</v>
      </c>
      <c r="B669" t="s">
        <v>361</v>
      </c>
      <c r="C669" s="3">
        <v>45693.82240740741</v>
      </c>
      <c r="D669" t="s">
        <v>63</v>
      </c>
      <c r="E669" s="4">
        <v>0.39900000000000002</v>
      </c>
      <c r="F669" s="4">
        <v>521804.799</v>
      </c>
      <c r="G669" s="4">
        <v>521805.19799999997</v>
      </c>
      <c r="H669" s="5">
        <f>119 / 86400</f>
        <v>1.3773148148148147E-3</v>
      </c>
      <c r="I669" t="s">
        <v>55</v>
      </c>
      <c r="J669" t="s">
        <v>86</v>
      </c>
      <c r="K669" s="5">
        <f>334 / 86400</f>
        <v>3.8657407407407408E-3</v>
      </c>
      <c r="L669" s="5">
        <f>15343 / 86400</f>
        <v>0.17758101851851851</v>
      </c>
    </row>
    <row r="670" spans="1:12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 spans="1:12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 spans="1:12" s="10" customFormat="1" ht="20.100000000000001" customHeight="1" x14ac:dyDescent="0.35">
      <c r="A672" s="12" t="s">
        <v>421</v>
      </c>
      <c r="B672" s="12"/>
      <c r="C672" s="12"/>
      <c r="D672" s="12"/>
      <c r="E672" s="12"/>
      <c r="F672" s="12"/>
      <c r="G672" s="12"/>
      <c r="H672" s="12"/>
      <c r="I672" s="12"/>
      <c r="J672" s="12"/>
    </row>
    <row r="673" spans="1:12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 spans="1:12" ht="30" x14ac:dyDescent="0.25">
      <c r="A674" s="2" t="s">
        <v>6</v>
      </c>
      <c r="B674" s="2" t="s">
        <v>7</v>
      </c>
      <c r="C674" s="2" t="s">
        <v>8</v>
      </c>
      <c r="D674" s="2" t="s">
        <v>9</v>
      </c>
      <c r="E674" s="2" t="s">
        <v>10</v>
      </c>
      <c r="F674" s="2" t="s">
        <v>11</v>
      </c>
      <c r="G674" s="2" t="s">
        <v>12</v>
      </c>
      <c r="H674" s="2" t="s">
        <v>13</v>
      </c>
      <c r="I674" s="2" t="s">
        <v>14</v>
      </c>
      <c r="J674" s="2" t="s">
        <v>15</v>
      </c>
      <c r="K674" s="2" t="s">
        <v>16</v>
      </c>
      <c r="L674" s="2" t="s">
        <v>17</v>
      </c>
    </row>
    <row r="675" spans="1:12" x14ac:dyDescent="0.25">
      <c r="A675" s="3">
        <v>45693</v>
      </c>
      <c r="B675" t="s">
        <v>64</v>
      </c>
      <c r="C675" s="3">
        <v>45693.018159722225</v>
      </c>
      <c r="D675" t="s">
        <v>362</v>
      </c>
      <c r="E675" s="4">
        <v>14.026</v>
      </c>
      <c r="F675" s="4">
        <v>410402.99099999998</v>
      </c>
      <c r="G675" s="4">
        <v>410417.01699999999</v>
      </c>
      <c r="H675" s="5">
        <f>40 / 86400</f>
        <v>4.6296296296296298E-4</v>
      </c>
      <c r="I675" t="s">
        <v>66</v>
      </c>
      <c r="J675" t="s">
        <v>174</v>
      </c>
      <c r="K675" s="5">
        <f>1569 / 86400</f>
        <v>1.8159722222222223E-2</v>
      </c>
      <c r="L675" s="5">
        <f>32635 / 86400</f>
        <v>0.37771990740740741</v>
      </c>
    </row>
    <row r="676" spans="1:12" x14ac:dyDescent="0.25">
      <c r="A676" s="3">
        <v>45693.395879629628</v>
      </c>
      <c r="B676" t="s">
        <v>362</v>
      </c>
      <c r="C676" s="3">
        <v>45693.45449074074</v>
      </c>
      <c r="D676" t="s">
        <v>73</v>
      </c>
      <c r="E676" s="4">
        <v>26.716000000000001</v>
      </c>
      <c r="F676" s="4">
        <v>410417.01699999999</v>
      </c>
      <c r="G676" s="4">
        <v>410443.73300000001</v>
      </c>
      <c r="H676" s="5">
        <f>1139 / 86400</f>
        <v>1.3182870370370371E-2</v>
      </c>
      <c r="I676" t="s">
        <v>58</v>
      </c>
      <c r="J676" t="s">
        <v>37</v>
      </c>
      <c r="K676" s="5">
        <f>5064 / 86400</f>
        <v>5.8611111111111114E-2</v>
      </c>
      <c r="L676" s="5">
        <f>708 / 86400</f>
        <v>8.1944444444444452E-3</v>
      </c>
    </row>
    <row r="677" spans="1:12" x14ac:dyDescent="0.25">
      <c r="A677" s="3">
        <v>45693.462685185186</v>
      </c>
      <c r="B677" t="s">
        <v>73</v>
      </c>
      <c r="C677" s="3">
        <v>45693.464282407411</v>
      </c>
      <c r="D677" t="s">
        <v>144</v>
      </c>
      <c r="E677" s="4">
        <v>0.251</v>
      </c>
      <c r="F677" s="4">
        <v>410443.73300000001</v>
      </c>
      <c r="G677" s="4">
        <v>410443.984</v>
      </c>
      <c r="H677" s="5">
        <f>20 / 86400</f>
        <v>2.3148148148148149E-4</v>
      </c>
      <c r="I677" t="s">
        <v>35</v>
      </c>
      <c r="J677" t="s">
        <v>132</v>
      </c>
      <c r="K677" s="5">
        <f>138 / 86400</f>
        <v>1.5972222222222223E-3</v>
      </c>
      <c r="L677" s="5">
        <f>1005 / 86400</f>
        <v>1.1631944444444445E-2</v>
      </c>
    </row>
    <row r="678" spans="1:12" x14ac:dyDescent="0.25">
      <c r="A678" s="3">
        <v>45693.475914351853</v>
      </c>
      <c r="B678" t="s">
        <v>144</v>
      </c>
      <c r="C678" s="3">
        <v>45693.479872685188</v>
      </c>
      <c r="D678" t="s">
        <v>269</v>
      </c>
      <c r="E678" s="4">
        <v>0.502</v>
      </c>
      <c r="F678" s="4">
        <v>410443.984</v>
      </c>
      <c r="G678" s="4">
        <v>410444.48599999998</v>
      </c>
      <c r="H678" s="5">
        <f>200 / 86400</f>
        <v>2.3148148148148147E-3</v>
      </c>
      <c r="I678" t="s">
        <v>231</v>
      </c>
      <c r="J678" t="s">
        <v>133</v>
      </c>
      <c r="K678" s="5">
        <f>342 / 86400</f>
        <v>3.9583333333333337E-3</v>
      </c>
      <c r="L678" s="5">
        <f>655 / 86400</f>
        <v>7.5810185185185182E-3</v>
      </c>
    </row>
    <row r="679" spans="1:12" x14ac:dyDescent="0.25">
      <c r="A679" s="3">
        <v>45693.487453703703</v>
      </c>
      <c r="B679" t="s">
        <v>269</v>
      </c>
      <c r="C679" s="3">
        <v>45693.48819444445</v>
      </c>
      <c r="D679" t="s">
        <v>269</v>
      </c>
      <c r="E679" s="4">
        <v>6.0000000000000001E-3</v>
      </c>
      <c r="F679" s="4">
        <v>410444.48599999998</v>
      </c>
      <c r="G679" s="4">
        <v>410444.49200000003</v>
      </c>
      <c r="H679" s="5">
        <f>59 / 86400</f>
        <v>6.8287037037037036E-4</v>
      </c>
      <c r="I679" t="s">
        <v>124</v>
      </c>
      <c r="J679" t="s">
        <v>124</v>
      </c>
      <c r="K679" s="5">
        <f>63 / 86400</f>
        <v>7.291666666666667E-4</v>
      </c>
      <c r="L679" s="5">
        <f>3089 / 86400</f>
        <v>3.5752314814814813E-2</v>
      </c>
    </row>
    <row r="680" spans="1:12" x14ac:dyDescent="0.25">
      <c r="A680" s="3">
        <v>45693.523946759262</v>
      </c>
      <c r="B680" t="s">
        <v>269</v>
      </c>
      <c r="C680" s="3">
        <v>45693.526747685188</v>
      </c>
      <c r="D680" t="s">
        <v>73</v>
      </c>
      <c r="E680" s="4">
        <v>0.72299999999999998</v>
      </c>
      <c r="F680" s="4">
        <v>410444.49200000003</v>
      </c>
      <c r="G680" s="4">
        <v>410445.21500000003</v>
      </c>
      <c r="H680" s="5">
        <f>98 / 86400</f>
        <v>1.1342592592592593E-3</v>
      </c>
      <c r="I680" t="s">
        <v>167</v>
      </c>
      <c r="J680" t="s">
        <v>154</v>
      </c>
      <c r="K680" s="5">
        <f>241 / 86400</f>
        <v>2.7893518518518519E-3</v>
      </c>
      <c r="L680" s="5">
        <f>2134 / 86400</f>
        <v>2.4699074074074075E-2</v>
      </c>
    </row>
    <row r="681" spans="1:12" x14ac:dyDescent="0.25">
      <c r="A681" s="3">
        <v>45693.551446759258</v>
      </c>
      <c r="B681" t="s">
        <v>73</v>
      </c>
      <c r="C681" s="3">
        <v>45693.826377314814</v>
      </c>
      <c r="D681" t="s">
        <v>152</v>
      </c>
      <c r="E681" s="4">
        <v>99.058000000000007</v>
      </c>
      <c r="F681" s="4">
        <v>410445.21500000003</v>
      </c>
      <c r="G681" s="4">
        <v>410544.27299999999</v>
      </c>
      <c r="H681" s="5">
        <f>7359 / 86400</f>
        <v>8.5173611111111117E-2</v>
      </c>
      <c r="I681" t="s">
        <v>145</v>
      </c>
      <c r="J681" t="s">
        <v>35</v>
      </c>
      <c r="K681" s="5">
        <f>23754 / 86400</f>
        <v>0.27493055555555557</v>
      </c>
      <c r="L681" s="5">
        <f>933 / 86400</f>
        <v>1.0798611111111111E-2</v>
      </c>
    </row>
    <row r="682" spans="1:12" x14ac:dyDescent="0.25">
      <c r="A682" s="3">
        <v>45693.837175925924</v>
      </c>
      <c r="B682" t="s">
        <v>152</v>
      </c>
      <c r="C682" s="3">
        <v>45693.839537037042</v>
      </c>
      <c r="D682" t="s">
        <v>144</v>
      </c>
      <c r="E682" s="4">
        <v>0.42299999999999999</v>
      </c>
      <c r="F682" s="4">
        <v>410544.27299999999</v>
      </c>
      <c r="G682" s="4">
        <v>410544.696</v>
      </c>
      <c r="H682" s="5">
        <f>100 / 86400</f>
        <v>1.1574074074074073E-3</v>
      </c>
      <c r="I682" t="s">
        <v>39</v>
      </c>
      <c r="J682" t="s">
        <v>119</v>
      </c>
      <c r="K682" s="5">
        <f>203 / 86400</f>
        <v>2.3495370370370371E-3</v>
      </c>
      <c r="L682" s="5">
        <f>156 / 86400</f>
        <v>1.8055555555555555E-3</v>
      </c>
    </row>
    <row r="683" spans="1:12" x14ac:dyDescent="0.25">
      <c r="A683" s="3">
        <v>45693.841342592597</v>
      </c>
      <c r="B683" t="s">
        <v>144</v>
      </c>
      <c r="C683" s="3">
        <v>45693.841585648144</v>
      </c>
      <c r="D683" t="s">
        <v>144</v>
      </c>
      <c r="E683" s="4">
        <v>2.1999999999999999E-2</v>
      </c>
      <c r="F683" s="4">
        <v>410544.696</v>
      </c>
      <c r="G683" s="4">
        <v>410544.71799999999</v>
      </c>
      <c r="H683" s="5">
        <f>19 / 86400</f>
        <v>2.199074074074074E-4</v>
      </c>
      <c r="I683" t="s">
        <v>124</v>
      </c>
      <c r="J683" t="s">
        <v>86</v>
      </c>
      <c r="K683" s="5">
        <f>21 / 86400</f>
        <v>2.4305555555555555E-4</v>
      </c>
      <c r="L683" s="5">
        <f>217 / 86400</f>
        <v>2.5115740740740741E-3</v>
      </c>
    </row>
    <row r="684" spans="1:12" x14ac:dyDescent="0.25">
      <c r="A684" s="3">
        <v>45693.844097222223</v>
      </c>
      <c r="B684" t="s">
        <v>144</v>
      </c>
      <c r="C684" s="3">
        <v>45693.844583333332</v>
      </c>
      <c r="D684" t="s">
        <v>73</v>
      </c>
      <c r="E684" s="4">
        <v>3.2000000000000001E-2</v>
      </c>
      <c r="F684" s="4">
        <v>410544.71799999999</v>
      </c>
      <c r="G684" s="4">
        <v>410544.75</v>
      </c>
      <c r="H684" s="5">
        <f>0 / 86400</f>
        <v>0</v>
      </c>
      <c r="I684" t="s">
        <v>132</v>
      </c>
      <c r="J684" t="s">
        <v>149</v>
      </c>
      <c r="K684" s="5">
        <f>42 / 86400</f>
        <v>4.861111111111111E-4</v>
      </c>
      <c r="L684" s="5">
        <f>416 / 86400</f>
        <v>4.8148148148148152E-3</v>
      </c>
    </row>
    <row r="685" spans="1:12" x14ac:dyDescent="0.25">
      <c r="A685" s="3">
        <v>45693.849398148144</v>
      </c>
      <c r="B685" t="s">
        <v>73</v>
      </c>
      <c r="C685" s="3">
        <v>45693.85050925926</v>
      </c>
      <c r="D685" t="s">
        <v>73</v>
      </c>
      <c r="E685" s="4">
        <v>0.22</v>
      </c>
      <c r="F685" s="4">
        <v>410544.75</v>
      </c>
      <c r="G685" s="4">
        <v>410544.97</v>
      </c>
      <c r="H685" s="5">
        <f>0 / 86400</f>
        <v>0</v>
      </c>
      <c r="I685" t="s">
        <v>128</v>
      </c>
      <c r="J685" t="s">
        <v>119</v>
      </c>
      <c r="K685" s="5">
        <f>95 / 86400</f>
        <v>1.0995370370370371E-3</v>
      </c>
      <c r="L685" s="5">
        <f>298 / 86400</f>
        <v>3.449074074074074E-3</v>
      </c>
    </row>
    <row r="686" spans="1:12" x14ac:dyDescent="0.25">
      <c r="A686" s="3">
        <v>45693.853958333333</v>
      </c>
      <c r="B686" t="s">
        <v>73</v>
      </c>
      <c r="C686" s="3">
        <v>45693.99998842593</v>
      </c>
      <c r="D686" t="s">
        <v>65</v>
      </c>
      <c r="E686" s="4">
        <v>61.040999999999997</v>
      </c>
      <c r="F686" s="4">
        <v>410544.97</v>
      </c>
      <c r="G686" s="4">
        <v>410606.011</v>
      </c>
      <c r="H686" s="5">
        <f>3361 / 86400</f>
        <v>3.8900462962962963E-2</v>
      </c>
      <c r="I686" t="s">
        <v>194</v>
      </c>
      <c r="J686" t="s">
        <v>28</v>
      </c>
      <c r="K686" s="5">
        <f>12617 / 86400</f>
        <v>0.14603009259259259</v>
      </c>
      <c r="L686" s="5">
        <f>0 / 86400</f>
        <v>0</v>
      </c>
    </row>
    <row r="687" spans="1:12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 spans="1:12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 spans="1:12" s="10" customFormat="1" ht="20.100000000000001" customHeight="1" x14ac:dyDescent="0.35">
      <c r="A689" s="12" t="s">
        <v>422</v>
      </c>
      <c r="B689" s="12"/>
      <c r="C689" s="12"/>
      <c r="D689" s="12"/>
      <c r="E689" s="12"/>
      <c r="F689" s="12"/>
      <c r="G689" s="12"/>
      <c r="H689" s="12"/>
      <c r="I689" s="12"/>
      <c r="J689" s="12"/>
    </row>
    <row r="690" spans="1:12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 spans="1:12" ht="30" x14ac:dyDescent="0.25">
      <c r="A691" s="2" t="s">
        <v>6</v>
      </c>
      <c r="B691" s="2" t="s">
        <v>7</v>
      </c>
      <c r="C691" s="2" t="s">
        <v>8</v>
      </c>
      <c r="D691" s="2" t="s">
        <v>9</v>
      </c>
      <c r="E691" s="2" t="s">
        <v>10</v>
      </c>
      <c r="F691" s="2" t="s">
        <v>11</v>
      </c>
      <c r="G691" s="2" t="s">
        <v>12</v>
      </c>
      <c r="H691" s="2" t="s">
        <v>13</v>
      </c>
      <c r="I691" s="2" t="s">
        <v>14</v>
      </c>
      <c r="J691" s="2" t="s">
        <v>15</v>
      </c>
      <c r="K691" s="2" t="s">
        <v>16</v>
      </c>
      <c r="L691" s="2" t="s">
        <v>17</v>
      </c>
    </row>
    <row r="692" spans="1:12" x14ac:dyDescent="0.25">
      <c r="A692" s="3">
        <v>45693.292673611111</v>
      </c>
      <c r="B692" t="s">
        <v>67</v>
      </c>
      <c r="C692" s="3">
        <v>45693.294432870374</v>
      </c>
      <c r="D692" t="s">
        <v>363</v>
      </c>
      <c r="E692" s="4">
        <v>3.5000000000000003E-2</v>
      </c>
      <c r="F692" s="4">
        <v>401385.80099999998</v>
      </c>
      <c r="G692" s="4">
        <v>401385.83600000001</v>
      </c>
      <c r="H692" s="5">
        <f>99 / 86400</f>
        <v>1.1458333333333333E-3</v>
      </c>
      <c r="I692" t="s">
        <v>149</v>
      </c>
      <c r="J692" t="s">
        <v>116</v>
      </c>
      <c r="K692" s="5">
        <f>151 / 86400</f>
        <v>1.7476851851851852E-3</v>
      </c>
      <c r="L692" s="5">
        <f>25324 / 86400</f>
        <v>0.29310185185185184</v>
      </c>
    </row>
    <row r="693" spans="1:12" x14ac:dyDescent="0.25">
      <c r="A693" s="3">
        <v>45693.294861111106</v>
      </c>
      <c r="B693" t="s">
        <v>363</v>
      </c>
      <c r="C693" s="3">
        <v>45693.295266203699</v>
      </c>
      <c r="D693" t="s">
        <v>363</v>
      </c>
      <c r="E693" s="4">
        <v>0</v>
      </c>
      <c r="F693" s="4">
        <v>401385.83600000001</v>
      </c>
      <c r="G693" s="4">
        <v>401385.83600000001</v>
      </c>
      <c r="H693" s="5">
        <f>19 / 86400</f>
        <v>2.199074074074074E-4</v>
      </c>
      <c r="I693" t="s">
        <v>124</v>
      </c>
      <c r="J693" t="s">
        <v>124</v>
      </c>
      <c r="K693" s="5">
        <f>34 / 86400</f>
        <v>3.9351851851851852E-4</v>
      </c>
      <c r="L693" s="5">
        <f>111 / 86400</f>
        <v>1.2847222222222223E-3</v>
      </c>
    </row>
    <row r="694" spans="1:12" x14ac:dyDescent="0.25">
      <c r="A694" s="3">
        <v>45693.296550925923</v>
      </c>
      <c r="B694" t="s">
        <v>363</v>
      </c>
      <c r="C694" s="3">
        <v>45693.301134259258</v>
      </c>
      <c r="D694" t="s">
        <v>73</v>
      </c>
      <c r="E694" s="4">
        <v>0.60299999999999998</v>
      </c>
      <c r="F694" s="4">
        <v>401385.83600000001</v>
      </c>
      <c r="G694" s="4">
        <v>401386.43900000001</v>
      </c>
      <c r="H694" s="5">
        <f>219 / 86400</f>
        <v>2.5347222222222221E-3</v>
      </c>
      <c r="I694" t="s">
        <v>222</v>
      </c>
      <c r="J694" t="s">
        <v>133</v>
      </c>
      <c r="K694" s="5">
        <f>396 / 86400</f>
        <v>4.5833333333333334E-3</v>
      </c>
      <c r="L694" s="5">
        <f>412 / 86400</f>
        <v>4.7685185185185183E-3</v>
      </c>
    </row>
    <row r="695" spans="1:12" x14ac:dyDescent="0.25">
      <c r="A695" s="3">
        <v>45693.305902777778</v>
      </c>
      <c r="B695" t="s">
        <v>73</v>
      </c>
      <c r="C695" s="3">
        <v>45693.55631944444</v>
      </c>
      <c r="D695" t="s">
        <v>144</v>
      </c>
      <c r="E695" s="4">
        <v>100.068</v>
      </c>
      <c r="F695" s="4">
        <v>401386.43900000001</v>
      </c>
      <c r="G695" s="4">
        <v>401486.50699999998</v>
      </c>
      <c r="H695" s="5">
        <f>7336 / 86400</f>
        <v>8.4907407407407404E-2</v>
      </c>
      <c r="I695" t="s">
        <v>68</v>
      </c>
      <c r="J695" t="s">
        <v>28</v>
      </c>
      <c r="K695" s="5">
        <f>21636 / 86400</f>
        <v>0.25041666666666668</v>
      </c>
      <c r="L695" s="5">
        <f>470 / 86400</f>
        <v>5.4398148148148149E-3</v>
      </c>
    </row>
    <row r="696" spans="1:12" x14ac:dyDescent="0.25">
      <c r="A696" s="3">
        <v>45693.561759259261</v>
      </c>
      <c r="B696" t="s">
        <v>144</v>
      </c>
      <c r="C696" s="3">
        <v>45693.563043981485</v>
      </c>
      <c r="D696" t="s">
        <v>73</v>
      </c>
      <c r="E696" s="4">
        <v>0.25700000000000001</v>
      </c>
      <c r="F696" s="4">
        <v>401486.50699999998</v>
      </c>
      <c r="G696" s="4">
        <v>401486.76400000002</v>
      </c>
      <c r="H696" s="5">
        <f>0 / 86400</f>
        <v>0</v>
      </c>
      <c r="I696" t="s">
        <v>52</v>
      </c>
      <c r="J696" t="s">
        <v>119</v>
      </c>
      <c r="K696" s="5">
        <f>110 / 86400</f>
        <v>1.2731481481481483E-3</v>
      </c>
      <c r="L696" s="5">
        <f>418 / 86400</f>
        <v>4.8379629629629632E-3</v>
      </c>
    </row>
    <row r="697" spans="1:12" x14ac:dyDescent="0.25">
      <c r="A697" s="3">
        <v>45693.567881944444</v>
      </c>
      <c r="B697" t="s">
        <v>73</v>
      </c>
      <c r="C697" s="3">
        <v>45693.572141203702</v>
      </c>
      <c r="D697" t="s">
        <v>22</v>
      </c>
      <c r="E697" s="4">
        <v>0.94799999999999995</v>
      </c>
      <c r="F697" s="4">
        <v>401486.76400000002</v>
      </c>
      <c r="G697" s="4">
        <v>401487.712</v>
      </c>
      <c r="H697" s="5">
        <f>59 / 86400</f>
        <v>6.8287037037037036E-4</v>
      </c>
      <c r="I697" t="s">
        <v>212</v>
      </c>
      <c r="J697" t="s">
        <v>82</v>
      </c>
      <c r="K697" s="5">
        <f>367 / 86400</f>
        <v>4.2476851851851851E-3</v>
      </c>
      <c r="L697" s="5">
        <f>558 / 86400</f>
        <v>6.4583333333333333E-3</v>
      </c>
    </row>
    <row r="698" spans="1:12" x14ac:dyDescent="0.25">
      <c r="A698" s="3">
        <v>45693.578599537039</v>
      </c>
      <c r="B698" t="s">
        <v>22</v>
      </c>
      <c r="C698" s="3">
        <v>45693.58112268518</v>
      </c>
      <c r="D698" t="s">
        <v>148</v>
      </c>
      <c r="E698" s="4">
        <v>0.54</v>
      </c>
      <c r="F698" s="4">
        <v>401487.712</v>
      </c>
      <c r="G698" s="4">
        <v>401488.25199999998</v>
      </c>
      <c r="H698" s="5">
        <f>60 / 86400</f>
        <v>6.9444444444444447E-4</v>
      </c>
      <c r="I698" t="s">
        <v>128</v>
      </c>
      <c r="J698" t="s">
        <v>82</v>
      </c>
      <c r="K698" s="5">
        <f>218 / 86400</f>
        <v>2.5231481481481481E-3</v>
      </c>
      <c r="L698" s="5">
        <f>690 / 86400</f>
        <v>7.9861111111111105E-3</v>
      </c>
    </row>
    <row r="699" spans="1:12" x14ac:dyDescent="0.25">
      <c r="A699" s="3">
        <v>45693.589108796295</v>
      </c>
      <c r="B699" t="s">
        <v>148</v>
      </c>
      <c r="C699" s="3">
        <v>45693.592650462961</v>
      </c>
      <c r="D699" t="s">
        <v>111</v>
      </c>
      <c r="E699" s="4">
        <v>0.80800000000000005</v>
      </c>
      <c r="F699" s="4">
        <v>401488.25199999998</v>
      </c>
      <c r="G699" s="4">
        <v>401489.06</v>
      </c>
      <c r="H699" s="5">
        <f>80 / 86400</f>
        <v>9.2592592592592596E-4</v>
      </c>
      <c r="I699" t="s">
        <v>172</v>
      </c>
      <c r="J699" t="s">
        <v>20</v>
      </c>
      <c r="K699" s="5">
        <f>305 / 86400</f>
        <v>3.5300925925925925E-3</v>
      </c>
      <c r="L699" s="5">
        <f>2198 / 86400</f>
        <v>2.5439814814814814E-2</v>
      </c>
    </row>
    <row r="700" spans="1:12" x14ac:dyDescent="0.25">
      <c r="A700" s="3">
        <v>45693.618090277778</v>
      </c>
      <c r="B700" t="s">
        <v>111</v>
      </c>
      <c r="C700" s="3">
        <v>45693.624351851853</v>
      </c>
      <c r="D700" t="s">
        <v>118</v>
      </c>
      <c r="E700" s="4">
        <v>1.262</v>
      </c>
      <c r="F700" s="4">
        <v>401489.06</v>
      </c>
      <c r="G700" s="4">
        <v>401490.32199999999</v>
      </c>
      <c r="H700" s="5">
        <f>79 / 86400</f>
        <v>9.1435185185185185E-4</v>
      </c>
      <c r="I700" t="s">
        <v>39</v>
      </c>
      <c r="J700" t="s">
        <v>119</v>
      </c>
      <c r="K700" s="5">
        <f>541 / 86400</f>
        <v>6.2615740740740739E-3</v>
      </c>
      <c r="L700" s="5">
        <f>4376 / 86400</f>
        <v>5.064814814814815E-2</v>
      </c>
    </row>
    <row r="701" spans="1:12" x14ac:dyDescent="0.25">
      <c r="A701" s="3">
        <v>45693.675000000003</v>
      </c>
      <c r="B701" t="s">
        <v>118</v>
      </c>
      <c r="C701" s="3">
        <v>45693.903275462959</v>
      </c>
      <c r="D701" t="s">
        <v>148</v>
      </c>
      <c r="E701" s="4">
        <v>94.763999999999996</v>
      </c>
      <c r="F701" s="4">
        <v>401490.32199999999</v>
      </c>
      <c r="G701" s="4">
        <v>401585.08600000001</v>
      </c>
      <c r="H701" s="5">
        <f>6402 / 86400</f>
        <v>7.4097222222222217E-2</v>
      </c>
      <c r="I701" t="s">
        <v>68</v>
      </c>
      <c r="J701" t="s">
        <v>28</v>
      </c>
      <c r="K701" s="5">
        <f>19723 / 86400</f>
        <v>0.22827546296296297</v>
      </c>
      <c r="L701" s="5">
        <f>713 / 86400</f>
        <v>8.2523148148148148E-3</v>
      </c>
    </row>
    <row r="702" spans="1:12" x14ac:dyDescent="0.25">
      <c r="A702" s="3">
        <v>45693.911527777775</v>
      </c>
      <c r="B702" t="s">
        <v>148</v>
      </c>
      <c r="C702" s="3">
        <v>45693.912754629629</v>
      </c>
      <c r="D702" t="s">
        <v>364</v>
      </c>
      <c r="E702" s="4">
        <v>0.27</v>
      </c>
      <c r="F702" s="4">
        <v>401585.08600000001</v>
      </c>
      <c r="G702" s="4">
        <v>401585.35600000003</v>
      </c>
      <c r="H702" s="5">
        <f>20 / 86400</f>
        <v>2.3148148148148149E-4</v>
      </c>
      <c r="I702" t="s">
        <v>212</v>
      </c>
      <c r="J702" t="s">
        <v>82</v>
      </c>
      <c r="K702" s="5">
        <f>105 / 86400</f>
        <v>1.2152777777777778E-3</v>
      </c>
      <c r="L702" s="5">
        <f>490 / 86400</f>
        <v>5.6712962962962967E-3</v>
      </c>
    </row>
    <row r="703" spans="1:12" x14ac:dyDescent="0.25">
      <c r="A703" s="3">
        <v>45693.918425925927</v>
      </c>
      <c r="B703" t="s">
        <v>364</v>
      </c>
      <c r="C703" s="3">
        <v>45693.918460648143</v>
      </c>
      <c r="D703" t="s">
        <v>364</v>
      </c>
      <c r="E703" s="4">
        <v>0</v>
      </c>
      <c r="F703" s="4">
        <v>401585.35600000003</v>
      </c>
      <c r="G703" s="4">
        <v>401585.35600000003</v>
      </c>
      <c r="H703" s="5">
        <f>0 / 86400</f>
        <v>0</v>
      </c>
      <c r="I703" t="s">
        <v>124</v>
      </c>
      <c r="J703" t="s">
        <v>124</v>
      </c>
      <c r="K703" s="5">
        <f>3 / 86400</f>
        <v>3.4722222222222222E-5</v>
      </c>
      <c r="L703" s="5">
        <f>110 / 86400</f>
        <v>1.2731481481481483E-3</v>
      </c>
    </row>
    <row r="704" spans="1:12" x14ac:dyDescent="0.25">
      <c r="A704" s="3">
        <v>45693.919733796298</v>
      </c>
      <c r="B704" t="s">
        <v>364</v>
      </c>
      <c r="C704" s="3">
        <v>45693.924814814818</v>
      </c>
      <c r="D704" t="s">
        <v>67</v>
      </c>
      <c r="E704" s="4">
        <v>0.36599999999999999</v>
      </c>
      <c r="F704" s="4">
        <v>401585.35600000003</v>
      </c>
      <c r="G704" s="4">
        <v>401585.72200000001</v>
      </c>
      <c r="H704" s="5">
        <f>240 / 86400</f>
        <v>2.7777777777777779E-3</v>
      </c>
      <c r="I704" t="s">
        <v>128</v>
      </c>
      <c r="J704" t="s">
        <v>149</v>
      </c>
      <c r="K704" s="5">
        <f>439 / 86400</f>
        <v>5.0810185185185186E-3</v>
      </c>
      <c r="L704" s="5">
        <f>6495 / 86400</f>
        <v>7.5173611111111108E-2</v>
      </c>
    </row>
    <row r="705" spans="1:12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 spans="1:12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 spans="1:12" s="10" customFormat="1" ht="20.100000000000001" customHeight="1" x14ac:dyDescent="0.35">
      <c r="A707" s="12" t="s">
        <v>423</v>
      </c>
      <c r="B707" s="12"/>
      <c r="C707" s="12"/>
      <c r="D707" s="12"/>
      <c r="E707" s="12"/>
      <c r="F707" s="12"/>
      <c r="G707" s="12"/>
      <c r="H707" s="12"/>
      <c r="I707" s="12"/>
      <c r="J707" s="12"/>
    </row>
    <row r="708" spans="1:12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 spans="1:12" ht="30" x14ac:dyDescent="0.25">
      <c r="A709" s="2" t="s">
        <v>6</v>
      </c>
      <c r="B709" s="2" t="s">
        <v>7</v>
      </c>
      <c r="C709" s="2" t="s">
        <v>8</v>
      </c>
      <c r="D709" s="2" t="s">
        <v>9</v>
      </c>
      <c r="E709" s="2" t="s">
        <v>10</v>
      </c>
      <c r="F709" s="2" t="s">
        <v>11</v>
      </c>
      <c r="G709" s="2" t="s">
        <v>12</v>
      </c>
      <c r="H709" s="2" t="s">
        <v>13</v>
      </c>
      <c r="I709" s="2" t="s">
        <v>14</v>
      </c>
      <c r="J709" s="2" t="s">
        <v>15</v>
      </c>
      <c r="K709" s="2" t="s">
        <v>16</v>
      </c>
      <c r="L709" s="2" t="s">
        <v>17</v>
      </c>
    </row>
    <row r="710" spans="1:12" x14ac:dyDescent="0.25">
      <c r="A710" s="3">
        <v>45693.254363425927</v>
      </c>
      <c r="B710" t="s">
        <v>69</v>
      </c>
      <c r="C710" s="3">
        <v>45693.255416666667</v>
      </c>
      <c r="D710" t="s">
        <v>69</v>
      </c>
      <c r="E710" s="4">
        <v>5.7000000000000002E-2</v>
      </c>
      <c r="F710" s="4">
        <v>406796.065</v>
      </c>
      <c r="G710" s="4">
        <v>406796.12199999997</v>
      </c>
      <c r="H710" s="5">
        <f>60 / 86400</f>
        <v>6.9444444444444447E-4</v>
      </c>
      <c r="I710" t="s">
        <v>116</v>
      </c>
      <c r="J710" t="s">
        <v>126</v>
      </c>
      <c r="K710" s="5">
        <f>90 / 86400</f>
        <v>1.0416666666666667E-3</v>
      </c>
      <c r="L710" s="5">
        <f>23059 / 86400</f>
        <v>0.26688657407407407</v>
      </c>
    </row>
    <row r="711" spans="1:12" x14ac:dyDescent="0.25">
      <c r="A711" s="3">
        <v>45693.267939814818</v>
      </c>
      <c r="B711" t="s">
        <v>69</v>
      </c>
      <c r="C711" s="3">
        <v>45693.333125000005</v>
      </c>
      <c r="D711" t="s">
        <v>269</v>
      </c>
      <c r="E711" s="4">
        <v>35.453000000000003</v>
      </c>
      <c r="F711" s="4">
        <v>406796.12199999997</v>
      </c>
      <c r="G711" s="4">
        <v>406831.57500000001</v>
      </c>
      <c r="H711" s="5">
        <f>1140 / 86400</f>
        <v>1.3194444444444444E-2</v>
      </c>
      <c r="I711" t="s">
        <v>165</v>
      </c>
      <c r="J711" t="s">
        <v>150</v>
      </c>
      <c r="K711" s="5">
        <f>5632 / 86400</f>
        <v>6.5185185185185179E-2</v>
      </c>
      <c r="L711" s="5">
        <f>2975 / 86400</f>
        <v>3.4432870370370371E-2</v>
      </c>
    </row>
    <row r="712" spans="1:12" x14ac:dyDescent="0.25">
      <c r="A712" s="3">
        <v>45693.36755787037</v>
      </c>
      <c r="B712" t="s">
        <v>269</v>
      </c>
      <c r="C712" s="3">
        <v>45693.371805555551</v>
      </c>
      <c r="D712" t="s">
        <v>118</v>
      </c>
      <c r="E712" s="4">
        <v>1.369</v>
      </c>
      <c r="F712" s="4">
        <v>406831.57500000001</v>
      </c>
      <c r="G712" s="4">
        <v>406832.94400000002</v>
      </c>
      <c r="H712" s="5">
        <f>0 / 86400</f>
        <v>0</v>
      </c>
      <c r="I712" t="s">
        <v>160</v>
      </c>
      <c r="J712" t="s">
        <v>55</v>
      </c>
      <c r="K712" s="5">
        <f>366 / 86400</f>
        <v>4.2361111111111115E-3</v>
      </c>
      <c r="L712" s="5">
        <f>1170 / 86400</f>
        <v>1.3541666666666667E-2</v>
      </c>
    </row>
    <row r="713" spans="1:12" x14ac:dyDescent="0.25">
      <c r="A713" s="3">
        <v>45693.385347222225</v>
      </c>
      <c r="B713" t="s">
        <v>118</v>
      </c>
      <c r="C713" s="3">
        <v>45693.385555555556</v>
      </c>
      <c r="D713" t="s">
        <v>118</v>
      </c>
      <c r="E713" s="4">
        <v>1.7000000000000001E-2</v>
      </c>
      <c r="F713" s="4">
        <v>406832.94400000002</v>
      </c>
      <c r="G713" s="4">
        <v>406832.96100000001</v>
      </c>
      <c r="H713" s="5">
        <f>0 / 86400</f>
        <v>0</v>
      </c>
      <c r="I713" t="s">
        <v>124</v>
      </c>
      <c r="J713" t="s">
        <v>149</v>
      </c>
      <c r="K713" s="5">
        <f>18 / 86400</f>
        <v>2.0833333333333335E-4</v>
      </c>
      <c r="L713" s="5">
        <f>230 / 86400</f>
        <v>2.662037037037037E-3</v>
      </c>
    </row>
    <row r="714" spans="1:12" x14ac:dyDescent="0.25">
      <c r="A714" s="3">
        <v>45693.388217592597</v>
      </c>
      <c r="B714" t="s">
        <v>118</v>
      </c>
      <c r="C714" s="3">
        <v>45693.516736111109</v>
      </c>
      <c r="D714" t="s">
        <v>220</v>
      </c>
      <c r="E714" s="4">
        <v>51.774999999999999</v>
      </c>
      <c r="F714" s="4">
        <v>406832.96100000001</v>
      </c>
      <c r="G714" s="4">
        <v>406884.73599999998</v>
      </c>
      <c r="H714" s="5">
        <f>4100 / 86400</f>
        <v>4.7453703703703706E-2</v>
      </c>
      <c r="I714" t="s">
        <v>45</v>
      </c>
      <c r="J714" t="s">
        <v>28</v>
      </c>
      <c r="K714" s="5">
        <f>11103 / 86400</f>
        <v>0.12850694444444444</v>
      </c>
      <c r="L714" s="5">
        <f>18 / 86400</f>
        <v>2.0833333333333335E-4</v>
      </c>
    </row>
    <row r="715" spans="1:12" x14ac:dyDescent="0.25">
      <c r="A715" s="3">
        <v>45693.516944444447</v>
      </c>
      <c r="B715" t="s">
        <v>220</v>
      </c>
      <c r="C715" s="3">
        <v>45693.517291666663</v>
      </c>
      <c r="D715" t="s">
        <v>220</v>
      </c>
      <c r="E715" s="4">
        <v>4.0000000000000001E-3</v>
      </c>
      <c r="F715" s="4">
        <v>406884.73599999998</v>
      </c>
      <c r="G715" s="4">
        <v>406884.74</v>
      </c>
      <c r="H715" s="5">
        <f>0 / 86400</f>
        <v>0</v>
      </c>
      <c r="I715" t="s">
        <v>116</v>
      </c>
      <c r="J715" t="s">
        <v>124</v>
      </c>
      <c r="K715" s="5">
        <f>29 / 86400</f>
        <v>3.3564814814814812E-4</v>
      </c>
      <c r="L715" s="5">
        <f>371 / 86400</f>
        <v>4.2939814814814811E-3</v>
      </c>
    </row>
    <row r="716" spans="1:12" x14ac:dyDescent="0.25">
      <c r="A716" s="3">
        <v>45693.521585648152</v>
      </c>
      <c r="B716" t="s">
        <v>220</v>
      </c>
      <c r="C716" s="3">
        <v>45693.654907407406</v>
      </c>
      <c r="D716" t="s">
        <v>324</v>
      </c>
      <c r="E716" s="4">
        <v>50.122999999999998</v>
      </c>
      <c r="F716" s="4">
        <v>406884.74</v>
      </c>
      <c r="G716" s="4">
        <v>406934.86300000001</v>
      </c>
      <c r="H716" s="5">
        <f>4200 / 86400</f>
        <v>4.8611111111111112E-2</v>
      </c>
      <c r="I716" t="s">
        <v>127</v>
      </c>
      <c r="J716" t="s">
        <v>31</v>
      </c>
      <c r="K716" s="5">
        <f>11518 / 86400</f>
        <v>0.1333101851851852</v>
      </c>
      <c r="L716" s="5">
        <f>2292 / 86400</f>
        <v>2.6527777777777779E-2</v>
      </c>
    </row>
    <row r="717" spans="1:12" x14ac:dyDescent="0.25">
      <c r="A717" s="3">
        <v>45693.681435185186</v>
      </c>
      <c r="B717" t="s">
        <v>324</v>
      </c>
      <c r="C717" s="3">
        <v>45693.683969907404</v>
      </c>
      <c r="D717" t="s">
        <v>73</v>
      </c>
      <c r="E717" s="4">
        <v>0.93799999999999994</v>
      </c>
      <c r="F717" s="4">
        <v>406934.86300000001</v>
      </c>
      <c r="G717" s="4">
        <v>406935.80099999998</v>
      </c>
      <c r="H717" s="5">
        <f>0 / 86400</f>
        <v>0</v>
      </c>
      <c r="I717" t="s">
        <v>229</v>
      </c>
      <c r="J717" t="s">
        <v>35</v>
      </c>
      <c r="K717" s="5">
        <f>218 / 86400</f>
        <v>2.5231481481481481E-3</v>
      </c>
      <c r="L717" s="5">
        <f>622 / 86400</f>
        <v>7.1990740740740739E-3</v>
      </c>
    </row>
    <row r="718" spans="1:12" x14ac:dyDescent="0.25">
      <c r="A718" s="3">
        <v>45693.691168981481</v>
      </c>
      <c r="B718" t="s">
        <v>73</v>
      </c>
      <c r="C718" s="3">
        <v>45693.762372685189</v>
      </c>
      <c r="D718" t="s">
        <v>69</v>
      </c>
      <c r="E718" s="4">
        <v>35.588000000000001</v>
      </c>
      <c r="F718" s="4">
        <v>406935.80099999998</v>
      </c>
      <c r="G718" s="4">
        <v>406971.38900000002</v>
      </c>
      <c r="H718" s="5">
        <f>1620 / 86400</f>
        <v>1.8749999999999999E-2</v>
      </c>
      <c r="I718" t="s">
        <v>34</v>
      </c>
      <c r="J718" t="s">
        <v>136</v>
      </c>
      <c r="K718" s="5">
        <f>6152 / 86400</f>
        <v>7.12037037037037E-2</v>
      </c>
      <c r="L718" s="5">
        <f>905 / 86400</f>
        <v>1.0474537037037037E-2</v>
      </c>
    </row>
    <row r="719" spans="1:12" x14ac:dyDescent="0.25">
      <c r="A719" s="3">
        <v>45693.772847222222</v>
      </c>
      <c r="B719" t="s">
        <v>69</v>
      </c>
      <c r="C719" s="3">
        <v>45693.773622685185</v>
      </c>
      <c r="D719" t="s">
        <v>69</v>
      </c>
      <c r="E719" s="4">
        <v>2.3E-2</v>
      </c>
      <c r="F719" s="4">
        <v>406971.38900000002</v>
      </c>
      <c r="G719" s="4">
        <v>406971.41200000001</v>
      </c>
      <c r="H719" s="5">
        <f>59 / 86400</f>
        <v>6.8287037037037036E-4</v>
      </c>
      <c r="I719" t="s">
        <v>132</v>
      </c>
      <c r="J719" t="s">
        <v>116</v>
      </c>
      <c r="K719" s="5">
        <f>67 / 86400</f>
        <v>7.7546296296296293E-4</v>
      </c>
      <c r="L719" s="5">
        <f>19558 / 86400</f>
        <v>0.22636574074074073</v>
      </c>
    </row>
    <row r="720" spans="1:12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 spans="1:12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 spans="1:12" s="10" customFormat="1" ht="20.100000000000001" customHeight="1" x14ac:dyDescent="0.35">
      <c r="A722" s="12" t="s">
        <v>424</v>
      </c>
      <c r="B722" s="12"/>
      <c r="C722" s="12"/>
      <c r="D722" s="12"/>
      <c r="E722" s="12"/>
      <c r="F722" s="12"/>
      <c r="G722" s="12"/>
      <c r="H722" s="12"/>
      <c r="I722" s="12"/>
      <c r="J722" s="12"/>
    </row>
    <row r="723" spans="1:12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 spans="1:12" ht="30" x14ac:dyDescent="0.25">
      <c r="A724" s="2" t="s">
        <v>6</v>
      </c>
      <c r="B724" s="2" t="s">
        <v>7</v>
      </c>
      <c r="C724" s="2" t="s">
        <v>8</v>
      </c>
      <c r="D724" s="2" t="s">
        <v>9</v>
      </c>
      <c r="E724" s="2" t="s">
        <v>10</v>
      </c>
      <c r="F724" s="2" t="s">
        <v>11</v>
      </c>
      <c r="G724" s="2" t="s">
        <v>12</v>
      </c>
      <c r="H724" s="2" t="s">
        <v>13</v>
      </c>
      <c r="I724" s="2" t="s">
        <v>14</v>
      </c>
      <c r="J724" s="2" t="s">
        <v>15</v>
      </c>
      <c r="K724" s="2" t="s">
        <v>16</v>
      </c>
      <c r="L724" s="2" t="s">
        <v>17</v>
      </c>
    </row>
    <row r="725" spans="1:12" x14ac:dyDescent="0.25">
      <c r="A725" s="3">
        <v>45693.289965277778</v>
      </c>
      <c r="B725" t="s">
        <v>70</v>
      </c>
      <c r="C725" s="3">
        <v>45693.400972222225</v>
      </c>
      <c r="D725" t="s">
        <v>73</v>
      </c>
      <c r="E725" s="4">
        <v>44.582000000000001</v>
      </c>
      <c r="F725" s="4">
        <v>347310.63199999998</v>
      </c>
      <c r="G725" s="4">
        <v>347355.21399999998</v>
      </c>
      <c r="H725" s="5">
        <f>3220 / 86400</f>
        <v>3.726851851851852E-2</v>
      </c>
      <c r="I725" t="s">
        <v>283</v>
      </c>
      <c r="J725" t="s">
        <v>28</v>
      </c>
      <c r="K725" s="5">
        <f>9590 / 86400</f>
        <v>0.11099537037037037</v>
      </c>
      <c r="L725" s="5">
        <f>25277 / 86400</f>
        <v>0.29255787037037034</v>
      </c>
    </row>
    <row r="726" spans="1:12" x14ac:dyDescent="0.25">
      <c r="A726" s="3">
        <v>45693.403564814813</v>
      </c>
      <c r="B726" t="s">
        <v>73</v>
      </c>
      <c r="C726" s="3">
        <v>45693.407916666663</v>
      </c>
      <c r="D726" t="s">
        <v>118</v>
      </c>
      <c r="E726" s="4">
        <v>1.3160000000000001</v>
      </c>
      <c r="F726" s="4">
        <v>347355.21399999998</v>
      </c>
      <c r="G726" s="4">
        <v>347356.53</v>
      </c>
      <c r="H726" s="5">
        <f>60 / 86400</f>
        <v>6.9444444444444447E-4</v>
      </c>
      <c r="I726" t="s">
        <v>195</v>
      </c>
      <c r="J726" t="s">
        <v>55</v>
      </c>
      <c r="K726" s="5">
        <f>376 / 86400</f>
        <v>4.3518518518518515E-3</v>
      </c>
      <c r="L726" s="5">
        <f>5850 / 86400</f>
        <v>6.7708333333333329E-2</v>
      </c>
    </row>
    <row r="727" spans="1:12" x14ac:dyDescent="0.25">
      <c r="A727" s="3">
        <v>45693.475624999999</v>
      </c>
      <c r="B727" t="s">
        <v>118</v>
      </c>
      <c r="C727" s="3">
        <v>45693.694027777776</v>
      </c>
      <c r="D727" t="s">
        <v>70</v>
      </c>
      <c r="E727" s="4">
        <v>75.13</v>
      </c>
      <c r="F727" s="4">
        <v>347356.53</v>
      </c>
      <c r="G727" s="4">
        <v>347431.66</v>
      </c>
      <c r="H727" s="5">
        <f>6816 / 86400</f>
        <v>7.8888888888888883E-2</v>
      </c>
      <c r="I727" t="s">
        <v>71</v>
      </c>
      <c r="J727" t="s">
        <v>52</v>
      </c>
      <c r="K727" s="5">
        <f>18869 / 86400</f>
        <v>0.21839120370370371</v>
      </c>
      <c r="L727" s="5">
        <f>26435 / 86400</f>
        <v>0.30596064814814816</v>
      </c>
    </row>
    <row r="728" spans="1:12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 spans="1:12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 spans="1:12" s="10" customFormat="1" ht="20.100000000000001" customHeight="1" x14ac:dyDescent="0.35">
      <c r="A730" s="12" t="s">
        <v>425</v>
      </c>
      <c r="B730" s="12"/>
      <c r="C730" s="12"/>
      <c r="D730" s="12"/>
      <c r="E730" s="12"/>
      <c r="F730" s="12"/>
      <c r="G730" s="12"/>
      <c r="H730" s="12"/>
      <c r="I730" s="12"/>
      <c r="J730" s="12"/>
    </row>
    <row r="731" spans="1:12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 spans="1:12" ht="30" x14ac:dyDescent="0.25">
      <c r="A732" s="2" t="s">
        <v>6</v>
      </c>
      <c r="B732" s="2" t="s">
        <v>7</v>
      </c>
      <c r="C732" s="2" t="s">
        <v>8</v>
      </c>
      <c r="D732" s="2" t="s">
        <v>9</v>
      </c>
      <c r="E732" s="2" t="s">
        <v>10</v>
      </c>
      <c r="F732" s="2" t="s">
        <v>11</v>
      </c>
      <c r="G732" s="2" t="s">
        <v>12</v>
      </c>
      <c r="H732" s="2" t="s">
        <v>13</v>
      </c>
      <c r="I732" s="2" t="s">
        <v>14</v>
      </c>
      <c r="J732" s="2" t="s">
        <v>15</v>
      </c>
      <c r="K732" s="2" t="s">
        <v>16</v>
      </c>
      <c r="L732" s="2" t="s">
        <v>17</v>
      </c>
    </row>
    <row r="733" spans="1:12" x14ac:dyDescent="0.25">
      <c r="A733" s="3">
        <v>45693.120138888888</v>
      </c>
      <c r="B733" t="s">
        <v>72</v>
      </c>
      <c r="C733" s="3">
        <v>45693.161273148144</v>
      </c>
      <c r="D733" t="s">
        <v>365</v>
      </c>
      <c r="E733" s="4">
        <v>22.387</v>
      </c>
      <c r="F733" s="4">
        <v>39578.516000000003</v>
      </c>
      <c r="G733" s="4">
        <v>39600.902999999998</v>
      </c>
      <c r="H733" s="5">
        <f>819 / 86400</f>
        <v>9.479166666666667E-3</v>
      </c>
      <c r="I733" t="s">
        <v>74</v>
      </c>
      <c r="J733" t="s">
        <v>150</v>
      </c>
      <c r="K733" s="5">
        <f>3554 / 86400</f>
        <v>4.1134259259259259E-2</v>
      </c>
      <c r="L733" s="5">
        <f>10750 / 86400</f>
        <v>0.12442129629629629</v>
      </c>
    </row>
    <row r="734" spans="1:12" x14ac:dyDescent="0.25">
      <c r="A734" s="3">
        <v>45693.165555555555</v>
      </c>
      <c r="B734" t="s">
        <v>366</v>
      </c>
      <c r="C734" s="3">
        <v>45693.31150462963</v>
      </c>
      <c r="D734" t="s">
        <v>111</v>
      </c>
      <c r="E734" s="4">
        <v>72.900999999999996</v>
      </c>
      <c r="F734" s="4">
        <v>39600.902999999998</v>
      </c>
      <c r="G734" s="4">
        <v>39673.803999999996</v>
      </c>
      <c r="H734" s="5">
        <f>3140 / 86400</f>
        <v>3.6342592592592593E-2</v>
      </c>
      <c r="I734" t="s">
        <v>81</v>
      </c>
      <c r="J734" t="s">
        <v>136</v>
      </c>
      <c r="K734" s="5">
        <f>12610 / 86400</f>
        <v>0.14594907407407406</v>
      </c>
      <c r="L734" s="5">
        <f>1570 / 86400</f>
        <v>1.8171296296296297E-2</v>
      </c>
    </row>
    <row r="735" spans="1:12" x14ac:dyDescent="0.25">
      <c r="A735" s="3">
        <v>45693.329675925925</v>
      </c>
      <c r="B735" t="s">
        <v>111</v>
      </c>
      <c r="C735" s="3">
        <v>45693.334872685184</v>
      </c>
      <c r="D735" t="s">
        <v>118</v>
      </c>
      <c r="E735" s="4">
        <v>1.2390000000000001</v>
      </c>
      <c r="F735" s="4">
        <v>39673.803999999996</v>
      </c>
      <c r="G735" s="4">
        <v>39675.042999999998</v>
      </c>
      <c r="H735" s="5">
        <f>119 / 86400</f>
        <v>1.3773148148148147E-3</v>
      </c>
      <c r="I735" t="s">
        <v>195</v>
      </c>
      <c r="J735" t="s">
        <v>20</v>
      </c>
      <c r="K735" s="5">
        <f>448 / 86400</f>
        <v>5.185185185185185E-3</v>
      </c>
      <c r="L735" s="5">
        <f>627 / 86400</f>
        <v>7.2569444444444443E-3</v>
      </c>
    </row>
    <row r="736" spans="1:12" x14ac:dyDescent="0.25">
      <c r="A736" s="3">
        <v>45693.342129629629</v>
      </c>
      <c r="B736" t="s">
        <v>118</v>
      </c>
      <c r="C736" s="3">
        <v>45693.612476851849</v>
      </c>
      <c r="D736" t="s">
        <v>73</v>
      </c>
      <c r="E736" s="4">
        <v>101.324</v>
      </c>
      <c r="F736" s="4">
        <v>39675.042999999998</v>
      </c>
      <c r="G736" s="4">
        <v>39776.366999999998</v>
      </c>
      <c r="H736" s="5">
        <f>8282 / 86400</f>
        <v>9.5856481481481487E-2</v>
      </c>
      <c r="I736" t="s">
        <v>27</v>
      </c>
      <c r="J736" t="s">
        <v>31</v>
      </c>
      <c r="K736" s="5">
        <f>23357 / 86400</f>
        <v>0.27033564814814814</v>
      </c>
      <c r="L736" s="5">
        <f>591 / 86400</f>
        <v>6.8402777777777776E-3</v>
      </c>
    </row>
    <row r="737" spans="1:12" x14ac:dyDescent="0.25">
      <c r="A737" s="3">
        <v>45693.619317129633</v>
      </c>
      <c r="B737" t="s">
        <v>73</v>
      </c>
      <c r="C737" s="3">
        <v>45693.622928240744</v>
      </c>
      <c r="D737" t="s">
        <v>117</v>
      </c>
      <c r="E737" s="4">
        <v>0.80400000000000005</v>
      </c>
      <c r="F737" s="4">
        <v>39776.366999999998</v>
      </c>
      <c r="G737" s="4">
        <v>39777.171000000002</v>
      </c>
      <c r="H737" s="5">
        <f>80 / 86400</f>
        <v>9.2592592592592596E-4</v>
      </c>
      <c r="I737" t="s">
        <v>231</v>
      </c>
      <c r="J737" t="s">
        <v>82</v>
      </c>
      <c r="K737" s="5">
        <f>311 / 86400</f>
        <v>3.5995370370370369E-3</v>
      </c>
      <c r="L737" s="5">
        <f>4285 / 86400</f>
        <v>4.9594907407407407E-2</v>
      </c>
    </row>
    <row r="738" spans="1:12" x14ac:dyDescent="0.25">
      <c r="A738" s="3">
        <v>45693.672523148147</v>
      </c>
      <c r="B738" t="s">
        <v>117</v>
      </c>
      <c r="C738" s="3">
        <v>45693.682905092588</v>
      </c>
      <c r="D738" t="s">
        <v>73</v>
      </c>
      <c r="E738" s="4">
        <v>1.9339999999999999</v>
      </c>
      <c r="F738" s="4">
        <v>39777.171000000002</v>
      </c>
      <c r="G738" s="4">
        <v>39779.105000000003</v>
      </c>
      <c r="H738" s="5">
        <f>400 / 86400</f>
        <v>4.6296296296296294E-3</v>
      </c>
      <c r="I738" t="s">
        <v>160</v>
      </c>
      <c r="J738" t="s">
        <v>119</v>
      </c>
      <c r="K738" s="5">
        <f>896 / 86400</f>
        <v>1.037037037037037E-2</v>
      </c>
      <c r="L738" s="5">
        <f>27396 / 86400</f>
        <v>0.31708333333333333</v>
      </c>
    </row>
    <row r="739" spans="1:12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 spans="1:12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 spans="1:12" s="10" customFormat="1" ht="20.100000000000001" customHeight="1" x14ac:dyDescent="0.35">
      <c r="A741" s="12" t="s">
        <v>426</v>
      </c>
      <c r="B741" s="12"/>
      <c r="C741" s="12"/>
      <c r="D741" s="12"/>
      <c r="E741" s="12"/>
      <c r="F741" s="12"/>
      <c r="G741" s="12"/>
      <c r="H741" s="12"/>
      <c r="I741" s="12"/>
      <c r="J741" s="12"/>
    </row>
    <row r="742" spans="1:12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 spans="1:12" ht="30" x14ac:dyDescent="0.25">
      <c r="A743" s="2" t="s">
        <v>6</v>
      </c>
      <c r="B743" s="2" t="s">
        <v>7</v>
      </c>
      <c r="C743" s="2" t="s">
        <v>8</v>
      </c>
      <c r="D743" s="2" t="s">
        <v>9</v>
      </c>
      <c r="E743" s="2" t="s">
        <v>10</v>
      </c>
      <c r="F743" s="2" t="s">
        <v>11</v>
      </c>
      <c r="G743" s="2" t="s">
        <v>12</v>
      </c>
      <c r="H743" s="2" t="s">
        <v>13</v>
      </c>
      <c r="I743" s="2" t="s">
        <v>14</v>
      </c>
      <c r="J743" s="2" t="s">
        <v>15</v>
      </c>
      <c r="K743" s="2" t="s">
        <v>16</v>
      </c>
      <c r="L743" s="2" t="s">
        <v>17</v>
      </c>
    </row>
    <row r="744" spans="1:12" x14ac:dyDescent="0.25">
      <c r="A744" s="3">
        <v>45693</v>
      </c>
      <c r="B744" t="s">
        <v>75</v>
      </c>
      <c r="C744" s="3">
        <v>45693.024259259255</v>
      </c>
      <c r="D744" t="s">
        <v>89</v>
      </c>
      <c r="E744" s="4">
        <v>13.417999999999999</v>
      </c>
      <c r="F744" s="4">
        <v>44185.521999999997</v>
      </c>
      <c r="G744" s="4">
        <v>44198.94</v>
      </c>
      <c r="H744" s="5">
        <f>440 / 86400</f>
        <v>5.092592592592593E-3</v>
      </c>
      <c r="I744" t="s">
        <v>261</v>
      </c>
      <c r="J744" t="s">
        <v>150</v>
      </c>
      <c r="K744" s="5">
        <f>2096 / 86400</f>
        <v>2.4259259259259258E-2</v>
      </c>
      <c r="L744" s="5">
        <f>541 / 86400</f>
        <v>6.2615740740740739E-3</v>
      </c>
    </row>
    <row r="745" spans="1:12" x14ac:dyDescent="0.25">
      <c r="A745" s="3">
        <v>45693.03052083333</v>
      </c>
      <c r="B745" t="s">
        <v>89</v>
      </c>
      <c r="C745" s="3">
        <v>45693.037546296298</v>
      </c>
      <c r="D745" t="s">
        <v>40</v>
      </c>
      <c r="E745" s="4">
        <v>2.3530000000000002</v>
      </c>
      <c r="F745" s="4">
        <v>44198.94</v>
      </c>
      <c r="G745" s="4">
        <v>44201.292999999998</v>
      </c>
      <c r="H745" s="5">
        <f>340 / 86400</f>
        <v>3.9351851851851848E-3</v>
      </c>
      <c r="I745" t="s">
        <v>234</v>
      </c>
      <c r="J745" t="s">
        <v>52</v>
      </c>
      <c r="K745" s="5">
        <f>606 / 86400</f>
        <v>7.013888888888889E-3</v>
      </c>
      <c r="L745" s="5">
        <f>21 / 86400</f>
        <v>2.4305555555555555E-4</v>
      </c>
    </row>
    <row r="746" spans="1:12" x14ac:dyDescent="0.25">
      <c r="A746" s="3">
        <v>45693.037789351853</v>
      </c>
      <c r="B746" t="s">
        <v>282</v>
      </c>
      <c r="C746" s="3">
        <v>45693.038414351853</v>
      </c>
      <c r="D746" t="s">
        <v>40</v>
      </c>
      <c r="E746" s="4">
        <v>3.9E-2</v>
      </c>
      <c r="F746" s="4">
        <v>44201.292999999998</v>
      </c>
      <c r="G746" s="4">
        <v>44201.332000000002</v>
      </c>
      <c r="H746" s="5">
        <f>19 / 86400</f>
        <v>2.199074074074074E-4</v>
      </c>
      <c r="I746" t="s">
        <v>20</v>
      </c>
      <c r="J746" t="s">
        <v>149</v>
      </c>
      <c r="K746" s="5">
        <f>53 / 86400</f>
        <v>6.134259259259259E-4</v>
      </c>
      <c r="L746" s="5">
        <f>11523 / 86400</f>
        <v>0.13336805555555556</v>
      </c>
    </row>
    <row r="747" spans="1:12" x14ac:dyDescent="0.25">
      <c r="A747" s="3">
        <v>45693.171782407408</v>
      </c>
      <c r="B747" t="s">
        <v>40</v>
      </c>
      <c r="C747" s="3">
        <v>45693.334340277783</v>
      </c>
      <c r="D747" t="s">
        <v>111</v>
      </c>
      <c r="E747" s="4">
        <v>84.194999999999993</v>
      </c>
      <c r="F747" s="4">
        <v>44201.332000000002</v>
      </c>
      <c r="G747" s="4">
        <v>44285.527000000002</v>
      </c>
      <c r="H747" s="5">
        <f>3218 / 86400</f>
        <v>3.7245370370370373E-2</v>
      </c>
      <c r="I747" t="s">
        <v>43</v>
      </c>
      <c r="J747" t="s">
        <v>39</v>
      </c>
      <c r="K747" s="5">
        <f>14045 / 86400</f>
        <v>0.16255787037037037</v>
      </c>
      <c r="L747" s="5">
        <f>2079 / 86400</f>
        <v>2.4062500000000001E-2</v>
      </c>
    </row>
    <row r="748" spans="1:12" x14ac:dyDescent="0.25">
      <c r="A748" s="3">
        <v>45693.358402777776</v>
      </c>
      <c r="B748" t="s">
        <v>111</v>
      </c>
      <c r="C748" s="3">
        <v>45693.362268518518</v>
      </c>
      <c r="D748" t="s">
        <v>73</v>
      </c>
      <c r="E748" s="4">
        <v>1.38</v>
      </c>
      <c r="F748" s="4">
        <v>44285.527000000002</v>
      </c>
      <c r="G748" s="4">
        <v>44286.906999999999</v>
      </c>
      <c r="H748" s="5">
        <f>19 / 86400</f>
        <v>2.199074074074074E-4</v>
      </c>
      <c r="I748" t="s">
        <v>198</v>
      </c>
      <c r="J748" t="s">
        <v>35</v>
      </c>
      <c r="K748" s="5">
        <f>334 / 86400</f>
        <v>3.8657407407407408E-3</v>
      </c>
      <c r="L748" s="5">
        <f>635 / 86400</f>
        <v>7.3495370370370372E-3</v>
      </c>
    </row>
    <row r="749" spans="1:12" x14ac:dyDescent="0.25">
      <c r="A749" s="3">
        <v>45693.369618055556</v>
      </c>
      <c r="B749" t="s">
        <v>73</v>
      </c>
      <c r="C749" s="3">
        <v>45693.370312500003</v>
      </c>
      <c r="D749" t="s">
        <v>73</v>
      </c>
      <c r="E749" s="4">
        <v>1.7999999999999999E-2</v>
      </c>
      <c r="F749" s="4">
        <v>44286.906999999999</v>
      </c>
      <c r="G749" s="4">
        <v>44286.925000000003</v>
      </c>
      <c r="H749" s="5">
        <f>39 / 86400</f>
        <v>4.5138888888888887E-4</v>
      </c>
      <c r="I749" t="s">
        <v>260</v>
      </c>
      <c r="J749" t="s">
        <v>116</v>
      </c>
      <c r="K749" s="5">
        <f>60 / 86400</f>
        <v>6.9444444444444447E-4</v>
      </c>
      <c r="L749" s="5">
        <f>1203 / 86400</f>
        <v>1.3923611111111111E-2</v>
      </c>
    </row>
    <row r="750" spans="1:12" x14ac:dyDescent="0.25">
      <c r="A750" s="3">
        <v>45693.384236111116</v>
      </c>
      <c r="B750" t="s">
        <v>73</v>
      </c>
      <c r="C750" s="3">
        <v>45693.385659722218</v>
      </c>
      <c r="D750" t="s">
        <v>73</v>
      </c>
      <c r="E750" s="4">
        <v>4.4999999999999998E-2</v>
      </c>
      <c r="F750" s="4">
        <v>44286.925000000003</v>
      </c>
      <c r="G750" s="4">
        <v>44286.97</v>
      </c>
      <c r="H750" s="5">
        <f>59 / 86400</f>
        <v>6.8287037037037036E-4</v>
      </c>
      <c r="I750" t="s">
        <v>119</v>
      </c>
      <c r="J750" t="s">
        <v>116</v>
      </c>
      <c r="K750" s="5">
        <f>123 / 86400</f>
        <v>1.4236111111111112E-3</v>
      </c>
      <c r="L750" s="5">
        <f>337 / 86400</f>
        <v>3.9004629629629628E-3</v>
      </c>
    </row>
    <row r="751" spans="1:12" x14ac:dyDescent="0.25">
      <c r="A751" s="3">
        <v>45693.389560185184</v>
      </c>
      <c r="B751" t="s">
        <v>73</v>
      </c>
      <c r="C751" s="3">
        <v>45693.612453703703</v>
      </c>
      <c r="D751" t="s">
        <v>40</v>
      </c>
      <c r="E751" s="4">
        <v>81.555000000000007</v>
      </c>
      <c r="F751" s="4">
        <v>44286.97</v>
      </c>
      <c r="G751" s="4">
        <v>44368.525000000001</v>
      </c>
      <c r="H751" s="5">
        <f>7199 / 86400</f>
        <v>8.3321759259259262E-2</v>
      </c>
      <c r="I751" t="s">
        <v>45</v>
      </c>
      <c r="J751" t="s">
        <v>35</v>
      </c>
      <c r="K751" s="5">
        <f>19258 / 86400</f>
        <v>0.22289351851851852</v>
      </c>
      <c r="L751" s="5">
        <f>179 / 86400</f>
        <v>2.0717592592592593E-3</v>
      </c>
    </row>
    <row r="752" spans="1:12" x14ac:dyDescent="0.25">
      <c r="A752" s="3">
        <v>45693.614525462966</v>
      </c>
      <c r="B752" t="s">
        <v>40</v>
      </c>
      <c r="C752" s="3">
        <v>45693.617291666669</v>
      </c>
      <c r="D752" t="s">
        <v>40</v>
      </c>
      <c r="E752" s="4">
        <v>1.3879999999999999</v>
      </c>
      <c r="F752" s="4">
        <v>44368.525000000001</v>
      </c>
      <c r="G752" s="4">
        <v>44369.913</v>
      </c>
      <c r="H752" s="5">
        <f>0 / 86400</f>
        <v>0</v>
      </c>
      <c r="I752" t="s">
        <v>190</v>
      </c>
      <c r="J752" t="s">
        <v>136</v>
      </c>
      <c r="K752" s="5">
        <f>238 / 86400</f>
        <v>2.7546296296296294E-3</v>
      </c>
      <c r="L752" s="5">
        <f>1076 / 86400</f>
        <v>1.2453703703703703E-2</v>
      </c>
    </row>
    <row r="753" spans="1:12" x14ac:dyDescent="0.25">
      <c r="A753" s="3">
        <v>45693.629745370374</v>
      </c>
      <c r="B753" t="s">
        <v>40</v>
      </c>
      <c r="C753" s="3">
        <v>45693.63081018519</v>
      </c>
      <c r="D753" t="s">
        <v>282</v>
      </c>
      <c r="E753" s="4">
        <v>9.0999999999999998E-2</v>
      </c>
      <c r="F753" s="4">
        <v>44369.913</v>
      </c>
      <c r="G753" s="4">
        <v>44370.004000000001</v>
      </c>
      <c r="H753" s="5">
        <f>40 / 86400</f>
        <v>4.6296296296296298E-4</v>
      </c>
      <c r="I753" t="s">
        <v>119</v>
      </c>
      <c r="J753" t="s">
        <v>86</v>
      </c>
      <c r="K753" s="5">
        <f>92 / 86400</f>
        <v>1.0648148148148149E-3</v>
      </c>
      <c r="L753" s="5">
        <f>648 / 86400</f>
        <v>7.4999999999999997E-3</v>
      </c>
    </row>
    <row r="754" spans="1:12" x14ac:dyDescent="0.25">
      <c r="A754" s="3">
        <v>45693.638310185182</v>
      </c>
      <c r="B754" t="s">
        <v>282</v>
      </c>
      <c r="C754" s="3">
        <v>45693.83756944444</v>
      </c>
      <c r="D754" t="s">
        <v>277</v>
      </c>
      <c r="E754" s="4">
        <v>74.382000000000005</v>
      </c>
      <c r="F754" s="4">
        <v>44370.004000000001</v>
      </c>
      <c r="G754" s="4">
        <v>44444.385999999999</v>
      </c>
      <c r="H754" s="5">
        <f>6479 / 86400</f>
        <v>7.4988425925925931E-2</v>
      </c>
      <c r="I754" t="s">
        <v>90</v>
      </c>
      <c r="J754" t="s">
        <v>31</v>
      </c>
      <c r="K754" s="5">
        <f>17216 / 86400</f>
        <v>0.19925925925925925</v>
      </c>
      <c r="L754" s="5">
        <f>225 / 86400</f>
        <v>2.6041666666666665E-3</v>
      </c>
    </row>
    <row r="755" spans="1:12" x14ac:dyDescent="0.25">
      <c r="A755" s="3">
        <v>45693.840173611112</v>
      </c>
      <c r="B755" t="s">
        <v>277</v>
      </c>
      <c r="C755" s="3">
        <v>45693.99998842593</v>
      </c>
      <c r="D755" t="s">
        <v>40</v>
      </c>
      <c r="E755" s="4">
        <v>77.298000000000002</v>
      </c>
      <c r="F755" s="4">
        <v>44444.385999999999</v>
      </c>
      <c r="G755" s="4">
        <v>44521.684000000001</v>
      </c>
      <c r="H755" s="5">
        <f>4640 / 86400</f>
        <v>5.3703703703703705E-2</v>
      </c>
      <c r="I755" t="s">
        <v>76</v>
      </c>
      <c r="J755" t="s">
        <v>128</v>
      </c>
      <c r="K755" s="5">
        <f>13808 / 86400</f>
        <v>0.15981481481481483</v>
      </c>
      <c r="L755" s="5">
        <f>0 / 86400</f>
        <v>0</v>
      </c>
    </row>
    <row r="756" spans="1:12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 spans="1:12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 spans="1:12" s="10" customFormat="1" ht="20.100000000000001" customHeight="1" x14ac:dyDescent="0.35">
      <c r="A758" s="12" t="s">
        <v>427</v>
      </c>
      <c r="B758" s="12"/>
      <c r="C758" s="12"/>
      <c r="D758" s="12"/>
      <c r="E758" s="12"/>
      <c r="F758" s="12"/>
      <c r="G758" s="12"/>
      <c r="H758" s="12"/>
      <c r="I758" s="12"/>
      <c r="J758" s="12"/>
    </row>
    <row r="759" spans="1:12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 spans="1:12" ht="30" x14ac:dyDescent="0.25">
      <c r="A760" s="2" t="s">
        <v>6</v>
      </c>
      <c r="B760" s="2" t="s">
        <v>7</v>
      </c>
      <c r="C760" s="2" t="s">
        <v>8</v>
      </c>
      <c r="D760" s="2" t="s">
        <v>9</v>
      </c>
      <c r="E760" s="2" t="s">
        <v>10</v>
      </c>
      <c r="F760" s="2" t="s">
        <v>11</v>
      </c>
      <c r="G760" s="2" t="s">
        <v>12</v>
      </c>
      <c r="H760" s="2" t="s">
        <v>13</v>
      </c>
      <c r="I760" s="2" t="s">
        <v>14</v>
      </c>
      <c r="J760" s="2" t="s">
        <v>15</v>
      </c>
      <c r="K760" s="2" t="s">
        <v>16</v>
      </c>
      <c r="L760" s="2" t="s">
        <v>17</v>
      </c>
    </row>
    <row r="761" spans="1:12" x14ac:dyDescent="0.25">
      <c r="A761" s="3">
        <v>45693.001701388886</v>
      </c>
      <c r="B761" t="s">
        <v>77</v>
      </c>
      <c r="C761" s="3">
        <v>45693.001932870371</v>
      </c>
      <c r="D761" t="s">
        <v>77</v>
      </c>
      <c r="E761" s="4">
        <v>1.2E-2</v>
      </c>
      <c r="F761" s="4">
        <v>525598.51100000006</v>
      </c>
      <c r="G761" s="4">
        <v>525598.52300000004</v>
      </c>
      <c r="H761" s="5">
        <f>0 / 86400</f>
        <v>0</v>
      </c>
      <c r="I761" t="s">
        <v>124</v>
      </c>
      <c r="J761" t="s">
        <v>126</v>
      </c>
      <c r="K761" s="5">
        <f>19 / 86400</f>
        <v>2.199074074074074E-4</v>
      </c>
      <c r="L761" s="5">
        <f>738 / 86400</f>
        <v>8.5416666666666662E-3</v>
      </c>
    </row>
    <row r="762" spans="1:12" x14ac:dyDescent="0.25">
      <c r="A762" s="3">
        <v>45693.008773148147</v>
      </c>
      <c r="B762" t="s">
        <v>77</v>
      </c>
      <c r="C762" s="3">
        <v>45693.00886574074</v>
      </c>
      <c r="D762" t="s">
        <v>77</v>
      </c>
      <c r="E762" s="4">
        <v>1.0999999940395355E-2</v>
      </c>
      <c r="F762" s="4">
        <v>525598.52300000004</v>
      </c>
      <c r="G762" s="4">
        <v>525598.53399999999</v>
      </c>
      <c r="H762" s="5">
        <f>0 / 86400</f>
        <v>0</v>
      </c>
      <c r="I762" t="s">
        <v>133</v>
      </c>
      <c r="J762" t="s">
        <v>260</v>
      </c>
      <c r="K762" s="5">
        <f>7 / 86400</f>
        <v>8.1018518518518516E-5</v>
      </c>
      <c r="L762" s="5">
        <f>551 / 86400</f>
        <v>6.3773148148148148E-3</v>
      </c>
    </row>
    <row r="763" spans="1:12" x14ac:dyDescent="0.25">
      <c r="A763" s="3">
        <v>45693.015243055561</v>
      </c>
      <c r="B763" t="s">
        <v>77</v>
      </c>
      <c r="C763" s="3">
        <v>45693.01561342593</v>
      </c>
      <c r="D763" t="s">
        <v>77</v>
      </c>
      <c r="E763" s="4">
        <v>0</v>
      </c>
      <c r="F763" s="4">
        <v>525598.53399999999</v>
      </c>
      <c r="G763" s="4">
        <v>525598.53399999999</v>
      </c>
      <c r="H763" s="5">
        <f>19 / 86400</f>
        <v>2.199074074074074E-4</v>
      </c>
      <c r="I763" t="s">
        <v>124</v>
      </c>
      <c r="J763" t="s">
        <v>124</v>
      </c>
      <c r="K763" s="5">
        <f>32 / 86400</f>
        <v>3.7037037037037035E-4</v>
      </c>
      <c r="L763" s="5">
        <f>270 / 86400</f>
        <v>3.1250000000000002E-3</v>
      </c>
    </row>
    <row r="764" spans="1:12" x14ac:dyDescent="0.25">
      <c r="A764" s="3">
        <v>45693.018738425926</v>
      </c>
      <c r="B764" t="s">
        <v>77</v>
      </c>
      <c r="C764" s="3">
        <v>45693.020416666666</v>
      </c>
      <c r="D764" t="s">
        <v>77</v>
      </c>
      <c r="E764" s="4">
        <v>1.999999940395355E-3</v>
      </c>
      <c r="F764" s="4">
        <v>525598.53399999999</v>
      </c>
      <c r="G764" s="4">
        <v>525598.53599999996</v>
      </c>
      <c r="H764" s="5">
        <f>139 / 86400</f>
        <v>1.6087962962962963E-3</v>
      </c>
      <c r="I764" t="s">
        <v>124</v>
      </c>
      <c r="J764" t="s">
        <v>124</v>
      </c>
      <c r="K764" s="5">
        <f>145 / 86400</f>
        <v>1.6782407407407408E-3</v>
      </c>
      <c r="L764" s="5">
        <f>700 / 86400</f>
        <v>8.1018518518518514E-3</v>
      </c>
    </row>
    <row r="765" spans="1:12" x14ac:dyDescent="0.25">
      <c r="A765" s="3">
        <v>45693.02851851852</v>
      </c>
      <c r="B765" t="s">
        <v>77</v>
      </c>
      <c r="C765" s="3">
        <v>45693.087453703702</v>
      </c>
      <c r="D765" t="s">
        <v>342</v>
      </c>
      <c r="E765" s="4">
        <v>30.361000000059605</v>
      </c>
      <c r="F765" s="4">
        <v>525598.53599999996</v>
      </c>
      <c r="G765" s="4">
        <v>525628.897</v>
      </c>
      <c r="H765" s="5">
        <f>1759 / 86400</f>
        <v>2.0358796296296295E-2</v>
      </c>
      <c r="I765" t="s">
        <v>45</v>
      </c>
      <c r="J765" t="s">
        <v>136</v>
      </c>
      <c r="K765" s="5">
        <f>5091 / 86400</f>
        <v>5.8923611111111114E-2</v>
      </c>
      <c r="L765" s="5">
        <f>3330 / 86400</f>
        <v>3.8541666666666669E-2</v>
      </c>
    </row>
    <row r="766" spans="1:12" x14ac:dyDescent="0.25">
      <c r="A766" s="3">
        <v>45693.12599537037</v>
      </c>
      <c r="B766" t="s">
        <v>342</v>
      </c>
      <c r="C766" s="3">
        <v>45693.126863425925</v>
      </c>
      <c r="D766" t="s">
        <v>40</v>
      </c>
      <c r="E766" s="4">
        <v>4.5999999999999999E-2</v>
      </c>
      <c r="F766" s="4">
        <v>525628.897</v>
      </c>
      <c r="G766" s="4">
        <v>525628.94299999997</v>
      </c>
      <c r="H766" s="5">
        <f>20 / 86400</f>
        <v>2.3148148148148149E-4</v>
      </c>
      <c r="I766" t="s">
        <v>82</v>
      </c>
      <c r="J766" t="s">
        <v>126</v>
      </c>
      <c r="K766" s="5">
        <f>75 / 86400</f>
        <v>8.6805555555555551E-4</v>
      </c>
      <c r="L766" s="5">
        <f>775 / 86400</f>
        <v>8.9699074074074073E-3</v>
      </c>
    </row>
    <row r="767" spans="1:12" x14ac:dyDescent="0.25">
      <c r="A767" s="3">
        <v>45693.135833333334</v>
      </c>
      <c r="B767" t="s">
        <v>40</v>
      </c>
      <c r="C767" s="3">
        <v>45693.140046296292</v>
      </c>
      <c r="D767" t="s">
        <v>367</v>
      </c>
      <c r="E767" s="4">
        <v>0.83299999994039531</v>
      </c>
      <c r="F767" s="4">
        <v>525628.94299999997</v>
      </c>
      <c r="G767" s="4">
        <v>525629.77599999995</v>
      </c>
      <c r="H767" s="5">
        <f>79 / 86400</f>
        <v>9.1435185185185185E-4</v>
      </c>
      <c r="I767" t="s">
        <v>24</v>
      </c>
      <c r="J767" t="s">
        <v>119</v>
      </c>
      <c r="K767" s="5">
        <f>363 / 86400</f>
        <v>4.2013888888888891E-3</v>
      </c>
      <c r="L767" s="5">
        <f>5465 / 86400</f>
        <v>6.3252314814814817E-2</v>
      </c>
    </row>
    <row r="768" spans="1:12" x14ac:dyDescent="0.25">
      <c r="A768" s="3">
        <v>45693.203298611115</v>
      </c>
      <c r="B768" t="s">
        <v>367</v>
      </c>
      <c r="C768" s="3">
        <v>45693.213217592594</v>
      </c>
      <c r="D768" t="s">
        <v>368</v>
      </c>
      <c r="E768" s="4">
        <v>5.7279999999999998</v>
      </c>
      <c r="F768" s="4">
        <v>525629.77599999995</v>
      </c>
      <c r="G768" s="4">
        <v>525635.50399999996</v>
      </c>
      <c r="H768" s="5">
        <f>100 / 86400</f>
        <v>1.1574074074074073E-3</v>
      </c>
      <c r="I768" t="s">
        <v>274</v>
      </c>
      <c r="J768" t="s">
        <v>156</v>
      </c>
      <c r="K768" s="5">
        <f>857 / 86400</f>
        <v>9.9189814814814817E-3</v>
      </c>
      <c r="L768" s="5">
        <f>380 / 86400</f>
        <v>4.3981481481481484E-3</v>
      </c>
    </row>
    <row r="769" spans="1:12" x14ac:dyDescent="0.25">
      <c r="A769" s="3">
        <v>45693.217615740738</v>
      </c>
      <c r="B769" t="s">
        <v>368</v>
      </c>
      <c r="C769" s="3">
        <v>45693.336412037039</v>
      </c>
      <c r="D769" t="s">
        <v>111</v>
      </c>
      <c r="E769" s="4">
        <v>64.945000000059608</v>
      </c>
      <c r="F769" s="4">
        <v>525635.50399999996</v>
      </c>
      <c r="G769" s="4">
        <v>525700.44900000002</v>
      </c>
      <c r="H769" s="5">
        <f>2380 / 86400</f>
        <v>2.7546296296296298E-2</v>
      </c>
      <c r="I769" t="s">
        <v>54</v>
      </c>
      <c r="J769" t="s">
        <v>150</v>
      </c>
      <c r="K769" s="5">
        <f>10263 / 86400</f>
        <v>0.11878472222222222</v>
      </c>
      <c r="L769" s="5">
        <f>1954 / 86400</f>
        <v>2.2615740740740742E-2</v>
      </c>
    </row>
    <row r="770" spans="1:12" x14ac:dyDescent="0.25">
      <c r="A770" s="3">
        <v>45693.359027777777</v>
      </c>
      <c r="B770" t="s">
        <v>111</v>
      </c>
      <c r="C770" s="3">
        <v>45693.362291666665</v>
      </c>
      <c r="D770" t="s">
        <v>111</v>
      </c>
      <c r="E770" s="4">
        <v>0.33699999994039537</v>
      </c>
      <c r="F770" s="4">
        <v>525700.44900000002</v>
      </c>
      <c r="G770" s="4">
        <v>525700.78599999996</v>
      </c>
      <c r="H770" s="5">
        <f>139 / 86400</f>
        <v>1.6087962962962963E-3</v>
      </c>
      <c r="I770" t="s">
        <v>150</v>
      </c>
      <c r="J770" t="s">
        <v>86</v>
      </c>
      <c r="K770" s="5">
        <f>282 / 86400</f>
        <v>3.2638888888888891E-3</v>
      </c>
      <c r="L770" s="5">
        <f>3207 / 86400</f>
        <v>3.7118055555555557E-2</v>
      </c>
    </row>
    <row r="771" spans="1:12" x14ac:dyDescent="0.25">
      <c r="A771" s="3">
        <v>45693.399409722224</v>
      </c>
      <c r="B771" t="s">
        <v>111</v>
      </c>
      <c r="C771" s="3">
        <v>45693.404398148152</v>
      </c>
      <c r="D771" t="s">
        <v>118</v>
      </c>
      <c r="E771" s="4">
        <v>1.3230000001192093</v>
      </c>
      <c r="F771" s="4">
        <v>525700.78599999996</v>
      </c>
      <c r="G771" s="4">
        <v>525702.10900000005</v>
      </c>
      <c r="H771" s="5">
        <f>139 / 86400</f>
        <v>1.6087962962962963E-3</v>
      </c>
      <c r="I771" t="s">
        <v>170</v>
      </c>
      <c r="J771" t="s">
        <v>154</v>
      </c>
      <c r="K771" s="5">
        <f>430 / 86400</f>
        <v>4.9768518518518521E-3</v>
      </c>
      <c r="L771" s="5">
        <f>924 / 86400</f>
        <v>1.0694444444444444E-2</v>
      </c>
    </row>
    <row r="772" spans="1:12" x14ac:dyDescent="0.25">
      <c r="A772" s="3">
        <v>45693.415092592593</v>
      </c>
      <c r="B772" t="s">
        <v>118</v>
      </c>
      <c r="C772" s="3">
        <v>45693.533263888894</v>
      </c>
      <c r="D772" t="s">
        <v>327</v>
      </c>
      <c r="E772" s="4">
        <v>50.765999999940398</v>
      </c>
      <c r="F772" s="4">
        <v>525702.10900000005</v>
      </c>
      <c r="G772" s="4">
        <v>525752.875</v>
      </c>
      <c r="H772" s="5">
        <f>3419 / 86400</f>
        <v>3.9571759259259258E-2</v>
      </c>
      <c r="I772" t="s">
        <v>54</v>
      </c>
      <c r="J772" t="s">
        <v>24</v>
      </c>
      <c r="K772" s="5">
        <f>10209 / 86400</f>
        <v>0.11815972222222222</v>
      </c>
      <c r="L772" s="5">
        <f>95 / 86400</f>
        <v>1.0995370370370371E-3</v>
      </c>
    </row>
    <row r="773" spans="1:12" x14ac:dyDescent="0.25">
      <c r="A773" s="3">
        <v>45693.534363425926</v>
      </c>
      <c r="B773" t="s">
        <v>327</v>
      </c>
      <c r="C773" s="3">
        <v>45693.676041666666</v>
      </c>
      <c r="D773" t="s">
        <v>73</v>
      </c>
      <c r="E773" s="4">
        <v>54.573</v>
      </c>
      <c r="F773" s="4">
        <v>525752.875</v>
      </c>
      <c r="G773" s="4">
        <v>525807.44799999997</v>
      </c>
      <c r="H773" s="5">
        <f>4660 / 86400</f>
        <v>5.3935185185185183E-2</v>
      </c>
      <c r="I773" t="s">
        <v>147</v>
      </c>
      <c r="J773" t="s">
        <v>31</v>
      </c>
      <c r="K773" s="5">
        <f>12240 / 86400</f>
        <v>0.14166666666666666</v>
      </c>
      <c r="L773" s="5">
        <f>331 / 86400</f>
        <v>3.8310185185185183E-3</v>
      </c>
    </row>
    <row r="774" spans="1:12" x14ac:dyDescent="0.25">
      <c r="A774" s="3">
        <v>45693.679872685185</v>
      </c>
      <c r="B774" t="s">
        <v>73</v>
      </c>
      <c r="C774" s="3">
        <v>45693.682118055556</v>
      </c>
      <c r="D774" t="s">
        <v>73</v>
      </c>
      <c r="E774" s="4">
        <v>0.309</v>
      </c>
      <c r="F774" s="4">
        <v>525807.44799999997</v>
      </c>
      <c r="G774" s="4">
        <v>525807.75699999998</v>
      </c>
      <c r="H774" s="5">
        <f>60 / 86400</f>
        <v>6.9444444444444447E-4</v>
      </c>
      <c r="I774" t="s">
        <v>24</v>
      </c>
      <c r="J774" t="s">
        <v>260</v>
      </c>
      <c r="K774" s="5">
        <f>194 / 86400</f>
        <v>2.2453703703703702E-3</v>
      </c>
      <c r="L774" s="5">
        <f>932 / 86400</f>
        <v>1.0787037037037038E-2</v>
      </c>
    </row>
    <row r="775" spans="1:12" x14ac:dyDescent="0.25">
      <c r="A775" s="3">
        <v>45693.692905092597</v>
      </c>
      <c r="B775" t="s">
        <v>73</v>
      </c>
      <c r="C775" s="3">
        <v>45693.696018518516</v>
      </c>
      <c r="D775" t="s">
        <v>369</v>
      </c>
      <c r="E775" s="4">
        <v>0.86400000005960464</v>
      </c>
      <c r="F775" s="4">
        <v>525807.75699999998</v>
      </c>
      <c r="G775" s="4">
        <v>525808.62100000004</v>
      </c>
      <c r="H775" s="5">
        <f>59 / 86400</f>
        <v>6.8287037037037036E-4</v>
      </c>
      <c r="I775" t="s">
        <v>170</v>
      </c>
      <c r="J775" t="s">
        <v>59</v>
      </c>
      <c r="K775" s="5">
        <f>269 / 86400</f>
        <v>3.1134259259259257E-3</v>
      </c>
      <c r="L775" s="5">
        <f>809 / 86400</f>
        <v>9.3634259259259261E-3</v>
      </c>
    </row>
    <row r="776" spans="1:12" x14ac:dyDescent="0.25">
      <c r="A776" s="3">
        <v>45693.705381944441</v>
      </c>
      <c r="B776" t="s">
        <v>369</v>
      </c>
      <c r="C776" s="3">
        <v>45693.708136574074</v>
      </c>
      <c r="D776" t="s">
        <v>111</v>
      </c>
      <c r="E776" s="4">
        <v>0.43499999994039534</v>
      </c>
      <c r="F776" s="4">
        <v>525808.62100000004</v>
      </c>
      <c r="G776" s="4">
        <v>525809.05599999998</v>
      </c>
      <c r="H776" s="5">
        <f>60 / 86400</f>
        <v>6.9444444444444447E-4</v>
      </c>
      <c r="I776" t="s">
        <v>59</v>
      </c>
      <c r="J776" t="s">
        <v>132</v>
      </c>
      <c r="K776" s="5">
        <f>237 / 86400</f>
        <v>2.7430555555555554E-3</v>
      </c>
      <c r="L776" s="5">
        <f>939 / 86400</f>
        <v>1.0868055555555556E-2</v>
      </c>
    </row>
    <row r="777" spans="1:12" x14ac:dyDescent="0.25">
      <c r="A777" s="3">
        <v>45693.719004629631</v>
      </c>
      <c r="B777" t="s">
        <v>111</v>
      </c>
      <c r="C777" s="3">
        <v>45693.908414351856</v>
      </c>
      <c r="D777" t="s">
        <v>277</v>
      </c>
      <c r="E777" s="4">
        <v>76.437999999940402</v>
      </c>
      <c r="F777" s="4">
        <v>525809.05599999998</v>
      </c>
      <c r="G777" s="4">
        <v>525885.49399999995</v>
      </c>
      <c r="H777" s="5">
        <f>6519 / 86400</f>
        <v>7.5451388888888887E-2</v>
      </c>
      <c r="I777" t="s">
        <v>51</v>
      </c>
      <c r="J777" t="s">
        <v>28</v>
      </c>
      <c r="K777" s="5">
        <f>16364 / 86400</f>
        <v>0.18939814814814815</v>
      </c>
      <c r="L777" s="5">
        <f>290 / 86400</f>
        <v>3.3564814814814816E-3</v>
      </c>
    </row>
    <row r="778" spans="1:12" x14ac:dyDescent="0.25">
      <c r="A778" s="3">
        <v>45693.911770833336</v>
      </c>
      <c r="B778" t="s">
        <v>277</v>
      </c>
      <c r="C778" s="3">
        <v>45693.99998842593</v>
      </c>
      <c r="D778" t="s">
        <v>78</v>
      </c>
      <c r="E778" s="4">
        <v>41.207000000059608</v>
      </c>
      <c r="F778" s="4">
        <v>525885.49399999995</v>
      </c>
      <c r="G778" s="4">
        <v>525926.701</v>
      </c>
      <c r="H778" s="5">
        <f>3280 / 86400</f>
        <v>3.7962962962962962E-2</v>
      </c>
      <c r="I778" t="s">
        <v>79</v>
      </c>
      <c r="J778" t="s">
        <v>37</v>
      </c>
      <c r="K778" s="5">
        <f>7622 / 86400</f>
        <v>8.8217592592592597E-2</v>
      </c>
      <c r="L778" s="5">
        <f>0 / 86400</f>
        <v>0</v>
      </c>
    </row>
    <row r="779" spans="1:12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 spans="1:12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 spans="1:12" s="10" customFormat="1" ht="20.100000000000001" customHeight="1" x14ac:dyDescent="0.35">
      <c r="A781" s="12" t="s">
        <v>428</v>
      </c>
      <c r="B781" s="12"/>
      <c r="C781" s="12"/>
      <c r="D781" s="12"/>
      <c r="E781" s="12"/>
      <c r="F781" s="12"/>
      <c r="G781" s="12"/>
      <c r="H781" s="12"/>
      <c r="I781" s="12"/>
      <c r="J781" s="12"/>
    </row>
    <row r="782" spans="1:12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 spans="1:12" ht="30" x14ac:dyDescent="0.25">
      <c r="A783" s="2" t="s">
        <v>6</v>
      </c>
      <c r="B783" s="2" t="s">
        <v>7</v>
      </c>
      <c r="C783" s="2" t="s">
        <v>8</v>
      </c>
      <c r="D783" s="2" t="s">
        <v>9</v>
      </c>
      <c r="E783" s="2" t="s">
        <v>10</v>
      </c>
      <c r="F783" s="2" t="s">
        <v>11</v>
      </c>
      <c r="G783" s="2" t="s">
        <v>12</v>
      </c>
      <c r="H783" s="2" t="s">
        <v>13</v>
      </c>
      <c r="I783" s="2" t="s">
        <v>14</v>
      </c>
      <c r="J783" s="2" t="s">
        <v>15</v>
      </c>
      <c r="K783" s="2" t="s">
        <v>16</v>
      </c>
      <c r="L783" s="2" t="s">
        <v>17</v>
      </c>
    </row>
    <row r="784" spans="1:12" x14ac:dyDescent="0.25">
      <c r="A784" s="3">
        <v>45693.21303240741</v>
      </c>
      <c r="B784" t="s">
        <v>40</v>
      </c>
      <c r="C784" s="3">
        <v>45693.222893518519</v>
      </c>
      <c r="D784" t="s">
        <v>130</v>
      </c>
      <c r="E784" s="4">
        <v>0.38200000000000001</v>
      </c>
      <c r="F784" s="4">
        <v>566315.71400000004</v>
      </c>
      <c r="G784" s="4">
        <v>566316.09600000002</v>
      </c>
      <c r="H784" s="5">
        <f>759 / 86400</f>
        <v>8.7847222222222215E-3</v>
      </c>
      <c r="I784" t="s">
        <v>159</v>
      </c>
      <c r="J784" t="s">
        <v>126</v>
      </c>
      <c r="K784" s="5">
        <f>851 / 86400</f>
        <v>9.8495370370370369E-3</v>
      </c>
      <c r="L784" s="5">
        <f>18658 / 86400</f>
        <v>0.21594907407407407</v>
      </c>
    </row>
    <row r="785" spans="1:12" x14ac:dyDescent="0.25">
      <c r="A785" s="3">
        <v>45693.225810185184</v>
      </c>
      <c r="B785" t="s">
        <v>130</v>
      </c>
      <c r="C785" s="3">
        <v>45693.226076388892</v>
      </c>
      <c r="D785" t="s">
        <v>130</v>
      </c>
      <c r="E785" s="4">
        <v>7.0000000000000001E-3</v>
      </c>
      <c r="F785" s="4">
        <v>566316.09600000002</v>
      </c>
      <c r="G785" s="4">
        <v>566316.103</v>
      </c>
      <c r="H785" s="5">
        <f>0 / 86400</f>
        <v>0</v>
      </c>
      <c r="I785" t="s">
        <v>260</v>
      </c>
      <c r="J785" t="s">
        <v>116</v>
      </c>
      <c r="K785" s="5">
        <f>23 / 86400</f>
        <v>2.6620370370370372E-4</v>
      </c>
      <c r="L785" s="5">
        <f>243 / 86400</f>
        <v>2.8124999999999999E-3</v>
      </c>
    </row>
    <row r="786" spans="1:12" x14ac:dyDescent="0.25">
      <c r="A786" s="3">
        <v>45693.228888888887</v>
      </c>
      <c r="B786" t="s">
        <v>130</v>
      </c>
      <c r="C786" s="3">
        <v>45693.22929398148</v>
      </c>
      <c r="D786" t="s">
        <v>130</v>
      </c>
      <c r="E786" s="4">
        <v>0</v>
      </c>
      <c r="F786" s="4">
        <v>566316.103</v>
      </c>
      <c r="G786" s="4">
        <v>566316.103</v>
      </c>
      <c r="H786" s="5">
        <f>19 / 86400</f>
        <v>2.199074074074074E-4</v>
      </c>
      <c r="I786" t="s">
        <v>124</v>
      </c>
      <c r="J786" t="s">
        <v>124</v>
      </c>
      <c r="K786" s="5">
        <f>35 / 86400</f>
        <v>4.0509259259259258E-4</v>
      </c>
      <c r="L786" s="5">
        <f>72 / 86400</f>
        <v>8.3333333333333339E-4</v>
      </c>
    </row>
    <row r="787" spans="1:12" x14ac:dyDescent="0.25">
      <c r="A787" s="3">
        <v>45693.230127314819</v>
      </c>
      <c r="B787" t="s">
        <v>130</v>
      </c>
      <c r="C787" s="3">
        <v>45693.230254629627</v>
      </c>
      <c r="D787" t="s">
        <v>130</v>
      </c>
      <c r="E787" s="4">
        <v>7.0000000000000001E-3</v>
      </c>
      <c r="F787" s="4">
        <v>566316.103</v>
      </c>
      <c r="G787" s="4">
        <v>566316.11</v>
      </c>
      <c r="H787" s="5">
        <f>0 / 86400</f>
        <v>0</v>
      </c>
      <c r="I787" t="s">
        <v>124</v>
      </c>
      <c r="J787" t="s">
        <v>126</v>
      </c>
      <c r="K787" s="5">
        <f>11 / 86400</f>
        <v>1.273148148148148E-4</v>
      </c>
      <c r="L787" s="5">
        <f>392 / 86400</f>
        <v>4.5370370370370373E-3</v>
      </c>
    </row>
    <row r="788" spans="1:12" x14ac:dyDescent="0.25">
      <c r="A788" s="3">
        <v>45693.234791666662</v>
      </c>
      <c r="B788" t="s">
        <v>130</v>
      </c>
      <c r="C788" s="3">
        <v>45693.234895833331</v>
      </c>
      <c r="D788" t="s">
        <v>108</v>
      </c>
      <c r="E788" s="4">
        <v>8.9999999999999993E-3</v>
      </c>
      <c r="F788" s="4">
        <v>566316.11</v>
      </c>
      <c r="G788" s="4">
        <v>566316.11899999995</v>
      </c>
      <c r="H788" s="5">
        <f>0 / 86400</f>
        <v>0</v>
      </c>
      <c r="I788" t="s">
        <v>119</v>
      </c>
      <c r="J788" t="s">
        <v>86</v>
      </c>
      <c r="K788" s="5">
        <f>9 / 86400</f>
        <v>1.0416666666666667E-4</v>
      </c>
      <c r="L788" s="5">
        <f>381 / 86400</f>
        <v>4.409722222222222E-3</v>
      </c>
    </row>
    <row r="789" spans="1:12" x14ac:dyDescent="0.25">
      <c r="A789" s="3">
        <v>45693.239305555559</v>
      </c>
      <c r="B789" t="s">
        <v>108</v>
      </c>
      <c r="C789" s="3">
        <v>45693.239421296297</v>
      </c>
      <c r="D789" t="s">
        <v>108</v>
      </c>
      <c r="E789" s="4">
        <v>2E-3</v>
      </c>
      <c r="F789" s="4">
        <v>566316.11899999995</v>
      </c>
      <c r="G789" s="4">
        <v>566316.12100000004</v>
      </c>
      <c r="H789" s="5">
        <f>0 / 86400</f>
        <v>0</v>
      </c>
      <c r="I789" t="s">
        <v>124</v>
      </c>
      <c r="J789" t="s">
        <v>116</v>
      </c>
      <c r="K789" s="5">
        <f>10 / 86400</f>
        <v>1.1574074074074075E-4</v>
      </c>
      <c r="L789" s="5">
        <f>248 / 86400</f>
        <v>2.8703703703703703E-3</v>
      </c>
    </row>
    <row r="790" spans="1:12" x14ac:dyDescent="0.25">
      <c r="A790" s="3">
        <v>45693.242291666669</v>
      </c>
      <c r="B790" t="s">
        <v>108</v>
      </c>
      <c r="C790" s="3">
        <v>45693.3597337963</v>
      </c>
      <c r="D790" t="s">
        <v>251</v>
      </c>
      <c r="E790" s="4">
        <v>57.530999999999999</v>
      </c>
      <c r="F790" s="4">
        <v>566316.12100000004</v>
      </c>
      <c r="G790" s="4">
        <v>566373.652</v>
      </c>
      <c r="H790" s="5">
        <f>3237 / 86400</f>
        <v>3.7465277777777778E-2</v>
      </c>
      <c r="I790" t="s">
        <v>60</v>
      </c>
      <c r="J790" t="s">
        <v>128</v>
      </c>
      <c r="K790" s="5">
        <f>10147 / 86400</f>
        <v>0.11744212962962963</v>
      </c>
      <c r="L790" s="5">
        <f>167 / 86400</f>
        <v>1.9328703703703704E-3</v>
      </c>
    </row>
    <row r="791" spans="1:12" x14ac:dyDescent="0.25">
      <c r="A791" s="3">
        <v>45693.361666666664</v>
      </c>
      <c r="B791" t="s">
        <v>251</v>
      </c>
      <c r="C791" s="3">
        <v>45693.455775462964</v>
      </c>
      <c r="D791" t="s">
        <v>111</v>
      </c>
      <c r="E791" s="4">
        <v>39</v>
      </c>
      <c r="F791" s="4">
        <v>566373.652</v>
      </c>
      <c r="G791" s="4">
        <v>566412.652</v>
      </c>
      <c r="H791" s="5">
        <f>2632 / 86400</f>
        <v>3.0462962962962963E-2</v>
      </c>
      <c r="I791" t="s">
        <v>239</v>
      </c>
      <c r="J791" t="s">
        <v>28</v>
      </c>
      <c r="K791" s="5">
        <f>8130 / 86400</f>
        <v>9.4097222222222221E-2</v>
      </c>
      <c r="L791" s="5">
        <f>1700 / 86400</f>
        <v>1.9675925925925927E-2</v>
      </c>
    </row>
    <row r="792" spans="1:12" x14ac:dyDescent="0.25">
      <c r="A792" s="3">
        <v>45693.475451388891</v>
      </c>
      <c r="B792" t="s">
        <v>111</v>
      </c>
      <c r="C792" s="3">
        <v>45693.480509259258</v>
      </c>
      <c r="D792" t="s">
        <v>118</v>
      </c>
      <c r="E792" s="4">
        <v>1.6240000000000001</v>
      </c>
      <c r="F792" s="4">
        <v>566412.652</v>
      </c>
      <c r="G792" s="4">
        <v>566414.27599999995</v>
      </c>
      <c r="H792" s="5">
        <f>59 / 86400</f>
        <v>6.8287037037037036E-4</v>
      </c>
      <c r="I792" t="s">
        <v>212</v>
      </c>
      <c r="J792" t="s">
        <v>55</v>
      </c>
      <c r="K792" s="5">
        <f>436 / 86400</f>
        <v>5.0462962962962961E-3</v>
      </c>
      <c r="L792" s="5">
        <f>554 / 86400</f>
        <v>6.4120370370370373E-3</v>
      </c>
    </row>
    <row r="793" spans="1:12" x14ac:dyDescent="0.25">
      <c r="A793" s="3">
        <v>45693.486921296295</v>
      </c>
      <c r="B793" t="s">
        <v>118</v>
      </c>
      <c r="C793" s="3">
        <v>45693.564583333333</v>
      </c>
      <c r="D793" t="s">
        <v>370</v>
      </c>
      <c r="E793" s="4">
        <v>35.325000000000003</v>
      </c>
      <c r="F793" s="4">
        <v>566414.27599999995</v>
      </c>
      <c r="G793" s="4">
        <v>566449.60100000002</v>
      </c>
      <c r="H793" s="5">
        <f>2159 / 86400</f>
        <v>2.4988425925925924E-2</v>
      </c>
      <c r="I793" t="s">
        <v>45</v>
      </c>
      <c r="J793" t="s">
        <v>37</v>
      </c>
      <c r="K793" s="5">
        <f>6710 / 86400</f>
        <v>7.7662037037037043E-2</v>
      </c>
      <c r="L793" s="5">
        <f>102 / 86400</f>
        <v>1.1805555555555556E-3</v>
      </c>
    </row>
    <row r="794" spans="1:12" x14ac:dyDescent="0.25">
      <c r="A794" s="3">
        <v>45693.565763888888</v>
      </c>
      <c r="B794" t="s">
        <v>370</v>
      </c>
      <c r="C794" s="3">
        <v>45693.634259259255</v>
      </c>
      <c r="D794" t="s">
        <v>277</v>
      </c>
      <c r="E794" s="4">
        <v>30.988</v>
      </c>
      <c r="F794" s="4">
        <v>566449.60100000002</v>
      </c>
      <c r="G794" s="4">
        <v>566480.58900000004</v>
      </c>
      <c r="H794" s="5">
        <f>1540 / 86400</f>
        <v>1.7824074074074076E-2</v>
      </c>
      <c r="I794" t="s">
        <v>163</v>
      </c>
      <c r="J794" t="s">
        <v>37</v>
      </c>
      <c r="K794" s="5">
        <f>5917 / 86400</f>
        <v>6.8483796296296293E-2</v>
      </c>
      <c r="L794" s="5">
        <f>54 / 86400</f>
        <v>6.2500000000000001E-4</v>
      </c>
    </row>
    <row r="795" spans="1:12" x14ac:dyDescent="0.25">
      <c r="A795" s="3">
        <v>45693.634884259256</v>
      </c>
      <c r="B795" t="s">
        <v>277</v>
      </c>
      <c r="C795" s="3">
        <v>45693.636840277773</v>
      </c>
      <c r="D795" t="s">
        <v>265</v>
      </c>
      <c r="E795" s="4">
        <v>0.56899999999999995</v>
      </c>
      <c r="F795" s="4">
        <v>566480.58900000004</v>
      </c>
      <c r="G795" s="4">
        <v>566481.15800000005</v>
      </c>
      <c r="H795" s="5">
        <f>19 / 86400</f>
        <v>2.199074074074074E-4</v>
      </c>
      <c r="I795" t="s">
        <v>55</v>
      </c>
      <c r="J795" t="s">
        <v>59</v>
      </c>
      <c r="K795" s="5">
        <f>168 / 86400</f>
        <v>1.9444444444444444E-3</v>
      </c>
      <c r="L795" s="5">
        <f>189 / 86400</f>
        <v>2.1875000000000002E-3</v>
      </c>
    </row>
    <row r="796" spans="1:12" x14ac:dyDescent="0.25">
      <c r="A796" s="3">
        <v>45693.639027777783</v>
      </c>
      <c r="B796" t="s">
        <v>265</v>
      </c>
      <c r="C796" s="3">
        <v>45693.639328703706</v>
      </c>
      <c r="D796" t="s">
        <v>265</v>
      </c>
      <c r="E796" s="4">
        <v>2E-3</v>
      </c>
      <c r="F796" s="4">
        <v>566481.15800000005</v>
      </c>
      <c r="G796" s="4">
        <v>566481.16</v>
      </c>
      <c r="H796" s="5">
        <f>19 / 86400</f>
        <v>2.199074074074074E-4</v>
      </c>
      <c r="I796" t="s">
        <v>124</v>
      </c>
      <c r="J796" t="s">
        <v>124</v>
      </c>
      <c r="K796" s="5">
        <f>25 / 86400</f>
        <v>2.8935185185185184E-4</v>
      </c>
      <c r="L796" s="5">
        <f>91 / 86400</f>
        <v>1.0532407407407407E-3</v>
      </c>
    </row>
    <row r="797" spans="1:12" x14ac:dyDescent="0.25">
      <c r="A797" s="3">
        <v>45693.640381944446</v>
      </c>
      <c r="B797" t="s">
        <v>265</v>
      </c>
      <c r="C797" s="3">
        <v>45693.640868055554</v>
      </c>
      <c r="D797" t="s">
        <v>265</v>
      </c>
      <c r="E797" s="4">
        <v>5.0000000000000001E-3</v>
      </c>
      <c r="F797" s="4">
        <v>566481.16</v>
      </c>
      <c r="G797" s="4">
        <v>566481.16500000004</v>
      </c>
      <c r="H797" s="5">
        <f>39 / 86400</f>
        <v>4.5138888888888887E-4</v>
      </c>
      <c r="I797" t="s">
        <v>124</v>
      </c>
      <c r="J797" t="s">
        <v>124</v>
      </c>
      <c r="K797" s="5">
        <f>42 / 86400</f>
        <v>4.861111111111111E-4</v>
      </c>
      <c r="L797" s="5">
        <f>48 / 86400</f>
        <v>5.5555555555555556E-4</v>
      </c>
    </row>
    <row r="798" spans="1:12" x14ac:dyDescent="0.25">
      <c r="A798" s="3">
        <v>45693.641423611116</v>
      </c>
      <c r="B798" t="s">
        <v>371</v>
      </c>
      <c r="C798" s="3">
        <v>45693.643020833333</v>
      </c>
      <c r="D798" t="s">
        <v>265</v>
      </c>
      <c r="E798" s="4">
        <v>1.2E-2</v>
      </c>
      <c r="F798" s="4">
        <v>566481.16500000004</v>
      </c>
      <c r="G798" s="4">
        <v>566481.17700000003</v>
      </c>
      <c r="H798" s="5">
        <f>119 / 86400</f>
        <v>1.3773148148148147E-3</v>
      </c>
      <c r="I798" t="s">
        <v>124</v>
      </c>
      <c r="J798" t="s">
        <v>124</v>
      </c>
      <c r="K798" s="5">
        <f>138 / 86400</f>
        <v>1.5972222222222223E-3</v>
      </c>
      <c r="L798" s="5">
        <f>73 / 86400</f>
        <v>8.4490740740740739E-4</v>
      </c>
    </row>
    <row r="799" spans="1:12" x14ac:dyDescent="0.25">
      <c r="A799" s="3">
        <v>45693.643865740742</v>
      </c>
      <c r="B799" t="s">
        <v>265</v>
      </c>
      <c r="C799" s="3">
        <v>45693.644305555557</v>
      </c>
      <c r="D799" t="s">
        <v>265</v>
      </c>
      <c r="E799" s="4">
        <v>8.0000000000000002E-3</v>
      </c>
      <c r="F799" s="4">
        <v>566481.17700000003</v>
      </c>
      <c r="G799" s="4">
        <v>566481.18500000006</v>
      </c>
      <c r="H799" s="5">
        <f>20 / 86400</f>
        <v>2.3148148148148149E-4</v>
      </c>
      <c r="I799" t="s">
        <v>119</v>
      </c>
      <c r="J799" t="s">
        <v>116</v>
      </c>
      <c r="K799" s="5">
        <f>38 / 86400</f>
        <v>4.3981481481481481E-4</v>
      </c>
      <c r="L799" s="5">
        <f>65 / 86400</f>
        <v>7.5231481481481482E-4</v>
      </c>
    </row>
    <row r="800" spans="1:12" x14ac:dyDescent="0.25">
      <c r="A800" s="3">
        <v>45693.645057870366</v>
      </c>
      <c r="B800" t="s">
        <v>265</v>
      </c>
      <c r="C800" s="3">
        <v>45693.645451388889</v>
      </c>
      <c r="D800" t="s">
        <v>265</v>
      </c>
      <c r="E800" s="4">
        <v>3.0000000000000001E-3</v>
      </c>
      <c r="F800" s="4">
        <v>566481.18500000006</v>
      </c>
      <c r="G800" s="4">
        <v>566481.18799999997</v>
      </c>
      <c r="H800" s="5">
        <f>19 / 86400</f>
        <v>2.199074074074074E-4</v>
      </c>
      <c r="I800" t="s">
        <v>124</v>
      </c>
      <c r="J800" t="s">
        <v>124</v>
      </c>
      <c r="K800" s="5">
        <f>34 / 86400</f>
        <v>3.9351851851851852E-4</v>
      </c>
      <c r="L800" s="5">
        <f>69 / 86400</f>
        <v>7.9861111111111116E-4</v>
      </c>
    </row>
    <row r="801" spans="1:12" x14ac:dyDescent="0.25">
      <c r="A801" s="3">
        <v>45693.646250000005</v>
      </c>
      <c r="B801" t="s">
        <v>265</v>
      </c>
      <c r="C801" s="3">
        <v>45693.711898148147</v>
      </c>
      <c r="D801" t="s">
        <v>370</v>
      </c>
      <c r="E801" s="4">
        <v>29.759</v>
      </c>
      <c r="F801" s="4">
        <v>566481.18799999997</v>
      </c>
      <c r="G801" s="4">
        <v>566510.94700000004</v>
      </c>
      <c r="H801" s="5">
        <f>2339 / 86400</f>
        <v>2.7071759259259261E-2</v>
      </c>
      <c r="I801" t="s">
        <v>47</v>
      </c>
      <c r="J801" t="s">
        <v>37</v>
      </c>
      <c r="K801" s="5">
        <f>5672 / 86400</f>
        <v>6.564814814814815E-2</v>
      </c>
      <c r="L801" s="5">
        <f>852 / 86400</f>
        <v>9.8611111111111104E-3</v>
      </c>
    </row>
    <row r="802" spans="1:12" x14ac:dyDescent="0.25">
      <c r="A802" s="3">
        <v>45693.721759259264</v>
      </c>
      <c r="B802" t="s">
        <v>370</v>
      </c>
      <c r="C802" s="3">
        <v>45693.787592592591</v>
      </c>
      <c r="D802" t="s">
        <v>40</v>
      </c>
      <c r="E802" s="4">
        <v>24.376999999999999</v>
      </c>
      <c r="F802" s="4">
        <v>566510.94700000004</v>
      </c>
      <c r="G802" s="4">
        <v>566535.32400000002</v>
      </c>
      <c r="H802" s="5">
        <f>2180 / 86400</f>
        <v>2.5231481481481483E-2</v>
      </c>
      <c r="I802" t="s">
        <v>101</v>
      </c>
      <c r="J802" t="s">
        <v>35</v>
      </c>
      <c r="K802" s="5">
        <f>5688 / 86400</f>
        <v>6.5833333333333327E-2</v>
      </c>
      <c r="L802" s="5">
        <f>556 / 86400</f>
        <v>6.4351851851851853E-3</v>
      </c>
    </row>
    <row r="803" spans="1:12" x14ac:dyDescent="0.25">
      <c r="A803" s="3">
        <v>45693.794027777782</v>
      </c>
      <c r="B803" t="s">
        <v>40</v>
      </c>
      <c r="C803" s="3">
        <v>45693.796655092592</v>
      </c>
      <c r="D803" t="s">
        <v>40</v>
      </c>
      <c r="E803" s="4">
        <v>1.397</v>
      </c>
      <c r="F803" s="4">
        <v>566535.32400000002</v>
      </c>
      <c r="G803" s="4">
        <v>566536.72100000002</v>
      </c>
      <c r="H803" s="5">
        <f>40 / 86400</f>
        <v>4.6296296296296298E-4</v>
      </c>
      <c r="I803" t="s">
        <v>204</v>
      </c>
      <c r="J803" t="s">
        <v>39</v>
      </c>
      <c r="K803" s="5">
        <f>227 / 86400</f>
        <v>2.627314814814815E-3</v>
      </c>
      <c r="L803" s="5">
        <f>17568 / 86400</f>
        <v>0.20333333333333334</v>
      </c>
    </row>
    <row r="804" spans="1:12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 spans="1:12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 spans="1:12" s="10" customFormat="1" ht="20.100000000000001" customHeight="1" x14ac:dyDescent="0.35">
      <c r="A806" s="12" t="s">
        <v>429</v>
      </c>
      <c r="B806" s="12"/>
      <c r="C806" s="12"/>
      <c r="D806" s="12"/>
      <c r="E806" s="12"/>
      <c r="F806" s="12"/>
      <c r="G806" s="12"/>
      <c r="H806" s="12"/>
      <c r="I806" s="12"/>
      <c r="J806" s="12"/>
    </row>
    <row r="807" spans="1:12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 spans="1:12" ht="30" x14ac:dyDescent="0.25">
      <c r="A808" s="2" t="s">
        <v>6</v>
      </c>
      <c r="B808" s="2" t="s">
        <v>7</v>
      </c>
      <c r="C808" s="2" t="s">
        <v>8</v>
      </c>
      <c r="D808" s="2" t="s">
        <v>9</v>
      </c>
      <c r="E808" s="2" t="s">
        <v>10</v>
      </c>
      <c r="F808" s="2" t="s">
        <v>11</v>
      </c>
      <c r="G808" s="2" t="s">
        <v>12</v>
      </c>
      <c r="H808" s="2" t="s">
        <v>13</v>
      </c>
      <c r="I808" s="2" t="s">
        <v>14</v>
      </c>
      <c r="J808" s="2" t="s">
        <v>15</v>
      </c>
      <c r="K808" s="2" t="s">
        <v>16</v>
      </c>
      <c r="L808" s="2" t="s">
        <v>17</v>
      </c>
    </row>
    <row r="809" spans="1:12" x14ac:dyDescent="0.25">
      <c r="A809" s="3">
        <v>45693.240127314813</v>
      </c>
      <c r="B809" t="s">
        <v>49</v>
      </c>
      <c r="C809" s="3">
        <v>45693.249872685185</v>
      </c>
      <c r="D809" t="s">
        <v>372</v>
      </c>
      <c r="E809" s="4">
        <v>4.5330000000000004</v>
      </c>
      <c r="F809" s="4">
        <v>513783.62099999998</v>
      </c>
      <c r="G809" s="4">
        <v>513788.15399999998</v>
      </c>
      <c r="H809" s="5">
        <f>149 / 86400</f>
        <v>1.724537037037037E-3</v>
      </c>
      <c r="I809" t="s">
        <v>198</v>
      </c>
      <c r="J809" t="s">
        <v>37</v>
      </c>
      <c r="K809" s="5">
        <f>842 / 86400</f>
        <v>9.7453703703703695E-3</v>
      </c>
      <c r="L809" s="5">
        <f>20751 / 86400</f>
        <v>0.2401736111111111</v>
      </c>
    </row>
    <row r="810" spans="1:12" x14ac:dyDescent="0.25">
      <c r="A810" s="3">
        <v>45693.249918981484</v>
      </c>
      <c r="B810" t="s">
        <v>277</v>
      </c>
      <c r="C810" s="3">
        <v>45693.255729166667</v>
      </c>
      <c r="D810" t="s">
        <v>279</v>
      </c>
      <c r="E810" s="4">
        <v>2.8849999999999998</v>
      </c>
      <c r="F810" s="4">
        <v>513788.16899999999</v>
      </c>
      <c r="G810" s="4">
        <v>513791.054</v>
      </c>
      <c r="H810" s="5">
        <f>150 / 86400</f>
        <v>1.736111111111111E-3</v>
      </c>
      <c r="I810" t="s">
        <v>105</v>
      </c>
      <c r="J810" t="s">
        <v>136</v>
      </c>
      <c r="K810" s="5">
        <f>502 / 86400</f>
        <v>5.8101851851851856E-3</v>
      </c>
      <c r="L810" s="5">
        <f>4 / 86400</f>
        <v>4.6296296296296294E-5</v>
      </c>
    </row>
    <row r="811" spans="1:12" x14ac:dyDescent="0.25">
      <c r="A811" s="3">
        <v>45693.255775462967</v>
      </c>
      <c r="B811" t="s">
        <v>279</v>
      </c>
      <c r="C811" s="3">
        <v>45693.256168981483</v>
      </c>
      <c r="D811" t="s">
        <v>279</v>
      </c>
      <c r="E811" s="4">
        <v>0.24399999999999999</v>
      </c>
      <c r="F811" s="4">
        <v>513791.07299999997</v>
      </c>
      <c r="G811" s="4">
        <v>513791.31699999998</v>
      </c>
      <c r="H811" s="5">
        <f>0 / 86400</f>
        <v>0</v>
      </c>
      <c r="I811" t="s">
        <v>127</v>
      </c>
      <c r="J811" t="s">
        <v>172</v>
      </c>
      <c r="K811" s="5">
        <f>34 / 86400</f>
        <v>3.9351851851851852E-4</v>
      </c>
      <c r="L811" s="5">
        <f>30 / 86400</f>
        <v>3.4722222222222224E-4</v>
      </c>
    </row>
    <row r="812" spans="1:12" x14ac:dyDescent="0.25">
      <c r="A812" s="3">
        <v>45693.256516203706</v>
      </c>
      <c r="B812" t="s">
        <v>279</v>
      </c>
      <c r="C812" s="3">
        <v>45693.468703703707</v>
      </c>
      <c r="D812" t="s">
        <v>118</v>
      </c>
      <c r="E812" s="4">
        <v>94.52</v>
      </c>
      <c r="F812" s="4">
        <v>513791.73100000003</v>
      </c>
      <c r="G812" s="4">
        <v>513886.25099999999</v>
      </c>
      <c r="H812" s="5">
        <f>5489 / 86400</f>
        <v>6.3530092592592596E-2</v>
      </c>
      <c r="I812" t="s">
        <v>36</v>
      </c>
      <c r="J812" t="s">
        <v>37</v>
      </c>
      <c r="K812" s="5">
        <f>18333 / 86400</f>
        <v>0.2121875</v>
      </c>
      <c r="L812" s="5">
        <f>494 / 86400</f>
        <v>5.7175925925925927E-3</v>
      </c>
    </row>
    <row r="813" spans="1:12" x14ac:dyDescent="0.25">
      <c r="A813" s="3">
        <v>45693.474421296298</v>
      </c>
      <c r="B813" t="s">
        <v>118</v>
      </c>
      <c r="C813" s="3">
        <v>45693.480821759258</v>
      </c>
      <c r="D813" t="s">
        <v>137</v>
      </c>
      <c r="E813" s="4">
        <v>0.64</v>
      </c>
      <c r="F813" s="4">
        <v>513886.25099999999</v>
      </c>
      <c r="G813" s="4">
        <v>513886.891</v>
      </c>
      <c r="H813" s="5">
        <f>331 / 86400</f>
        <v>3.8310185185185183E-3</v>
      </c>
      <c r="I813" t="s">
        <v>24</v>
      </c>
      <c r="J813" t="s">
        <v>86</v>
      </c>
      <c r="K813" s="5">
        <f>553 / 86400</f>
        <v>6.4004629629629628E-3</v>
      </c>
      <c r="L813" s="5">
        <f>1827 / 86400</f>
        <v>2.1145833333333332E-2</v>
      </c>
    </row>
    <row r="814" spans="1:12" x14ac:dyDescent="0.25">
      <c r="A814" s="3">
        <v>45693.501967592594</v>
      </c>
      <c r="B814" t="s">
        <v>137</v>
      </c>
      <c r="C814" s="3">
        <v>45693.553946759261</v>
      </c>
      <c r="D814" t="s">
        <v>151</v>
      </c>
      <c r="E814" s="4">
        <v>29.678000000000001</v>
      </c>
      <c r="F814" s="4">
        <v>513886.891</v>
      </c>
      <c r="G814" s="4">
        <v>513916.56900000002</v>
      </c>
      <c r="H814" s="5">
        <f>840 / 86400</f>
        <v>9.7222222222222224E-3</v>
      </c>
      <c r="I814" t="s">
        <v>51</v>
      </c>
      <c r="J814" t="s">
        <v>156</v>
      </c>
      <c r="K814" s="5">
        <f>4491 / 86400</f>
        <v>5.1979166666666667E-2</v>
      </c>
      <c r="L814" s="5">
        <f>30 / 86400</f>
        <v>3.4722222222222224E-4</v>
      </c>
    </row>
    <row r="815" spans="1:12" x14ac:dyDescent="0.25">
      <c r="A815" s="3">
        <v>45693.554293981477</v>
      </c>
      <c r="B815" t="s">
        <v>151</v>
      </c>
      <c r="C815" s="3">
        <v>45693.587766203702</v>
      </c>
      <c r="D815" t="s">
        <v>373</v>
      </c>
      <c r="E815" s="4">
        <v>12.507</v>
      </c>
      <c r="F815" s="4">
        <v>513916.98100000003</v>
      </c>
      <c r="G815" s="4">
        <v>513929.48800000001</v>
      </c>
      <c r="H815" s="5">
        <f>839 / 86400</f>
        <v>9.7106481481481488E-3</v>
      </c>
      <c r="I815" t="s">
        <v>239</v>
      </c>
      <c r="J815" t="s">
        <v>31</v>
      </c>
      <c r="K815" s="5">
        <f>2892 / 86400</f>
        <v>3.3472222222222223E-2</v>
      </c>
      <c r="L815" s="5">
        <f>2 / 86400</f>
        <v>2.3148148148148147E-5</v>
      </c>
    </row>
    <row r="816" spans="1:12" x14ac:dyDescent="0.25">
      <c r="A816" s="3">
        <v>45693.587789351848</v>
      </c>
      <c r="B816" t="s">
        <v>373</v>
      </c>
      <c r="C816" s="3">
        <v>45693.749097222222</v>
      </c>
      <c r="D816" t="s">
        <v>73</v>
      </c>
      <c r="E816" s="4">
        <v>57.09</v>
      </c>
      <c r="F816" s="4">
        <v>513929.49400000001</v>
      </c>
      <c r="G816" s="4">
        <v>513986.58399999997</v>
      </c>
      <c r="H816" s="5">
        <f>4711 / 86400</f>
        <v>5.4525462962962963E-2</v>
      </c>
      <c r="I816" t="s">
        <v>165</v>
      </c>
      <c r="J816" t="s">
        <v>35</v>
      </c>
      <c r="K816" s="5">
        <f>13937 / 86400</f>
        <v>0.16130787037037037</v>
      </c>
      <c r="L816" s="5">
        <f>826 / 86400</f>
        <v>9.5601851851851855E-3</v>
      </c>
    </row>
    <row r="817" spans="1:12" x14ac:dyDescent="0.25">
      <c r="A817" s="3">
        <v>45693.758657407408</v>
      </c>
      <c r="B817" t="s">
        <v>73</v>
      </c>
      <c r="C817" s="3">
        <v>45693.765104166669</v>
      </c>
      <c r="D817" t="s">
        <v>49</v>
      </c>
      <c r="E817" s="4">
        <v>0.92200000000000004</v>
      </c>
      <c r="F817" s="4">
        <v>513986.58399999997</v>
      </c>
      <c r="G817" s="4">
        <v>513987.50599999999</v>
      </c>
      <c r="H817" s="5">
        <f>240 / 86400</f>
        <v>2.7777777777777779E-3</v>
      </c>
      <c r="I817" t="s">
        <v>212</v>
      </c>
      <c r="J817" t="s">
        <v>260</v>
      </c>
      <c r="K817" s="5">
        <f>557 / 86400</f>
        <v>6.4467592592592588E-3</v>
      </c>
      <c r="L817" s="5">
        <f>20294 / 86400</f>
        <v>0.23488425925925926</v>
      </c>
    </row>
    <row r="818" spans="1:12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 spans="1:12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 spans="1:12" s="10" customFormat="1" ht="20.100000000000001" customHeight="1" x14ac:dyDescent="0.35">
      <c r="A820" s="12" t="s">
        <v>430</v>
      </c>
      <c r="B820" s="12"/>
      <c r="C820" s="12"/>
      <c r="D820" s="12"/>
      <c r="E820" s="12"/>
      <c r="F820" s="12"/>
      <c r="G820" s="12"/>
      <c r="H820" s="12"/>
      <c r="I820" s="12"/>
      <c r="J820" s="12"/>
    </row>
    <row r="821" spans="1:12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 spans="1:12" ht="30" x14ac:dyDescent="0.25">
      <c r="A822" s="2" t="s">
        <v>6</v>
      </c>
      <c r="B822" s="2" t="s">
        <v>7</v>
      </c>
      <c r="C822" s="2" t="s">
        <v>8</v>
      </c>
      <c r="D822" s="2" t="s">
        <v>9</v>
      </c>
      <c r="E822" s="2" t="s">
        <v>10</v>
      </c>
      <c r="F822" s="2" t="s">
        <v>11</v>
      </c>
      <c r="G822" s="2" t="s">
        <v>12</v>
      </c>
      <c r="H822" s="2" t="s">
        <v>13</v>
      </c>
      <c r="I822" s="2" t="s">
        <v>14</v>
      </c>
      <c r="J822" s="2" t="s">
        <v>15</v>
      </c>
      <c r="K822" s="2" t="s">
        <v>16</v>
      </c>
      <c r="L822" s="2" t="s">
        <v>17</v>
      </c>
    </row>
    <row r="823" spans="1:12" x14ac:dyDescent="0.25">
      <c r="A823" s="3">
        <v>45693</v>
      </c>
      <c r="B823" t="s">
        <v>80</v>
      </c>
      <c r="C823" s="3">
        <v>45693.958333333328</v>
      </c>
      <c r="D823" t="s">
        <v>80</v>
      </c>
      <c r="E823" s="4">
        <v>208.32499999999999</v>
      </c>
      <c r="F823" s="4">
        <v>503973.26199999999</v>
      </c>
      <c r="G823" s="4">
        <v>504181.587</v>
      </c>
      <c r="H823" s="5">
        <f>51909 / 86400</f>
        <v>0.6007986111111111</v>
      </c>
      <c r="I823" t="s">
        <v>81</v>
      </c>
      <c r="J823" t="s">
        <v>82</v>
      </c>
      <c r="K823" s="5">
        <f>82800 / 86400</f>
        <v>0.95833333333333337</v>
      </c>
      <c r="L823" s="5">
        <f>0 / 86400</f>
        <v>0</v>
      </c>
    </row>
    <row r="824" spans="1:12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 spans="1:12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 spans="1:12" s="10" customFormat="1" ht="20.100000000000001" customHeight="1" x14ac:dyDescent="0.35">
      <c r="A826" s="12" t="s">
        <v>431</v>
      </c>
      <c r="B826" s="12"/>
      <c r="C826" s="12"/>
      <c r="D826" s="12"/>
      <c r="E826" s="12"/>
      <c r="F826" s="12"/>
      <c r="G826" s="12"/>
      <c r="H826" s="12"/>
      <c r="I826" s="12"/>
      <c r="J826" s="12"/>
    </row>
    <row r="827" spans="1:12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 spans="1:12" ht="30" x14ac:dyDescent="0.25">
      <c r="A828" s="2" t="s">
        <v>6</v>
      </c>
      <c r="B828" s="2" t="s">
        <v>7</v>
      </c>
      <c r="C828" s="2" t="s">
        <v>8</v>
      </c>
      <c r="D828" s="2" t="s">
        <v>9</v>
      </c>
      <c r="E828" s="2" t="s">
        <v>10</v>
      </c>
      <c r="F828" s="2" t="s">
        <v>11</v>
      </c>
      <c r="G828" s="2" t="s">
        <v>12</v>
      </c>
      <c r="H828" s="2" t="s">
        <v>13</v>
      </c>
      <c r="I828" s="2" t="s">
        <v>14</v>
      </c>
      <c r="J828" s="2" t="s">
        <v>15</v>
      </c>
      <c r="K828" s="2" t="s">
        <v>16</v>
      </c>
      <c r="L828" s="2" t="s">
        <v>17</v>
      </c>
    </row>
    <row r="829" spans="1:12" x14ac:dyDescent="0.25">
      <c r="A829" s="3">
        <v>45693.269791666666</v>
      </c>
      <c r="B829" t="s">
        <v>83</v>
      </c>
      <c r="C829" s="3">
        <v>45693.289722222224</v>
      </c>
      <c r="D829" t="s">
        <v>118</v>
      </c>
      <c r="E829" s="4">
        <v>5.9690000000000003</v>
      </c>
      <c r="F829" s="4">
        <v>350791.32400000002</v>
      </c>
      <c r="G829" s="4">
        <v>350797.29300000001</v>
      </c>
      <c r="H829" s="5">
        <f>640 / 86400</f>
        <v>7.4074074074074077E-3</v>
      </c>
      <c r="I829" t="s">
        <v>167</v>
      </c>
      <c r="J829" t="s">
        <v>59</v>
      </c>
      <c r="K829" s="5">
        <f>1722 / 86400</f>
        <v>1.9930555555555556E-2</v>
      </c>
      <c r="L829" s="5">
        <f>24403 / 86400</f>
        <v>0.28244212962962961</v>
      </c>
    </row>
    <row r="830" spans="1:12" x14ac:dyDescent="0.25">
      <c r="A830" s="3">
        <v>45693.302372685182</v>
      </c>
      <c r="B830" t="s">
        <v>118</v>
      </c>
      <c r="C830" s="3">
        <v>45693.434363425928</v>
      </c>
      <c r="D830" t="s">
        <v>121</v>
      </c>
      <c r="E830" s="4">
        <v>51.014000000000003</v>
      </c>
      <c r="F830" s="4">
        <v>350797.29300000001</v>
      </c>
      <c r="G830" s="4">
        <v>350848.30699999997</v>
      </c>
      <c r="H830" s="5">
        <f>4059 / 86400</f>
        <v>4.6979166666666669E-2</v>
      </c>
      <c r="I830" t="s">
        <v>36</v>
      </c>
      <c r="J830" t="s">
        <v>31</v>
      </c>
      <c r="K830" s="5">
        <f>11404 / 86400</f>
        <v>0.13199074074074074</v>
      </c>
      <c r="L830" s="5">
        <f>18 / 86400</f>
        <v>2.0833333333333335E-4</v>
      </c>
    </row>
    <row r="831" spans="1:12" x14ac:dyDescent="0.25">
      <c r="A831" s="3">
        <v>45693.434571759259</v>
      </c>
      <c r="B831" t="s">
        <v>121</v>
      </c>
      <c r="C831" s="3">
        <v>45693.435949074075</v>
      </c>
      <c r="D831" t="s">
        <v>121</v>
      </c>
      <c r="E831" s="4">
        <v>0</v>
      </c>
      <c r="F831" s="4">
        <v>350848.30699999997</v>
      </c>
      <c r="G831" s="4">
        <v>350848.30699999997</v>
      </c>
      <c r="H831" s="5">
        <f>99 / 86400</f>
        <v>1.1458333333333333E-3</v>
      </c>
      <c r="I831" t="s">
        <v>124</v>
      </c>
      <c r="J831" t="s">
        <v>124</v>
      </c>
      <c r="K831" s="5">
        <f>119 / 86400</f>
        <v>1.3773148148148147E-3</v>
      </c>
      <c r="L831" s="5">
        <f>384 / 86400</f>
        <v>4.4444444444444444E-3</v>
      </c>
    </row>
    <row r="832" spans="1:12" x14ac:dyDescent="0.25">
      <c r="A832" s="3">
        <v>45693.440393518518</v>
      </c>
      <c r="B832" t="s">
        <v>121</v>
      </c>
      <c r="C832" s="3">
        <v>45693.594652777778</v>
      </c>
      <c r="D832" t="s">
        <v>73</v>
      </c>
      <c r="E832" s="4">
        <v>50.344999999999999</v>
      </c>
      <c r="F832" s="4">
        <v>350848.30699999997</v>
      </c>
      <c r="G832" s="4">
        <v>350898.652</v>
      </c>
      <c r="H832" s="5">
        <f>5479 / 86400</f>
        <v>6.3414351851851847E-2</v>
      </c>
      <c r="I832" t="s">
        <v>81</v>
      </c>
      <c r="J832" t="s">
        <v>52</v>
      </c>
      <c r="K832" s="5">
        <f>13327 / 86400</f>
        <v>0.1542476851851852</v>
      </c>
      <c r="L832" s="5">
        <f>1262 / 86400</f>
        <v>1.4606481481481481E-2</v>
      </c>
    </row>
    <row r="833" spans="1:12" x14ac:dyDescent="0.25">
      <c r="A833" s="3">
        <v>45693.609259259261</v>
      </c>
      <c r="B833" t="s">
        <v>73</v>
      </c>
      <c r="C833" s="3">
        <v>45693.610694444447</v>
      </c>
      <c r="D833" t="s">
        <v>148</v>
      </c>
      <c r="E833" s="4">
        <v>0.111</v>
      </c>
      <c r="F833" s="4">
        <v>350898.652</v>
      </c>
      <c r="G833" s="4">
        <v>350898.76299999998</v>
      </c>
      <c r="H833" s="5">
        <f>79 / 86400</f>
        <v>9.1435185185185185E-4</v>
      </c>
      <c r="I833" t="s">
        <v>20</v>
      </c>
      <c r="J833" t="s">
        <v>149</v>
      </c>
      <c r="K833" s="5">
        <f>124 / 86400</f>
        <v>1.4351851851851852E-3</v>
      </c>
      <c r="L833" s="5">
        <f>406 / 86400</f>
        <v>4.6990740740740743E-3</v>
      </c>
    </row>
    <row r="834" spans="1:12" x14ac:dyDescent="0.25">
      <c r="A834" s="3">
        <v>45693.615393518514</v>
      </c>
      <c r="B834" t="s">
        <v>73</v>
      </c>
      <c r="C834" s="3">
        <v>45693.617233796293</v>
      </c>
      <c r="D834" t="s">
        <v>73</v>
      </c>
      <c r="E834" s="4">
        <v>0.111</v>
      </c>
      <c r="F834" s="4">
        <v>350898.76299999998</v>
      </c>
      <c r="G834" s="4">
        <v>350898.87400000001</v>
      </c>
      <c r="H834" s="5">
        <f>79 / 86400</f>
        <v>9.1435185185185185E-4</v>
      </c>
      <c r="I834" t="s">
        <v>20</v>
      </c>
      <c r="J834" t="s">
        <v>149</v>
      </c>
      <c r="K834" s="5">
        <f>159 / 86400</f>
        <v>1.8402777777777777E-3</v>
      </c>
      <c r="L834" s="5">
        <f>55 / 86400</f>
        <v>6.3657407407407413E-4</v>
      </c>
    </row>
    <row r="835" spans="1:12" x14ac:dyDescent="0.25">
      <c r="A835" s="3">
        <v>45693.61787037037</v>
      </c>
      <c r="B835" t="s">
        <v>73</v>
      </c>
      <c r="C835" s="3">
        <v>45693.618206018524</v>
      </c>
      <c r="D835" t="s">
        <v>73</v>
      </c>
      <c r="E835" s="4">
        <v>1E-3</v>
      </c>
      <c r="F835" s="4">
        <v>350898.87400000001</v>
      </c>
      <c r="G835" s="4">
        <v>350898.875</v>
      </c>
      <c r="H835" s="5">
        <f>0 / 86400</f>
        <v>0</v>
      </c>
      <c r="I835" t="s">
        <v>116</v>
      </c>
      <c r="J835" t="s">
        <v>124</v>
      </c>
      <c r="K835" s="5">
        <f>28 / 86400</f>
        <v>3.2407407407407406E-4</v>
      </c>
      <c r="L835" s="5">
        <f>791 / 86400</f>
        <v>9.1550925925925931E-3</v>
      </c>
    </row>
    <row r="836" spans="1:12" x14ac:dyDescent="0.25">
      <c r="A836" s="3">
        <v>45693.62736111111</v>
      </c>
      <c r="B836" t="s">
        <v>73</v>
      </c>
      <c r="C836" s="3">
        <v>45693.652349537035</v>
      </c>
      <c r="D836" t="s">
        <v>73</v>
      </c>
      <c r="E836" s="4">
        <v>0</v>
      </c>
      <c r="F836" s="4">
        <v>350898.875</v>
      </c>
      <c r="G836" s="4">
        <v>350898.875</v>
      </c>
      <c r="H836" s="5">
        <f>2139 / 86400</f>
        <v>2.4756944444444446E-2</v>
      </c>
      <c r="I836" t="s">
        <v>124</v>
      </c>
      <c r="J836" t="s">
        <v>124</v>
      </c>
      <c r="K836" s="5">
        <f>2158 / 86400</f>
        <v>2.4976851851851851E-2</v>
      </c>
      <c r="L836" s="5">
        <f>1933 / 86400</f>
        <v>2.2372685185185186E-2</v>
      </c>
    </row>
    <row r="837" spans="1:12" x14ac:dyDescent="0.25">
      <c r="A837" s="3">
        <v>45693.674722222218</v>
      </c>
      <c r="B837" t="s">
        <v>73</v>
      </c>
      <c r="C837" s="3">
        <v>45693.677349537036</v>
      </c>
      <c r="D837" t="s">
        <v>144</v>
      </c>
      <c r="E837" s="4">
        <v>0.26400000000000001</v>
      </c>
      <c r="F837" s="4">
        <v>350898.875</v>
      </c>
      <c r="G837" s="4">
        <v>350899.13900000002</v>
      </c>
      <c r="H837" s="5">
        <f>59 / 86400</f>
        <v>6.8287037037037036E-4</v>
      </c>
      <c r="I837" t="s">
        <v>31</v>
      </c>
      <c r="J837" t="s">
        <v>86</v>
      </c>
      <c r="K837" s="5">
        <f>226 / 86400</f>
        <v>2.6157407407407405E-3</v>
      </c>
      <c r="L837" s="5">
        <f>113 / 86400</f>
        <v>1.3078703703703703E-3</v>
      </c>
    </row>
    <row r="838" spans="1:12" x14ac:dyDescent="0.25">
      <c r="A838" s="3">
        <v>45693.678657407407</v>
      </c>
      <c r="B838" t="s">
        <v>144</v>
      </c>
      <c r="C838" s="3">
        <v>45693.799837962964</v>
      </c>
      <c r="D838" t="s">
        <v>77</v>
      </c>
      <c r="E838" s="4">
        <v>46.484999999999999</v>
      </c>
      <c r="F838" s="4">
        <v>350899.13900000002</v>
      </c>
      <c r="G838" s="4">
        <v>350945.62400000001</v>
      </c>
      <c r="H838" s="5">
        <f>4320 / 86400</f>
        <v>0.05</v>
      </c>
      <c r="I838" t="s">
        <v>81</v>
      </c>
      <c r="J838" t="s">
        <v>31</v>
      </c>
      <c r="K838" s="5">
        <f>10469 / 86400</f>
        <v>0.12116898148148147</v>
      </c>
      <c r="L838" s="5">
        <f>47 / 86400</f>
        <v>5.4398148148148144E-4</v>
      </c>
    </row>
    <row r="839" spans="1:12" x14ac:dyDescent="0.25">
      <c r="A839" s="3">
        <v>45693.800381944442</v>
      </c>
      <c r="B839" t="s">
        <v>77</v>
      </c>
      <c r="C839" s="3">
        <v>45693.906990740739</v>
      </c>
      <c r="D839" t="s">
        <v>338</v>
      </c>
      <c r="E839" s="4">
        <v>42.360999999999997</v>
      </c>
      <c r="F839" s="4">
        <v>350945.62400000001</v>
      </c>
      <c r="G839" s="4">
        <v>350987.98499999999</v>
      </c>
      <c r="H839" s="5">
        <f>3710 / 86400</f>
        <v>4.2939814814814813E-2</v>
      </c>
      <c r="I839" t="s">
        <v>47</v>
      </c>
      <c r="J839" t="s">
        <v>28</v>
      </c>
      <c r="K839" s="5">
        <f>9210 / 86400</f>
        <v>0.10659722222222222</v>
      </c>
      <c r="L839" s="5">
        <f>624 / 86400</f>
        <v>7.2222222222222219E-3</v>
      </c>
    </row>
    <row r="840" spans="1:12" x14ac:dyDescent="0.25">
      <c r="A840" s="3">
        <v>45693.914212962962</v>
      </c>
      <c r="B840" t="s">
        <v>338</v>
      </c>
      <c r="C840" s="3">
        <v>45693.917592592596</v>
      </c>
      <c r="D840" t="s">
        <v>83</v>
      </c>
      <c r="E840" s="4">
        <v>0.85499999999999998</v>
      </c>
      <c r="F840" s="4">
        <v>350987.98499999999</v>
      </c>
      <c r="G840" s="4">
        <v>350988.84</v>
      </c>
      <c r="H840" s="5">
        <f>79 / 86400</f>
        <v>9.1435185185185185E-4</v>
      </c>
      <c r="I840" t="s">
        <v>231</v>
      </c>
      <c r="J840" t="s">
        <v>154</v>
      </c>
      <c r="K840" s="5">
        <f>291 / 86400</f>
        <v>3.3680555555555556E-3</v>
      </c>
      <c r="L840" s="5">
        <f>7119 / 86400</f>
        <v>8.2395833333333335E-2</v>
      </c>
    </row>
    <row r="841" spans="1:12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 spans="1:12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 spans="1:12" s="10" customFormat="1" ht="20.100000000000001" customHeight="1" x14ac:dyDescent="0.35">
      <c r="A843" s="12" t="s">
        <v>432</v>
      </c>
      <c r="B843" s="12"/>
      <c r="C843" s="12"/>
      <c r="D843" s="12"/>
      <c r="E843" s="12"/>
      <c r="F843" s="12"/>
      <c r="G843" s="12"/>
      <c r="H843" s="12"/>
      <c r="I843" s="12"/>
      <c r="J843" s="12"/>
    </row>
    <row r="844" spans="1:12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 spans="1:12" ht="30" x14ac:dyDescent="0.25">
      <c r="A845" s="2" t="s">
        <v>6</v>
      </c>
      <c r="B845" s="2" t="s">
        <v>7</v>
      </c>
      <c r="C845" s="2" t="s">
        <v>8</v>
      </c>
      <c r="D845" s="2" t="s">
        <v>9</v>
      </c>
      <c r="E845" s="2" t="s">
        <v>10</v>
      </c>
      <c r="F845" s="2" t="s">
        <v>11</v>
      </c>
      <c r="G845" s="2" t="s">
        <v>12</v>
      </c>
      <c r="H845" s="2" t="s">
        <v>13</v>
      </c>
      <c r="I845" s="2" t="s">
        <v>14</v>
      </c>
      <c r="J845" s="2" t="s">
        <v>15</v>
      </c>
      <c r="K845" s="2" t="s">
        <v>16</v>
      </c>
      <c r="L845" s="2" t="s">
        <v>17</v>
      </c>
    </row>
    <row r="846" spans="1:12" x14ac:dyDescent="0.25">
      <c r="A846" s="3">
        <v>45693.222442129627</v>
      </c>
      <c r="B846" t="s">
        <v>84</v>
      </c>
      <c r="C846" s="3">
        <v>45693.22284722222</v>
      </c>
      <c r="D846" t="s">
        <v>84</v>
      </c>
      <c r="E846" s="4">
        <v>0</v>
      </c>
      <c r="F846" s="4">
        <v>409706.90399999998</v>
      </c>
      <c r="G846" s="4">
        <v>409706.90399999998</v>
      </c>
      <c r="H846" s="5">
        <f>19 / 86400</f>
        <v>2.199074074074074E-4</v>
      </c>
      <c r="I846" t="s">
        <v>124</v>
      </c>
      <c r="J846" t="s">
        <v>124</v>
      </c>
      <c r="K846" s="5">
        <f>35 / 86400</f>
        <v>4.0509259259259258E-4</v>
      </c>
      <c r="L846" s="5">
        <f>19258 / 86400</f>
        <v>0.22289351851851852</v>
      </c>
    </row>
    <row r="847" spans="1:12" x14ac:dyDescent="0.25">
      <c r="A847" s="3">
        <v>45693.223298611112</v>
      </c>
      <c r="B847" t="s">
        <v>84</v>
      </c>
      <c r="C847" s="3">
        <v>45693.461956018524</v>
      </c>
      <c r="D847" t="s">
        <v>148</v>
      </c>
      <c r="E847" s="4">
        <v>87.064999999999998</v>
      </c>
      <c r="F847" s="4">
        <v>409706.90399999998</v>
      </c>
      <c r="G847" s="4">
        <v>409793.96899999998</v>
      </c>
      <c r="H847" s="5">
        <f>7480 / 86400</f>
        <v>8.6574074074074067E-2</v>
      </c>
      <c r="I847" t="s">
        <v>54</v>
      </c>
      <c r="J847" t="s">
        <v>35</v>
      </c>
      <c r="K847" s="5">
        <f>20620 / 86400</f>
        <v>0.2386574074074074</v>
      </c>
      <c r="L847" s="5">
        <f>296 / 86400</f>
        <v>3.425925925925926E-3</v>
      </c>
    </row>
    <row r="848" spans="1:12" x14ac:dyDescent="0.25">
      <c r="A848" s="3">
        <v>45693.465381944443</v>
      </c>
      <c r="B848" t="s">
        <v>73</v>
      </c>
      <c r="C848" s="3">
        <v>45693.46837962963</v>
      </c>
      <c r="D848" t="s">
        <v>137</v>
      </c>
      <c r="E848" s="4">
        <v>0.58699999999999997</v>
      </c>
      <c r="F848" s="4">
        <v>409793.96899999998</v>
      </c>
      <c r="G848" s="4">
        <v>409794.55599999998</v>
      </c>
      <c r="H848" s="5">
        <f>119 / 86400</f>
        <v>1.3773148148148147E-3</v>
      </c>
      <c r="I848" t="s">
        <v>169</v>
      </c>
      <c r="J848" t="s">
        <v>119</v>
      </c>
      <c r="K848" s="5">
        <f>259 / 86400</f>
        <v>2.9976851851851853E-3</v>
      </c>
      <c r="L848" s="5">
        <f>1814 / 86400</f>
        <v>2.0995370370370369E-2</v>
      </c>
    </row>
    <row r="849" spans="1:12" x14ac:dyDescent="0.25">
      <c r="A849" s="3">
        <v>45693.489375000005</v>
      </c>
      <c r="B849" t="s">
        <v>137</v>
      </c>
      <c r="C849" s="3">
        <v>45693.492106481484</v>
      </c>
      <c r="D849" t="s">
        <v>118</v>
      </c>
      <c r="E849" s="4">
        <v>0.73599999999999999</v>
      </c>
      <c r="F849" s="4">
        <v>409794.55599999998</v>
      </c>
      <c r="G849" s="4">
        <v>409795.29200000002</v>
      </c>
      <c r="H849" s="5">
        <f>0 / 86400</f>
        <v>0</v>
      </c>
      <c r="I849" t="s">
        <v>172</v>
      </c>
      <c r="J849" t="s">
        <v>154</v>
      </c>
      <c r="K849" s="5">
        <f>236 / 86400</f>
        <v>2.7314814814814814E-3</v>
      </c>
      <c r="L849" s="5">
        <f>1484 / 86400</f>
        <v>1.7175925925925924E-2</v>
      </c>
    </row>
    <row r="850" spans="1:12" x14ac:dyDescent="0.25">
      <c r="A850" s="3">
        <v>45693.509282407409</v>
      </c>
      <c r="B850" t="s">
        <v>118</v>
      </c>
      <c r="C850" s="3">
        <v>45693.781319444446</v>
      </c>
      <c r="D850" t="s">
        <v>84</v>
      </c>
      <c r="E850" s="4">
        <v>112.94</v>
      </c>
      <c r="F850" s="4">
        <v>409795.29200000002</v>
      </c>
      <c r="G850" s="4">
        <v>409908.23200000002</v>
      </c>
      <c r="H850" s="5">
        <f>7718 / 86400</f>
        <v>8.9328703703703702E-2</v>
      </c>
      <c r="I850" t="s">
        <v>141</v>
      </c>
      <c r="J850" t="s">
        <v>28</v>
      </c>
      <c r="K850" s="5">
        <f>23503 / 86400</f>
        <v>0.27202546296296298</v>
      </c>
      <c r="L850" s="5">
        <f>18893 / 86400</f>
        <v>0.21866898148148148</v>
      </c>
    </row>
    <row r="851" spans="1:12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 spans="1:12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 spans="1:12" s="10" customFormat="1" ht="20.100000000000001" customHeight="1" x14ac:dyDescent="0.35">
      <c r="A853" s="12" t="s">
        <v>433</v>
      </c>
      <c r="B853" s="12"/>
      <c r="C853" s="12"/>
      <c r="D853" s="12"/>
      <c r="E853" s="12"/>
      <c r="F853" s="12"/>
      <c r="G853" s="12"/>
      <c r="H853" s="12"/>
      <c r="I853" s="12"/>
      <c r="J853" s="12"/>
    </row>
    <row r="854" spans="1:12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 spans="1:12" ht="30" x14ac:dyDescent="0.25">
      <c r="A855" s="2" t="s">
        <v>6</v>
      </c>
      <c r="B855" s="2" t="s">
        <v>7</v>
      </c>
      <c r="C855" s="2" t="s">
        <v>8</v>
      </c>
      <c r="D855" s="2" t="s">
        <v>9</v>
      </c>
      <c r="E855" s="2" t="s">
        <v>10</v>
      </c>
      <c r="F855" s="2" t="s">
        <v>11</v>
      </c>
      <c r="G855" s="2" t="s">
        <v>12</v>
      </c>
      <c r="H855" s="2" t="s">
        <v>13</v>
      </c>
      <c r="I855" s="2" t="s">
        <v>14</v>
      </c>
      <c r="J855" s="2" t="s">
        <v>15</v>
      </c>
      <c r="K855" s="2" t="s">
        <v>16</v>
      </c>
      <c r="L855" s="2" t="s">
        <v>17</v>
      </c>
    </row>
    <row r="856" spans="1:12" x14ac:dyDescent="0.25">
      <c r="A856" s="3">
        <v>45693.151273148149</v>
      </c>
      <c r="B856" t="s">
        <v>29</v>
      </c>
      <c r="C856" s="3">
        <v>45693.221736111111</v>
      </c>
      <c r="D856" t="s">
        <v>327</v>
      </c>
      <c r="E856" s="4">
        <v>34.576000000000001</v>
      </c>
      <c r="F856" s="4">
        <v>440530.41600000003</v>
      </c>
      <c r="G856" s="4">
        <v>440564.99200000003</v>
      </c>
      <c r="H856" s="5">
        <f>1159 / 86400</f>
        <v>1.3414351851851853E-2</v>
      </c>
      <c r="I856" t="s">
        <v>147</v>
      </c>
      <c r="J856" t="s">
        <v>128</v>
      </c>
      <c r="K856" s="5">
        <f>6088 / 86400</f>
        <v>7.0462962962962963E-2</v>
      </c>
      <c r="L856" s="5">
        <f>13557 / 86400</f>
        <v>0.15690972222222221</v>
      </c>
    </row>
    <row r="857" spans="1:12" x14ac:dyDescent="0.25">
      <c r="A857" s="3">
        <v>45693.227372685185</v>
      </c>
      <c r="B857" t="s">
        <v>327</v>
      </c>
      <c r="C857" s="3">
        <v>45693.338344907403</v>
      </c>
      <c r="D857" t="s">
        <v>137</v>
      </c>
      <c r="E857" s="4">
        <v>50.296999999999997</v>
      </c>
      <c r="F857" s="4">
        <v>440564.99200000003</v>
      </c>
      <c r="G857" s="4">
        <v>440615.28899999999</v>
      </c>
      <c r="H857" s="5">
        <f>2580 / 86400</f>
        <v>2.9861111111111113E-2</v>
      </c>
      <c r="I857" t="s">
        <v>147</v>
      </c>
      <c r="J857" t="s">
        <v>37</v>
      </c>
      <c r="K857" s="5">
        <f>9587 / 86400</f>
        <v>0.11096064814814814</v>
      </c>
      <c r="L857" s="5">
        <f>160 / 86400</f>
        <v>1.8518518518518519E-3</v>
      </c>
    </row>
    <row r="858" spans="1:12" x14ac:dyDescent="0.25">
      <c r="A858" s="3">
        <v>45693.340196759258</v>
      </c>
      <c r="B858" t="s">
        <v>137</v>
      </c>
      <c r="C858" s="3">
        <v>45693.34211805556</v>
      </c>
      <c r="D858" t="s">
        <v>118</v>
      </c>
      <c r="E858" s="4">
        <v>0.72299999999999998</v>
      </c>
      <c r="F858" s="4">
        <v>440615.28899999999</v>
      </c>
      <c r="G858" s="4">
        <v>440616.01199999999</v>
      </c>
      <c r="H858" s="5">
        <f>0 / 86400</f>
        <v>0</v>
      </c>
      <c r="I858" t="s">
        <v>156</v>
      </c>
      <c r="J858" t="s">
        <v>31</v>
      </c>
      <c r="K858" s="5">
        <f>165 / 86400</f>
        <v>1.9097222222222222E-3</v>
      </c>
      <c r="L858" s="5">
        <f>1299 / 86400</f>
        <v>1.5034722222222222E-2</v>
      </c>
    </row>
    <row r="859" spans="1:12" x14ac:dyDescent="0.25">
      <c r="A859" s="3">
        <v>45693.357152777782</v>
      </c>
      <c r="B859" t="s">
        <v>118</v>
      </c>
      <c r="C859" s="3">
        <v>45693.361111111109</v>
      </c>
      <c r="D859" t="s">
        <v>73</v>
      </c>
      <c r="E859" s="4">
        <v>1.3360000000000001</v>
      </c>
      <c r="F859" s="4">
        <v>440616.01199999999</v>
      </c>
      <c r="G859" s="4">
        <v>440617.348</v>
      </c>
      <c r="H859" s="5">
        <f>20 / 86400</f>
        <v>2.3148148148148149E-4</v>
      </c>
      <c r="I859" t="s">
        <v>153</v>
      </c>
      <c r="J859" t="s">
        <v>52</v>
      </c>
      <c r="K859" s="5">
        <f>342 / 86400</f>
        <v>3.9583333333333337E-3</v>
      </c>
      <c r="L859" s="5">
        <f>252 / 86400</f>
        <v>2.9166666666666668E-3</v>
      </c>
    </row>
    <row r="860" spans="1:12" x14ac:dyDescent="0.25">
      <c r="A860" s="3">
        <v>45693.364027777774</v>
      </c>
      <c r="B860" t="s">
        <v>73</v>
      </c>
      <c r="C860" s="3">
        <v>45693.483217592591</v>
      </c>
      <c r="D860" t="s">
        <v>146</v>
      </c>
      <c r="E860" s="4">
        <v>50.658999999999999</v>
      </c>
      <c r="F860" s="4">
        <v>440617.348</v>
      </c>
      <c r="G860" s="4">
        <v>440668.00699999998</v>
      </c>
      <c r="H860" s="5">
        <f>2960 / 86400</f>
        <v>3.425925925925926E-2</v>
      </c>
      <c r="I860" t="s">
        <v>81</v>
      </c>
      <c r="J860" t="s">
        <v>24</v>
      </c>
      <c r="K860" s="5">
        <f>10298 / 86400</f>
        <v>0.11918981481481482</v>
      </c>
      <c r="L860" s="5">
        <f>3763 / 86400</f>
        <v>4.355324074074074E-2</v>
      </c>
    </row>
    <row r="861" spans="1:12" x14ac:dyDescent="0.25">
      <c r="A861" s="3">
        <v>45693.526770833334</v>
      </c>
      <c r="B861" t="s">
        <v>146</v>
      </c>
      <c r="C861" s="3">
        <v>45693.640787037039</v>
      </c>
      <c r="D861" t="s">
        <v>99</v>
      </c>
      <c r="E861" s="4">
        <v>36.686</v>
      </c>
      <c r="F861" s="4">
        <v>440668.00699999998</v>
      </c>
      <c r="G861" s="4">
        <v>440704.69300000003</v>
      </c>
      <c r="H861" s="5">
        <f>4201 / 86400</f>
        <v>4.8622685185185185E-2</v>
      </c>
      <c r="I861" t="s">
        <v>30</v>
      </c>
      <c r="J861" t="s">
        <v>55</v>
      </c>
      <c r="K861" s="5">
        <f>9850 / 86400</f>
        <v>0.11400462962962964</v>
      </c>
      <c r="L861" s="5">
        <f>865 / 86400</f>
        <v>1.0011574074074074E-2</v>
      </c>
    </row>
    <row r="862" spans="1:12" x14ac:dyDescent="0.25">
      <c r="A862" s="3">
        <v>45693.65079861111</v>
      </c>
      <c r="B862" t="s">
        <v>374</v>
      </c>
      <c r="C862" s="3">
        <v>45693.6875</v>
      </c>
      <c r="D862" t="s">
        <v>89</v>
      </c>
      <c r="E862" s="4">
        <v>16.248999999999999</v>
      </c>
      <c r="F862" s="4">
        <v>440704.69300000003</v>
      </c>
      <c r="G862" s="4">
        <v>440720.94199999998</v>
      </c>
      <c r="H862" s="5">
        <f>859 / 86400</f>
        <v>9.9421296296296289E-3</v>
      </c>
      <c r="I862" t="s">
        <v>283</v>
      </c>
      <c r="J862" t="s">
        <v>24</v>
      </c>
      <c r="K862" s="5">
        <f>3170 / 86400</f>
        <v>3.6689814814814814E-2</v>
      </c>
      <c r="L862" s="5">
        <f>423 / 86400</f>
        <v>4.8958333333333336E-3</v>
      </c>
    </row>
    <row r="863" spans="1:12" x14ac:dyDescent="0.25">
      <c r="A863" s="3">
        <v>45693.692395833335</v>
      </c>
      <c r="B863" t="s">
        <v>89</v>
      </c>
      <c r="C863" s="3">
        <v>45693.692719907413</v>
      </c>
      <c r="D863" t="s">
        <v>89</v>
      </c>
      <c r="E863" s="4">
        <v>2.3E-2</v>
      </c>
      <c r="F863" s="4">
        <v>440720.94199999998</v>
      </c>
      <c r="G863" s="4">
        <v>440720.96500000003</v>
      </c>
      <c r="H863" s="5">
        <f>0 / 86400</f>
        <v>0</v>
      </c>
      <c r="I863" t="s">
        <v>132</v>
      </c>
      <c r="J863" t="s">
        <v>149</v>
      </c>
      <c r="K863" s="5">
        <f>27 / 86400</f>
        <v>3.1250000000000001E-4</v>
      </c>
      <c r="L863" s="5">
        <f>1929 / 86400</f>
        <v>2.2326388888888889E-2</v>
      </c>
    </row>
    <row r="864" spans="1:12" x14ac:dyDescent="0.25">
      <c r="A864" s="3">
        <v>45693.715046296296</v>
      </c>
      <c r="B864" t="s">
        <v>89</v>
      </c>
      <c r="C864" s="3">
        <v>45693.789247685185</v>
      </c>
      <c r="D864" t="s">
        <v>162</v>
      </c>
      <c r="E864" s="4">
        <v>40.113</v>
      </c>
      <c r="F864" s="4">
        <v>440720.96500000003</v>
      </c>
      <c r="G864" s="4">
        <v>440761.07799999998</v>
      </c>
      <c r="H864" s="5">
        <f>1300 / 86400</f>
        <v>1.5046296296296295E-2</v>
      </c>
      <c r="I864" t="s">
        <v>81</v>
      </c>
      <c r="J864" t="s">
        <v>150</v>
      </c>
      <c r="K864" s="5">
        <f>6410 / 86400</f>
        <v>7.418981481481482E-2</v>
      </c>
      <c r="L864" s="5">
        <f>184 / 86400</f>
        <v>2.1296296296296298E-3</v>
      </c>
    </row>
    <row r="865" spans="1:12" x14ac:dyDescent="0.25">
      <c r="A865" s="3">
        <v>45693.791377314818</v>
      </c>
      <c r="B865" t="s">
        <v>162</v>
      </c>
      <c r="C865" s="3">
        <v>45693.799108796295</v>
      </c>
      <c r="D865" t="s">
        <v>29</v>
      </c>
      <c r="E865" s="4">
        <v>2.012</v>
      </c>
      <c r="F865" s="4">
        <v>440761.07799999998</v>
      </c>
      <c r="G865" s="4">
        <v>440763.09</v>
      </c>
      <c r="H865" s="5">
        <f>160 / 86400</f>
        <v>1.8518518518518519E-3</v>
      </c>
      <c r="I865" t="s">
        <v>85</v>
      </c>
      <c r="J865" t="s">
        <v>154</v>
      </c>
      <c r="K865" s="5">
        <f>668 / 86400</f>
        <v>7.7314814814814815E-3</v>
      </c>
      <c r="L865" s="5">
        <f>17356 / 86400</f>
        <v>0.20087962962962963</v>
      </c>
    </row>
    <row r="866" spans="1:12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 spans="1:12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 spans="1:12" s="10" customFormat="1" ht="20.100000000000001" customHeight="1" x14ac:dyDescent="0.35">
      <c r="A868" s="12" t="s">
        <v>434</v>
      </c>
      <c r="B868" s="12"/>
      <c r="C868" s="12"/>
      <c r="D868" s="12"/>
      <c r="E868" s="12"/>
      <c r="F868" s="12"/>
      <c r="G868" s="12"/>
      <c r="H868" s="12"/>
      <c r="I868" s="12"/>
      <c r="J868" s="12"/>
    </row>
    <row r="869" spans="1:12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 spans="1:12" ht="30" x14ac:dyDescent="0.25">
      <c r="A870" s="2" t="s">
        <v>6</v>
      </c>
      <c r="B870" s="2" t="s">
        <v>7</v>
      </c>
      <c r="C870" s="2" t="s">
        <v>8</v>
      </c>
      <c r="D870" s="2" t="s">
        <v>9</v>
      </c>
      <c r="E870" s="2" t="s">
        <v>10</v>
      </c>
      <c r="F870" s="2" t="s">
        <v>11</v>
      </c>
      <c r="G870" s="2" t="s">
        <v>12</v>
      </c>
      <c r="H870" s="2" t="s">
        <v>13</v>
      </c>
      <c r="I870" s="2" t="s">
        <v>14</v>
      </c>
      <c r="J870" s="2" t="s">
        <v>15</v>
      </c>
      <c r="K870" s="2" t="s">
        <v>16</v>
      </c>
      <c r="L870" s="2" t="s">
        <v>17</v>
      </c>
    </row>
    <row r="871" spans="1:12" x14ac:dyDescent="0.25">
      <c r="A871" s="3">
        <v>45693.316504629634</v>
      </c>
      <c r="B871" t="s">
        <v>83</v>
      </c>
      <c r="C871" s="3">
        <v>45693.32813657407</v>
      </c>
      <c r="D871" t="s">
        <v>272</v>
      </c>
      <c r="E871" s="4">
        <v>3.4079999999999999</v>
      </c>
      <c r="F871" s="4">
        <v>473018.02899999998</v>
      </c>
      <c r="G871" s="4">
        <v>473021.43699999998</v>
      </c>
      <c r="H871" s="5">
        <f>339 / 86400</f>
        <v>3.9236111111111112E-3</v>
      </c>
      <c r="I871" t="s">
        <v>85</v>
      </c>
      <c r="J871" t="s">
        <v>59</v>
      </c>
      <c r="K871" s="5">
        <f>1004 / 86400</f>
        <v>1.1620370370370371E-2</v>
      </c>
      <c r="L871" s="5">
        <f>27425 / 86400</f>
        <v>0.31741898148148145</v>
      </c>
    </row>
    <row r="872" spans="1:12" x14ac:dyDescent="0.25">
      <c r="A872" s="3">
        <v>45693.329050925924</v>
      </c>
      <c r="B872" t="s">
        <v>272</v>
      </c>
      <c r="C872" s="3">
        <v>45693.332974537036</v>
      </c>
      <c r="D872" t="s">
        <v>148</v>
      </c>
      <c r="E872" s="4">
        <v>1.1679999999999999</v>
      </c>
      <c r="F872" s="4">
        <v>473021.43699999998</v>
      </c>
      <c r="G872" s="4">
        <v>473022.60499999998</v>
      </c>
      <c r="H872" s="5">
        <f>60 / 86400</f>
        <v>6.9444444444444447E-4</v>
      </c>
      <c r="I872" t="s">
        <v>136</v>
      </c>
      <c r="J872" t="s">
        <v>59</v>
      </c>
      <c r="K872" s="5">
        <f>338 / 86400</f>
        <v>3.9120370370370368E-3</v>
      </c>
      <c r="L872" s="5">
        <f>1246 / 86400</f>
        <v>1.4421296296296297E-2</v>
      </c>
    </row>
    <row r="873" spans="1:12" x14ac:dyDescent="0.25">
      <c r="A873" s="3">
        <v>45693.347395833334</v>
      </c>
      <c r="B873" t="s">
        <v>148</v>
      </c>
      <c r="C873" s="3">
        <v>45693.348692129628</v>
      </c>
      <c r="D873" t="s">
        <v>148</v>
      </c>
      <c r="E873" s="4">
        <v>1.0999999999999999E-2</v>
      </c>
      <c r="F873" s="4">
        <v>473022.60499999998</v>
      </c>
      <c r="G873" s="4">
        <v>473022.61599999998</v>
      </c>
      <c r="H873" s="5">
        <f>79 / 86400</f>
        <v>9.1435185185185185E-4</v>
      </c>
      <c r="I873" t="s">
        <v>149</v>
      </c>
      <c r="J873" t="s">
        <v>124</v>
      </c>
      <c r="K873" s="5">
        <f>111 / 86400</f>
        <v>1.2847222222222223E-3</v>
      </c>
      <c r="L873" s="5">
        <f>154 / 86400</f>
        <v>1.7824074074074075E-3</v>
      </c>
    </row>
    <row r="874" spans="1:12" x14ac:dyDescent="0.25">
      <c r="A874" s="3">
        <v>45693.350474537037</v>
      </c>
      <c r="B874" t="s">
        <v>148</v>
      </c>
      <c r="C874" s="3">
        <v>45693.357361111106</v>
      </c>
      <c r="D874" t="s">
        <v>148</v>
      </c>
      <c r="E874" s="4">
        <v>0.54</v>
      </c>
      <c r="F874" s="4">
        <v>473022.61599999998</v>
      </c>
      <c r="G874" s="4">
        <v>473023.15600000002</v>
      </c>
      <c r="H874" s="5">
        <f>359 / 86400</f>
        <v>4.1550925925925922E-3</v>
      </c>
      <c r="I874" t="s">
        <v>35</v>
      </c>
      <c r="J874" t="s">
        <v>149</v>
      </c>
      <c r="K874" s="5">
        <f>595 / 86400</f>
        <v>6.8865740740740745E-3</v>
      </c>
      <c r="L874" s="5">
        <f>1292 / 86400</f>
        <v>1.4953703703703703E-2</v>
      </c>
    </row>
    <row r="875" spans="1:12" x14ac:dyDescent="0.25">
      <c r="A875" s="3">
        <v>45693.372314814813</v>
      </c>
      <c r="B875" t="s">
        <v>148</v>
      </c>
      <c r="C875" s="3">
        <v>45693.372812500005</v>
      </c>
      <c r="D875" t="s">
        <v>148</v>
      </c>
      <c r="E875" s="4">
        <v>0</v>
      </c>
      <c r="F875" s="4">
        <v>473023.15600000002</v>
      </c>
      <c r="G875" s="4">
        <v>473023.15600000002</v>
      </c>
      <c r="H875" s="5">
        <f>39 / 86400</f>
        <v>4.5138888888888887E-4</v>
      </c>
      <c r="I875" t="s">
        <v>124</v>
      </c>
      <c r="J875" t="s">
        <v>124</v>
      </c>
      <c r="K875" s="5">
        <f>43 / 86400</f>
        <v>4.9768518518518521E-4</v>
      </c>
      <c r="L875" s="5">
        <f>1657 / 86400</f>
        <v>1.9178240740740742E-2</v>
      </c>
    </row>
    <row r="876" spans="1:12" x14ac:dyDescent="0.25">
      <c r="A876" s="3">
        <v>45693.39199074074</v>
      </c>
      <c r="B876" t="s">
        <v>148</v>
      </c>
      <c r="C876" s="3">
        <v>45693.393449074079</v>
      </c>
      <c r="D876" t="s">
        <v>148</v>
      </c>
      <c r="E876" s="4">
        <v>0</v>
      </c>
      <c r="F876" s="4">
        <v>473023.15600000002</v>
      </c>
      <c r="G876" s="4">
        <v>473023.15600000002</v>
      </c>
      <c r="H876" s="5">
        <f>119 / 86400</f>
        <v>1.3773148148148147E-3</v>
      </c>
      <c r="I876" t="s">
        <v>124</v>
      </c>
      <c r="J876" t="s">
        <v>124</v>
      </c>
      <c r="K876" s="5">
        <f>126 / 86400</f>
        <v>1.4583333333333334E-3</v>
      </c>
      <c r="L876" s="5">
        <f>162 / 86400</f>
        <v>1.8749999999999999E-3</v>
      </c>
    </row>
    <row r="877" spans="1:12" x14ac:dyDescent="0.25">
      <c r="A877" s="3">
        <v>45693.395324074074</v>
      </c>
      <c r="B877" t="s">
        <v>148</v>
      </c>
      <c r="C877" s="3">
        <v>45693.395497685182</v>
      </c>
      <c r="D877" t="s">
        <v>148</v>
      </c>
      <c r="E877" s="4">
        <v>0</v>
      </c>
      <c r="F877" s="4">
        <v>473023.15600000002</v>
      </c>
      <c r="G877" s="4">
        <v>473023.15600000002</v>
      </c>
      <c r="H877" s="5">
        <f>0 / 86400</f>
        <v>0</v>
      </c>
      <c r="I877" t="s">
        <v>124</v>
      </c>
      <c r="J877" t="s">
        <v>124</v>
      </c>
      <c r="K877" s="5">
        <f>15 / 86400</f>
        <v>1.7361111111111112E-4</v>
      </c>
      <c r="L877" s="5">
        <f>12847 / 86400</f>
        <v>0.14869212962962963</v>
      </c>
    </row>
    <row r="878" spans="1:12" x14ac:dyDescent="0.25">
      <c r="A878" s="3">
        <v>45693.544189814813</v>
      </c>
      <c r="B878" t="s">
        <v>148</v>
      </c>
      <c r="C878" s="3">
        <v>45693.547789351855</v>
      </c>
      <c r="D878" t="s">
        <v>148</v>
      </c>
      <c r="E878" s="4">
        <v>2.1000000000000001E-2</v>
      </c>
      <c r="F878" s="4">
        <v>473023.15600000002</v>
      </c>
      <c r="G878" s="4">
        <v>473023.17700000003</v>
      </c>
      <c r="H878" s="5">
        <f>259 / 86400</f>
        <v>2.9976851851851853E-3</v>
      </c>
      <c r="I878" t="s">
        <v>149</v>
      </c>
      <c r="J878" t="s">
        <v>124</v>
      </c>
      <c r="K878" s="5">
        <f>310 / 86400</f>
        <v>3.5879629629629629E-3</v>
      </c>
      <c r="L878" s="5">
        <f>21646 / 86400</f>
        <v>0.2505324074074074</v>
      </c>
    </row>
    <row r="879" spans="1:12" x14ac:dyDescent="0.25">
      <c r="A879" s="3">
        <v>45693.798321759255</v>
      </c>
      <c r="B879" t="s">
        <v>148</v>
      </c>
      <c r="C879" s="3">
        <v>45693.811249999999</v>
      </c>
      <c r="D879" t="s">
        <v>148</v>
      </c>
      <c r="E879" s="4">
        <v>0</v>
      </c>
      <c r="F879" s="4">
        <v>473023.17700000003</v>
      </c>
      <c r="G879" s="4">
        <v>473023.17700000003</v>
      </c>
      <c r="H879" s="5">
        <f>1099 / 86400</f>
        <v>1.2719907407407407E-2</v>
      </c>
      <c r="I879" t="s">
        <v>124</v>
      </c>
      <c r="J879" t="s">
        <v>124</v>
      </c>
      <c r="K879" s="5">
        <f>1116 / 86400</f>
        <v>1.2916666666666667E-2</v>
      </c>
      <c r="L879" s="5">
        <f>24 / 86400</f>
        <v>2.7777777777777778E-4</v>
      </c>
    </row>
    <row r="880" spans="1:12" x14ac:dyDescent="0.25">
      <c r="A880" s="3">
        <v>45693.811527777776</v>
      </c>
      <c r="B880" t="s">
        <v>148</v>
      </c>
      <c r="C880" s="3">
        <v>45693.814988425926</v>
      </c>
      <c r="D880" t="s">
        <v>148</v>
      </c>
      <c r="E880" s="4">
        <v>3.4000000000000002E-2</v>
      </c>
      <c r="F880" s="4">
        <v>473023.17700000003</v>
      </c>
      <c r="G880" s="4">
        <v>473023.21100000001</v>
      </c>
      <c r="H880" s="5">
        <f>239 / 86400</f>
        <v>2.7662037037037039E-3</v>
      </c>
      <c r="I880" t="s">
        <v>260</v>
      </c>
      <c r="J880" t="s">
        <v>124</v>
      </c>
      <c r="K880" s="5">
        <f>299 / 86400</f>
        <v>3.460648148148148E-3</v>
      </c>
      <c r="L880" s="5">
        <f>39 / 86400</f>
        <v>4.5138888888888887E-4</v>
      </c>
    </row>
    <row r="881" spans="1:12" x14ac:dyDescent="0.25">
      <c r="A881" s="3">
        <v>45693.815439814818</v>
      </c>
      <c r="B881" t="s">
        <v>148</v>
      </c>
      <c r="C881" s="3">
        <v>45693.828275462962</v>
      </c>
      <c r="D881" t="s">
        <v>42</v>
      </c>
      <c r="E881" s="4">
        <v>1.0329999999999999</v>
      </c>
      <c r="F881" s="4">
        <v>473023.21100000001</v>
      </c>
      <c r="G881" s="4">
        <v>473024.24400000001</v>
      </c>
      <c r="H881" s="5">
        <f>799 / 86400</f>
        <v>9.2476851851851852E-3</v>
      </c>
      <c r="I881" t="s">
        <v>195</v>
      </c>
      <c r="J881" t="s">
        <v>149</v>
      </c>
      <c r="K881" s="5">
        <f>1109 / 86400</f>
        <v>1.2835648148148148E-2</v>
      </c>
      <c r="L881" s="5">
        <f>14836 / 86400</f>
        <v>0.17171296296296296</v>
      </c>
    </row>
    <row r="882" spans="1:12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 spans="1:12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 spans="1:12" s="10" customFormat="1" ht="20.100000000000001" customHeight="1" x14ac:dyDescent="0.35">
      <c r="A884" s="12" t="s">
        <v>435</v>
      </c>
      <c r="B884" s="12"/>
      <c r="C884" s="12"/>
      <c r="D884" s="12"/>
      <c r="E884" s="12"/>
      <c r="F884" s="12"/>
      <c r="G884" s="12"/>
      <c r="H884" s="12"/>
      <c r="I884" s="12"/>
      <c r="J884" s="12"/>
    </row>
    <row r="885" spans="1:12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 spans="1:12" ht="30" x14ac:dyDescent="0.25">
      <c r="A886" s="2" t="s">
        <v>6</v>
      </c>
      <c r="B886" s="2" t="s">
        <v>7</v>
      </c>
      <c r="C886" s="2" t="s">
        <v>8</v>
      </c>
      <c r="D886" s="2" t="s">
        <v>9</v>
      </c>
      <c r="E886" s="2" t="s">
        <v>10</v>
      </c>
      <c r="F886" s="2" t="s">
        <v>11</v>
      </c>
      <c r="G886" s="2" t="s">
        <v>12</v>
      </c>
      <c r="H886" s="2" t="s">
        <v>13</v>
      </c>
      <c r="I886" s="2" t="s">
        <v>14</v>
      </c>
      <c r="J886" s="2" t="s">
        <v>15</v>
      </c>
      <c r="K886" s="2" t="s">
        <v>16</v>
      </c>
      <c r="L886" s="2" t="s">
        <v>17</v>
      </c>
    </row>
    <row r="887" spans="1:12" x14ac:dyDescent="0.25">
      <c r="A887" s="3">
        <v>45693.112754629634</v>
      </c>
      <c r="B887" t="s">
        <v>80</v>
      </c>
      <c r="C887" s="3">
        <v>45693.114537037036</v>
      </c>
      <c r="D887" t="s">
        <v>80</v>
      </c>
      <c r="E887" s="4">
        <v>0.03</v>
      </c>
      <c r="F887" s="4">
        <v>412046.79300000001</v>
      </c>
      <c r="G887" s="4">
        <v>412046.82299999997</v>
      </c>
      <c r="H887" s="5">
        <f>119 / 86400</f>
        <v>1.3773148148148147E-3</v>
      </c>
      <c r="I887" t="s">
        <v>119</v>
      </c>
      <c r="J887" t="s">
        <v>116</v>
      </c>
      <c r="K887" s="5">
        <f>154 / 86400</f>
        <v>1.7824074074074075E-3</v>
      </c>
      <c r="L887" s="5">
        <f>10760 / 86400</f>
        <v>0.12453703703703704</v>
      </c>
    </row>
    <row r="888" spans="1:12" x14ac:dyDescent="0.25">
      <c r="A888" s="3">
        <v>45693.126319444447</v>
      </c>
      <c r="B888" t="s">
        <v>80</v>
      </c>
      <c r="C888" s="3">
        <v>45693.190995370373</v>
      </c>
      <c r="D888" t="s">
        <v>220</v>
      </c>
      <c r="E888" s="4">
        <v>36.418999999999997</v>
      </c>
      <c r="F888" s="4">
        <v>412046.82299999997</v>
      </c>
      <c r="G888" s="4">
        <v>412083.24200000003</v>
      </c>
      <c r="H888" s="5">
        <f>1219 / 86400</f>
        <v>1.4108796296296296E-2</v>
      </c>
      <c r="I888" t="s">
        <v>43</v>
      </c>
      <c r="J888" t="s">
        <v>150</v>
      </c>
      <c r="K888" s="5">
        <f>5588 / 86400</f>
        <v>6.4675925925925928E-2</v>
      </c>
      <c r="L888" s="5">
        <f>181 / 86400</f>
        <v>2.0949074074074073E-3</v>
      </c>
    </row>
    <row r="889" spans="1:12" x14ac:dyDescent="0.25">
      <c r="A889" s="3">
        <v>45693.193090277782</v>
      </c>
      <c r="B889" t="s">
        <v>220</v>
      </c>
      <c r="C889" s="3">
        <v>45693.193437499998</v>
      </c>
      <c r="D889" t="s">
        <v>375</v>
      </c>
      <c r="E889" s="4">
        <v>2.3E-2</v>
      </c>
      <c r="F889" s="4">
        <v>412083.24200000003</v>
      </c>
      <c r="G889" s="4">
        <v>412083.26500000001</v>
      </c>
      <c r="H889" s="5">
        <f>0 / 86400</f>
        <v>0</v>
      </c>
      <c r="I889" t="s">
        <v>133</v>
      </c>
      <c r="J889" t="s">
        <v>149</v>
      </c>
      <c r="K889" s="5">
        <f>30 / 86400</f>
        <v>3.4722222222222224E-4</v>
      </c>
      <c r="L889" s="5">
        <f>705 / 86400</f>
        <v>8.1597222222222227E-3</v>
      </c>
    </row>
    <row r="890" spans="1:12" x14ac:dyDescent="0.25">
      <c r="A890" s="3">
        <v>45693.201597222222</v>
      </c>
      <c r="B890" t="s">
        <v>375</v>
      </c>
      <c r="C890" s="3">
        <v>45693.293587962966</v>
      </c>
      <c r="D890" t="s">
        <v>118</v>
      </c>
      <c r="E890" s="4">
        <v>52.262999999999998</v>
      </c>
      <c r="F890" s="4">
        <v>412083.26500000001</v>
      </c>
      <c r="G890" s="4">
        <v>412135.52799999999</v>
      </c>
      <c r="H890" s="5">
        <f>1898 / 86400</f>
        <v>2.1967592592592594E-2</v>
      </c>
      <c r="I890" t="s">
        <v>104</v>
      </c>
      <c r="J890" t="s">
        <v>156</v>
      </c>
      <c r="K890" s="5">
        <f>7947 / 86400</f>
        <v>9.1979166666666667E-2</v>
      </c>
      <c r="L890" s="5">
        <f>2983 / 86400</f>
        <v>3.4525462962962966E-2</v>
      </c>
    </row>
    <row r="891" spans="1:12" x14ac:dyDescent="0.25">
      <c r="A891" s="3">
        <v>45693.32811342593</v>
      </c>
      <c r="B891" t="s">
        <v>118</v>
      </c>
      <c r="C891" s="3">
        <v>45693.328587962962</v>
      </c>
      <c r="D891" t="s">
        <v>330</v>
      </c>
      <c r="E891" s="4">
        <v>4.3999999999999997E-2</v>
      </c>
      <c r="F891" s="4">
        <v>412135.52799999999</v>
      </c>
      <c r="G891" s="4">
        <v>412135.57199999999</v>
      </c>
      <c r="H891" s="5">
        <f>0 / 86400</f>
        <v>0</v>
      </c>
      <c r="I891" t="s">
        <v>82</v>
      </c>
      <c r="J891" t="s">
        <v>86</v>
      </c>
      <c r="K891" s="5">
        <f>40 / 86400</f>
        <v>4.6296296296296298E-4</v>
      </c>
      <c r="L891" s="5">
        <f>1626 / 86400</f>
        <v>1.8819444444444444E-2</v>
      </c>
    </row>
    <row r="892" spans="1:12" x14ac:dyDescent="0.25">
      <c r="A892" s="3">
        <v>45693.347407407404</v>
      </c>
      <c r="B892" t="s">
        <v>330</v>
      </c>
      <c r="C892" s="3">
        <v>45693.348078703704</v>
      </c>
      <c r="D892" t="s">
        <v>118</v>
      </c>
      <c r="E892" s="4">
        <v>5.5E-2</v>
      </c>
      <c r="F892" s="4">
        <v>412135.57199999999</v>
      </c>
      <c r="G892" s="4">
        <v>412135.62699999998</v>
      </c>
      <c r="H892" s="5">
        <f>19 / 86400</f>
        <v>2.199074074074074E-4</v>
      </c>
      <c r="I892" t="s">
        <v>132</v>
      </c>
      <c r="J892" t="s">
        <v>149</v>
      </c>
      <c r="K892" s="5">
        <f>57 / 86400</f>
        <v>6.5972222222222224E-4</v>
      </c>
      <c r="L892" s="5">
        <f>132 / 86400</f>
        <v>1.5277777777777779E-3</v>
      </c>
    </row>
    <row r="893" spans="1:12" x14ac:dyDescent="0.25">
      <c r="A893" s="3">
        <v>45693.349606481483</v>
      </c>
      <c r="B893" t="s">
        <v>118</v>
      </c>
      <c r="C893" s="3">
        <v>45693.353067129632</v>
      </c>
      <c r="D893" t="s">
        <v>73</v>
      </c>
      <c r="E893" s="4">
        <v>1.3220000000000001</v>
      </c>
      <c r="F893" s="4">
        <v>412135.62699999998</v>
      </c>
      <c r="G893" s="4">
        <v>412136.94900000002</v>
      </c>
      <c r="H893" s="5">
        <f>20 / 86400</f>
        <v>2.3148148148148149E-4</v>
      </c>
      <c r="I893" t="s">
        <v>138</v>
      </c>
      <c r="J893" t="s">
        <v>31</v>
      </c>
      <c r="K893" s="5">
        <f>299 / 86400</f>
        <v>3.460648148148148E-3</v>
      </c>
      <c r="L893" s="5">
        <f>456 / 86400</f>
        <v>5.2777777777777779E-3</v>
      </c>
    </row>
    <row r="894" spans="1:12" x14ac:dyDescent="0.25">
      <c r="A894" s="3">
        <v>45693.358344907407</v>
      </c>
      <c r="B894" t="s">
        <v>73</v>
      </c>
      <c r="C894" s="3">
        <v>45693.440636574072</v>
      </c>
      <c r="D894" t="s">
        <v>256</v>
      </c>
      <c r="E894" s="4">
        <v>43.706000000000003</v>
      </c>
      <c r="F894" s="4">
        <v>412136.94900000002</v>
      </c>
      <c r="G894" s="4">
        <v>412180.65500000003</v>
      </c>
      <c r="H894" s="5">
        <f>1820 / 86400</f>
        <v>2.1064814814814814E-2</v>
      </c>
      <c r="I894" t="s">
        <v>87</v>
      </c>
      <c r="J894" t="s">
        <v>39</v>
      </c>
      <c r="K894" s="5">
        <f>7110 / 86400</f>
        <v>8.2291666666666666E-2</v>
      </c>
      <c r="L894" s="5">
        <f>1562 / 86400</f>
        <v>1.8078703703703704E-2</v>
      </c>
    </row>
    <row r="895" spans="1:12" x14ac:dyDescent="0.25">
      <c r="A895" s="3">
        <v>45693.458715277782</v>
      </c>
      <c r="B895" t="s">
        <v>256</v>
      </c>
      <c r="C895" s="3">
        <v>45693.460439814815</v>
      </c>
      <c r="D895" t="s">
        <v>376</v>
      </c>
      <c r="E895" s="4">
        <v>0.378</v>
      </c>
      <c r="F895" s="4">
        <v>412180.65500000003</v>
      </c>
      <c r="G895" s="4">
        <v>412181.033</v>
      </c>
      <c r="H895" s="5">
        <f>40 / 86400</f>
        <v>4.6296296296296298E-4</v>
      </c>
      <c r="I895" t="s">
        <v>212</v>
      </c>
      <c r="J895" t="s">
        <v>82</v>
      </c>
      <c r="K895" s="5">
        <f>149 / 86400</f>
        <v>1.724537037037037E-3</v>
      </c>
      <c r="L895" s="5">
        <f>271 / 86400</f>
        <v>3.1365740740740742E-3</v>
      </c>
    </row>
    <row r="896" spans="1:12" x14ac:dyDescent="0.25">
      <c r="A896" s="3">
        <v>45693.463576388887</v>
      </c>
      <c r="B896" t="s">
        <v>256</v>
      </c>
      <c r="C896" s="3">
        <v>45693.491805555561</v>
      </c>
      <c r="D896" t="s">
        <v>80</v>
      </c>
      <c r="E896" s="4">
        <v>11.916</v>
      </c>
      <c r="F896" s="4">
        <v>412181.033</v>
      </c>
      <c r="G896" s="4">
        <v>412192.94900000002</v>
      </c>
      <c r="H896" s="5">
        <f>420 / 86400</f>
        <v>4.8611111111111112E-3</v>
      </c>
      <c r="I896" t="s">
        <v>219</v>
      </c>
      <c r="J896" t="s">
        <v>24</v>
      </c>
      <c r="K896" s="5">
        <f>2439 / 86400</f>
        <v>2.8229166666666666E-2</v>
      </c>
      <c r="L896" s="5">
        <f>73 / 86400</f>
        <v>8.4490740740740739E-4</v>
      </c>
    </row>
    <row r="897" spans="1:12" x14ac:dyDescent="0.25">
      <c r="A897" s="3">
        <v>45693.492650462962</v>
      </c>
      <c r="B897" t="s">
        <v>80</v>
      </c>
      <c r="C897" s="3">
        <v>45693.492974537032</v>
      </c>
      <c r="D897" t="s">
        <v>80</v>
      </c>
      <c r="E897" s="4">
        <v>1.6E-2</v>
      </c>
      <c r="F897" s="4">
        <v>412192.94900000002</v>
      </c>
      <c r="G897" s="4">
        <v>412192.96500000003</v>
      </c>
      <c r="H897" s="5">
        <f>0 / 86400</f>
        <v>0</v>
      </c>
      <c r="I897" t="s">
        <v>133</v>
      </c>
      <c r="J897" t="s">
        <v>126</v>
      </c>
      <c r="K897" s="5">
        <f>27 / 86400</f>
        <v>3.1250000000000001E-4</v>
      </c>
      <c r="L897" s="5">
        <f>43806 / 86400</f>
        <v>0.50701388888888888</v>
      </c>
    </row>
    <row r="898" spans="1:12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 spans="1:12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 spans="1:12" s="10" customFormat="1" ht="20.100000000000001" customHeight="1" x14ac:dyDescent="0.35">
      <c r="A900" s="12" t="s">
        <v>436</v>
      </c>
      <c r="B900" s="12"/>
      <c r="C900" s="12"/>
      <c r="D900" s="12"/>
      <c r="E900" s="12"/>
      <c r="F900" s="12"/>
      <c r="G900" s="12"/>
      <c r="H900" s="12"/>
      <c r="I900" s="12"/>
      <c r="J900" s="12"/>
    </row>
    <row r="901" spans="1:12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 spans="1:12" ht="30" x14ac:dyDescent="0.25">
      <c r="A902" s="2" t="s">
        <v>6</v>
      </c>
      <c r="B902" s="2" t="s">
        <v>7</v>
      </c>
      <c r="C902" s="2" t="s">
        <v>8</v>
      </c>
      <c r="D902" s="2" t="s">
        <v>9</v>
      </c>
      <c r="E902" s="2" t="s">
        <v>10</v>
      </c>
      <c r="F902" s="2" t="s">
        <v>11</v>
      </c>
      <c r="G902" s="2" t="s">
        <v>12</v>
      </c>
      <c r="H902" s="2" t="s">
        <v>13</v>
      </c>
      <c r="I902" s="2" t="s">
        <v>14</v>
      </c>
      <c r="J902" s="2" t="s">
        <v>15</v>
      </c>
      <c r="K902" s="2" t="s">
        <v>16</v>
      </c>
      <c r="L902" s="2" t="s">
        <v>17</v>
      </c>
    </row>
    <row r="903" spans="1:12" x14ac:dyDescent="0.25">
      <c r="A903" s="3">
        <v>45693</v>
      </c>
      <c r="B903" t="s">
        <v>88</v>
      </c>
      <c r="C903" s="3">
        <v>45693.029189814813</v>
      </c>
      <c r="D903" t="s">
        <v>26</v>
      </c>
      <c r="E903" s="4">
        <v>18.641999999999999</v>
      </c>
      <c r="F903" s="4">
        <v>326203.39500000002</v>
      </c>
      <c r="G903" s="4">
        <v>326222.03700000001</v>
      </c>
      <c r="H903" s="5">
        <f>380 / 86400</f>
        <v>4.3981481481481484E-3</v>
      </c>
      <c r="I903" t="s">
        <v>165</v>
      </c>
      <c r="J903" t="s">
        <v>212</v>
      </c>
      <c r="K903" s="5">
        <f>2522 / 86400</f>
        <v>2.9189814814814814E-2</v>
      </c>
      <c r="L903" s="5">
        <f>441 / 86400</f>
        <v>5.1041666666666666E-3</v>
      </c>
    </row>
    <row r="904" spans="1:12" x14ac:dyDescent="0.25">
      <c r="A904" s="3">
        <v>45693.03429398148</v>
      </c>
      <c r="B904" t="s">
        <v>26</v>
      </c>
      <c r="C904" s="3">
        <v>45693.036875000005</v>
      </c>
      <c r="D904" t="s">
        <v>29</v>
      </c>
      <c r="E904" s="4">
        <v>0.55100000000000005</v>
      </c>
      <c r="F904" s="4">
        <v>326222.03700000001</v>
      </c>
      <c r="G904" s="4">
        <v>326222.58799999999</v>
      </c>
      <c r="H904" s="5">
        <f>80 / 86400</f>
        <v>9.2592592592592596E-4</v>
      </c>
      <c r="I904" t="s">
        <v>167</v>
      </c>
      <c r="J904" t="s">
        <v>82</v>
      </c>
      <c r="K904" s="5">
        <f>222 / 86400</f>
        <v>2.5694444444444445E-3</v>
      </c>
      <c r="L904" s="5">
        <f>11665 / 86400</f>
        <v>0.13501157407407408</v>
      </c>
    </row>
    <row r="905" spans="1:12" x14ac:dyDescent="0.25">
      <c r="A905" s="3">
        <v>45693.17188657407</v>
      </c>
      <c r="B905" t="s">
        <v>29</v>
      </c>
      <c r="C905" s="3">
        <v>45693.172939814816</v>
      </c>
      <c r="D905" t="s">
        <v>29</v>
      </c>
      <c r="E905" s="4">
        <v>3.5000000000000003E-2</v>
      </c>
      <c r="F905" s="4">
        <v>326222.58799999999</v>
      </c>
      <c r="G905" s="4">
        <v>326222.62300000002</v>
      </c>
      <c r="H905" s="5">
        <f>19 / 86400</f>
        <v>2.199074074074074E-4</v>
      </c>
      <c r="I905" t="s">
        <v>260</v>
      </c>
      <c r="J905" t="s">
        <v>116</v>
      </c>
      <c r="K905" s="5">
        <f>90 / 86400</f>
        <v>1.0416666666666667E-3</v>
      </c>
      <c r="L905" s="5">
        <f>456 / 86400</f>
        <v>5.2777777777777779E-3</v>
      </c>
    </row>
    <row r="906" spans="1:12" x14ac:dyDescent="0.25">
      <c r="A906" s="3">
        <v>45693.178217592591</v>
      </c>
      <c r="B906" t="s">
        <v>29</v>
      </c>
      <c r="C906" s="3">
        <v>45693.351481481484</v>
      </c>
      <c r="D906" t="s">
        <v>111</v>
      </c>
      <c r="E906" s="4">
        <v>82.27</v>
      </c>
      <c r="F906" s="4">
        <v>326222.62300000002</v>
      </c>
      <c r="G906" s="4">
        <v>326304.89299999998</v>
      </c>
      <c r="H906" s="5">
        <f>3121 / 86400</f>
        <v>3.6122685185185188E-2</v>
      </c>
      <c r="I906" t="s">
        <v>135</v>
      </c>
      <c r="J906" t="s">
        <v>128</v>
      </c>
      <c r="K906" s="5">
        <f>14970 / 86400</f>
        <v>0.17326388888888888</v>
      </c>
      <c r="L906" s="5">
        <f>3134 / 86400</f>
        <v>3.6273148148148152E-2</v>
      </c>
    </row>
    <row r="907" spans="1:12" x14ac:dyDescent="0.25">
      <c r="A907" s="3">
        <v>45693.387754629628</v>
      </c>
      <c r="B907" t="s">
        <v>111</v>
      </c>
      <c r="C907" s="3">
        <v>45693.391828703709</v>
      </c>
      <c r="D907" t="s">
        <v>73</v>
      </c>
      <c r="E907" s="4">
        <v>0.99099999999999999</v>
      </c>
      <c r="F907" s="4">
        <v>326304.89299999998</v>
      </c>
      <c r="G907" s="4">
        <v>326305.88400000002</v>
      </c>
      <c r="H907" s="5">
        <f>99 / 86400</f>
        <v>1.1458333333333333E-3</v>
      </c>
      <c r="I907" t="s">
        <v>174</v>
      </c>
      <c r="J907" t="s">
        <v>20</v>
      </c>
      <c r="K907" s="5">
        <f>352 / 86400</f>
        <v>4.0740740740740737E-3</v>
      </c>
      <c r="L907" s="5">
        <f>197 / 86400</f>
        <v>2.2800925925925927E-3</v>
      </c>
    </row>
    <row r="908" spans="1:12" x14ac:dyDescent="0.25">
      <c r="A908" s="3">
        <v>45693.394108796296</v>
      </c>
      <c r="B908" t="s">
        <v>73</v>
      </c>
      <c r="C908" s="3">
        <v>45693.39444444445</v>
      </c>
      <c r="D908" t="s">
        <v>73</v>
      </c>
      <c r="E908" s="4">
        <v>0</v>
      </c>
      <c r="F908" s="4">
        <v>326305.88400000002</v>
      </c>
      <c r="G908" s="4">
        <v>326305.88400000002</v>
      </c>
      <c r="H908" s="5">
        <f>19 / 86400</f>
        <v>2.199074074074074E-4</v>
      </c>
      <c r="I908" t="s">
        <v>124</v>
      </c>
      <c r="J908" t="s">
        <v>124</v>
      </c>
      <c r="K908" s="5">
        <f>29 / 86400</f>
        <v>3.3564814814814812E-4</v>
      </c>
      <c r="L908" s="5">
        <f>548 / 86400</f>
        <v>6.3425925925925924E-3</v>
      </c>
    </row>
    <row r="909" spans="1:12" x14ac:dyDescent="0.25">
      <c r="A909" s="3">
        <v>45693.400787037041</v>
      </c>
      <c r="B909" t="s">
        <v>73</v>
      </c>
      <c r="C909" s="3">
        <v>45693.40525462963</v>
      </c>
      <c r="D909" t="s">
        <v>330</v>
      </c>
      <c r="E909" s="4">
        <v>1.3460000000000001</v>
      </c>
      <c r="F909" s="4">
        <v>326305.88400000002</v>
      </c>
      <c r="G909" s="4">
        <v>326307.23</v>
      </c>
      <c r="H909" s="5">
        <f>60 / 86400</f>
        <v>6.9444444444444447E-4</v>
      </c>
      <c r="I909" t="s">
        <v>153</v>
      </c>
      <c r="J909" t="s">
        <v>55</v>
      </c>
      <c r="K909" s="5">
        <f>385 / 86400</f>
        <v>4.4560185185185189E-3</v>
      </c>
      <c r="L909" s="5">
        <f>1404 / 86400</f>
        <v>1.6250000000000001E-2</v>
      </c>
    </row>
    <row r="910" spans="1:12" x14ac:dyDescent="0.25">
      <c r="A910" s="3">
        <v>45693.42150462963</v>
      </c>
      <c r="B910" t="s">
        <v>330</v>
      </c>
      <c r="C910" s="3">
        <v>45693.539965277778</v>
      </c>
      <c r="D910" t="s">
        <v>377</v>
      </c>
      <c r="E910" s="4">
        <v>51.146000000000001</v>
      </c>
      <c r="F910" s="4">
        <v>326307.23</v>
      </c>
      <c r="G910" s="4">
        <v>326358.37599999999</v>
      </c>
      <c r="H910" s="5">
        <f>2780 / 86400</f>
        <v>3.2175925925925927E-2</v>
      </c>
      <c r="I910" t="s">
        <v>127</v>
      </c>
      <c r="J910" t="s">
        <v>24</v>
      </c>
      <c r="K910" s="5">
        <f>10234 / 86400</f>
        <v>0.11844907407407407</v>
      </c>
      <c r="L910" s="5">
        <f>1701 / 86400</f>
        <v>1.96875E-2</v>
      </c>
    </row>
    <row r="911" spans="1:12" x14ac:dyDescent="0.25">
      <c r="A911" s="3">
        <v>45693.559652777782</v>
      </c>
      <c r="B911" t="s">
        <v>377</v>
      </c>
      <c r="C911" s="3">
        <v>45693.666331018518</v>
      </c>
      <c r="D911" t="s">
        <v>26</v>
      </c>
      <c r="E911" s="4">
        <v>35.133000000000003</v>
      </c>
      <c r="F911" s="4">
        <v>326358.37599999999</v>
      </c>
      <c r="G911" s="4">
        <v>326393.50900000002</v>
      </c>
      <c r="H911" s="5">
        <f>3281 / 86400</f>
        <v>3.7974537037037036E-2</v>
      </c>
      <c r="I911" t="s">
        <v>163</v>
      </c>
      <c r="J911" t="s">
        <v>52</v>
      </c>
      <c r="K911" s="5">
        <f>9217 / 86400</f>
        <v>0.10667824074074074</v>
      </c>
      <c r="L911" s="5">
        <f>135 / 86400</f>
        <v>1.5625000000000001E-3</v>
      </c>
    </row>
    <row r="912" spans="1:12" x14ac:dyDescent="0.25">
      <c r="A912" s="3">
        <v>45693.667893518519</v>
      </c>
      <c r="B912" t="s">
        <v>26</v>
      </c>
      <c r="C912" s="3">
        <v>45693.670277777783</v>
      </c>
      <c r="D912" t="s">
        <v>29</v>
      </c>
      <c r="E912" s="4">
        <v>0.51300000000000001</v>
      </c>
      <c r="F912" s="4">
        <v>326393.50900000002</v>
      </c>
      <c r="G912" s="4">
        <v>326394.022</v>
      </c>
      <c r="H912" s="5">
        <f>0 / 86400</f>
        <v>0</v>
      </c>
      <c r="I912" t="s">
        <v>28</v>
      </c>
      <c r="J912" t="s">
        <v>82</v>
      </c>
      <c r="K912" s="5">
        <f>206 / 86400</f>
        <v>2.3842592592592591E-3</v>
      </c>
      <c r="L912" s="5">
        <f>266 / 86400</f>
        <v>3.0787037037037037E-3</v>
      </c>
    </row>
    <row r="913" spans="1:12" x14ac:dyDescent="0.25">
      <c r="A913" s="3">
        <v>45693.673356481479</v>
      </c>
      <c r="B913" t="s">
        <v>29</v>
      </c>
      <c r="C913" s="3">
        <v>45693.999097222222</v>
      </c>
      <c r="D913" t="s">
        <v>89</v>
      </c>
      <c r="E913" s="4">
        <v>138.15700000000001</v>
      </c>
      <c r="F913" s="4">
        <v>326394.022</v>
      </c>
      <c r="G913" s="4">
        <v>326532.179</v>
      </c>
      <c r="H913" s="5">
        <f>9886 / 86400</f>
        <v>0.1144212962962963</v>
      </c>
      <c r="I913" t="s">
        <v>90</v>
      </c>
      <c r="J913" t="s">
        <v>24</v>
      </c>
      <c r="K913" s="5">
        <f>28143 / 86400</f>
        <v>0.32572916666666668</v>
      </c>
      <c r="L913" s="5">
        <f>77 / 86400</f>
        <v>8.9120370370370373E-4</v>
      </c>
    </row>
    <row r="914" spans="1:12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 spans="1:12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 spans="1:12" s="10" customFormat="1" ht="20.100000000000001" customHeight="1" x14ac:dyDescent="0.35">
      <c r="A916" s="12" t="s">
        <v>437</v>
      </c>
      <c r="B916" s="12"/>
      <c r="C916" s="12"/>
      <c r="D916" s="12"/>
      <c r="E916" s="12"/>
      <c r="F916" s="12"/>
      <c r="G916" s="12"/>
      <c r="H916" s="12"/>
      <c r="I916" s="12"/>
      <c r="J916" s="12"/>
    </row>
    <row r="917" spans="1:12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 spans="1:12" ht="30" x14ac:dyDescent="0.25">
      <c r="A918" s="2" t="s">
        <v>6</v>
      </c>
      <c r="B918" s="2" t="s">
        <v>7</v>
      </c>
      <c r="C918" s="2" t="s">
        <v>8</v>
      </c>
      <c r="D918" s="2" t="s">
        <v>9</v>
      </c>
      <c r="E918" s="2" t="s">
        <v>10</v>
      </c>
      <c r="F918" s="2" t="s">
        <v>11</v>
      </c>
      <c r="G918" s="2" t="s">
        <v>12</v>
      </c>
      <c r="H918" s="2" t="s">
        <v>13</v>
      </c>
      <c r="I918" s="2" t="s">
        <v>14</v>
      </c>
      <c r="J918" s="2" t="s">
        <v>15</v>
      </c>
      <c r="K918" s="2" t="s">
        <v>16</v>
      </c>
      <c r="L918" s="2" t="s">
        <v>17</v>
      </c>
    </row>
    <row r="919" spans="1:12" x14ac:dyDescent="0.25">
      <c r="A919" s="3">
        <v>45693.316759259258</v>
      </c>
      <c r="B919" t="s">
        <v>29</v>
      </c>
      <c r="C919" s="3">
        <v>45693.411979166667</v>
      </c>
      <c r="D919" t="s">
        <v>155</v>
      </c>
      <c r="E919" s="4">
        <v>32.372</v>
      </c>
      <c r="F919" s="4">
        <v>359402.62300000002</v>
      </c>
      <c r="G919" s="4">
        <v>359434.995</v>
      </c>
      <c r="H919" s="5">
        <f>2929 / 86400</f>
        <v>3.3900462962962966E-2</v>
      </c>
      <c r="I919" t="s">
        <v>54</v>
      </c>
      <c r="J919" t="s">
        <v>52</v>
      </c>
      <c r="K919" s="5">
        <f>8227 / 86400</f>
        <v>9.5219907407407406E-2</v>
      </c>
      <c r="L919" s="5">
        <f>27391 / 86400</f>
        <v>0.31702546296296297</v>
      </c>
    </row>
    <row r="920" spans="1:12" x14ac:dyDescent="0.25">
      <c r="A920" s="3">
        <v>45693.412245370375</v>
      </c>
      <c r="B920" t="s">
        <v>155</v>
      </c>
      <c r="C920" s="3">
        <v>45693.416585648149</v>
      </c>
      <c r="D920" t="s">
        <v>155</v>
      </c>
      <c r="E920" s="4">
        <v>0</v>
      </c>
      <c r="F920" s="4">
        <v>359434.995</v>
      </c>
      <c r="G920" s="4">
        <v>359434.995</v>
      </c>
      <c r="H920" s="5">
        <f>371 / 86400</f>
        <v>4.2939814814814811E-3</v>
      </c>
      <c r="I920" t="s">
        <v>124</v>
      </c>
      <c r="J920" t="s">
        <v>124</v>
      </c>
      <c r="K920" s="5">
        <f>375 / 86400</f>
        <v>4.340277777777778E-3</v>
      </c>
      <c r="L920" s="5">
        <f>41 / 86400</f>
        <v>4.7453703703703704E-4</v>
      </c>
    </row>
    <row r="921" spans="1:12" x14ac:dyDescent="0.25">
      <c r="A921" s="3">
        <v>45693.41706018518</v>
      </c>
      <c r="B921" t="s">
        <v>155</v>
      </c>
      <c r="C921" s="3">
        <v>45693.418576388889</v>
      </c>
      <c r="D921" t="s">
        <v>155</v>
      </c>
      <c r="E921" s="4">
        <v>0</v>
      </c>
      <c r="F921" s="4">
        <v>359434.995</v>
      </c>
      <c r="G921" s="4">
        <v>359434.995</v>
      </c>
      <c r="H921" s="5">
        <f>131 / 86400</f>
        <v>1.5162037037037036E-3</v>
      </c>
      <c r="I921" t="s">
        <v>124</v>
      </c>
      <c r="J921" t="s">
        <v>124</v>
      </c>
      <c r="K921" s="5">
        <f>131 / 86400</f>
        <v>1.5162037037037036E-3</v>
      </c>
      <c r="L921" s="5">
        <f>39 / 86400</f>
        <v>4.5138888888888887E-4</v>
      </c>
    </row>
    <row r="922" spans="1:12" x14ac:dyDescent="0.25">
      <c r="A922" s="3">
        <v>45693.419039351851</v>
      </c>
      <c r="B922" t="s">
        <v>155</v>
      </c>
      <c r="C922" s="3">
        <v>45693.41920138889</v>
      </c>
      <c r="D922" t="s">
        <v>155</v>
      </c>
      <c r="E922" s="4">
        <v>0</v>
      </c>
      <c r="F922" s="4">
        <v>359434.995</v>
      </c>
      <c r="G922" s="4">
        <v>359434.995</v>
      </c>
      <c r="H922" s="5">
        <f>0 / 86400</f>
        <v>0</v>
      </c>
      <c r="I922" t="s">
        <v>124</v>
      </c>
      <c r="J922" t="s">
        <v>124</v>
      </c>
      <c r="K922" s="5">
        <f>14 / 86400</f>
        <v>1.6203703703703703E-4</v>
      </c>
      <c r="L922" s="5">
        <f>6 / 86400</f>
        <v>6.9444444444444444E-5</v>
      </c>
    </row>
    <row r="923" spans="1:12" x14ac:dyDescent="0.25">
      <c r="A923" s="3">
        <v>45693.419270833328</v>
      </c>
      <c r="B923" t="s">
        <v>155</v>
      </c>
      <c r="C923" s="3">
        <v>45693.419317129628</v>
      </c>
      <c r="D923" t="s">
        <v>155</v>
      </c>
      <c r="E923" s="4">
        <v>0</v>
      </c>
      <c r="F923" s="4">
        <v>359434.995</v>
      </c>
      <c r="G923" s="4">
        <v>359434.995</v>
      </c>
      <c r="H923" s="5">
        <f>0 / 86400</f>
        <v>0</v>
      </c>
      <c r="I923" t="s">
        <v>124</v>
      </c>
      <c r="J923" t="s">
        <v>124</v>
      </c>
      <c r="K923" s="5">
        <f>4 / 86400</f>
        <v>4.6296296296296294E-5</v>
      </c>
      <c r="L923" s="5">
        <f>2 / 86400</f>
        <v>2.3148148148148147E-5</v>
      </c>
    </row>
    <row r="924" spans="1:12" x14ac:dyDescent="0.25">
      <c r="A924" s="3">
        <v>45693.419340277775</v>
      </c>
      <c r="B924" t="s">
        <v>155</v>
      </c>
      <c r="C924" s="3">
        <v>45693.419444444444</v>
      </c>
      <c r="D924" t="s">
        <v>155</v>
      </c>
      <c r="E924" s="4">
        <v>0</v>
      </c>
      <c r="F924" s="4">
        <v>359434.995</v>
      </c>
      <c r="G924" s="4">
        <v>359434.995</v>
      </c>
      <c r="H924" s="5">
        <f>0 / 86400</f>
        <v>0</v>
      </c>
      <c r="I924" t="s">
        <v>124</v>
      </c>
      <c r="J924" t="s">
        <v>124</v>
      </c>
      <c r="K924" s="5">
        <f>9 / 86400</f>
        <v>1.0416666666666667E-4</v>
      </c>
      <c r="L924" s="5">
        <f>116 / 86400</f>
        <v>1.3425925925925925E-3</v>
      </c>
    </row>
    <row r="925" spans="1:12" x14ac:dyDescent="0.25">
      <c r="A925" s="3">
        <v>45693.420787037037</v>
      </c>
      <c r="B925" t="s">
        <v>155</v>
      </c>
      <c r="C925" s="3">
        <v>45693.421770833331</v>
      </c>
      <c r="D925" t="s">
        <v>155</v>
      </c>
      <c r="E925" s="4">
        <v>0</v>
      </c>
      <c r="F925" s="4">
        <v>359434.995</v>
      </c>
      <c r="G925" s="4">
        <v>359434.995</v>
      </c>
      <c r="H925" s="5">
        <f>84 / 86400</f>
        <v>9.7222222222222219E-4</v>
      </c>
      <c r="I925" t="s">
        <v>124</v>
      </c>
      <c r="J925" t="s">
        <v>124</v>
      </c>
      <c r="K925" s="5">
        <f>85 / 86400</f>
        <v>9.837962962962962E-4</v>
      </c>
      <c r="L925" s="5">
        <f>1666 / 86400</f>
        <v>1.9282407407407408E-2</v>
      </c>
    </row>
    <row r="926" spans="1:12" x14ac:dyDescent="0.25">
      <c r="A926" s="3">
        <v>45693.441053240742</v>
      </c>
      <c r="B926" t="s">
        <v>155</v>
      </c>
      <c r="C926" s="3">
        <v>45693.615439814814</v>
      </c>
      <c r="D926" t="s">
        <v>49</v>
      </c>
      <c r="E926" s="4">
        <v>52.244999999999997</v>
      </c>
      <c r="F926" s="4">
        <v>359434.995</v>
      </c>
      <c r="G926" s="4">
        <v>359487.24</v>
      </c>
      <c r="H926" s="5">
        <f>7339 / 86400</f>
        <v>8.4942129629629631E-2</v>
      </c>
      <c r="I926" t="s">
        <v>127</v>
      </c>
      <c r="J926" t="s">
        <v>59</v>
      </c>
      <c r="K926" s="5">
        <f>15067 / 86400</f>
        <v>0.17438657407407407</v>
      </c>
      <c r="L926" s="5">
        <f>1 / 86400</f>
        <v>1.1574074074074073E-5</v>
      </c>
    </row>
    <row r="927" spans="1:12" x14ac:dyDescent="0.25">
      <c r="A927" s="3">
        <v>45693.615451388891</v>
      </c>
      <c r="B927" t="s">
        <v>49</v>
      </c>
      <c r="C927" s="3">
        <v>45693.61555555556</v>
      </c>
      <c r="D927" t="s">
        <v>49</v>
      </c>
      <c r="E927" s="4">
        <v>0</v>
      </c>
      <c r="F927" s="4">
        <v>359487.24</v>
      </c>
      <c r="G927" s="4">
        <v>359487.24</v>
      </c>
      <c r="H927" s="5">
        <f>8 / 86400</f>
        <v>9.2592592592592588E-5</v>
      </c>
      <c r="I927" t="s">
        <v>124</v>
      </c>
      <c r="J927" t="s">
        <v>124</v>
      </c>
      <c r="K927" s="5">
        <f>9 / 86400</f>
        <v>1.0416666666666667E-4</v>
      </c>
      <c r="L927" s="5">
        <f>104 / 86400</f>
        <v>1.2037037037037038E-3</v>
      </c>
    </row>
    <row r="928" spans="1:12" x14ac:dyDescent="0.25">
      <c r="A928" s="3">
        <v>45693.616759259261</v>
      </c>
      <c r="B928" t="s">
        <v>49</v>
      </c>
      <c r="C928" s="3">
        <v>45693.622627314813</v>
      </c>
      <c r="D928" t="s">
        <v>49</v>
      </c>
      <c r="E928" s="4">
        <v>0</v>
      </c>
      <c r="F928" s="4">
        <v>359487.24</v>
      </c>
      <c r="G928" s="4">
        <v>359487.24</v>
      </c>
      <c r="H928" s="5">
        <f>499 / 86400</f>
        <v>5.7754629629629631E-3</v>
      </c>
      <c r="I928" t="s">
        <v>124</v>
      </c>
      <c r="J928" t="s">
        <v>124</v>
      </c>
      <c r="K928" s="5">
        <f>506 / 86400</f>
        <v>5.8564814814814816E-3</v>
      </c>
      <c r="L928" s="5">
        <f>334 / 86400</f>
        <v>3.8657407407407408E-3</v>
      </c>
    </row>
    <row r="929" spans="1:12" x14ac:dyDescent="0.25">
      <c r="A929" s="3">
        <v>45693.626493055555</v>
      </c>
      <c r="B929" t="s">
        <v>49</v>
      </c>
      <c r="C929" s="3">
        <v>45693.82068287037</v>
      </c>
      <c r="D929" t="s">
        <v>378</v>
      </c>
      <c r="E929" s="4">
        <v>73.873000000000005</v>
      </c>
      <c r="F929" s="4">
        <v>359487.24</v>
      </c>
      <c r="G929" s="4">
        <v>359561.11300000001</v>
      </c>
      <c r="H929" s="5">
        <f>5842 / 86400</f>
        <v>6.761574074074074E-2</v>
      </c>
      <c r="I929" t="s">
        <v>45</v>
      </c>
      <c r="J929" t="s">
        <v>31</v>
      </c>
      <c r="K929" s="5">
        <f>16778 / 86400</f>
        <v>0.19418981481481482</v>
      </c>
      <c r="L929" s="5">
        <f>4 / 86400</f>
        <v>4.6296296296296294E-5</v>
      </c>
    </row>
    <row r="930" spans="1:12" x14ac:dyDescent="0.25">
      <c r="A930" s="3">
        <v>45693.820729166662</v>
      </c>
      <c r="B930" t="s">
        <v>378</v>
      </c>
      <c r="C930" s="3">
        <v>45693.99998842593</v>
      </c>
      <c r="D930" t="s">
        <v>29</v>
      </c>
      <c r="E930" s="4">
        <v>1.9910000000000001</v>
      </c>
      <c r="F930" s="4">
        <v>359561.11300000001</v>
      </c>
      <c r="G930" s="4">
        <v>359563.10399999999</v>
      </c>
      <c r="H930" s="5">
        <f>14999 / 86400</f>
        <v>0.17359953703703704</v>
      </c>
      <c r="I930" t="s">
        <v>156</v>
      </c>
      <c r="J930" t="s">
        <v>124</v>
      </c>
      <c r="K930" s="5">
        <f>15488 / 86400</f>
        <v>0.17925925925925926</v>
      </c>
      <c r="L930" s="5">
        <f>0 / 86400</f>
        <v>0</v>
      </c>
    </row>
    <row r="931" spans="1:12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 spans="1:12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 spans="1:12" s="10" customFormat="1" ht="20.100000000000001" customHeight="1" x14ac:dyDescent="0.35">
      <c r="A933" s="12" t="s">
        <v>438</v>
      </c>
      <c r="B933" s="12"/>
      <c r="C933" s="12"/>
      <c r="D933" s="12"/>
      <c r="E933" s="12"/>
      <c r="F933" s="12"/>
      <c r="G933" s="12"/>
      <c r="H933" s="12"/>
      <c r="I933" s="12"/>
      <c r="J933" s="12"/>
    </row>
    <row r="934" spans="1:12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 spans="1:12" ht="30" x14ac:dyDescent="0.25">
      <c r="A935" s="2" t="s">
        <v>6</v>
      </c>
      <c r="B935" s="2" t="s">
        <v>7</v>
      </c>
      <c r="C935" s="2" t="s">
        <v>8</v>
      </c>
      <c r="D935" s="2" t="s">
        <v>9</v>
      </c>
      <c r="E935" s="2" t="s">
        <v>10</v>
      </c>
      <c r="F935" s="2" t="s">
        <v>11</v>
      </c>
      <c r="G935" s="2" t="s">
        <v>12</v>
      </c>
      <c r="H935" s="2" t="s">
        <v>13</v>
      </c>
      <c r="I935" s="2" t="s">
        <v>14</v>
      </c>
      <c r="J935" s="2" t="s">
        <v>15</v>
      </c>
      <c r="K935" s="2" t="s">
        <v>16</v>
      </c>
      <c r="L935" s="2" t="s">
        <v>17</v>
      </c>
    </row>
    <row r="936" spans="1:12" x14ac:dyDescent="0.25">
      <c r="A936" s="3">
        <v>45693.277071759258</v>
      </c>
      <c r="B936" t="s">
        <v>91</v>
      </c>
      <c r="C936" s="3">
        <v>45693.372465277775</v>
      </c>
      <c r="D936" t="s">
        <v>379</v>
      </c>
      <c r="E936" s="4">
        <v>40.051000000000002</v>
      </c>
      <c r="F936" s="4">
        <v>80735.903999999995</v>
      </c>
      <c r="G936" s="4">
        <v>80775.955000000002</v>
      </c>
      <c r="H936" s="5">
        <f>3140 / 86400</f>
        <v>3.6342592592592593E-2</v>
      </c>
      <c r="I936" t="s">
        <v>92</v>
      </c>
      <c r="J936" t="s">
        <v>28</v>
      </c>
      <c r="K936" s="5">
        <f>8241 / 86400</f>
        <v>9.538194444444445E-2</v>
      </c>
      <c r="L936" s="5">
        <f>26407 / 86400</f>
        <v>0.30563657407407407</v>
      </c>
    </row>
    <row r="937" spans="1:12" x14ac:dyDescent="0.25">
      <c r="A937" s="3">
        <v>45693.401030092587</v>
      </c>
      <c r="B937" t="s">
        <v>379</v>
      </c>
      <c r="C937" s="3">
        <v>45693.493680555555</v>
      </c>
      <c r="D937" t="s">
        <v>91</v>
      </c>
      <c r="E937" s="4">
        <v>40.923000000000002</v>
      </c>
      <c r="F937" s="4">
        <v>80775.955000000002</v>
      </c>
      <c r="G937" s="4">
        <v>80816.877999999997</v>
      </c>
      <c r="H937" s="5">
        <f>2418 / 86400</f>
        <v>2.7986111111111111E-2</v>
      </c>
      <c r="I937" t="s">
        <v>51</v>
      </c>
      <c r="J937" t="s">
        <v>24</v>
      </c>
      <c r="K937" s="5">
        <f>8005 / 86400</f>
        <v>9.2650462962962962E-2</v>
      </c>
      <c r="L937" s="5">
        <f>46 / 86400</f>
        <v>5.3240740740740744E-4</v>
      </c>
    </row>
    <row r="938" spans="1:12" x14ac:dyDescent="0.25">
      <c r="A938" s="3">
        <v>45693.494212962964</v>
      </c>
      <c r="B938" t="s">
        <v>91</v>
      </c>
      <c r="C938" s="3">
        <v>45693.494259259256</v>
      </c>
      <c r="D938" t="s">
        <v>91</v>
      </c>
      <c r="E938" s="4">
        <v>0</v>
      </c>
      <c r="F938" s="4">
        <v>80816.877999999997</v>
      </c>
      <c r="G938" s="4">
        <v>80816.877999999997</v>
      </c>
      <c r="H938" s="5">
        <f>0 / 86400</f>
        <v>0</v>
      </c>
      <c r="I938" t="s">
        <v>124</v>
      </c>
      <c r="J938" t="s">
        <v>124</v>
      </c>
      <c r="K938" s="5">
        <f>4 / 86400</f>
        <v>4.6296296296296294E-5</v>
      </c>
      <c r="L938" s="5">
        <f>8600 / 86400</f>
        <v>9.9537037037037035E-2</v>
      </c>
    </row>
    <row r="939" spans="1:12" x14ac:dyDescent="0.25">
      <c r="A939" s="3">
        <v>45693.593796296293</v>
      </c>
      <c r="B939" t="s">
        <v>91</v>
      </c>
      <c r="C939" s="3">
        <v>45693.60423611111</v>
      </c>
      <c r="D939" t="s">
        <v>91</v>
      </c>
      <c r="E939" s="4">
        <v>0</v>
      </c>
      <c r="F939" s="4">
        <v>80816.877999999997</v>
      </c>
      <c r="G939" s="4">
        <v>80816.877999999997</v>
      </c>
      <c r="H939" s="5">
        <f>900 / 86400</f>
        <v>1.0416666666666666E-2</v>
      </c>
      <c r="I939" t="s">
        <v>124</v>
      </c>
      <c r="J939" t="s">
        <v>124</v>
      </c>
      <c r="K939" s="5">
        <f>902 / 86400</f>
        <v>1.0439814814814815E-2</v>
      </c>
      <c r="L939" s="5">
        <f>14276 / 86400</f>
        <v>0.16523148148148148</v>
      </c>
    </row>
    <row r="940" spans="1:12" x14ac:dyDescent="0.25">
      <c r="A940" s="3">
        <v>45693.769467592589</v>
      </c>
      <c r="B940" t="s">
        <v>91</v>
      </c>
      <c r="C940" s="3">
        <v>45693.76966435185</v>
      </c>
      <c r="D940" t="s">
        <v>91</v>
      </c>
      <c r="E940" s="4">
        <v>0</v>
      </c>
      <c r="F940" s="4">
        <v>80816.877999999997</v>
      </c>
      <c r="G940" s="4">
        <v>80816.877999999997</v>
      </c>
      <c r="H940" s="5">
        <f>0 / 86400</f>
        <v>0</v>
      </c>
      <c r="I940" t="s">
        <v>124</v>
      </c>
      <c r="J940" t="s">
        <v>124</v>
      </c>
      <c r="K940" s="5">
        <f>17 / 86400</f>
        <v>1.9675925925925926E-4</v>
      </c>
      <c r="L940" s="5">
        <f>123 / 86400</f>
        <v>1.4236111111111112E-3</v>
      </c>
    </row>
    <row r="941" spans="1:12" x14ac:dyDescent="0.25">
      <c r="A941" s="3">
        <v>45693.771087962959</v>
      </c>
      <c r="B941" t="s">
        <v>91</v>
      </c>
      <c r="C941" s="3">
        <v>45693.895925925928</v>
      </c>
      <c r="D941" t="s">
        <v>91</v>
      </c>
      <c r="E941" s="4">
        <v>0.126</v>
      </c>
      <c r="F941" s="4">
        <v>80816.877999999997</v>
      </c>
      <c r="G941" s="4">
        <v>80817.004000000001</v>
      </c>
      <c r="H941" s="5">
        <f>10619 / 86400</f>
        <v>0.12290509259259259</v>
      </c>
      <c r="I941" t="s">
        <v>82</v>
      </c>
      <c r="J941" t="s">
        <v>124</v>
      </c>
      <c r="K941" s="5">
        <f>10786 / 86400</f>
        <v>0.12483796296296296</v>
      </c>
      <c r="L941" s="5">
        <f>8991 / 86400</f>
        <v>0.1040625</v>
      </c>
    </row>
    <row r="942" spans="1:12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 spans="1:12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 spans="1:12" s="10" customFormat="1" ht="20.100000000000001" customHeight="1" x14ac:dyDescent="0.35">
      <c r="A944" s="12" t="s">
        <v>439</v>
      </c>
      <c r="B944" s="12"/>
      <c r="C944" s="12"/>
      <c r="D944" s="12"/>
      <c r="E944" s="12"/>
      <c r="F944" s="12"/>
      <c r="G944" s="12"/>
      <c r="H944" s="12"/>
      <c r="I944" s="12"/>
      <c r="J944" s="12"/>
    </row>
    <row r="945" spans="1:12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 spans="1:12" ht="30" x14ac:dyDescent="0.25">
      <c r="A946" s="2" t="s">
        <v>6</v>
      </c>
      <c r="B946" s="2" t="s">
        <v>7</v>
      </c>
      <c r="C946" s="2" t="s">
        <v>8</v>
      </c>
      <c r="D946" s="2" t="s">
        <v>9</v>
      </c>
      <c r="E946" s="2" t="s">
        <v>10</v>
      </c>
      <c r="F946" s="2" t="s">
        <v>11</v>
      </c>
      <c r="G946" s="2" t="s">
        <v>12</v>
      </c>
      <c r="H946" s="2" t="s">
        <v>13</v>
      </c>
      <c r="I946" s="2" t="s">
        <v>14</v>
      </c>
      <c r="J946" s="2" t="s">
        <v>15</v>
      </c>
      <c r="K946" s="2" t="s">
        <v>16</v>
      </c>
      <c r="L946" s="2" t="s">
        <v>17</v>
      </c>
    </row>
    <row r="947" spans="1:12" x14ac:dyDescent="0.25">
      <c r="A947" s="3">
        <v>45693.005289351851</v>
      </c>
      <c r="B947" t="s">
        <v>80</v>
      </c>
      <c r="C947" s="3">
        <v>45693.012812500005</v>
      </c>
      <c r="D947" t="s">
        <v>162</v>
      </c>
      <c r="E947" s="4">
        <v>0.96099999999999997</v>
      </c>
      <c r="F947" s="4">
        <v>468186.72899999999</v>
      </c>
      <c r="G947" s="4">
        <v>468187.69</v>
      </c>
      <c r="H947" s="5">
        <f>438 / 86400</f>
        <v>5.0694444444444441E-3</v>
      </c>
      <c r="I947" t="s">
        <v>159</v>
      </c>
      <c r="J947" t="s">
        <v>133</v>
      </c>
      <c r="K947" s="5">
        <f>649 / 86400</f>
        <v>7.5115740740740742E-3</v>
      </c>
      <c r="L947" s="5">
        <f>1246 / 86400</f>
        <v>1.4421296296296297E-2</v>
      </c>
    </row>
    <row r="948" spans="1:12" x14ac:dyDescent="0.25">
      <c r="A948" s="3">
        <v>45693.021944444445</v>
      </c>
      <c r="B948" t="s">
        <v>162</v>
      </c>
      <c r="C948" s="3">
        <v>45693.028032407412</v>
      </c>
      <c r="D948" t="s">
        <v>262</v>
      </c>
      <c r="E948" s="4">
        <v>2.9929999999999999</v>
      </c>
      <c r="F948" s="4">
        <v>468187.69</v>
      </c>
      <c r="G948" s="4">
        <v>468190.68300000002</v>
      </c>
      <c r="H948" s="5">
        <f>159 / 86400</f>
        <v>1.8402777777777777E-3</v>
      </c>
      <c r="I948" t="s">
        <v>261</v>
      </c>
      <c r="J948" t="s">
        <v>136</v>
      </c>
      <c r="K948" s="5">
        <f>525 / 86400</f>
        <v>6.076388888888889E-3</v>
      </c>
      <c r="L948" s="5">
        <f>123 / 86400</f>
        <v>1.4236111111111112E-3</v>
      </c>
    </row>
    <row r="949" spans="1:12" x14ac:dyDescent="0.25">
      <c r="A949" s="3">
        <v>45693.029456018514</v>
      </c>
      <c r="B949" t="s">
        <v>262</v>
      </c>
      <c r="C949" s="3">
        <v>45693.054733796293</v>
      </c>
      <c r="D949" t="s">
        <v>42</v>
      </c>
      <c r="E949" s="4">
        <v>20.456</v>
      </c>
      <c r="F949" s="4">
        <v>468190.68300000002</v>
      </c>
      <c r="G949" s="4">
        <v>468211.13900000002</v>
      </c>
      <c r="H949" s="5">
        <f>200 / 86400</f>
        <v>2.3148148148148147E-3</v>
      </c>
      <c r="I949" t="s">
        <v>127</v>
      </c>
      <c r="J949" t="s">
        <v>138</v>
      </c>
      <c r="K949" s="5">
        <f>2183 / 86400</f>
        <v>2.5266203703703704E-2</v>
      </c>
      <c r="L949" s="5">
        <f>25323 / 86400</f>
        <v>0.2930902777777778</v>
      </c>
    </row>
    <row r="950" spans="1:12" x14ac:dyDescent="0.25">
      <c r="A950" s="3">
        <v>45693.347824074073</v>
      </c>
      <c r="B950" t="s">
        <v>42</v>
      </c>
      <c r="C950" s="3">
        <v>45693.348425925928</v>
      </c>
      <c r="D950" t="s">
        <v>42</v>
      </c>
      <c r="E950" s="4">
        <v>2.9000000000000001E-2</v>
      </c>
      <c r="F950" s="4">
        <v>468211.13900000002</v>
      </c>
      <c r="G950" s="4">
        <v>468211.16800000001</v>
      </c>
      <c r="H950" s="5">
        <f>0 / 86400</f>
        <v>0</v>
      </c>
      <c r="I950" t="s">
        <v>133</v>
      </c>
      <c r="J950" t="s">
        <v>126</v>
      </c>
      <c r="K950" s="5">
        <f>52 / 86400</f>
        <v>6.018518518518519E-4</v>
      </c>
      <c r="L950" s="5">
        <f>3466 / 86400</f>
        <v>4.0115740740740743E-2</v>
      </c>
    </row>
    <row r="951" spans="1:12" x14ac:dyDescent="0.25">
      <c r="A951" s="3">
        <v>45693.388541666667</v>
      </c>
      <c r="B951" t="s">
        <v>42</v>
      </c>
      <c r="C951" s="3">
        <v>45693.392812499995</v>
      </c>
      <c r="D951" t="s">
        <v>21</v>
      </c>
      <c r="E951" s="4">
        <v>1.6</v>
      </c>
      <c r="F951" s="4">
        <v>468211.16800000001</v>
      </c>
      <c r="G951" s="4">
        <v>468212.76799999998</v>
      </c>
      <c r="H951" s="5">
        <f>19 / 86400</f>
        <v>2.199074074074074E-4</v>
      </c>
      <c r="I951" t="s">
        <v>160</v>
      </c>
      <c r="J951" t="s">
        <v>31</v>
      </c>
      <c r="K951" s="5">
        <f>369 / 86400</f>
        <v>4.2708333333333331E-3</v>
      </c>
      <c r="L951" s="5">
        <f>373 / 86400</f>
        <v>4.31712962962963E-3</v>
      </c>
    </row>
    <row r="952" spans="1:12" x14ac:dyDescent="0.25">
      <c r="A952" s="3">
        <v>45693.397129629629</v>
      </c>
      <c r="B952" t="s">
        <v>21</v>
      </c>
      <c r="C952" s="3">
        <v>45693.39980324074</v>
      </c>
      <c r="D952" t="s">
        <v>21</v>
      </c>
      <c r="E952" s="4">
        <v>5.2999999999999999E-2</v>
      </c>
      <c r="F952" s="4">
        <v>468212.76799999998</v>
      </c>
      <c r="G952" s="4">
        <v>468212.821</v>
      </c>
      <c r="H952" s="5">
        <f>159 / 86400</f>
        <v>1.8402777777777777E-3</v>
      </c>
      <c r="I952" t="s">
        <v>149</v>
      </c>
      <c r="J952" t="s">
        <v>116</v>
      </c>
      <c r="K952" s="5">
        <f>231 / 86400</f>
        <v>2.673611111111111E-3</v>
      </c>
      <c r="L952" s="5">
        <f>2426 / 86400</f>
        <v>2.8078703703703703E-2</v>
      </c>
    </row>
    <row r="953" spans="1:12" x14ac:dyDescent="0.25">
      <c r="A953" s="3">
        <v>45693.427881944444</v>
      </c>
      <c r="B953" t="s">
        <v>21</v>
      </c>
      <c r="C953" s="3">
        <v>45693.432546296295</v>
      </c>
      <c r="D953" t="s">
        <v>49</v>
      </c>
      <c r="E953" s="4">
        <v>1.3680000000000001</v>
      </c>
      <c r="F953" s="4">
        <v>468212.821</v>
      </c>
      <c r="G953" s="4">
        <v>468214.18900000001</v>
      </c>
      <c r="H953" s="5">
        <f>20 / 86400</f>
        <v>2.3148148148148149E-4</v>
      </c>
      <c r="I953" t="s">
        <v>222</v>
      </c>
      <c r="J953" t="s">
        <v>59</v>
      </c>
      <c r="K953" s="5">
        <f>403 / 86400</f>
        <v>4.6643518518518518E-3</v>
      </c>
      <c r="L953" s="5">
        <f>121 / 86400</f>
        <v>1.4004629629629629E-3</v>
      </c>
    </row>
    <row r="954" spans="1:12" x14ac:dyDescent="0.25">
      <c r="A954" s="3">
        <v>45693.433946759258</v>
      </c>
      <c r="B954" t="s">
        <v>49</v>
      </c>
      <c r="C954" s="3">
        <v>45693.43476851852</v>
      </c>
      <c r="D954" t="s">
        <v>42</v>
      </c>
      <c r="E954" s="4">
        <v>0.23300000000000001</v>
      </c>
      <c r="F954" s="4">
        <v>468214.18900000001</v>
      </c>
      <c r="G954" s="4">
        <v>468214.42200000002</v>
      </c>
      <c r="H954" s="5">
        <f>0 / 86400</f>
        <v>0</v>
      </c>
      <c r="I954" t="s">
        <v>52</v>
      </c>
      <c r="J954" t="s">
        <v>59</v>
      </c>
      <c r="K954" s="5">
        <f>70 / 86400</f>
        <v>8.1018518518518516E-4</v>
      </c>
      <c r="L954" s="5">
        <f>3358 / 86400</f>
        <v>3.8865740740740742E-2</v>
      </c>
    </row>
    <row r="955" spans="1:12" x14ac:dyDescent="0.25">
      <c r="A955" s="3">
        <v>45693.473634259259</v>
      </c>
      <c r="B955" t="s">
        <v>42</v>
      </c>
      <c r="C955" s="3">
        <v>45693.479745370365</v>
      </c>
      <c r="D955" t="s">
        <v>144</v>
      </c>
      <c r="E955" s="4">
        <v>0.88800000000000001</v>
      </c>
      <c r="F955" s="4">
        <v>468214.42200000002</v>
      </c>
      <c r="G955" s="4">
        <v>468215.31</v>
      </c>
      <c r="H955" s="5">
        <f>219 / 86400</f>
        <v>2.5347222222222221E-3</v>
      </c>
      <c r="I955" t="s">
        <v>212</v>
      </c>
      <c r="J955" t="s">
        <v>260</v>
      </c>
      <c r="K955" s="5">
        <f>527 / 86400</f>
        <v>6.099537037037037E-3</v>
      </c>
      <c r="L955" s="5">
        <f>343 / 86400</f>
        <v>3.9699074074074072E-3</v>
      </c>
    </row>
    <row r="956" spans="1:12" x14ac:dyDescent="0.25">
      <c r="A956" s="3">
        <v>45693.483715277776</v>
      </c>
      <c r="B956" t="s">
        <v>144</v>
      </c>
      <c r="C956" s="3">
        <v>45693.484756944439</v>
      </c>
      <c r="D956" t="s">
        <v>144</v>
      </c>
      <c r="E956" s="4">
        <v>1.7000000000000001E-2</v>
      </c>
      <c r="F956" s="4">
        <v>468215.31</v>
      </c>
      <c r="G956" s="4">
        <v>468215.32699999999</v>
      </c>
      <c r="H956" s="5">
        <f>79 / 86400</f>
        <v>9.1435185185185185E-4</v>
      </c>
      <c r="I956" t="s">
        <v>133</v>
      </c>
      <c r="J956" t="s">
        <v>116</v>
      </c>
      <c r="K956" s="5">
        <f>90 / 86400</f>
        <v>1.0416666666666667E-3</v>
      </c>
      <c r="L956" s="5">
        <f>941 / 86400</f>
        <v>1.0891203703703703E-2</v>
      </c>
    </row>
    <row r="957" spans="1:12" x14ac:dyDescent="0.25">
      <c r="A957" s="3">
        <v>45693.495648148149</v>
      </c>
      <c r="B957" t="s">
        <v>144</v>
      </c>
      <c r="C957" s="3">
        <v>45693.503206018519</v>
      </c>
      <c r="D957" t="s">
        <v>380</v>
      </c>
      <c r="E957" s="4">
        <v>1.966</v>
      </c>
      <c r="F957" s="4">
        <v>468215.32699999999</v>
      </c>
      <c r="G957" s="4">
        <v>468217.29300000001</v>
      </c>
      <c r="H957" s="5">
        <f>120 / 86400</f>
        <v>1.3888888888888889E-3</v>
      </c>
      <c r="I957" t="s">
        <v>231</v>
      </c>
      <c r="J957" t="s">
        <v>154</v>
      </c>
      <c r="K957" s="5">
        <f>653 / 86400</f>
        <v>7.5578703703703702E-3</v>
      </c>
      <c r="L957" s="5">
        <f>588 / 86400</f>
        <v>6.8055555555555551E-3</v>
      </c>
    </row>
    <row r="958" spans="1:12" x14ac:dyDescent="0.25">
      <c r="A958" s="3">
        <v>45693.510011574079</v>
      </c>
      <c r="B958" t="s">
        <v>380</v>
      </c>
      <c r="C958" s="3">
        <v>45693.510798611111</v>
      </c>
      <c r="D958" t="s">
        <v>380</v>
      </c>
      <c r="E958" s="4">
        <v>0</v>
      </c>
      <c r="F958" s="4">
        <v>468217.29300000001</v>
      </c>
      <c r="G958" s="4">
        <v>468217.29300000001</v>
      </c>
      <c r="H958" s="5">
        <f>59 / 86400</f>
        <v>6.8287037037037036E-4</v>
      </c>
      <c r="I958" t="s">
        <v>124</v>
      </c>
      <c r="J958" t="s">
        <v>124</v>
      </c>
      <c r="K958" s="5">
        <f>68 / 86400</f>
        <v>7.8703703703703705E-4</v>
      </c>
      <c r="L958" s="5">
        <f>10975 / 86400</f>
        <v>0.12702546296296297</v>
      </c>
    </row>
    <row r="959" spans="1:12" x14ac:dyDescent="0.25">
      <c r="A959" s="3">
        <v>45693.637824074074</v>
      </c>
      <c r="B959" t="s">
        <v>380</v>
      </c>
      <c r="C959" s="3">
        <v>45693.647187499999</v>
      </c>
      <c r="D959" t="s">
        <v>369</v>
      </c>
      <c r="E959" s="4">
        <v>2.601</v>
      </c>
      <c r="F959" s="4">
        <v>468217.29300000001</v>
      </c>
      <c r="G959" s="4">
        <v>468219.89399999997</v>
      </c>
      <c r="H959" s="5">
        <f>199 / 86400</f>
        <v>2.3032407407407407E-3</v>
      </c>
      <c r="I959" t="s">
        <v>169</v>
      </c>
      <c r="J959" t="s">
        <v>59</v>
      </c>
      <c r="K959" s="5">
        <f>808 / 86400</f>
        <v>9.3518518518518525E-3</v>
      </c>
      <c r="L959" s="5">
        <f>654 / 86400</f>
        <v>7.5694444444444446E-3</v>
      </c>
    </row>
    <row r="960" spans="1:12" x14ac:dyDescent="0.25">
      <c r="A960" s="3">
        <v>45693.654756944445</v>
      </c>
      <c r="B960" t="s">
        <v>369</v>
      </c>
      <c r="C960" s="3">
        <v>45693.655451388884</v>
      </c>
      <c r="D960" t="s">
        <v>369</v>
      </c>
      <c r="E960" s="4">
        <v>2E-3</v>
      </c>
      <c r="F960" s="4">
        <v>468219.89399999997</v>
      </c>
      <c r="G960" s="4">
        <v>468219.89600000001</v>
      </c>
      <c r="H960" s="5">
        <f>39 / 86400</f>
        <v>4.5138888888888887E-4</v>
      </c>
      <c r="I960" t="s">
        <v>124</v>
      </c>
      <c r="J960" t="s">
        <v>124</v>
      </c>
      <c r="K960" s="5">
        <f>59 / 86400</f>
        <v>6.8287037037037036E-4</v>
      </c>
      <c r="L960" s="5">
        <f>362 / 86400</f>
        <v>4.1898148148148146E-3</v>
      </c>
    </row>
    <row r="961" spans="1:12" x14ac:dyDescent="0.25">
      <c r="A961" s="3">
        <v>45693.659641203703</v>
      </c>
      <c r="B961" t="s">
        <v>369</v>
      </c>
      <c r="C961" s="3">
        <v>45693.660474537042</v>
      </c>
      <c r="D961" t="s">
        <v>369</v>
      </c>
      <c r="E961" s="4">
        <v>0</v>
      </c>
      <c r="F961" s="4">
        <v>468219.89600000001</v>
      </c>
      <c r="G961" s="4">
        <v>468219.89600000001</v>
      </c>
      <c r="H961" s="5">
        <f>59 / 86400</f>
        <v>6.8287037037037036E-4</v>
      </c>
      <c r="I961" t="s">
        <v>124</v>
      </c>
      <c r="J961" t="s">
        <v>124</v>
      </c>
      <c r="K961" s="5">
        <f>71 / 86400</f>
        <v>8.2175925925925927E-4</v>
      </c>
      <c r="L961" s="5">
        <f>150 / 86400</f>
        <v>1.736111111111111E-3</v>
      </c>
    </row>
    <row r="962" spans="1:12" x14ac:dyDescent="0.25">
      <c r="A962" s="3">
        <v>45693.662210648152</v>
      </c>
      <c r="B962" t="s">
        <v>369</v>
      </c>
      <c r="C962" s="3">
        <v>45693.663761574076</v>
      </c>
      <c r="D962" t="s">
        <v>42</v>
      </c>
      <c r="E962" s="4">
        <v>0.159</v>
      </c>
      <c r="F962" s="4">
        <v>468219.89600000001</v>
      </c>
      <c r="G962" s="4">
        <v>468220.05499999999</v>
      </c>
      <c r="H962" s="5">
        <f>19 / 86400</f>
        <v>2.199074074074074E-4</v>
      </c>
      <c r="I962" t="s">
        <v>154</v>
      </c>
      <c r="J962" t="s">
        <v>86</v>
      </c>
      <c r="K962" s="5">
        <f>134 / 86400</f>
        <v>1.5509259259259259E-3</v>
      </c>
      <c r="L962" s="5">
        <f>50 / 86400</f>
        <v>5.7870370370370367E-4</v>
      </c>
    </row>
    <row r="963" spans="1:12" x14ac:dyDescent="0.25">
      <c r="A963" s="3">
        <v>45693.664340277777</v>
      </c>
      <c r="B963" t="s">
        <v>42</v>
      </c>
      <c r="C963" s="3">
        <v>45693.666006944448</v>
      </c>
      <c r="D963" t="s">
        <v>42</v>
      </c>
      <c r="E963" s="4">
        <v>0</v>
      </c>
      <c r="F963" s="4">
        <v>468220.05499999999</v>
      </c>
      <c r="G963" s="4">
        <v>468220.05499999999</v>
      </c>
      <c r="H963" s="5">
        <f>139 / 86400</f>
        <v>1.6087962962962963E-3</v>
      </c>
      <c r="I963" t="s">
        <v>124</v>
      </c>
      <c r="J963" t="s">
        <v>124</v>
      </c>
      <c r="K963" s="5">
        <f>143 / 86400</f>
        <v>1.6550925925925926E-3</v>
      </c>
      <c r="L963" s="5">
        <f>229 / 86400</f>
        <v>2.650462962962963E-3</v>
      </c>
    </row>
    <row r="964" spans="1:12" x14ac:dyDescent="0.25">
      <c r="A964" s="3">
        <v>45693.668657407412</v>
      </c>
      <c r="B964" t="s">
        <v>42</v>
      </c>
      <c r="C964" s="3">
        <v>45693.668865740736</v>
      </c>
      <c r="D964" t="s">
        <v>42</v>
      </c>
      <c r="E964" s="4">
        <v>2E-3</v>
      </c>
      <c r="F964" s="4">
        <v>468220.05499999999</v>
      </c>
      <c r="G964" s="4">
        <v>468220.05699999997</v>
      </c>
      <c r="H964" s="5">
        <f>0 / 86400</f>
        <v>0</v>
      </c>
      <c r="I964" t="s">
        <v>124</v>
      </c>
      <c r="J964" t="s">
        <v>124</v>
      </c>
      <c r="K964" s="5">
        <f>17 / 86400</f>
        <v>1.9675925925925926E-4</v>
      </c>
      <c r="L964" s="5">
        <f>2009 / 86400</f>
        <v>2.3252314814814816E-2</v>
      </c>
    </row>
    <row r="965" spans="1:12" x14ac:dyDescent="0.25">
      <c r="A965" s="3">
        <v>45693.692118055551</v>
      </c>
      <c r="B965" t="s">
        <v>42</v>
      </c>
      <c r="C965" s="3">
        <v>45693.695590277777</v>
      </c>
      <c r="D965" t="s">
        <v>22</v>
      </c>
      <c r="E965" s="4">
        <v>1.41</v>
      </c>
      <c r="F965" s="4">
        <v>468220.05699999997</v>
      </c>
      <c r="G965" s="4">
        <v>468221.467</v>
      </c>
      <c r="H965" s="5">
        <f>0 / 86400</f>
        <v>0</v>
      </c>
      <c r="I965" t="s">
        <v>169</v>
      </c>
      <c r="J965" t="s">
        <v>28</v>
      </c>
      <c r="K965" s="5">
        <f>300 / 86400</f>
        <v>3.472222222222222E-3</v>
      </c>
      <c r="L965" s="5">
        <f>1948 / 86400</f>
        <v>2.2546296296296297E-2</v>
      </c>
    </row>
    <row r="966" spans="1:12" x14ac:dyDescent="0.25">
      <c r="A966" s="3">
        <v>45693.718136574069</v>
      </c>
      <c r="B966" t="s">
        <v>22</v>
      </c>
      <c r="C966" s="3">
        <v>45693.728321759263</v>
      </c>
      <c r="D966" t="s">
        <v>22</v>
      </c>
      <c r="E966" s="4">
        <v>0.16900000000000001</v>
      </c>
      <c r="F966" s="4">
        <v>468221.467</v>
      </c>
      <c r="G966" s="4">
        <v>468221.636</v>
      </c>
      <c r="H966" s="5">
        <f>780 / 86400</f>
        <v>9.0277777777777769E-3</v>
      </c>
      <c r="I966" t="s">
        <v>35</v>
      </c>
      <c r="J966" t="s">
        <v>116</v>
      </c>
      <c r="K966" s="5">
        <f>879 / 86400</f>
        <v>1.0173611111111111E-2</v>
      </c>
      <c r="L966" s="5">
        <f>1056 / 86400</f>
        <v>1.2222222222222223E-2</v>
      </c>
    </row>
    <row r="967" spans="1:12" x14ac:dyDescent="0.25">
      <c r="A967" s="3">
        <v>45693.740543981483</v>
      </c>
      <c r="B967" t="s">
        <v>22</v>
      </c>
      <c r="C967" s="3">
        <v>45693.779965277776</v>
      </c>
      <c r="D967" t="s">
        <v>29</v>
      </c>
      <c r="E967" s="4">
        <v>22.49</v>
      </c>
      <c r="F967" s="4">
        <v>468221.636</v>
      </c>
      <c r="G967" s="4">
        <v>468244.12599999999</v>
      </c>
      <c r="H967" s="5">
        <f>700 / 86400</f>
        <v>8.1018518518518514E-3</v>
      </c>
      <c r="I967" t="s">
        <v>60</v>
      </c>
      <c r="J967" t="s">
        <v>156</v>
      </c>
      <c r="K967" s="5">
        <f>3406 / 86400</f>
        <v>3.9421296296296295E-2</v>
      </c>
      <c r="L967" s="5">
        <f>7064 / 86400</f>
        <v>8.1759259259259254E-2</v>
      </c>
    </row>
    <row r="968" spans="1:12" x14ac:dyDescent="0.25">
      <c r="A968" s="3">
        <v>45693.861724537041</v>
      </c>
      <c r="B968" t="s">
        <v>29</v>
      </c>
      <c r="C968" s="3">
        <v>45693.862604166672</v>
      </c>
      <c r="D968" t="s">
        <v>29</v>
      </c>
      <c r="E968" s="4">
        <v>2.8000000000000001E-2</v>
      </c>
      <c r="F968" s="4">
        <v>468244.12599999999</v>
      </c>
      <c r="G968" s="4">
        <v>468244.15399999998</v>
      </c>
      <c r="H968" s="5">
        <f>20 / 86400</f>
        <v>2.3148148148148149E-4</v>
      </c>
      <c r="I968" t="s">
        <v>133</v>
      </c>
      <c r="J968" t="s">
        <v>116</v>
      </c>
      <c r="K968" s="5">
        <f>76 / 86400</f>
        <v>8.7962962962962962E-4</v>
      </c>
      <c r="L968" s="5">
        <f>11870 / 86400</f>
        <v>0.13738425925925926</v>
      </c>
    </row>
    <row r="969" spans="1:12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 spans="1:12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 spans="1:12" s="10" customFormat="1" ht="20.100000000000001" customHeight="1" x14ac:dyDescent="0.35">
      <c r="A971" s="12" t="s">
        <v>440</v>
      </c>
      <c r="B971" s="12"/>
      <c r="C971" s="12"/>
      <c r="D971" s="12"/>
      <c r="E971" s="12"/>
      <c r="F971" s="12"/>
      <c r="G971" s="12"/>
      <c r="H971" s="12"/>
      <c r="I971" s="12"/>
      <c r="J971" s="12"/>
    </row>
    <row r="972" spans="1:12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 spans="1:12" ht="30" x14ac:dyDescent="0.25">
      <c r="A973" s="2" t="s">
        <v>6</v>
      </c>
      <c r="B973" s="2" t="s">
        <v>7</v>
      </c>
      <c r="C973" s="2" t="s">
        <v>8</v>
      </c>
      <c r="D973" s="2" t="s">
        <v>9</v>
      </c>
      <c r="E973" s="2" t="s">
        <v>10</v>
      </c>
      <c r="F973" s="2" t="s">
        <v>11</v>
      </c>
      <c r="G973" s="2" t="s">
        <v>12</v>
      </c>
      <c r="H973" s="2" t="s">
        <v>13</v>
      </c>
      <c r="I973" s="2" t="s">
        <v>14</v>
      </c>
      <c r="J973" s="2" t="s">
        <v>15</v>
      </c>
      <c r="K973" s="2" t="s">
        <v>16</v>
      </c>
      <c r="L973" s="2" t="s">
        <v>17</v>
      </c>
    </row>
    <row r="974" spans="1:12" x14ac:dyDescent="0.25">
      <c r="A974" s="3">
        <v>45693.249374999999</v>
      </c>
      <c r="B974" t="s">
        <v>29</v>
      </c>
      <c r="C974" s="3">
        <v>45693.258657407408</v>
      </c>
      <c r="D974" t="s">
        <v>162</v>
      </c>
      <c r="E974" s="4">
        <v>1.427</v>
      </c>
      <c r="F974" s="4">
        <v>574128.49199999997</v>
      </c>
      <c r="G974" s="4">
        <v>574129.91899999999</v>
      </c>
      <c r="H974" s="5">
        <f>399 / 86400</f>
        <v>4.6180555555555558E-3</v>
      </c>
      <c r="I974" t="s">
        <v>153</v>
      </c>
      <c r="J974" t="s">
        <v>260</v>
      </c>
      <c r="K974" s="5">
        <f>801 / 86400</f>
        <v>9.2708333333333341E-3</v>
      </c>
      <c r="L974" s="5">
        <f>25262 / 86400</f>
        <v>0.29238425925925926</v>
      </c>
    </row>
    <row r="975" spans="1:12" x14ac:dyDescent="0.25">
      <c r="A975" s="3">
        <v>45693.301666666666</v>
      </c>
      <c r="B975" t="s">
        <v>162</v>
      </c>
      <c r="C975" s="3">
        <v>45693.607048611113</v>
      </c>
      <c r="D975" t="s">
        <v>330</v>
      </c>
      <c r="E975" s="4">
        <v>94.718000000000004</v>
      </c>
      <c r="F975" s="4">
        <v>574129.91899999999</v>
      </c>
      <c r="G975" s="4">
        <v>574224.63699999999</v>
      </c>
      <c r="H975" s="5">
        <f>10932 / 86400</f>
        <v>0.12652777777777777</v>
      </c>
      <c r="I975" t="s">
        <v>33</v>
      </c>
      <c r="J975" t="s">
        <v>55</v>
      </c>
      <c r="K975" s="5">
        <f>26385 / 86400</f>
        <v>0.30538194444444444</v>
      </c>
      <c r="L975" s="5">
        <f>875 / 86400</f>
        <v>1.0127314814814815E-2</v>
      </c>
    </row>
    <row r="976" spans="1:12" x14ac:dyDescent="0.25">
      <c r="A976" s="3">
        <v>45693.61717592593</v>
      </c>
      <c r="B976" t="s">
        <v>330</v>
      </c>
      <c r="C976" s="3">
        <v>45693.623333333337</v>
      </c>
      <c r="D976" t="s">
        <v>111</v>
      </c>
      <c r="E976" s="4">
        <v>1.2689999999999999</v>
      </c>
      <c r="F976" s="4">
        <v>574224.63699999999</v>
      </c>
      <c r="G976" s="4">
        <v>574225.90599999996</v>
      </c>
      <c r="H976" s="5">
        <f>179 / 86400</f>
        <v>2.0717592592592593E-3</v>
      </c>
      <c r="I976" t="s">
        <v>159</v>
      </c>
      <c r="J976" t="s">
        <v>82</v>
      </c>
      <c r="K976" s="5">
        <f>532 / 86400</f>
        <v>6.1574074074074074E-3</v>
      </c>
      <c r="L976" s="5">
        <f>3292 / 86400</f>
        <v>3.8101851851851852E-2</v>
      </c>
    </row>
    <row r="977" spans="1:12" x14ac:dyDescent="0.25">
      <c r="A977" s="3">
        <v>45693.661435185189</v>
      </c>
      <c r="B977" t="s">
        <v>111</v>
      </c>
      <c r="C977" s="3">
        <v>45693.66407407407</v>
      </c>
      <c r="D977" t="s">
        <v>73</v>
      </c>
      <c r="E977" s="4">
        <v>0.84599999999999997</v>
      </c>
      <c r="F977" s="4">
        <v>574225.90599999996</v>
      </c>
      <c r="G977" s="4">
        <v>574226.75199999998</v>
      </c>
      <c r="H977" s="5">
        <f>20 / 86400</f>
        <v>2.3148148148148149E-4</v>
      </c>
      <c r="I977" t="s">
        <v>138</v>
      </c>
      <c r="J977" t="s">
        <v>55</v>
      </c>
      <c r="K977" s="5">
        <f>227 / 86400</f>
        <v>2.627314814814815E-3</v>
      </c>
      <c r="L977" s="5">
        <f>1277 / 86400</f>
        <v>1.4780092592592593E-2</v>
      </c>
    </row>
    <row r="978" spans="1:12" x14ac:dyDescent="0.25">
      <c r="A978" s="3">
        <v>45693.678854166668</v>
      </c>
      <c r="B978" t="s">
        <v>73</v>
      </c>
      <c r="C978" s="3">
        <v>45693.87945601852</v>
      </c>
      <c r="D978" t="s">
        <v>29</v>
      </c>
      <c r="E978" s="4">
        <v>78.457999999999998</v>
      </c>
      <c r="F978" s="4">
        <v>574226.75199999998</v>
      </c>
      <c r="G978" s="4">
        <v>574305.21</v>
      </c>
      <c r="H978" s="5">
        <f>5918 / 86400</f>
        <v>6.8495370370370373E-2</v>
      </c>
      <c r="I978" t="s">
        <v>92</v>
      </c>
      <c r="J978" t="s">
        <v>31</v>
      </c>
      <c r="K978" s="5">
        <f>17331 / 86400</f>
        <v>0.20059027777777777</v>
      </c>
      <c r="L978" s="5">
        <f>10414 / 86400</f>
        <v>0.12053240740740741</v>
      </c>
    </row>
    <row r="979" spans="1:12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 spans="1:12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 spans="1:12" s="10" customFormat="1" ht="20.100000000000001" customHeight="1" x14ac:dyDescent="0.35">
      <c r="A981" s="12" t="s">
        <v>441</v>
      </c>
      <c r="B981" s="12"/>
      <c r="C981" s="12"/>
      <c r="D981" s="12"/>
      <c r="E981" s="12"/>
      <c r="F981" s="12"/>
      <c r="G981" s="12"/>
      <c r="H981" s="12"/>
      <c r="I981" s="12"/>
      <c r="J981" s="12"/>
    </row>
    <row r="982" spans="1:12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 spans="1:12" ht="30" x14ac:dyDescent="0.25">
      <c r="A983" s="2" t="s">
        <v>6</v>
      </c>
      <c r="B983" s="2" t="s">
        <v>7</v>
      </c>
      <c r="C983" s="2" t="s">
        <v>8</v>
      </c>
      <c r="D983" s="2" t="s">
        <v>9</v>
      </c>
      <c r="E983" s="2" t="s">
        <v>10</v>
      </c>
      <c r="F983" s="2" t="s">
        <v>11</v>
      </c>
      <c r="G983" s="2" t="s">
        <v>12</v>
      </c>
      <c r="H983" s="2" t="s">
        <v>13</v>
      </c>
      <c r="I983" s="2" t="s">
        <v>14</v>
      </c>
      <c r="J983" s="2" t="s">
        <v>15</v>
      </c>
      <c r="K983" s="2" t="s">
        <v>16</v>
      </c>
      <c r="L983" s="2" t="s">
        <v>17</v>
      </c>
    </row>
    <row r="984" spans="1:12" x14ac:dyDescent="0.25">
      <c r="A984" s="3">
        <v>45693.278935185182</v>
      </c>
      <c r="B984" t="s">
        <v>93</v>
      </c>
      <c r="C984" s="3">
        <v>45693.280312499999</v>
      </c>
      <c r="D984" t="s">
        <v>381</v>
      </c>
      <c r="E984" s="4">
        <v>7.0000000000000001E-3</v>
      </c>
      <c r="F984" s="4">
        <v>399441.201</v>
      </c>
      <c r="G984" s="4">
        <v>399441.20799999998</v>
      </c>
      <c r="H984" s="5">
        <f>99 / 86400</f>
        <v>1.1458333333333333E-3</v>
      </c>
      <c r="I984" t="s">
        <v>124</v>
      </c>
      <c r="J984" t="s">
        <v>124</v>
      </c>
      <c r="K984" s="5">
        <f>119 / 86400</f>
        <v>1.3773148148148147E-3</v>
      </c>
      <c r="L984" s="5">
        <f>28030 / 86400</f>
        <v>0.32442129629629629</v>
      </c>
    </row>
    <row r="985" spans="1:12" x14ac:dyDescent="0.25">
      <c r="A985" s="3">
        <v>45693.325798611113</v>
      </c>
      <c r="B985" t="s">
        <v>381</v>
      </c>
      <c r="C985" s="3">
        <v>45693.341967592598</v>
      </c>
      <c r="D985" t="s">
        <v>73</v>
      </c>
      <c r="E985" s="4">
        <v>9.0690000000000008</v>
      </c>
      <c r="F985" s="4">
        <v>399441.20799999998</v>
      </c>
      <c r="G985" s="4">
        <v>399450.277</v>
      </c>
      <c r="H985" s="5">
        <f>480 / 86400</f>
        <v>5.5555555555555558E-3</v>
      </c>
      <c r="I985" t="s">
        <v>261</v>
      </c>
      <c r="J985" t="s">
        <v>150</v>
      </c>
      <c r="K985" s="5">
        <f>1397 / 86400</f>
        <v>1.6168981481481482E-2</v>
      </c>
      <c r="L985" s="5">
        <f>471 / 86400</f>
        <v>5.4513888888888893E-3</v>
      </c>
    </row>
    <row r="986" spans="1:12" x14ac:dyDescent="0.25">
      <c r="A986" s="3">
        <v>45693.347418981481</v>
      </c>
      <c r="B986" t="s">
        <v>73</v>
      </c>
      <c r="C986" s="3">
        <v>45693.352546296301</v>
      </c>
      <c r="D986" t="s">
        <v>118</v>
      </c>
      <c r="E986" s="4">
        <v>1.399</v>
      </c>
      <c r="F986" s="4">
        <v>399450.277</v>
      </c>
      <c r="G986" s="4">
        <v>399451.67599999998</v>
      </c>
      <c r="H986" s="5">
        <f>79 / 86400</f>
        <v>9.1435185185185185E-4</v>
      </c>
      <c r="I986" t="s">
        <v>231</v>
      </c>
      <c r="J986" t="s">
        <v>154</v>
      </c>
      <c r="K986" s="5">
        <f>442 / 86400</f>
        <v>5.115740740740741E-3</v>
      </c>
      <c r="L986" s="5">
        <f>328 / 86400</f>
        <v>3.7962962962962963E-3</v>
      </c>
    </row>
    <row r="987" spans="1:12" x14ac:dyDescent="0.25">
      <c r="A987" s="3">
        <v>45693.356342592597</v>
      </c>
      <c r="B987" t="s">
        <v>118</v>
      </c>
      <c r="C987" s="3">
        <v>45693.358668981484</v>
      </c>
      <c r="D987" t="s">
        <v>129</v>
      </c>
      <c r="E987" s="4">
        <v>0.74199999999999999</v>
      </c>
      <c r="F987" s="4">
        <v>399451.67599999998</v>
      </c>
      <c r="G987" s="4">
        <v>399452.41800000001</v>
      </c>
      <c r="H987" s="5">
        <f>19 / 86400</f>
        <v>2.199074074074074E-4</v>
      </c>
      <c r="I987" t="s">
        <v>153</v>
      </c>
      <c r="J987" t="s">
        <v>55</v>
      </c>
      <c r="K987" s="5">
        <f>200 / 86400</f>
        <v>2.3148148148148147E-3</v>
      </c>
      <c r="L987" s="5">
        <f>130 / 86400</f>
        <v>1.5046296296296296E-3</v>
      </c>
    </row>
    <row r="988" spans="1:12" x14ac:dyDescent="0.25">
      <c r="A988" s="3">
        <v>45693.360173611116</v>
      </c>
      <c r="B988" t="s">
        <v>129</v>
      </c>
      <c r="C988" s="3">
        <v>45693.515092592592</v>
      </c>
      <c r="D988" t="s">
        <v>382</v>
      </c>
      <c r="E988" s="4">
        <v>49.837000000000003</v>
      </c>
      <c r="F988" s="4">
        <v>399452.41800000001</v>
      </c>
      <c r="G988" s="4">
        <v>399502.255</v>
      </c>
      <c r="H988" s="5">
        <f>5940 / 86400</f>
        <v>6.8750000000000006E-2</v>
      </c>
      <c r="I988" t="s">
        <v>81</v>
      </c>
      <c r="J988" t="s">
        <v>55</v>
      </c>
      <c r="K988" s="5">
        <f>13385 / 86400</f>
        <v>0.15491898148148148</v>
      </c>
      <c r="L988" s="5">
        <f>4475 / 86400</f>
        <v>5.1793981481481483E-2</v>
      </c>
    </row>
    <row r="989" spans="1:12" x14ac:dyDescent="0.25">
      <c r="A989" s="3">
        <v>45693.566886574074</v>
      </c>
      <c r="B989" t="s">
        <v>382</v>
      </c>
      <c r="C989" s="3">
        <v>45693.722256944442</v>
      </c>
      <c r="D989" t="s">
        <v>265</v>
      </c>
      <c r="E989" s="4">
        <v>46.253</v>
      </c>
      <c r="F989" s="4">
        <v>399502.255</v>
      </c>
      <c r="G989" s="4">
        <v>399548.50799999997</v>
      </c>
      <c r="H989" s="5">
        <f>5380 / 86400</f>
        <v>6.2268518518518522E-2</v>
      </c>
      <c r="I989" t="s">
        <v>261</v>
      </c>
      <c r="J989" t="s">
        <v>59</v>
      </c>
      <c r="K989" s="5">
        <f>13424 / 86400</f>
        <v>0.15537037037037038</v>
      </c>
      <c r="L989" s="5">
        <f>1955 / 86400</f>
        <v>2.2627314814814815E-2</v>
      </c>
    </row>
    <row r="990" spans="1:12" x14ac:dyDescent="0.25">
      <c r="A990" s="3">
        <v>45693.744884259257</v>
      </c>
      <c r="B990" t="s">
        <v>265</v>
      </c>
      <c r="C990" s="3">
        <v>45693.839502314819</v>
      </c>
      <c r="D990" t="s">
        <v>252</v>
      </c>
      <c r="E990" s="4">
        <v>34.82</v>
      </c>
      <c r="F990" s="4">
        <v>399548.50799999997</v>
      </c>
      <c r="G990" s="4">
        <v>399583.32799999998</v>
      </c>
      <c r="H990" s="5">
        <f>3299 / 86400</f>
        <v>3.8182870370370367E-2</v>
      </c>
      <c r="I990" t="s">
        <v>163</v>
      </c>
      <c r="J990" t="s">
        <v>35</v>
      </c>
      <c r="K990" s="5">
        <f>8175 / 86400</f>
        <v>9.4618055555555552E-2</v>
      </c>
      <c r="L990" s="5">
        <f>1918 / 86400</f>
        <v>2.2199074074074072E-2</v>
      </c>
    </row>
    <row r="991" spans="1:12" x14ac:dyDescent="0.25">
      <c r="A991" s="3">
        <v>45693.861701388887</v>
      </c>
      <c r="B991" t="s">
        <v>252</v>
      </c>
      <c r="C991" s="3">
        <v>45693.97252314815</v>
      </c>
      <c r="D991" t="s">
        <v>137</v>
      </c>
      <c r="E991" s="4">
        <v>38.279000000000003</v>
      </c>
      <c r="F991" s="4">
        <v>399583.32799999998</v>
      </c>
      <c r="G991" s="4">
        <v>399621.60700000002</v>
      </c>
      <c r="H991" s="5">
        <f>3259 / 86400</f>
        <v>3.771990740740741E-2</v>
      </c>
      <c r="I991" t="s">
        <v>58</v>
      </c>
      <c r="J991" t="s">
        <v>52</v>
      </c>
      <c r="K991" s="5">
        <f>9575 / 86400</f>
        <v>0.11082175925925926</v>
      </c>
      <c r="L991" s="5">
        <f>133 / 86400</f>
        <v>1.5393518518518519E-3</v>
      </c>
    </row>
    <row r="992" spans="1:12" x14ac:dyDescent="0.25">
      <c r="A992" s="3">
        <v>45693.974062499998</v>
      </c>
      <c r="B992" t="s">
        <v>137</v>
      </c>
      <c r="C992" s="3">
        <v>45693.981932870374</v>
      </c>
      <c r="D992" t="s">
        <v>94</v>
      </c>
      <c r="E992" s="4">
        <v>6.069</v>
      </c>
      <c r="F992" s="4">
        <v>399621.60700000002</v>
      </c>
      <c r="G992" s="4">
        <v>399627.67599999998</v>
      </c>
      <c r="H992" s="5">
        <f>40 / 86400</f>
        <v>4.6296296296296298E-4</v>
      </c>
      <c r="I992" t="s">
        <v>180</v>
      </c>
      <c r="J992" t="s">
        <v>174</v>
      </c>
      <c r="K992" s="5">
        <f>679 / 86400</f>
        <v>7.858796296296296E-3</v>
      </c>
      <c r="L992" s="5">
        <f>1560 / 86400</f>
        <v>1.8055555555555554E-2</v>
      </c>
    </row>
    <row r="993" spans="1:12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 spans="1:12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 spans="1:12" s="10" customFormat="1" ht="20.100000000000001" customHeight="1" x14ac:dyDescent="0.35">
      <c r="A995" s="12" t="s">
        <v>442</v>
      </c>
      <c r="B995" s="12"/>
      <c r="C995" s="12"/>
      <c r="D995" s="12"/>
      <c r="E995" s="12"/>
      <c r="F995" s="12"/>
      <c r="G995" s="12"/>
      <c r="H995" s="12"/>
      <c r="I995" s="12"/>
      <c r="J995" s="12"/>
    </row>
    <row r="996" spans="1:12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 spans="1:12" ht="30" x14ac:dyDescent="0.25">
      <c r="A997" s="2" t="s">
        <v>6</v>
      </c>
      <c r="B997" s="2" t="s">
        <v>7</v>
      </c>
      <c r="C997" s="2" t="s">
        <v>8</v>
      </c>
      <c r="D997" s="2" t="s">
        <v>9</v>
      </c>
      <c r="E997" s="2" t="s">
        <v>10</v>
      </c>
      <c r="F997" s="2" t="s">
        <v>11</v>
      </c>
      <c r="G997" s="2" t="s">
        <v>12</v>
      </c>
      <c r="H997" s="2" t="s">
        <v>13</v>
      </c>
      <c r="I997" s="2" t="s">
        <v>14</v>
      </c>
      <c r="J997" s="2" t="s">
        <v>15</v>
      </c>
      <c r="K997" s="2" t="s">
        <v>16</v>
      </c>
      <c r="L997" s="2" t="s">
        <v>17</v>
      </c>
    </row>
    <row r="998" spans="1:12" x14ac:dyDescent="0.25">
      <c r="A998" s="3">
        <v>45693.203206018516</v>
      </c>
      <c r="B998" t="s">
        <v>49</v>
      </c>
      <c r="C998" s="3">
        <v>45693.205312499995</v>
      </c>
      <c r="D998" t="s">
        <v>49</v>
      </c>
      <c r="E998" s="4">
        <v>0</v>
      </c>
      <c r="F998" s="4">
        <v>381621.84499999997</v>
      </c>
      <c r="G998" s="4">
        <v>381621.84499999997</v>
      </c>
      <c r="H998" s="5">
        <f>179 / 86400</f>
        <v>2.0717592592592593E-3</v>
      </c>
      <c r="I998" t="s">
        <v>124</v>
      </c>
      <c r="J998" t="s">
        <v>124</v>
      </c>
      <c r="K998" s="5">
        <f>182 / 86400</f>
        <v>2.1064814814814813E-3</v>
      </c>
      <c r="L998" s="5">
        <f>17559 / 86400</f>
        <v>0.20322916666666666</v>
      </c>
    </row>
    <row r="999" spans="1:12" x14ac:dyDescent="0.25">
      <c r="A999" s="3">
        <v>45693.205335648148</v>
      </c>
      <c r="B999" t="s">
        <v>49</v>
      </c>
      <c r="C999" s="3">
        <v>45693.362962962958</v>
      </c>
      <c r="D999" t="s">
        <v>383</v>
      </c>
      <c r="E999" s="4">
        <v>63.314</v>
      </c>
      <c r="F999" s="4">
        <v>381621.84499999997</v>
      </c>
      <c r="G999" s="4">
        <v>381685.15899999999</v>
      </c>
      <c r="H999" s="5">
        <f>4739 / 86400</f>
        <v>5.4849537037037037E-2</v>
      </c>
      <c r="I999" t="s">
        <v>33</v>
      </c>
      <c r="J999" t="s">
        <v>28</v>
      </c>
      <c r="K999" s="5">
        <f>13619 / 86400</f>
        <v>0.15762731481481482</v>
      </c>
      <c r="L999" s="5">
        <f>32 / 86400</f>
        <v>3.7037037037037035E-4</v>
      </c>
    </row>
    <row r="1000" spans="1:12" x14ac:dyDescent="0.25">
      <c r="A1000" s="3">
        <v>45693.363333333335</v>
      </c>
      <c r="B1000" t="s">
        <v>383</v>
      </c>
      <c r="C1000" s="3">
        <v>45693.438310185185</v>
      </c>
      <c r="D1000" t="s">
        <v>49</v>
      </c>
      <c r="E1000" s="4">
        <v>38.18</v>
      </c>
      <c r="F1000" s="4">
        <v>381685.15899999999</v>
      </c>
      <c r="G1000" s="4">
        <v>381723.33899999998</v>
      </c>
      <c r="H1000" s="5">
        <f>1380 / 86400</f>
        <v>1.5972222222222221E-2</v>
      </c>
      <c r="I1000" t="s">
        <v>194</v>
      </c>
      <c r="J1000" t="s">
        <v>136</v>
      </c>
      <c r="K1000" s="5">
        <f>6478 / 86400</f>
        <v>7.497685185185185E-2</v>
      </c>
      <c r="L1000" s="5">
        <f>177 / 86400</f>
        <v>2.0486111111111113E-3</v>
      </c>
    </row>
    <row r="1001" spans="1:12" x14ac:dyDescent="0.25">
      <c r="A1001" s="3">
        <v>45693.440358796295</v>
      </c>
      <c r="B1001" t="s">
        <v>49</v>
      </c>
      <c r="C1001" s="3">
        <v>45693.441759259258</v>
      </c>
      <c r="D1001" t="s">
        <v>49</v>
      </c>
      <c r="E1001" s="4">
        <v>0.11799999999999999</v>
      </c>
      <c r="F1001" s="4">
        <v>381723.33899999998</v>
      </c>
      <c r="G1001" s="4">
        <v>381723.45699999999</v>
      </c>
      <c r="H1001" s="5">
        <f>19 / 86400</f>
        <v>2.199074074074074E-4</v>
      </c>
      <c r="I1001" t="s">
        <v>132</v>
      </c>
      <c r="J1001" t="s">
        <v>86</v>
      </c>
      <c r="K1001" s="5">
        <f>120 / 86400</f>
        <v>1.3888888888888889E-3</v>
      </c>
      <c r="L1001" s="5">
        <f>569 / 86400</f>
        <v>6.5856481481481478E-3</v>
      </c>
    </row>
    <row r="1002" spans="1:12" x14ac:dyDescent="0.25">
      <c r="A1002" s="3">
        <v>45693.448344907403</v>
      </c>
      <c r="B1002" t="s">
        <v>49</v>
      </c>
      <c r="C1002" s="3">
        <v>45693.489687499998</v>
      </c>
      <c r="D1002" t="s">
        <v>49</v>
      </c>
      <c r="E1002" s="4">
        <v>0</v>
      </c>
      <c r="F1002" s="4">
        <v>381723.45699999999</v>
      </c>
      <c r="G1002" s="4">
        <v>381723.45699999999</v>
      </c>
      <c r="H1002" s="5">
        <f>3559 / 86400</f>
        <v>4.1192129629629627E-2</v>
      </c>
      <c r="I1002" t="s">
        <v>124</v>
      </c>
      <c r="J1002" t="s">
        <v>124</v>
      </c>
      <c r="K1002" s="5">
        <f>3571 / 86400</f>
        <v>4.1331018518518517E-2</v>
      </c>
      <c r="L1002" s="5">
        <f>1 / 86400</f>
        <v>1.1574074074074073E-5</v>
      </c>
    </row>
    <row r="1003" spans="1:12" x14ac:dyDescent="0.25">
      <c r="A1003" s="3">
        <v>45693.489699074074</v>
      </c>
      <c r="B1003" t="s">
        <v>49</v>
      </c>
      <c r="C1003" s="3">
        <v>45693.490914351853</v>
      </c>
      <c r="D1003" t="s">
        <v>269</v>
      </c>
      <c r="E1003" s="4">
        <v>0.105</v>
      </c>
      <c r="F1003" s="4">
        <v>381723.45699999999</v>
      </c>
      <c r="G1003" s="4">
        <v>381723.56199999998</v>
      </c>
      <c r="H1003" s="5">
        <f>47 / 86400</f>
        <v>5.4398148148148144E-4</v>
      </c>
      <c r="I1003" t="s">
        <v>154</v>
      </c>
      <c r="J1003" t="s">
        <v>86</v>
      </c>
      <c r="K1003" s="5">
        <f>105 / 86400</f>
        <v>1.2152777777777778E-3</v>
      </c>
      <c r="L1003" s="5">
        <f>744 / 86400</f>
        <v>8.611111111111111E-3</v>
      </c>
    </row>
    <row r="1004" spans="1:12" x14ac:dyDescent="0.25">
      <c r="A1004" s="3">
        <v>45693.499525462961</v>
      </c>
      <c r="B1004" t="s">
        <v>269</v>
      </c>
      <c r="C1004" s="3">
        <v>45693.503194444449</v>
      </c>
      <c r="D1004" t="s">
        <v>73</v>
      </c>
      <c r="E1004" s="4">
        <v>0.71099999999999997</v>
      </c>
      <c r="F1004" s="4">
        <v>381723.56199999998</v>
      </c>
      <c r="G1004" s="4">
        <v>381724.27299999999</v>
      </c>
      <c r="H1004" s="5">
        <f>139 / 86400</f>
        <v>1.6087962962962963E-3</v>
      </c>
      <c r="I1004" t="s">
        <v>143</v>
      </c>
      <c r="J1004" t="s">
        <v>119</v>
      </c>
      <c r="K1004" s="5">
        <f>316 / 86400</f>
        <v>3.6574074074074074E-3</v>
      </c>
      <c r="L1004" s="5">
        <f>428 / 86400</f>
        <v>4.9537037037037041E-3</v>
      </c>
    </row>
    <row r="1005" spans="1:12" x14ac:dyDescent="0.25">
      <c r="A1005" s="3">
        <v>45693.508148148147</v>
      </c>
      <c r="B1005" t="s">
        <v>73</v>
      </c>
      <c r="C1005" s="3">
        <v>45693.51394675926</v>
      </c>
      <c r="D1005" t="s">
        <v>118</v>
      </c>
      <c r="E1005" s="4">
        <v>1.3220000000000001</v>
      </c>
      <c r="F1005" s="4">
        <v>381724.27299999999</v>
      </c>
      <c r="G1005" s="4">
        <v>381725.59499999997</v>
      </c>
      <c r="H1005" s="5">
        <f>159 / 86400</f>
        <v>1.8402777777777777E-3</v>
      </c>
      <c r="I1005" t="s">
        <v>170</v>
      </c>
      <c r="J1005" t="s">
        <v>20</v>
      </c>
      <c r="K1005" s="5">
        <f>500 / 86400</f>
        <v>5.7870370370370367E-3</v>
      </c>
      <c r="L1005" s="5">
        <f>625 / 86400</f>
        <v>7.2337962962962963E-3</v>
      </c>
    </row>
    <row r="1006" spans="1:12" x14ac:dyDescent="0.25">
      <c r="A1006" s="3">
        <v>45693.521180555559</v>
      </c>
      <c r="B1006" t="s">
        <v>118</v>
      </c>
      <c r="C1006" s="3">
        <v>45693.650300925925</v>
      </c>
      <c r="D1006" t="s">
        <v>146</v>
      </c>
      <c r="E1006" s="4">
        <v>50.356999999999999</v>
      </c>
      <c r="F1006" s="4">
        <v>381725.59499999997</v>
      </c>
      <c r="G1006" s="4">
        <v>381775.95199999999</v>
      </c>
      <c r="H1006" s="5">
        <f>4300 / 86400</f>
        <v>4.9768518518518517E-2</v>
      </c>
      <c r="I1006" t="s">
        <v>71</v>
      </c>
      <c r="J1006" t="s">
        <v>31</v>
      </c>
      <c r="K1006" s="5">
        <f>11156 / 86400</f>
        <v>0.12912037037037036</v>
      </c>
      <c r="L1006" s="5">
        <f>221 / 86400</f>
        <v>2.5578703703703705E-3</v>
      </c>
    </row>
    <row r="1007" spans="1:12" x14ac:dyDescent="0.25">
      <c r="A1007" s="3">
        <v>45693.652858796297</v>
      </c>
      <c r="B1007" t="s">
        <v>146</v>
      </c>
      <c r="C1007" s="3">
        <v>45693.785208333335</v>
      </c>
      <c r="D1007" t="s">
        <v>384</v>
      </c>
      <c r="E1007" s="4">
        <v>46.451000000000001</v>
      </c>
      <c r="F1007" s="4">
        <v>381775.95199999999</v>
      </c>
      <c r="G1007" s="4">
        <v>381822.40299999999</v>
      </c>
      <c r="H1007" s="5">
        <f>3761 / 86400</f>
        <v>4.3530092592592592E-2</v>
      </c>
      <c r="I1007" t="s">
        <v>283</v>
      </c>
      <c r="J1007" t="s">
        <v>35</v>
      </c>
      <c r="K1007" s="5">
        <f>11434 / 86400</f>
        <v>0.13233796296296296</v>
      </c>
      <c r="L1007" s="5">
        <f>7 / 86400</f>
        <v>8.1018518518518516E-5</v>
      </c>
    </row>
    <row r="1008" spans="1:12" x14ac:dyDescent="0.25">
      <c r="A1008" s="3">
        <v>45693.78528935185</v>
      </c>
      <c r="B1008" t="s">
        <v>384</v>
      </c>
      <c r="C1008" s="3">
        <v>45693.785601851851</v>
      </c>
      <c r="D1008" t="s">
        <v>384</v>
      </c>
      <c r="E1008" s="4">
        <v>6.0000000000000001E-3</v>
      </c>
      <c r="F1008" s="4">
        <v>381822.40299999999</v>
      </c>
      <c r="G1008" s="4">
        <v>381822.40899999999</v>
      </c>
      <c r="H1008" s="5">
        <f>0 / 86400</f>
        <v>0</v>
      </c>
      <c r="I1008" t="s">
        <v>116</v>
      </c>
      <c r="J1008" t="s">
        <v>116</v>
      </c>
      <c r="K1008" s="5">
        <f>27 / 86400</f>
        <v>3.1250000000000001E-4</v>
      </c>
      <c r="L1008" s="5">
        <f>1943 / 86400</f>
        <v>2.2488425925925926E-2</v>
      </c>
    </row>
    <row r="1009" spans="1:12" x14ac:dyDescent="0.25">
      <c r="A1009" s="3">
        <v>45693.808090277773</v>
      </c>
      <c r="B1009" t="s">
        <v>384</v>
      </c>
      <c r="C1009" s="3">
        <v>45693.839965277773</v>
      </c>
      <c r="D1009" t="s">
        <v>385</v>
      </c>
      <c r="E1009" s="4">
        <v>19.477</v>
      </c>
      <c r="F1009" s="4">
        <v>381822.40899999999</v>
      </c>
      <c r="G1009" s="4">
        <v>381841.886</v>
      </c>
      <c r="H1009" s="5">
        <f>559 / 86400</f>
        <v>6.4699074074074077E-3</v>
      </c>
      <c r="I1009" t="s">
        <v>30</v>
      </c>
      <c r="J1009" t="s">
        <v>153</v>
      </c>
      <c r="K1009" s="5">
        <f>2753 / 86400</f>
        <v>3.1863425925925927E-2</v>
      </c>
      <c r="L1009" s="5">
        <f>1027 / 86400</f>
        <v>1.1886574074074074E-2</v>
      </c>
    </row>
    <row r="1010" spans="1:12" x14ac:dyDescent="0.25">
      <c r="A1010" s="3">
        <v>45693.851851851854</v>
      </c>
      <c r="B1010" t="s">
        <v>385</v>
      </c>
      <c r="C1010" s="3">
        <v>45693.854664351849</v>
      </c>
      <c r="D1010" t="s">
        <v>29</v>
      </c>
      <c r="E1010" s="4">
        <v>0.48299999999999998</v>
      </c>
      <c r="F1010" s="4">
        <v>381841.886</v>
      </c>
      <c r="G1010" s="4">
        <v>381842.36900000001</v>
      </c>
      <c r="H1010" s="5">
        <f>60 / 86400</f>
        <v>6.9444444444444447E-4</v>
      </c>
      <c r="I1010" t="s">
        <v>59</v>
      </c>
      <c r="J1010" t="s">
        <v>132</v>
      </c>
      <c r="K1010" s="5">
        <f>242 / 86400</f>
        <v>2.8009259259259259E-3</v>
      </c>
      <c r="L1010" s="5">
        <f>1824 / 86400</f>
        <v>2.1111111111111112E-2</v>
      </c>
    </row>
    <row r="1011" spans="1:12" x14ac:dyDescent="0.25">
      <c r="A1011" s="3">
        <v>45693.875775462962</v>
      </c>
      <c r="B1011" t="s">
        <v>29</v>
      </c>
      <c r="C1011" s="3">
        <v>45693.882268518515</v>
      </c>
      <c r="D1011" t="s">
        <v>29</v>
      </c>
      <c r="E1011" s="4">
        <v>3.2000000000000001E-2</v>
      </c>
      <c r="F1011" s="4">
        <v>381842.36900000001</v>
      </c>
      <c r="G1011" s="4">
        <v>381842.40100000001</v>
      </c>
      <c r="H1011" s="5">
        <f>540 / 86400</f>
        <v>6.2500000000000003E-3</v>
      </c>
      <c r="I1011" t="s">
        <v>149</v>
      </c>
      <c r="J1011" t="s">
        <v>124</v>
      </c>
      <c r="K1011" s="5">
        <f>561 / 86400</f>
        <v>6.4930555555555557E-3</v>
      </c>
      <c r="L1011" s="5">
        <f>261 / 86400</f>
        <v>3.0208333333333333E-3</v>
      </c>
    </row>
    <row r="1012" spans="1:12" x14ac:dyDescent="0.25">
      <c r="A1012" s="3">
        <v>45693.885289351849</v>
      </c>
      <c r="B1012" t="s">
        <v>29</v>
      </c>
      <c r="C1012" s="3">
        <v>45693.885694444441</v>
      </c>
      <c r="D1012" t="s">
        <v>29</v>
      </c>
      <c r="E1012" s="4">
        <v>2E-3</v>
      </c>
      <c r="F1012" s="4">
        <v>381842.40100000001</v>
      </c>
      <c r="G1012" s="4">
        <v>381842.40299999999</v>
      </c>
      <c r="H1012" s="5">
        <f>0 / 86400</f>
        <v>0</v>
      </c>
      <c r="I1012" t="s">
        <v>116</v>
      </c>
      <c r="J1012" t="s">
        <v>124</v>
      </c>
      <c r="K1012" s="5">
        <f>35 / 86400</f>
        <v>4.0509259259259258E-4</v>
      </c>
      <c r="L1012" s="5">
        <f>9875 / 86400</f>
        <v>0.11429398148148148</v>
      </c>
    </row>
    <row r="1013" spans="1:12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</row>
    <row r="1014" spans="1:12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</row>
    <row r="1015" spans="1:12" s="10" customFormat="1" ht="20.100000000000001" customHeight="1" x14ac:dyDescent="0.35">
      <c r="A1015" s="12" t="s">
        <v>443</v>
      </c>
      <c r="B1015" s="12"/>
      <c r="C1015" s="12"/>
      <c r="D1015" s="12"/>
      <c r="E1015" s="12"/>
      <c r="F1015" s="12"/>
      <c r="G1015" s="12"/>
      <c r="H1015" s="12"/>
      <c r="I1015" s="12"/>
      <c r="J1015" s="12"/>
    </row>
    <row r="1016" spans="1:12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</row>
    <row r="1017" spans="1:12" ht="30" x14ac:dyDescent="0.25">
      <c r="A1017" s="2" t="s">
        <v>6</v>
      </c>
      <c r="B1017" s="2" t="s">
        <v>7</v>
      </c>
      <c r="C1017" s="2" t="s">
        <v>8</v>
      </c>
      <c r="D1017" s="2" t="s">
        <v>9</v>
      </c>
      <c r="E1017" s="2" t="s">
        <v>10</v>
      </c>
      <c r="F1017" s="2" t="s">
        <v>11</v>
      </c>
      <c r="G1017" s="2" t="s">
        <v>12</v>
      </c>
      <c r="H1017" s="2" t="s">
        <v>13</v>
      </c>
      <c r="I1017" s="2" t="s">
        <v>14</v>
      </c>
      <c r="J1017" s="2" t="s">
        <v>15</v>
      </c>
      <c r="K1017" s="2" t="s">
        <v>16</v>
      </c>
      <c r="L1017" s="2" t="s">
        <v>17</v>
      </c>
    </row>
    <row r="1018" spans="1:12" x14ac:dyDescent="0.25">
      <c r="A1018" s="3">
        <v>45693.232615740737</v>
      </c>
      <c r="B1018" t="s">
        <v>21</v>
      </c>
      <c r="C1018" s="3">
        <v>45693.234155092592</v>
      </c>
      <c r="D1018" t="s">
        <v>22</v>
      </c>
      <c r="E1018" s="4">
        <v>6.5000000000000002E-2</v>
      </c>
      <c r="F1018" s="4">
        <v>544643.94200000004</v>
      </c>
      <c r="G1018" s="4">
        <v>544644.00699999998</v>
      </c>
      <c r="H1018" s="5">
        <f>79 / 86400</f>
        <v>9.1435185185185185E-4</v>
      </c>
      <c r="I1018" t="s">
        <v>126</v>
      </c>
      <c r="J1018" t="s">
        <v>126</v>
      </c>
      <c r="K1018" s="5">
        <f>133 / 86400</f>
        <v>1.5393518518518519E-3</v>
      </c>
      <c r="L1018" s="5">
        <f>41673 / 86400</f>
        <v>0.4823263888888889</v>
      </c>
    </row>
    <row r="1019" spans="1:12" x14ac:dyDescent="0.25">
      <c r="A1019" s="3">
        <v>45693.483865740738</v>
      </c>
      <c r="B1019" t="s">
        <v>22</v>
      </c>
      <c r="C1019" s="3">
        <v>45693.694699074069</v>
      </c>
      <c r="D1019" t="s">
        <v>73</v>
      </c>
      <c r="E1019" s="4">
        <v>94.575999999999993</v>
      </c>
      <c r="F1019" s="4">
        <v>544644.00699999998</v>
      </c>
      <c r="G1019" s="4">
        <v>544738.58299999998</v>
      </c>
      <c r="H1019" s="5">
        <f>5561 / 86400</f>
        <v>6.4363425925925921E-2</v>
      </c>
      <c r="I1019" t="s">
        <v>51</v>
      </c>
      <c r="J1019" t="s">
        <v>37</v>
      </c>
      <c r="K1019" s="5">
        <f>18216 / 86400</f>
        <v>0.21083333333333334</v>
      </c>
      <c r="L1019" s="5">
        <f>396 / 86400</f>
        <v>4.5833333333333334E-3</v>
      </c>
    </row>
    <row r="1020" spans="1:12" x14ac:dyDescent="0.25">
      <c r="A1020" s="3">
        <v>45693.699282407411</v>
      </c>
      <c r="B1020" t="s">
        <v>73</v>
      </c>
      <c r="C1020" s="3">
        <v>45693.702511574069</v>
      </c>
      <c r="D1020" t="s">
        <v>22</v>
      </c>
      <c r="E1020" s="4">
        <v>0.54200000000000004</v>
      </c>
      <c r="F1020" s="4">
        <v>544738.58299999998</v>
      </c>
      <c r="G1020" s="4">
        <v>544739.125</v>
      </c>
      <c r="H1020" s="5">
        <f>100 / 86400</f>
        <v>1.1574074074074073E-3</v>
      </c>
      <c r="I1020" t="s">
        <v>212</v>
      </c>
      <c r="J1020" t="s">
        <v>132</v>
      </c>
      <c r="K1020" s="5">
        <f>279 / 86400</f>
        <v>3.2291666666666666E-3</v>
      </c>
      <c r="L1020" s="5">
        <f>4616 / 86400</f>
        <v>5.3425925925925925E-2</v>
      </c>
    </row>
    <row r="1021" spans="1:12" x14ac:dyDescent="0.25">
      <c r="A1021" s="3">
        <v>45693.755937499998</v>
      </c>
      <c r="B1021" t="s">
        <v>22</v>
      </c>
      <c r="C1021" s="3">
        <v>45693.986122685186</v>
      </c>
      <c r="D1021" t="s">
        <v>364</v>
      </c>
      <c r="E1021" s="4">
        <v>94.91</v>
      </c>
      <c r="F1021" s="4">
        <v>544739.125</v>
      </c>
      <c r="G1021" s="4">
        <v>544834.03500000003</v>
      </c>
      <c r="H1021" s="5">
        <f>6620 / 86400</f>
        <v>7.6620370370370366E-2</v>
      </c>
      <c r="I1021" t="s">
        <v>81</v>
      </c>
      <c r="J1021" t="s">
        <v>28</v>
      </c>
      <c r="K1021" s="5">
        <f>19887 / 86400</f>
        <v>0.23017361111111112</v>
      </c>
      <c r="L1021" s="5">
        <f>396 / 86400</f>
        <v>4.5833333333333334E-3</v>
      </c>
    </row>
    <row r="1022" spans="1:12" x14ac:dyDescent="0.25">
      <c r="A1022" s="3">
        <v>45693.990706018521</v>
      </c>
      <c r="B1022" t="s">
        <v>364</v>
      </c>
      <c r="C1022" s="3">
        <v>45693.992326388892</v>
      </c>
      <c r="D1022" t="s">
        <v>21</v>
      </c>
      <c r="E1022" s="4">
        <v>0.27400000000000002</v>
      </c>
      <c r="F1022" s="4">
        <v>544834.03500000003</v>
      </c>
      <c r="G1022" s="4">
        <v>544834.30900000001</v>
      </c>
      <c r="H1022" s="5">
        <f>80 / 86400</f>
        <v>9.2592592592592596E-4</v>
      </c>
      <c r="I1022" t="s">
        <v>39</v>
      </c>
      <c r="J1022" t="s">
        <v>132</v>
      </c>
      <c r="K1022" s="5">
        <f>139 / 86400</f>
        <v>1.6087962962962963E-3</v>
      </c>
      <c r="L1022" s="5">
        <f>662 / 86400</f>
        <v>7.6620370370370366E-3</v>
      </c>
    </row>
    <row r="1023" spans="1:12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</row>
    <row r="1024" spans="1:12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</row>
    <row r="1025" spans="1:12" s="10" customFormat="1" ht="20.100000000000001" customHeight="1" x14ac:dyDescent="0.35">
      <c r="A1025" s="12" t="s">
        <v>444</v>
      </c>
      <c r="B1025" s="12"/>
      <c r="C1025" s="12"/>
      <c r="D1025" s="12"/>
      <c r="E1025" s="12"/>
      <c r="F1025" s="12"/>
      <c r="G1025" s="12"/>
      <c r="H1025" s="12"/>
      <c r="I1025" s="12"/>
      <c r="J1025" s="12"/>
    </row>
    <row r="1026" spans="1:12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</row>
    <row r="1027" spans="1:12" ht="30" x14ac:dyDescent="0.25">
      <c r="A1027" s="2" t="s">
        <v>6</v>
      </c>
      <c r="B1027" s="2" t="s">
        <v>7</v>
      </c>
      <c r="C1027" s="2" t="s">
        <v>8</v>
      </c>
      <c r="D1027" s="2" t="s">
        <v>9</v>
      </c>
      <c r="E1027" s="2" t="s">
        <v>10</v>
      </c>
      <c r="F1027" s="2" t="s">
        <v>11</v>
      </c>
      <c r="G1027" s="2" t="s">
        <v>12</v>
      </c>
      <c r="H1027" s="2" t="s">
        <v>13</v>
      </c>
      <c r="I1027" s="2" t="s">
        <v>14</v>
      </c>
      <c r="J1027" s="2" t="s">
        <v>15</v>
      </c>
      <c r="K1027" s="2" t="s">
        <v>16</v>
      </c>
      <c r="L1027" s="2" t="s">
        <v>17</v>
      </c>
    </row>
    <row r="1028" spans="1:12" x14ac:dyDescent="0.25">
      <c r="A1028" s="3">
        <v>45693.301666666666</v>
      </c>
      <c r="B1028" t="s">
        <v>95</v>
      </c>
      <c r="C1028" s="3">
        <v>45693.396793981483</v>
      </c>
      <c r="D1028" t="s">
        <v>386</v>
      </c>
      <c r="E1028" s="4">
        <v>40.026000000000003</v>
      </c>
      <c r="F1028" s="4">
        <v>101168.58100000001</v>
      </c>
      <c r="G1028" s="4">
        <v>101208.607</v>
      </c>
      <c r="H1028" s="5">
        <f>3137 / 86400</f>
        <v>3.6307870370370372E-2</v>
      </c>
      <c r="I1028" t="s">
        <v>79</v>
      </c>
      <c r="J1028" t="s">
        <v>24</v>
      </c>
      <c r="K1028" s="5">
        <f>8219 / 86400</f>
        <v>9.5127314814814817E-2</v>
      </c>
      <c r="L1028" s="5">
        <f>26078 / 86400</f>
        <v>0.30182870370370368</v>
      </c>
    </row>
    <row r="1029" spans="1:12" x14ac:dyDescent="0.25">
      <c r="A1029" s="3">
        <v>45693.396956018521</v>
      </c>
      <c r="B1029" t="s">
        <v>386</v>
      </c>
      <c r="C1029" s="3">
        <v>45693.397465277776</v>
      </c>
      <c r="D1029" t="s">
        <v>386</v>
      </c>
      <c r="E1029" s="4">
        <v>0</v>
      </c>
      <c r="F1029" s="4">
        <v>101208.607</v>
      </c>
      <c r="G1029" s="4">
        <v>101208.607</v>
      </c>
      <c r="H1029" s="5">
        <f>39 / 86400</f>
        <v>4.5138888888888887E-4</v>
      </c>
      <c r="I1029" t="s">
        <v>124</v>
      </c>
      <c r="J1029" t="s">
        <v>124</v>
      </c>
      <c r="K1029" s="5">
        <f>44 / 86400</f>
        <v>5.0925925925925921E-4</v>
      </c>
      <c r="L1029" s="5">
        <f>2352 / 86400</f>
        <v>2.7222222222222221E-2</v>
      </c>
    </row>
    <row r="1030" spans="1:12" x14ac:dyDescent="0.25">
      <c r="A1030" s="3">
        <v>45693.424687499995</v>
      </c>
      <c r="B1030" t="s">
        <v>386</v>
      </c>
      <c r="C1030" s="3">
        <v>45693.505844907406</v>
      </c>
      <c r="D1030" t="s">
        <v>49</v>
      </c>
      <c r="E1030" s="4">
        <v>42.174999999999997</v>
      </c>
      <c r="F1030" s="4">
        <v>101208.607</v>
      </c>
      <c r="G1030" s="4">
        <v>101250.78200000001</v>
      </c>
      <c r="H1030" s="5">
        <f>1638 / 86400</f>
        <v>1.8958333333333334E-2</v>
      </c>
      <c r="I1030" t="s">
        <v>33</v>
      </c>
      <c r="J1030" t="s">
        <v>39</v>
      </c>
      <c r="K1030" s="5">
        <f>7012 / 86400</f>
        <v>8.1157407407407414E-2</v>
      </c>
      <c r="L1030" s="5">
        <f>1148 / 86400</f>
        <v>1.3287037037037036E-2</v>
      </c>
    </row>
    <row r="1031" spans="1:12" x14ac:dyDescent="0.25">
      <c r="A1031" s="3">
        <v>45693.519131944442</v>
      </c>
      <c r="B1031" t="s">
        <v>49</v>
      </c>
      <c r="C1031" s="3">
        <v>45693.521736111114</v>
      </c>
      <c r="D1031" t="s">
        <v>118</v>
      </c>
      <c r="E1031" s="4">
        <v>0.96499999999999997</v>
      </c>
      <c r="F1031" s="4">
        <v>101250.78200000001</v>
      </c>
      <c r="G1031" s="4">
        <v>101251.747</v>
      </c>
      <c r="H1031" s="5">
        <f>17 / 86400</f>
        <v>1.9675925925925926E-4</v>
      </c>
      <c r="I1031" t="s">
        <v>231</v>
      </c>
      <c r="J1031" t="s">
        <v>35</v>
      </c>
      <c r="K1031" s="5">
        <f>225 / 86400</f>
        <v>2.6041666666666665E-3</v>
      </c>
      <c r="L1031" s="5">
        <f>837 / 86400</f>
        <v>9.6874999999999999E-3</v>
      </c>
    </row>
    <row r="1032" spans="1:12" x14ac:dyDescent="0.25">
      <c r="A1032" s="3">
        <v>45693.531423611115</v>
      </c>
      <c r="B1032" t="s">
        <v>118</v>
      </c>
      <c r="C1032" s="3">
        <v>45693.531504629631</v>
      </c>
      <c r="D1032" t="s">
        <v>118</v>
      </c>
      <c r="E1032" s="4">
        <v>0</v>
      </c>
      <c r="F1032" s="4">
        <v>101251.747</v>
      </c>
      <c r="G1032" s="4">
        <v>101251.747</v>
      </c>
      <c r="H1032" s="5">
        <f>0 / 86400</f>
        <v>0</v>
      </c>
      <c r="I1032" t="s">
        <v>124</v>
      </c>
      <c r="J1032" t="s">
        <v>124</v>
      </c>
      <c r="K1032" s="5">
        <f>7 / 86400</f>
        <v>8.1018518518518516E-5</v>
      </c>
      <c r="L1032" s="5">
        <f>183 / 86400</f>
        <v>2.1180555555555558E-3</v>
      </c>
    </row>
    <row r="1033" spans="1:12" x14ac:dyDescent="0.25">
      <c r="A1033" s="3">
        <v>45693.533622685187</v>
      </c>
      <c r="B1033" t="s">
        <v>118</v>
      </c>
      <c r="C1033" s="3">
        <v>45693.536261574074</v>
      </c>
      <c r="D1033" t="s">
        <v>144</v>
      </c>
      <c r="E1033" s="4">
        <v>1.117</v>
      </c>
      <c r="F1033" s="4">
        <v>101251.747</v>
      </c>
      <c r="G1033" s="4">
        <v>101252.864</v>
      </c>
      <c r="H1033" s="5">
        <f>0 / 86400</f>
        <v>0</v>
      </c>
      <c r="I1033" t="s">
        <v>138</v>
      </c>
      <c r="J1033" t="s">
        <v>24</v>
      </c>
      <c r="K1033" s="5">
        <f>228 / 86400</f>
        <v>2.638888888888889E-3</v>
      </c>
      <c r="L1033" s="5">
        <f>219 / 86400</f>
        <v>2.5347222222222221E-3</v>
      </c>
    </row>
    <row r="1034" spans="1:12" x14ac:dyDescent="0.25">
      <c r="A1034" s="3">
        <v>45693.5387962963</v>
      </c>
      <c r="B1034" t="s">
        <v>144</v>
      </c>
      <c r="C1034" s="3">
        <v>45693.715162037042</v>
      </c>
      <c r="D1034" t="s">
        <v>144</v>
      </c>
      <c r="E1034" s="4">
        <v>77.477000000000004</v>
      </c>
      <c r="F1034" s="4">
        <v>101252.864</v>
      </c>
      <c r="G1034" s="4">
        <v>101330.341</v>
      </c>
      <c r="H1034" s="5">
        <f>6017 / 86400</f>
        <v>6.9641203703703705E-2</v>
      </c>
      <c r="I1034" t="s">
        <v>344</v>
      </c>
      <c r="J1034" t="s">
        <v>24</v>
      </c>
      <c r="K1034" s="5">
        <f>15238 / 86400</f>
        <v>0.17636574074074074</v>
      </c>
      <c r="L1034" s="5">
        <f>1101 / 86400</f>
        <v>1.2743055555555556E-2</v>
      </c>
    </row>
    <row r="1035" spans="1:12" x14ac:dyDescent="0.25">
      <c r="A1035" s="3">
        <v>45693.727905092594</v>
      </c>
      <c r="B1035" t="s">
        <v>144</v>
      </c>
      <c r="C1035" s="3">
        <v>45693.887731481482</v>
      </c>
      <c r="D1035" t="s">
        <v>325</v>
      </c>
      <c r="E1035" s="4">
        <v>74.995000000000005</v>
      </c>
      <c r="F1035" s="4">
        <v>101330.341</v>
      </c>
      <c r="G1035" s="4">
        <v>101405.336</v>
      </c>
      <c r="H1035" s="5">
        <f>4397 / 86400</f>
        <v>5.0891203703703702E-2</v>
      </c>
      <c r="I1035" t="s">
        <v>92</v>
      </c>
      <c r="J1035" t="s">
        <v>128</v>
      </c>
      <c r="K1035" s="5">
        <f>13809 / 86400</f>
        <v>0.15982638888888889</v>
      </c>
      <c r="L1035" s="5">
        <f>640 / 86400</f>
        <v>7.4074074074074077E-3</v>
      </c>
    </row>
    <row r="1036" spans="1:12" x14ac:dyDescent="0.25">
      <c r="A1036" s="3">
        <v>45693.895138888889</v>
      </c>
      <c r="B1036" t="s">
        <v>325</v>
      </c>
      <c r="C1036" s="3">
        <v>45693.99998842593</v>
      </c>
      <c r="D1036" t="s">
        <v>96</v>
      </c>
      <c r="E1036" s="4">
        <v>45.323999999999998</v>
      </c>
      <c r="F1036" s="4">
        <v>101405.336</v>
      </c>
      <c r="G1036" s="4">
        <v>101450.66</v>
      </c>
      <c r="H1036" s="5">
        <f>4377 / 86400</f>
        <v>5.0659722222222224E-2</v>
      </c>
      <c r="I1036" t="s">
        <v>337</v>
      </c>
      <c r="J1036" t="s">
        <v>24</v>
      </c>
      <c r="K1036" s="5">
        <f>9059 / 86400</f>
        <v>0.10484953703703703</v>
      </c>
      <c r="L1036" s="5">
        <f>0 / 86400</f>
        <v>0</v>
      </c>
    </row>
    <row r="1037" spans="1:12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</row>
    <row r="1038" spans="1:12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</row>
    <row r="1039" spans="1:12" s="10" customFormat="1" ht="20.100000000000001" customHeight="1" x14ac:dyDescent="0.35">
      <c r="A1039" s="12" t="s">
        <v>445</v>
      </c>
      <c r="B1039" s="12"/>
      <c r="C1039" s="12"/>
      <c r="D1039" s="12"/>
      <c r="E1039" s="12"/>
      <c r="F1039" s="12"/>
      <c r="G1039" s="12"/>
      <c r="H1039" s="12"/>
      <c r="I1039" s="12"/>
      <c r="J1039" s="12"/>
    </row>
    <row r="1040" spans="1:12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2" ht="30" x14ac:dyDescent="0.25">
      <c r="A1041" s="2" t="s">
        <v>6</v>
      </c>
      <c r="B1041" s="2" t="s">
        <v>7</v>
      </c>
      <c r="C1041" s="2" t="s">
        <v>8</v>
      </c>
      <c r="D1041" s="2" t="s">
        <v>9</v>
      </c>
      <c r="E1041" s="2" t="s">
        <v>10</v>
      </c>
      <c r="F1041" s="2" t="s">
        <v>11</v>
      </c>
      <c r="G1041" s="2" t="s">
        <v>12</v>
      </c>
      <c r="H1041" s="2" t="s">
        <v>13</v>
      </c>
      <c r="I1041" s="2" t="s">
        <v>14</v>
      </c>
      <c r="J1041" s="2" t="s">
        <v>15</v>
      </c>
      <c r="K1041" s="2" t="s">
        <v>16</v>
      </c>
      <c r="L1041" s="2" t="s">
        <v>17</v>
      </c>
    </row>
    <row r="1042" spans="1:12" x14ac:dyDescent="0.25">
      <c r="A1042" s="3">
        <v>45693.19935185185</v>
      </c>
      <c r="B1042" t="s">
        <v>25</v>
      </c>
      <c r="C1042" s="3">
        <v>45693.201203703706</v>
      </c>
      <c r="D1042" t="s">
        <v>25</v>
      </c>
      <c r="E1042" s="4">
        <v>0</v>
      </c>
      <c r="F1042" s="4">
        <v>52929.241999999998</v>
      </c>
      <c r="G1042" s="4">
        <v>52929.241999999998</v>
      </c>
      <c r="H1042" s="5">
        <f>157 / 86400</f>
        <v>1.8171296296296297E-3</v>
      </c>
      <c r="I1042" t="s">
        <v>124</v>
      </c>
      <c r="J1042" t="s">
        <v>124</v>
      </c>
      <c r="K1042" s="5">
        <f>160 / 86400</f>
        <v>1.8518518518518519E-3</v>
      </c>
      <c r="L1042" s="5">
        <f>28957 / 86400</f>
        <v>0.33515046296296297</v>
      </c>
    </row>
    <row r="1043" spans="1:12" x14ac:dyDescent="0.25">
      <c r="A1043" s="3">
        <v>45693.337002314816</v>
      </c>
      <c r="B1043" t="s">
        <v>25</v>
      </c>
      <c r="C1043" s="3">
        <v>45693.338541666672</v>
      </c>
      <c r="D1043" t="s">
        <v>387</v>
      </c>
      <c r="E1043" s="4">
        <v>0.53400000000000003</v>
      </c>
      <c r="F1043" s="4">
        <v>52929.241999999998</v>
      </c>
      <c r="G1043" s="4">
        <v>52929.775999999998</v>
      </c>
      <c r="H1043" s="5">
        <f>57 / 86400</f>
        <v>6.5972222222222224E-4</v>
      </c>
      <c r="I1043" t="s">
        <v>159</v>
      </c>
      <c r="J1043" t="s">
        <v>52</v>
      </c>
      <c r="K1043" s="5">
        <f>133 / 86400</f>
        <v>1.5393518518518519E-3</v>
      </c>
      <c r="L1043" s="5">
        <f>332 / 86400</f>
        <v>3.8425925925925928E-3</v>
      </c>
    </row>
    <row r="1044" spans="1:12" x14ac:dyDescent="0.25">
      <c r="A1044" s="3">
        <v>45693.34238425926</v>
      </c>
      <c r="B1044" t="s">
        <v>387</v>
      </c>
      <c r="C1044" s="3">
        <v>45693.352048611108</v>
      </c>
      <c r="D1044" t="s">
        <v>162</v>
      </c>
      <c r="E1044" s="4">
        <v>4.0430000000000001</v>
      </c>
      <c r="F1044" s="4">
        <v>52929.775999999998</v>
      </c>
      <c r="G1044" s="4">
        <v>52933.819000000003</v>
      </c>
      <c r="H1044" s="5">
        <f>218 / 86400</f>
        <v>2.5231481481481481E-3</v>
      </c>
      <c r="I1044" t="s">
        <v>202</v>
      </c>
      <c r="J1044" t="s">
        <v>28</v>
      </c>
      <c r="K1044" s="5">
        <f>835 / 86400</f>
        <v>9.6643518518518511E-3</v>
      </c>
      <c r="L1044" s="5">
        <f>284 / 86400</f>
        <v>3.2870370370370371E-3</v>
      </c>
    </row>
    <row r="1045" spans="1:12" x14ac:dyDescent="0.25">
      <c r="A1045" s="3">
        <v>45693.35533564815</v>
      </c>
      <c r="B1045" t="s">
        <v>162</v>
      </c>
      <c r="C1045" s="3">
        <v>45693.355798611112</v>
      </c>
      <c r="D1045" t="s">
        <v>162</v>
      </c>
      <c r="E1045" s="4">
        <v>0</v>
      </c>
      <c r="F1045" s="4">
        <v>52933.819000000003</v>
      </c>
      <c r="G1045" s="4">
        <v>52933.819000000003</v>
      </c>
      <c r="H1045" s="5">
        <f>32 / 86400</f>
        <v>3.7037037037037035E-4</v>
      </c>
      <c r="I1045" t="s">
        <v>124</v>
      </c>
      <c r="J1045" t="s">
        <v>124</v>
      </c>
      <c r="K1045" s="5">
        <f>40 / 86400</f>
        <v>4.6296296296296298E-4</v>
      </c>
      <c r="L1045" s="5">
        <f>6 / 86400</f>
        <v>6.9444444444444444E-5</v>
      </c>
    </row>
    <row r="1046" spans="1:12" x14ac:dyDescent="0.25">
      <c r="A1046" s="3">
        <v>45693.355868055558</v>
      </c>
      <c r="B1046" t="s">
        <v>162</v>
      </c>
      <c r="C1046" s="3">
        <v>45693.399305555555</v>
      </c>
      <c r="D1046" t="s">
        <v>148</v>
      </c>
      <c r="E1046" s="4">
        <v>25.02</v>
      </c>
      <c r="F1046" s="4">
        <v>52933.819000000003</v>
      </c>
      <c r="G1046" s="4">
        <v>52958.839</v>
      </c>
      <c r="H1046" s="5">
        <f>526 / 86400</f>
        <v>6.0879629629629626E-3</v>
      </c>
      <c r="I1046" t="s">
        <v>60</v>
      </c>
      <c r="J1046" t="s">
        <v>156</v>
      </c>
      <c r="K1046" s="5">
        <f>3753 / 86400</f>
        <v>4.3437499999999997E-2</v>
      </c>
      <c r="L1046" s="5">
        <f>555 / 86400</f>
        <v>6.4236111111111108E-3</v>
      </c>
    </row>
    <row r="1047" spans="1:12" x14ac:dyDescent="0.25">
      <c r="A1047" s="3">
        <v>45693.405729166669</v>
      </c>
      <c r="B1047" t="s">
        <v>148</v>
      </c>
      <c r="C1047" s="3">
        <v>45693.40824074074</v>
      </c>
      <c r="D1047" t="s">
        <v>148</v>
      </c>
      <c r="E1047" s="4">
        <v>0</v>
      </c>
      <c r="F1047" s="4">
        <v>52958.839</v>
      </c>
      <c r="G1047" s="4">
        <v>52958.839</v>
      </c>
      <c r="H1047" s="5">
        <f>198 / 86400</f>
        <v>2.2916666666666667E-3</v>
      </c>
      <c r="I1047" t="s">
        <v>124</v>
      </c>
      <c r="J1047" t="s">
        <v>124</v>
      </c>
      <c r="K1047" s="5">
        <f>217 / 86400</f>
        <v>2.5115740740740741E-3</v>
      </c>
      <c r="L1047" s="5">
        <f>25 / 86400</f>
        <v>2.8935185185185184E-4</v>
      </c>
    </row>
    <row r="1048" spans="1:12" x14ac:dyDescent="0.25">
      <c r="A1048" s="3">
        <v>45693.408530092594</v>
      </c>
      <c r="B1048" t="s">
        <v>148</v>
      </c>
      <c r="C1048" s="3">
        <v>45693.408587962964</v>
      </c>
      <c r="D1048" t="s">
        <v>148</v>
      </c>
      <c r="E1048" s="4">
        <v>0</v>
      </c>
      <c r="F1048" s="4">
        <v>52958.839</v>
      </c>
      <c r="G1048" s="4">
        <v>52958.839</v>
      </c>
      <c r="H1048" s="5">
        <f>0 / 86400</f>
        <v>0</v>
      </c>
      <c r="I1048" t="s">
        <v>124</v>
      </c>
      <c r="J1048" t="s">
        <v>124</v>
      </c>
      <c r="K1048" s="5">
        <f>5 / 86400</f>
        <v>5.7870370370370373E-5</v>
      </c>
      <c r="L1048" s="5">
        <f>26 / 86400</f>
        <v>3.0092592592592595E-4</v>
      </c>
    </row>
    <row r="1049" spans="1:12" x14ac:dyDescent="0.25">
      <c r="A1049" s="3">
        <v>45693.408888888887</v>
      </c>
      <c r="B1049" t="s">
        <v>148</v>
      </c>
      <c r="C1049" s="3">
        <v>45693.40960648148</v>
      </c>
      <c r="D1049" t="s">
        <v>148</v>
      </c>
      <c r="E1049" s="4">
        <v>0</v>
      </c>
      <c r="F1049" s="4">
        <v>52958.839</v>
      </c>
      <c r="G1049" s="4">
        <v>52958.839</v>
      </c>
      <c r="H1049" s="5">
        <f>44 / 86400</f>
        <v>5.0925925925925921E-4</v>
      </c>
      <c r="I1049" t="s">
        <v>124</v>
      </c>
      <c r="J1049" t="s">
        <v>124</v>
      </c>
      <c r="K1049" s="5">
        <f>62 / 86400</f>
        <v>7.1759259259259259E-4</v>
      </c>
      <c r="L1049" s="5">
        <f>14 / 86400</f>
        <v>1.6203703703703703E-4</v>
      </c>
    </row>
    <row r="1050" spans="1:12" x14ac:dyDescent="0.25">
      <c r="A1050" s="3">
        <v>45693.409768518519</v>
      </c>
      <c r="B1050" t="s">
        <v>148</v>
      </c>
      <c r="C1050" s="3">
        <v>45693.409895833334</v>
      </c>
      <c r="D1050" t="s">
        <v>148</v>
      </c>
      <c r="E1050" s="4">
        <v>0</v>
      </c>
      <c r="F1050" s="4">
        <v>52958.839</v>
      </c>
      <c r="G1050" s="4">
        <v>52958.839</v>
      </c>
      <c r="H1050" s="5">
        <f>0 / 86400</f>
        <v>0</v>
      </c>
      <c r="I1050" t="s">
        <v>124</v>
      </c>
      <c r="J1050" t="s">
        <v>124</v>
      </c>
      <c r="K1050" s="5">
        <f>11 / 86400</f>
        <v>1.273148148148148E-4</v>
      </c>
      <c r="L1050" s="5">
        <f>14 / 86400</f>
        <v>1.6203703703703703E-4</v>
      </c>
    </row>
    <row r="1051" spans="1:12" x14ac:dyDescent="0.25">
      <c r="A1051" s="3">
        <v>45693.410057870366</v>
      </c>
      <c r="B1051" t="s">
        <v>148</v>
      </c>
      <c r="C1051" s="3">
        <v>45693.41170138889</v>
      </c>
      <c r="D1051" t="s">
        <v>148</v>
      </c>
      <c r="E1051" s="4">
        <v>0</v>
      </c>
      <c r="F1051" s="4">
        <v>52958.839</v>
      </c>
      <c r="G1051" s="4">
        <v>52958.839</v>
      </c>
      <c r="H1051" s="5">
        <f>137 / 86400</f>
        <v>1.5856481481481481E-3</v>
      </c>
      <c r="I1051" t="s">
        <v>124</v>
      </c>
      <c r="J1051" t="s">
        <v>124</v>
      </c>
      <c r="K1051" s="5">
        <f>142 / 86400</f>
        <v>1.6435185185185185E-3</v>
      </c>
      <c r="L1051" s="5">
        <f>17 / 86400</f>
        <v>1.9675925925925926E-4</v>
      </c>
    </row>
    <row r="1052" spans="1:12" x14ac:dyDescent="0.25">
      <c r="A1052" s="3">
        <v>45693.411898148144</v>
      </c>
      <c r="B1052" t="s">
        <v>148</v>
      </c>
      <c r="C1052" s="3">
        <v>45693.41207175926</v>
      </c>
      <c r="D1052" t="s">
        <v>148</v>
      </c>
      <c r="E1052" s="4">
        <v>0</v>
      </c>
      <c r="F1052" s="4">
        <v>52958.839</v>
      </c>
      <c r="G1052" s="4">
        <v>52958.839</v>
      </c>
      <c r="H1052" s="5">
        <f>0 / 86400</f>
        <v>0</v>
      </c>
      <c r="I1052" t="s">
        <v>124</v>
      </c>
      <c r="J1052" t="s">
        <v>124</v>
      </c>
      <c r="K1052" s="5">
        <f>15 / 86400</f>
        <v>1.7361111111111112E-4</v>
      </c>
      <c r="L1052" s="5">
        <f>1339 / 86400</f>
        <v>1.5497685185185186E-2</v>
      </c>
    </row>
    <row r="1053" spans="1:12" x14ac:dyDescent="0.25">
      <c r="A1053" s="3">
        <v>45693.427569444444</v>
      </c>
      <c r="B1053" t="s">
        <v>148</v>
      </c>
      <c r="C1053" s="3">
        <v>45693.427650462967</v>
      </c>
      <c r="D1053" t="s">
        <v>148</v>
      </c>
      <c r="E1053" s="4">
        <v>0</v>
      </c>
      <c r="F1053" s="4">
        <v>52958.839</v>
      </c>
      <c r="G1053" s="4">
        <v>52958.839</v>
      </c>
      <c r="H1053" s="5">
        <f>0 / 86400</f>
        <v>0</v>
      </c>
      <c r="I1053" t="s">
        <v>124</v>
      </c>
      <c r="J1053" t="s">
        <v>124</v>
      </c>
      <c r="K1053" s="5">
        <f>7 / 86400</f>
        <v>8.1018518518518516E-5</v>
      </c>
      <c r="L1053" s="5">
        <f>11 / 86400</f>
        <v>1.273148148148148E-4</v>
      </c>
    </row>
    <row r="1054" spans="1:12" x14ac:dyDescent="0.25">
      <c r="A1054" s="3">
        <v>45693.427777777775</v>
      </c>
      <c r="B1054" t="s">
        <v>148</v>
      </c>
      <c r="C1054" s="3">
        <v>45693.427835648152</v>
      </c>
      <c r="D1054" t="s">
        <v>148</v>
      </c>
      <c r="E1054" s="4">
        <v>0</v>
      </c>
      <c r="F1054" s="4">
        <v>52958.839</v>
      </c>
      <c r="G1054" s="4">
        <v>52958.839</v>
      </c>
      <c r="H1054" s="5">
        <f>0 / 86400</f>
        <v>0</v>
      </c>
      <c r="I1054" t="s">
        <v>124</v>
      </c>
      <c r="J1054" t="s">
        <v>124</v>
      </c>
      <c r="K1054" s="5">
        <f>5 / 86400</f>
        <v>5.7870370370370373E-5</v>
      </c>
      <c r="L1054" s="5">
        <f>88 / 86400</f>
        <v>1.0185185185185184E-3</v>
      </c>
    </row>
    <row r="1055" spans="1:12" x14ac:dyDescent="0.25">
      <c r="A1055" s="3">
        <v>45693.428854166668</v>
      </c>
      <c r="B1055" t="s">
        <v>148</v>
      </c>
      <c r="C1055" s="3">
        <v>45693.429120370369</v>
      </c>
      <c r="D1055" t="s">
        <v>148</v>
      </c>
      <c r="E1055" s="4">
        <v>0</v>
      </c>
      <c r="F1055" s="4">
        <v>52958.839</v>
      </c>
      <c r="G1055" s="4">
        <v>52958.839</v>
      </c>
      <c r="H1055" s="5">
        <f>19 / 86400</f>
        <v>2.199074074074074E-4</v>
      </c>
      <c r="I1055" t="s">
        <v>124</v>
      </c>
      <c r="J1055" t="s">
        <v>124</v>
      </c>
      <c r="K1055" s="5">
        <f>23 / 86400</f>
        <v>2.6620370370370372E-4</v>
      </c>
      <c r="L1055" s="5">
        <f>1020 / 86400</f>
        <v>1.1805555555555555E-2</v>
      </c>
    </row>
    <row r="1056" spans="1:12" x14ac:dyDescent="0.25">
      <c r="A1056" s="3">
        <v>45693.440925925926</v>
      </c>
      <c r="B1056" t="s">
        <v>148</v>
      </c>
      <c r="C1056" s="3">
        <v>45693.441018518519</v>
      </c>
      <c r="D1056" t="s">
        <v>148</v>
      </c>
      <c r="E1056" s="4">
        <v>0</v>
      </c>
      <c r="F1056" s="4">
        <v>52958.839</v>
      </c>
      <c r="G1056" s="4">
        <v>52958.839</v>
      </c>
      <c r="H1056" s="5">
        <f>0 / 86400</f>
        <v>0</v>
      </c>
      <c r="I1056" t="s">
        <v>124</v>
      </c>
      <c r="J1056" t="s">
        <v>124</v>
      </c>
      <c r="K1056" s="5">
        <f>8 / 86400</f>
        <v>9.2592592592592588E-5</v>
      </c>
      <c r="L1056" s="5">
        <f>345 / 86400</f>
        <v>3.9930555555555552E-3</v>
      </c>
    </row>
    <row r="1057" spans="1:12" x14ac:dyDescent="0.25">
      <c r="A1057" s="3">
        <v>45693.445011574076</v>
      </c>
      <c r="B1057" t="s">
        <v>148</v>
      </c>
      <c r="C1057" s="3">
        <v>45693.450590277775</v>
      </c>
      <c r="D1057" t="s">
        <v>49</v>
      </c>
      <c r="E1057" s="4">
        <v>0.88400000000000001</v>
      </c>
      <c r="F1057" s="4">
        <v>52958.839</v>
      </c>
      <c r="G1057" s="4">
        <v>52959.722999999998</v>
      </c>
      <c r="H1057" s="5">
        <f>338 / 86400</f>
        <v>3.9120370370370368E-3</v>
      </c>
      <c r="I1057" t="s">
        <v>179</v>
      </c>
      <c r="J1057" t="s">
        <v>132</v>
      </c>
      <c r="K1057" s="5">
        <f>482 / 86400</f>
        <v>5.5787037037037038E-3</v>
      </c>
      <c r="L1057" s="5">
        <f>3880 / 86400</f>
        <v>4.490740740740741E-2</v>
      </c>
    </row>
    <row r="1058" spans="1:12" x14ac:dyDescent="0.25">
      <c r="A1058" s="3">
        <v>45693.495497685188</v>
      </c>
      <c r="B1058" t="s">
        <v>49</v>
      </c>
      <c r="C1058" s="3">
        <v>45693.497673611113</v>
      </c>
      <c r="D1058" t="s">
        <v>129</v>
      </c>
      <c r="E1058" s="4">
        <v>0.71399999999999997</v>
      </c>
      <c r="F1058" s="4">
        <v>52959.722999999998</v>
      </c>
      <c r="G1058" s="4">
        <v>52960.436999999998</v>
      </c>
      <c r="H1058" s="5">
        <f>17 / 86400</f>
        <v>1.9675925925925926E-4</v>
      </c>
      <c r="I1058" t="s">
        <v>212</v>
      </c>
      <c r="J1058" t="s">
        <v>52</v>
      </c>
      <c r="K1058" s="5">
        <f>188 / 86400</f>
        <v>2.1759259259259258E-3</v>
      </c>
      <c r="L1058" s="5">
        <f>54 / 86400</f>
        <v>6.2500000000000001E-4</v>
      </c>
    </row>
    <row r="1059" spans="1:12" x14ac:dyDescent="0.25">
      <c r="A1059" s="3">
        <v>45693.498298611114</v>
      </c>
      <c r="B1059" t="s">
        <v>129</v>
      </c>
      <c r="C1059" s="3">
        <v>45693.498379629629</v>
      </c>
      <c r="D1059" t="s">
        <v>129</v>
      </c>
      <c r="E1059" s="4">
        <v>0</v>
      </c>
      <c r="F1059" s="4">
        <v>52960.436999999998</v>
      </c>
      <c r="G1059" s="4">
        <v>52960.436999999998</v>
      </c>
      <c r="H1059" s="5">
        <f>0 / 86400</f>
        <v>0</v>
      </c>
      <c r="I1059" t="s">
        <v>124</v>
      </c>
      <c r="J1059" t="s">
        <v>124</v>
      </c>
      <c r="K1059" s="5">
        <f>7 / 86400</f>
        <v>8.1018518518518516E-5</v>
      </c>
      <c r="L1059" s="5">
        <f>267 / 86400</f>
        <v>3.0902777777777777E-3</v>
      </c>
    </row>
    <row r="1060" spans="1:12" x14ac:dyDescent="0.25">
      <c r="A1060" s="3">
        <v>45693.501469907409</v>
      </c>
      <c r="B1060" t="s">
        <v>129</v>
      </c>
      <c r="C1060" s="3">
        <v>45693.501562500001</v>
      </c>
      <c r="D1060" t="s">
        <v>129</v>
      </c>
      <c r="E1060" s="4">
        <v>0</v>
      </c>
      <c r="F1060" s="4">
        <v>52960.436999999998</v>
      </c>
      <c r="G1060" s="4">
        <v>52960.436999999998</v>
      </c>
      <c r="H1060" s="5">
        <f>0 / 86400</f>
        <v>0</v>
      </c>
      <c r="I1060" t="s">
        <v>124</v>
      </c>
      <c r="J1060" t="s">
        <v>124</v>
      </c>
      <c r="K1060" s="5">
        <f>8 / 86400</f>
        <v>9.2592592592592588E-5</v>
      </c>
      <c r="L1060" s="5">
        <f>254 / 86400</f>
        <v>2.9398148148148148E-3</v>
      </c>
    </row>
    <row r="1061" spans="1:12" x14ac:dyDescent="0.25">
      <c r="A1061" s="3">
        <v>45693.504502314812</v>
      </c>
      <c r="B1061" t="s">
        <v>129</v>
      </c>
      <c r="C1061" s="3">
        <v>45693.615162037036</v>
      </c>
      <c r="D1061" t="s">
        <v>332</v>
      </c>
      <c r="E1061" s="4">
        <v>47.426000000000002</v>
      </c>
      <c r="F1061" s="4">
        <v>52960.436999999998</v>
      </c>
      <c r="G1061" s="4">
        <v>53007.862999999998</v>
      </c>
      <c r="H1061" s="5">
        <f>3355 / 86400</f>
        <v>3.8831018518518522E-2</v>
      </c>
      <c r="I1061" t="s">
        <v>45</v>
      </c>
      <c r="J1061" t="s">
        <v>24</v>
      </c>
      <c r="K1061" s="5">
        <f>9561 / 86400</f>
        <v>0.11065972222222223</v>
      </c>
      <c r="L1061" s="5">
        <f>69 / 86400</f>
        <v>7.9861111111111116E-4</v>
      </c>
    </row>
    <row r="1062" spans="1:12" x14ac:dyDescent="0.25">
      <c r="A1062" s="3">
        <v>45693.615960648152</v>
      </c>
      <c r="B1062" t="s">
        <v>304</v>
      </c>
      <c r="C1062" s="3">
        <v>45693.775405092594</v>
      </c>
      <c r="D1062" t="s">
        <v>49</v>
      </c>
      <c r="E1062" s="4">
        <v>52.758000000000003</v>
      </c>
      <c r="F1062" s="4">
        <v>53007.862999999998</v>
      </c>
      <c r="G1062" s="4">
        <v>53060.620999999999</v>
      </c>
      <c r="H1062" s="5">
        <f>5500 / 86400</f>
        <v>6.3657407407407413E-2</v>
      </c>
      <c r="I1062" t="s">
        <v>165</v>
      </c>
      <c r="J1062" t="s">
        <v>52</v>
      </c>
      <c r="K1062" s="5">
        <f>13776 / 86400</f>
        <v>0.15944444444444444</v>
      </c>
      <c r="L1062" s="5">
        <f>2418 / 86400</f>
        <v>2.7986111111111111E-2</v>
      </c>
    </row>
    <row r="1063" spans="1:12" x14ac:dyDescent="0.25">
      <c r="A1063" s="3">
        <v>45693.803391203706</v>
      </c>
      <c r="B1063" t="s">
        <v>49</v>
      </c>
      <c r="C1063" s="3">
        <v>45693.806701388894</v>
      </c>
      <c r="D1063" t="s">
        <v>328</v>
      </c>
      <c r="E1063" s="4">
        <v>0.73899999999999999</v>
      </c>
      <c r="F1063" s="4">
        <v>53060.620999999999</v>
      </c>
      <c r="G1063" s="4">
        <v>53061.36</v>
      </c>
      <c r="H1063" s="5">
        <f>118 / 86400</f>
        <v>1.3657407407407407E-3</v>
      </c>
      <c r="I1063" t="s">
        <v>153</v>
      </c>
      <c r="J1063" t="s">
        <v>82</v>
      </c>
      <c r="K1063" s="5">
        <f>286 / 86400</f>
        <v>3.3101851851851851E-3</v>
      </c>
      <c r="L1063" s="5">
        <f>438 / 86400</f>
        <v>5.0694444444444441E-3</v>
      </c>
    </row>
    <row r="1064" spans="1:12" x14ac:dyDescent="0.25">
      <c r="A1064" s="3">
        <v>45693.81177083333</v>
      </c>
      <c r="B1064" t="s">
        <v>328</v>
      </c>
      <c r="C1064" s="3">
        <v>45693.811967592592</v>
      </c>
      <c r="D1064" t="s">
        <v>328</v>
      </c>
      <c r="E1064" s="4">
        <v>0</v>
      </c>
      <c r="F1064" s="4">
        <v>53061.36</v>
      </c>
      <c r="G1064" s="4">
        <v>53061.36</v>
      </c>
      <c r="H1064" s="5">
        <f>0 / 86400</f>
        <v>0</v>
      </c>
      <c r="I1064" t="s">
        <v>124</v>
      </c>
      <c r="J1064" t="s">
        <v>124</v>
      </c>
      <c r="K1064" s="5">
        <f>17 / 86400</f>
        <v>1.9675925925925926E-4</v>
      </c>
      <c r="L1064" s="5">
        <f>297 / 86400</f>
        <v>3.4375E-3</v>
      </c>
    </row>
    <row r="1065" spans="1:12" x14ac:dyDescent="0.25">
      <c r="A1065" s="3">
        <v>45693.815405092595</v>
      </c>
      <c r="B1065" t="s">
        <v>328</v>
      </c>
      <c r="C1065" s="3">
        <v>45693.81621527778</v>
      </c>
      <c r="D1065" t="s">
        <v>328</v>
      </c>
      <c r="E1065" s="4">
        <v>0</v>
      </c>
      <c r="F1065" s="4">
        <v>53061.36</v>
      </c>
      <c r="G1065" s="4">
        <v>53061.36</v>
      </c>
      <c r="H1065" s="5">
        <f>58 / 86400</f>
        <v>6.7129629629629625E-4</v>
      </c>
      <c r="I1065" t="s">
        <v>124</v>
      </c>
      <c r="J1065" t="s">
        <v>124</v>
      </c>
      <c r="K1065" s="5">
        <f>70 / 86400</f>
        <v>8.1018518518518516E-4</v>
      </c>
      <c r="L1065" s="5">
        <f>363 / 86400</f>
        <v>4.2013888888888891E-3</v>
      </c>
    </row>
    <row r="1066" spans="1:12" x14ac:dyDescent="0.25">
      <c r="A1066" s="3">
        <v>45693.820416666669</v>
      </c>
      <c r="B1066" t="s">
        <v>328</v>
      </c>
      <c r="C1066" s="3">
        <v>45693.896574074075</v>
      </c>
      <c r="D1066" t="s">
        <v>251</v>
      </c>
      <c r="E1066" s="4">
        <v>41.033999999999999</v>
      </c>
      <c r="F1066" s="4">
        <v>53061.36</v>
      </c>
      <c r="G1066" s="4">
        <v>53102.394</v>
      </c>
      <c r="H1066" s="5">
        <f>1676 / 86400</f>
        <v>1.9398148148148147E-2</v>
      </c>
      <c r="I1066" t="s">
        <v>38</v>
      </c>
      <c r="J1066" t="s">
        <v>39</v>
      </c>
      <c r="K1066" s="5">
        <f>6580 / 86400</f>
        <v>7.615740740740741E-2</v>
      </c>
      <c r="L1066" s="5">
        <f>57 / 86400</f>
        <v>6.5972222222222224E-4</v>
      </c>
    </row>
    <row r="1067" spans="1:12" x14ac:dyDescent="0.25">
      <c r="A1067" s="3">
        <v>45693.897233796291</v>
      </c>
      <c r="B1067" t="s">
        <v>251</v>
      </c>
      <c r="C1067" s="3">
        <v>45693.970983796295</v>
      </c>
      <c r="D1067" t="s">
        <v>277</v>
      </c>
      <c r="E1067" s="4">
        <v>39.994999999999997</v>
      </c>
      <c r="F1067" s="4">
        <v>53102.394</v>
      </c>
      <c r="G1067" s="4">
        <v>53142.389000000003</v>
      </c>
      <c r="H1067" s="5">
        <f>1418 / 86400</f>
        <v>1.6412037037037037E-2</v>
      </c>
      <c r="I1067" t="s">
        <v>33</v>
      </c>
      <c r="J1067" t="s">
        <v>150</v>
      </c>
      <c r="K1067" s="5">
        <f>6372 / 86400</f>
        <v>7.3749999999999996E-2</v>
      </c>
      <c r="L1067" s="5">
        <f>344 / 86400</f>
        <v>3.9814814814814817E-3</v>
      </c>
    </row>
    <row r="1068" spans="1:12" x14ac:dyDescent="0.25">
      <c r="A1068" s="3">
        <v>45693.974965277783</v>
      </c>
      <c r="B1068" t="s">
        <v>277</v>
      </c>
      <c r="C1068" s="3">
        <v>45693.997187500005</v>
      </c>
      <c r="D1068" t="s">
        <v>89</v>
      </c>
      <c r="E1068" s="4">
        <v>18.224</v>
      </c>
      <c r="F1068" s="4">
        <v>53142.389000000003</v>
      </c>
      <c r="G1068" s="4">
        <v>53160.612999999998</v>
      </c>
      <c r="H1068" s="5">
        <f>120 / 86400</f>
        <v>1.3888888888888889E-3</v>
      </c>
      <c r="I1068" t="s">
        <v>105</v>
      </c>
      <c r="J1068" t="s">
        <v>138</v>
      </c>
      <c r="K1068" s="5">
        <f>1920 / 86400</f>
        <v>2.2222222222222223E-2</v>
      </c>
      <c r="L1068" s="5">
        <f>61 / 86400</f>
        <v>7.0601851851851847E-4</v>
      </c>
    </row>
    <row r="1069" spans="1:12" x14ac:dyDescent="0.25">
      <c r="A1069" s="3">
        <v>45693.997893518521</v>
      </c>
      <c r="B1069" t="s">
        <v>89</v>
      </c>
      <c r="C1069" s="3">
        <v>45693.998472222222</v>
      </c>
      <c r="D1069" t="s">
        <v>89</v>
      </c>
      <c r="E1069" s="4">
        <v>2.5999999999999999E-2</v>
      </c>
      <c r="F1069" s="4">
        <v>53160.612999999998</v>
      </c>
      <c r="G1069" s="4">
        <v>53160.639000000003</v>
      </c>
      <c r="H1069" s="5">
        <f>17 / 86400</f>
        <v>1.9675925925925926E-4</v>
      </c>
      <c r="I1069" t="s">
        <v>116</v>
      </c>
      <c r="J1069" t="s">
        <v>126</v>
      </c>
      <c r="K1069" s="5">
        <f>50 / 86400</f>
        <v>5.7870370370370367E-4</v>
      </c>
      <c r="L1069" s="5">
        <f>131 / 86400</f>
        <v>1.5162037037037036E-3</v>
      </c>
    </row>
    <row r="1070" spans="1:12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</row>
    <row r="1071" spans="1:12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</row>
    <row r="1072" spans="1:12" s="10" customFormat="1" ht="20.100000000000001" customHeight="1" x14ac:dyDescent="0.35">
      <c r="A1072" s="12" t="s">
        <v>446</v>
      </c>
      <c r="B1072" s="12"/>
      <c r="C1072" s="12"/>
      <c r="D1072" s="12"/>
      <c r="E1072" s="12"/>
      <c r="F1072" s="12"/>
      <c r="G1072" s="12"/>
      <c r="H1072" s="12"/>
      <c r="I1072" s="12"/>
      <c r="J1072" s="12"/>
    </row>
    <row r="1073" spans="1:12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</row>
    <row r="1074" spans="1:12" ht="30" x14ac:dyDescent="0.25">
      <c r="A1074" s="2" t="s">
        <v>6</v>
      </c>
      <c r="B1074" s="2" t="s">
        <v>7</v>
      </c>
      <c r="C1074" s="2" t="s">
        <v>8</v>
      </c>
      <c r="D1074" s="2" t="s">
        <v>9</v>
      </c>
      <c r="E1074" s="2" t="s">
        <v>10</v>
      </c>
      <c r="F1074" s="2" t="s">
        <v>11</v>
      </c>
      <c r="G1074" s="2" t="s">
        <v>12</v>
      </c>
      <c r="H1074" s="2" t="s">
        <v>13</v>
      </c>
      <c r="I1074" s="2" t="s">
        <v>14</v>
      </c>
      <c r="J1074" s="2" t="s">
        <v>15</v>
      </c>
      <c r="K1074" s="2" t="s">
        <v>16</v>
      </c>
      <c r="L1074" s="2" t="s">
        <v>17</v>
      </c>
    </row>
    <row r="1075" spans="1:12" x14ac:dyDescent="0.25">
      <c r="A1075" s="3">
        <v>45693.208703703705</v>
      </c>
      <c r="B1075" t="s">
        <v>97</v>
      </c>
      <c r="C1075" s="3">
        <v>45693.433819444443</v>
      </c>
      <c r="D1075" t="s">
        <v>269</v>
      </c>
      <c r="E1075" s="4">
        <v>100.65900000000001</v>
      </c>
      <c r="F1075" s="4">
        <v>45093.084999999999</v>
      </c>
      <c r="G1075" s="4">
        <v>45193.743999999999</v>
      </c>
      <c r="H1075" s="5">
        <f>6638 / 86400</f>
        <v>7.6828703703703705E-2</v>
      </c>
      <c r="I1075" t="s">
        <v>90</v>
      </c>
      <c r="J1075" t="s">
        <v>37</v>
      </c>
      <c r="K1075" s="5">
        <f>19450 / 86400</f>
        <v>0.22511574074074073</v>
      </c>
      <c r="L1075" s="5">
        <f>18814 / 86400</f>
        <v>0.21775462962962963</v>
      </c>
    </row>
    <row r="1076" spans="1:12" x14ac:dyDescent="0.25">
      <c r="A1076" s="3">
        <v>45693.442870370374</v>
      </c>
      <c r="B1076" t="s">
        <v>269</v>
      </c>
      <c r="C1076" s="3">
        <v>45693.445821759262</v>
      </c>
      <c r="D1076" t="s">
        <v>49</v>
      </c>
      <c r="E1076" s="4">
        <v>0.628</v>
      </c>
      <c r="F1076" s="4">
        <v>45193.743999999999</v>
      </c>
      <c r="G1076" s="4">
        <v>45194.372000000003</v>
      </c>
      <c r="H1076" s="5">
        <f>78 / 86400</f>
        <v>9.0277777777777774E-4</v>
      </c>
      <c r="I1076" t="s">
        <v>85</v>
      </c>
      <c r="J1076" t="s">
        <v>82</v>
      </c>
      <c r="K1076" s="5">
        <f>255 / 86400</f>
        <v>2.9513888888888888E-3</v>
      </c>
      <c r="L1076" s="5">
        <f>2052 / 86400</f>
        <v>2.375E-2</v>
      </c>
    </row>
    <row r="1077" spans="1:12" x14ac:dyDescent="0.25">
      <c r="A1077" s="3">
        <v>45693.469571759255</v>
      </c>
      <c r="B1077" t="s">
        <v>49</v>
      </c>
      <c r="C1077" s="3">
        <v>45693.472199074073</v>
      </c>
      <c r="D1077" t="s">
        <v>330</v>
      </c>
      <c r="E1077" s="4">
        <v>0.79300000000000004</v>
      </c>
      <c r="F1077" s="4">
        <v>45194.372000000003</v>
      </c>
      <c r="G1077" s="4">
        <v>45195.165000000001</v>
      </c>
      <c r="H1077" s="5">
        <f>0 / 86400</f>
        <v>0</v>
      </c>
      <c r="I1077" t="s">
        <v>128</v>
      </c>
      <c r="J1077" t="s">
        <v>55</v>
      </c>
      <c r="K1077" s="5">
        <f>227 / 86400</f>
        <v>2.627314814814815E-3</v>
      </c>
      <c r="L1077" s="5">
        <f>1627 / 86400</f>
        <v>1.8831018518518518E-2</v>
      </c>
    </row>
    <row r="1078" spans="1:12" x14ac:dyDescent="0.25">
      <c r="A1078" s="3">
        <v>45693.491030092591</v>
      </c>
      <c r="B1078" t="s">
        <v>330</v>
      </c>
      <c r="C1078" s="3">
        <v>45693.692962962959</v>
      </c>
      <c r="D1078" t="s">
        <v>73</v>
      </c>
      <c r="E1078" s="4">
        <v>94.186000000000007</v>
      </c>
      <c r="F1078" s="4">
        <v>45195.165000000001</v>
      </c>
      <c r="G1078" s="4">
        <v>45289.351000000002</v>
      </c>
      <c r="H1078" s="5">
        <f>5198 / 86400</f>
        <v>6.0162037037037035E-2</v>
      </c>
      <c r="I1078" t="s">
        <v>45</v>
      </c>
      <c r="J1078" t="s">
        <v>37</v>
      </c>
      <c r="K1078" s="5">
        <f>17447 / 86400</f>
        <v>0.20193287037037036</v>
      </c>
      <c r="L1078" s="5">
        <f>151 / 86400</f>
        <v>1.7476851851851852E-3</v>
      </c>
    </row>
    <row r="1079" spans="1:12" x14ac:dyDescent="0.25">
      <c r="A1079" s="3">
        <v>45693.694710648153</v>
      </c>
      <c r="B1079" t="s">
        <v>73</v>
      </c>
      <c r="C1079" s="3">
        <v>45693.695023148146</v>
      </c>
      <c r="D1079" t="s">
        <v>144</v>
      </c>
      <c r="E1079" s="4">
        <v>1.7000000000000001E-2</v>
      </c>
      <c r="F1079" s="4">
        <v>45289.351000000002</v>
      </c>
      <c r="G1079" s="4">
        <v>45289.368000000002</v>
      </c>
      <c r="H1079" s="5">
        <f>0 / 86400</f>
        <v>0</v>
      </c>
      <c r="I1079" t="s">
        <v>133</v>
      </c>
      <c r="J1079" t="s">
        <v>126</v>
      </c>
      <c r="K1079" s="5">
        <f>27 / 86400</f>
        <v>3.1250000000000001E-4</v>
      </c>
      <c r="L1079" s="5">
        <f>448 / 86400</f>
        <v>5.185185185185185E-3</v>
      </c>
    </row>
    <row r="1080" spans="1:12" x14ac:dyDescent="0.25">
      <c r="A1080" s="3">
        <v>45693.700208333335</v>
      </c>
      <c r="B1080" t="s">
        <v>144</v>
      </c>
      <c r="C1080" s="3">
        <v>45693.700949074075</v>
      </c>
      <c r="D1080" t="s">
        <v>148</v>
      </c>
      <c r="E1080" s="4">
        <v>9.8000000000000004E-2</v>
      </c>
      <c r="F1080" s="4">
        <v>45289.368000000002</v>
      </c>
      <c r="G1080" s="4">
        <v>45289.466</v>
      </c>
      <c r="H1080" s="5">
        <f>0 / 86400</f>
        <v>0</v>
      </c>
      <c r="I1080" t="s">
        <v>59</v>
      </c>
      <c r="J1080" t="s">
        <v>260</v>
      </c>
      <c r="K1080" s="5">
        <f>64 / 86400</f>
        <v>7.407407407407407E-4</v>
      </c>
      <c r="L1080" s="5">
        <f>563 / 86400</f>
        <v>6.5162037037037037E-3</v>
      </c>
    </row>
    <row r="1081" spans="1:12" x14ac:dyDescent="0.25">
      <c r="A1081" s="3">
        <v>45693.707465277781</v>
      </c>
      <c r="B1081" t="s">
        <v>148</v>
      </c>
      <c r="C1081" s="3">
        <v>45693.713391203702</v>
      </c>
      <c r="D1081" t="s">
        <v>98</v>
      </c>
      <c r="E1081" s="4">
        <v>1.56</v>
      </c>
      <c r="F1081" s="4">
        <v>45289.466</v>
      </c>
      <c r="G1081" s="4">
        <v>45291.025999999998</v>
      </c>
      <c r="H1081" s="5">
        <f>60 / 86400</f>
        <v>6.9444444444444447E-4</v>
      </c>
      <c r="I1081" t="s">
        <v>212</v>
      </c>
      <c r="J1081" t="s">
        <v>154</v>
      </c>
      <c r="K1081" s="5">
        <f>512 / 86400</f>
        <v>5.9259259259259256E-3</v>
      </c>
      <c r="L1081" s="5">
        <f>24762 / 86400</f>
        <v>0.28659722222222223</v>
      </c>
    </row>
    <row r="1082" spans="1:12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</row>
    <row r="1083" spans="1:12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</row>
    <row r="1084" spans="1:12" s="10" customFormat="1" ht="20.100000000000001" customHeight="1" x14ac:dyDescent="0.35">
      <c r="A1084" s="12" t="s">
        <v>447</v>
      </c>
      <c r="B1084" s="12"/>
      <c r="C1084" s="12"/>
      <c r="D1084" s="12"/>
      <c r="E1084" s="12"/>
      <c r="F1084" s="12"/>
      <c r="G1084" s="12"/>
      <c r="H1084" s="12"/>
      <c r="I1084" s="12"/>
      <c r="J1084" s="12"/>
    </row>
    <row r="1085" spans="1:12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</row>
    <row r="1086" spans="1:12" ht="30" x14ac:dyDescent="0.25">
      <c r="A1086" s="2" t="s">
        <v>6</v>
      </c>
      <c r="B1086" s="2" t="s">
        <v>7</v>
      </c>
      <c r="C1086" s="2" t="s">
        <v>8</v>
      </c>
      <c r="D1086" s="2" t="s">
        <v>9</v>
      </c>
      <c r="E1086" s="2" t="s">
        <v>10</v>
      </c>
      <c r="F1086" s="2" t="s">
        <v>11</v>
      </c>
      <c r="G1086" s="2" t="s">
        <v>12</v>
      </c>
      <c r="H1086" s="2" t="s">
        <v>13</v>
      </c>
      <c r="I1086" s="2" t="s">
        <v>14</v>
      </c>
      <c r="J1086" s="2" t="s">
        <v>15</v>
      </c>
      <c r="K1086" s="2" t="s">
        <v>16</v>
      </c>
      <c r="L1086" s="2" t="s">
        <v>17</v>
      </c>
    </row>
    <row r="1087" spans="1:12" x14ac:dyDescent="0.25">
      <c r="A1087" s="3">
        <v>45693.41982638889</v>
      </c>
      <c r="B1087" t="s">
        <v>22</v>
      </c>
      <c r="C1087" s="3">
        <v>45693.424432870372</v>
      </c>
      <c r="D1087" t="s">
        <v>73</v>
      </c>
      <c r="E1087" s="4">
        <v>0.622</v>
      </c>
      <c r="F1087" s="4">
        <v>77132.042000000001</v>
      </c>
      <c r="G1087" s="4">
        <v>77132.664000000004</v>
      </c>
      <c r="H1087" s="5">
        <f>277 / 86400</f>
        <v>3.2060185185185186E-3</v>
      </c>
      <c r="I1087" t="s">
        <v>202</v>
      </c>
      <c r="J1087" t="s">
        <v>260</v>
      </c>
      <c r="K1087" s="5">
        <f>398 / 86400</f>
        <v>4.6064814814814814E-3</v>
      </c>
      <c r="L1087" s="5">
        <f>36287 / 86400</f>
        <v>0.41998842592592595</v>
      </c>
    </row>
    <row r="1088" spans="1:12" x14ac:dyDescent="0.25">
      <c r="A1088" s="3">
        <v>45693.42459490741</v>
      </c>
      <c r="B1088" t="s">
        <v>73</v>
      </c>
      <c r="C1088" s="3">
        <v>45693.424780092595</v>
      </c>
      <c r="D1088" t="s">
        <v>73</v>
      </c>
      <c r="E1088" s="4">
        <v>4.0000000000000001E-3</v>
      </c>
      <c r="F1088" s="4">
        <v>77132.664000000004</v>
      </c>
      <c r="G1088" s="4">
        <v>77132.668000000005</v>
      </c>
      <c r="H1088" s="5">
        <f>0 / 86400</f>
        <v>0</v>
      </c>
      <c r="I1088" t="s">
        <v>149</v>
      </c>
      <c r="J1088" t="s">
        <v>116</v>
      </c>
      <c r="K1088" s="5">
        <f>16 / 86400</f>
        <v>1.8518518518518518E-4</v>
      </c>
      <c r="L1088" s="5">
        <f>555 / 86400</f>
        <v>6.4236111111111108E-3</v>
      </c>
    </row>
    <row r="1089" spans="1:12" x14ac:dyDescent="0.25">
      <c r="A1089" s="3">
        <v>45693.431203703702</v>
      </c>
      <c r="B1089" t="s">
        <v>73</v>
      </c>
      <c r="C1089" s="3">
        <v>45693.892997685187</v>
      </c>
      <c r="D1089" t="s">
        <v>73</v>
      </c>
      <c r="E1089" s="4">
        <v>188.81200000000001</v>
      </c>
      <c r="F1089" s="4">
        <v>77132.668000000005</v>
      </c>
      <c r="G1089" s="4">
        <v>77321.48</v>
      </c>
      <c r="H1089" s="5">
        <f>14941 / 86400</f>
        <v>0.17292824074074073</v>
      </c>
      <c r="I1089" t="s">
        <v>27</v>
      </c>
      <c r="J1089" t="s">
        <v>28</v>
      </c>
      <c r="K1089" s="5">
        <f>39899 / 86400</f>
        <v>0.46179398148148149</v>
      </c>
      <c r="L1089" s="5">
        <f>317 / 86400</f>
        <v>3.6689814814814814E-3</v>
      </c>
    </row>
    <row r="1090" spans="1:12" x14ac:dyDescent="0.25">
      <c r="A1090" s="3">
        <v>45693.896666666667</v>
      </c>
      <c r="B1090" t="s">
        <v>144</v>
      </c>
      <c r="C1090" s="3">
        <v>45693.897951388892</v>
      </c>
      <c r="D1090" t="s">
        <v>73</v>
      </c>
      <c r="E1090" s="4">
        <v>0.18</v>
      </c>
      <c r="F1090" s="4">
        <v>77321.48</v>
      </c>
      <c r="G1090" s="4">
        <v>77321.66</v>
      </c>
      <c r="H1090" s="5">
        <f>40 / 86400</f>
        <v>4.6296296296296298E-4</v>
      </c>
      <c r="I1090" t="s">
        <v>37</v>
      </c>
      <c r="J1090" t="s">
        <v>260</v>
      </c>
      <c r="K1090" s="5">
        <f>111 / 86400</f>
        <v>1.2847222222222223E-3</v>
      </c>
      <c r="L1090" s="5">
        <f>395 / 86400</f>
        <v>4.5717592592592589E-3</v>
      </c>
    </row>
    <row r="1091" spans="1:12" x14ac:dyDescent="0.25">
      <c r="A1091" s="3">
        <v>45693.90252314815</v>
      </c>
      <c r="B1091" t="s">
        <v>73</v>
      </c>
      <c r="C1091" s="3">
        <v>45693.90452546296</v>
      </c>
      <c r="D1091" t="s">
        <v>22</v>
      </c>
      <c r="E1091" s="4">
        <v>0.50800000000000001</v>
      </c>
      <c r="F1091" s="4">
        <v>77321.66</v>
      </c>
      <c r="G1091" s="4">
        <v>77322.168000000005</v>
      </c>
      <c r="H1091" s="5">
        <f>20 / 86400</f>
        <v>2.3148148148148149E-4</v>
      </c>
      <c r="I1091" t="s">
        <v>222</v>
      </c>
      <c r="J1091" t="s">
        <v>154</v>
      </c>
      <c r="K1091" s="5">
        <f>173 / 86400</f>
        <v>2.0023148148148148E-3</v>
      </c>
      <c r="L1091" s="5">
        <f>8248 / 86400</f>
        <v>9.5462962962962958E-2</v>
      </c>
    </row>
    <row r="1092" spans="1:12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</row>
    <row r="1093" spans="1:12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</row>
    <row r="1094" spans="1:12" s="10" customFormat="1" ht="20.100000000000001" customHeight="1" x14ac:dyDescent="0.35">
      <c r="A1094" s="12" t="s">
        <v>448</v>
      </c>
      <c r="B1094" s="12"/>
      <c r="C1094" s="12"/>
      <c r="D1094" s="12"/>
      <c r="E1094" s="12"/>
      <c r="F1094" s="12"/>
      <c r="G1094" s="12"/>
      <c r="H1094" s="12"/>
      <c r="I1094" s="12"/>
      <c r="J1094" s="12"/>
    </row>
    <row r="1095" spans="1:12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</row>
    <row r="1096" spans="1:12" ht="30" x14ac:dyDescent="0.25">
      <c r="A1096" s="2" t="s">
        <v>6</v>
      </c>
      <c r="B1096" s="2" t="s">
        <v>7</v>
      </c>
      <c r="C1096" s="2" t="s">
        <v>8</v>
      </c>
      <c r="D1096" s="2" t="s">
        <v>9</v>
      </c>
      <c r="E1096" s="2" t="s">
        <v>10</v>
      </c>
      <c r="F1096" s="2" t="s">
        <v>11</v>
      </c>
      <c r="G1096" s="2" t="s">
        <v>12</v>
      </c>
      <c r="H1096" s="2" t="s">
        <v>13</v>
      </c>
      <c r="I1096" s="2" t="s">
        <v>14</v>
      </c>
      <c r="J1096" s="2" t="s">
        <v>15</v>
      </c>
      <c r="K1096" s="2" t="s">
        <v>16</v>
      </c>
      <c r="L1096" s="2" t="s">
        <v>17</v>
      </c>
    </row>
    <row r="1097" spans="1:12" x14ac:dyDescent="0.25">
      <c r="A1097" s="3">
        <v>45693</v>
      </c>
      <c r="B1097" t="s">
        <v>99</v>
      </c>
      <c r="C1097" s="3">
        <v>45693.013333333336</v>
      </c>
      <c r="D1097" t="s">
        <v>89</v>
      </c>
      <c r="E1097" s="4">
        <v>9.9870000000000001</v>
      </c>
      <c r="F1097" s="4">
        <v>38325.889000000003</v>
      </c>
      <c r="G1097" s="4">
        <v>38335.875999999997</v>
      </c>
      <c r="H1097" s="5">
        <f>60 / 86400</f>
        <v>6.9444444444444447E-4</v>
      </c>
      <c r="I1097" t="s">
        <v>101</v>
      </c>
      <c r="J1097" t="s">
        <v>159</v>
      </c>
      <c r="K1097" s="5">
        <f>1152 / 86400</f>
        <v>1.3333333333333334E-2</v>
      </c>
      <c r="L1097" s="5">
        <f>1132 / 86400</f>
        <v>1.3101851851851852E-2</v>
      </c>
    </row>
    <row r="1098" spans="1:12" x14ac:dyDescent="0.25">
      <c r="A1098" s="3">
        <v>45693.02643518518</v>
      </c>
      <c r="B1098" t="s">
        <v>89</v>
      </c>
      <c r="C1098" s="3">
        <v>45693.026689814811</v>
      </c>
      <c r="D1098" t="s">
        <v>89</v>
      </c>
      <c r="E1098" s="4">
        <v>2.3E-2</v>
      </c>
      <c r="F1098" s="4">
        <v>38335.875999999997</v>
      </c>
      <c r="G1098" s="4">
        <v>38335.898999999998</v>
      </c>
      <c r="H1098" s="5">
        <f>1 / 86400</f>
        <v>1.1574074074074073E-5</v>
      </c>
      <c r="I1098" t="s">
        <v>59</v>
      </c>
      <c r="J1098" t="s">
        <v>86</v>
      </c>
      <c r="K1098" s="5">
        <f>22 / 86400</f>
        <v>2.5462962962962961E-4</v>
      </c>
      <c r="L1098" s="5">
        <f>1001 / 86400</f>
        <v>1.1585648148148149E-2</v>
      </c>
    </row>
    <row r="1099" spans="1:12" x14ac:dyDescent="0.25">
      <c r="A1099" s="3">
        <v>45693.038275462968</v>
      </c>
      <c r="B1099" t="s">
        <v>89</v>
      </c>
      <c r="C1099" s="3">
        <v>45693.046030092592</v>
      </c>
      <c r="D1099" t="s">
        <v>100</v>
      </c>
      <c r="E1099" s="4">
        <v>3.399</v>
      </c>
      <c r="F1099" s="4">
        <v>38335.898999999998</v>
      </c>
      <c r="G1099" s="4">
        <v>38339.298000000003</v>
      </c>
      <c r="H1099" s="5">
        <f>210 / 86400</f>
        <v>2.4305555555555556E-3</v>
      </c>
      <c r="I1099" t="s">
        <v>180</v>
      </c>
      <c r="J1099" t="s">
        <v>24</v>
      </c>
      <c r="K1099" s="5">
        <f>670 / 86400</f>
        <v>7.7546296296296295E-3</v>
      </c>
      <c r="L1099" s="5">
        <f>17369 / 86400</f>
        <v>0.20103009259259258</v>
      </c>
    </row>
    <row r="1100" spans="1:12" x14ac:dyDescent="0.25">
      <c r="A1100" s="3">
        <v>45693.247060185182</v>
      </c>
      <c r="B1100" t="s">
        <v>100</v>
      </c>
      <c r="C1100" s="3">
        <v>45693.251932870371</v>
      </c>
      <c r="D1100" t="s">
        <v>388</v>
      </c>
      <c r="E1100" s="4">
        <v>0.29499999999999998</v>
      </c>
      <c r="F1100" s="4">
        <v>38339.298000000003</v>
      </c>
      <c r="G1100" s="4">
        <v>38339.593000000001</v>
      </c>
      <c r="H1100" s="5">
        <f>239 / 86400</f>
        <v>2.7662037037037039E-3</v>
      </c>
      <c r="I1100" t="s">
        <v>20</v>
      </c>
      <c r="J1100" t="s">
        <v>149</v>
      </c>
      <c r="K1100" s="5">
        <f>421 / 86400</f>
        <v>4.8726851851851848E-3</v>
      </c>
      <c r="L1100" s="5">
        <f>1414 / 86400</f>
        <v>1.636574074074074E-2</v>
      </c>
    </row>
    <row r="1101" spans="1:12" x14ac:dyDescent="0.25">
      <c r="A1101" s="3">
        <v>45693.26829861111</v>
      </c>
      <c r="B1101" t="s">
        <v>388</v>
      </c>
      <c r="C1101" s="3">
        <v>45693.268703703703</v>
      </c>
      <c r="D1101" t="s">
        <v>388</v>
      </c>
      <c r="E1101" s="4">
        <v>1.2E-2</v>
      </c>
      <c r="F1101" s="4">
        <v>38339.593000000001</v>
      </c>
      <c r="G1101" s="4">
        <v>38339.605000000003</v>
      </c>
      <c r="H1101" s="5">
        <f>29 / 86400</f>
        <v>3.3564814814814812E-4</v>
      </c>
      <c r="I1101" t="s">
        <v>124</v>
      </c>
      <c r="J1101" t="s">
        <v>116</v>
      </c>
      <c r="K1101" s="5">
        <f>35 / 86400</f>
        <v>4.0509259259259258E-4</v>
      </c>
      <c r="L1101" s="5">
        <f>26328 / 86400</f>
        <v>0.30472222222222223</v>
      </c>
    </row>
    <row r="1102" spans="1:12" x14ac:dyDescent="0.25">
      <c r="A1102" s="3">
        <v>45693.573425925926</v>
      </c>
      <c r="B1102" t="s">
        <v>388</v>
      </c>
      <c r="C1102" s="3">
        <v>45693.573946759258</v>
      </c>
      <c r="D1102" t="s">
        <v>388</v>
      </c>
      <c r="E1102" s="4">
        <v>0</v>
      </c>
      <c r="F1102" s="4">
        <v>38339.605000000003</v>
      </c>
      <c r="G1102" s="4">
        <v>38339.605000000003</v>
      </c>
      <c r="H1102" s="5">
        <f>29 / 86400</f>
        <v>3.3564814814814812E-4</v>
      </c>
      <c r="I1102" t="s">
        <v>124</v>
      </c>
      <c r="J1102" t="s">
        <v>124</v>
      </c>
      <c r="K1102" s="5">
        <f>45 / 86400</f>
        <v>5.2083333333333333E-4</v>
      </c>
      <c r="L1102" s="5">
        <f>19430 / 86400</f>
        <v>0.22488425925925926</v>
      </c>
    </row>
    <row r="1103" spans="1:12" x14ac:dyDescent="0.25">
      <c r="A1103" s="3">
        <v>45693.798831018517</v>
      </c>
      <c r="B1103" t="s">
        <v>388</v>
      </c>
      <c r="C1103" s="3">
        <v>45693.801770833335</v>
      </c>
      <c r="D1103" t="s">
        <v>100</v>
      </c>
      <c r="E1103" s="4">
        <v>0.161</v>
      </c>
      <c r="F1103" s="4">
        <v>38339.605000000003</v>
      </c>
      <c r="G1103" s="4">
        <v>38339.766000000003</v>
      </c>
      <c r="H1103" s="5">
        <f>150 / 86400</f>
        <v>1.736111111111111E-3</v>
      </c>
      <c r="I1103" t="s">
        <v>119</v>
      </c>
      <c r="J1103" t="s">
        <v>126</v>
      </c>
      <c r="K1103" s="5">
        <f>254 / 86400</f>
        <v>2.9398148148148148E-3</v>
      </c>
      <c r="L1103" s="5">
        <f>32 / 86400</f>
        <v>3.7037037037037035E-4</v>
      </c>
    </row>
    <row r="1104" spans="1:12" x14ac:dyDescent="0.25">
      <c r="A1104" s="3">
        <v>45693.802141203705</v>
      </c>
      <c r="B1104" t="s">
        <v>100</v>
      </c>
      <c r="C1104" s="3">
        <v>45693.802465277782</v>
      </c>
      <c r="D1104" t="s">
        <v>100</v>
      </c>
      <c r="E1104" s="4">
        <v>0</v>
      </c>
      <c r="F1104" s="4">
        <v>38339.766000000003</v>
      </c>
      <c r="G1104" s="4">
        <v>38339.766000000003</v>
      </c>
      <c r="H1104" s="5">
        <f>0 / 86400</f>
        <v>0</v>
      </c>
      <c r="I1104" t="s">
        <v>124</v>
      </c>
      <c r="J1104" t="s">
        <v>124</v>
      </c>
      <c r="K1104" s="5">
        <f>28 / 86400</f>
        <v>3.2407407407407406E-4</v>
      </c>
      <c r="L1104" s="5">
        <f>17066 / 86400</f>
        <v>0.19752314814814814</v>
      </c>
    </row>
    <row r="1105" spans="1:12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</row>
    <row r="1106" spans="1:12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</row>
    <row r="1107" spans="1:12" s="10" customFormat="1" ht="20.100000000000001" customHeight="1" x14ac:dyDescent="0.35">
      <c r="A1107" s="12" t="s">
        <v>449</v>
      </c>
      <c r="B1107" s="12"/>
      <c r="C1107" s="12"/>
      <c r="D1107" s="12"/>
      <c r="E1107" s="12"/>
      <c r="F1107" s="12"/>
      <c r="G1107" s="12"/>
      <c r="H1107" s="12"/>
      <c r="I1107" s="12"/>
      <c r="J1107" s="12"/>
    </row>
    <row r="1108" spans="1:12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</row>
    <row r="1109" spans="1:12" ht="30" x14ac:dyDescent="0.25">
      <c r="A1109" s="2" t="s">
        <v>6</v>
      </c>
      <c r="B1109" s="2" t="s">
        <v>7</v>
      </c>
      <c r="C1109" s="2" t="s">
        <v>8</v>
      </c>
      <c r="D1109" s="2" t="s">
        <v>9</v>
      </c>
      <c r="E1109" s="2" t="s">
        <v>10</v>
      </c>
      <c r="F1109" s="2" t="s">
        <v>11</v>
      </c>
      <c r="G1109" s="2" t="s">
        <v>12</v>
      </c>
      <c r="H1109" s="2" t="s">
        <v>13</v>
      </c>
      <c r="I1109" s="2" t="s">
        <v>14</v>
      </c>
      <c r="J1109" s="2" t="s">
        <v>15</v>
      </c>
      <c r="K1109" s="2" t="s">
        <v>16</v>
      </c>
      <c r="L1109" s="2" t="s">
        <v>17</v>
      </c>
    </row>
    <row r="1110" spans="1:12" x14ac:dyDescent="0.25">
      <c r="A1110" s="3">
        <v>45693.263912037037</v>
      </c>
      <c r="B1110" t="s">
        <v>102</v>
      </c>
      <c r="C1110" s="3">
        <v>45693.270787037036</v>
      </c>
      <c r="D1110" t="s">
        <v>256</v>
      </c>
      <c r="E1110" s="4">
        <v>2.3580000000000001</v>
      </c>
      <c r="F1110" s="4">
        <v>190866.70600000001</v>
      </c>
      <c r="G1110" s="4">
        <v>190869.06400000001</v>
      </c>
      <c r="H1110" s="5">
        <f>99 / 86400</f>
        <v>1.1458333333333333E-3</v>
      </c>
      <c r="I1110" t="s">
        <v>85</v>
      </c>
      <c r="J1110" t="s">
        <v>52</v>
      </c>
      <c r="K1110" s="5">
        <f>594 / 86400</f>
        <v>6.875E-3</v>
      </c>
      <c r="L1110" s="5">
        <f>23389 / 86400</f>
        <v>0.2707060185185185</v>
      </c>
    </row>
    <row r="1111" spans="1:12" x14ac:dyDescent="0.25">
      <c r="A1111" s="3">
        <v>45693.277581018519</v>
      </c>
      <c r="B1111" t="s">
        <v>256</v>
      </c>
      <c r="C1111" s="3">
        <v>45693.332743055551</v>
      </c>
      <c r="D1111" t="s">
        <v>118</v>
      </c>
      <c r="E1111" s="4">
        <v>32.713999999999999</v>
      </c>
      <c r="F1111" s="4">
        <v>190869.06400000001</v>
      </c>
      <c r="G1111" s="4">
        <v>190901.77799999999</v>
      </c>
      <c r="H1111" s="5">
        <f>900 / 86400</f>
        <v>1.0416666666666666E-2</v>
      </c>
      <c r="I1111" t="s">
        <v>27</v>
      </c>
      <c r="J1111" t="s">
        <v>153</v>
      </c>
      <c r="K1111" s="5">
        <f>4766 / 86400</f>
        <v>5.5162037037037037E-2</v>
      </c>
      <c r="L1111" s="5">
        <f>998 / 86400</f>
        <v>1.1550925925925926E-2</v>
      </c>
    </row>
    <row r="1112" spans="1:12" x14ac:dyDescent="0.25">
      <c r="A1112" s="3">
        <v>45693.344293981485</v>
      </c>
      <c r="B1112" t="s">
        <v>118</v>
      </c>
      <c r="C1112" s="3">
        <v>45693.40997685185</v>
      </c>
      <c r="D1112" t="s">
        <v>18</v>
      </c>
      <c r="E1112" s="4">
        <v>34.848999999999997</v>
      </c>
      <c r="F1112" s="4">
        <v>190901.77799999999</v>
      </c>
      <c r="G1112" s="4">
        <v>190936.62700000001</v>
      </c>
      <c r="H1112" s="5">
        <f>1199 / 86400</f>
        <v>1.3877314814814815E-2</v>
      </c>
      <c r="I1112" t="s">
        <v>60</v>
      </c>
      <c r="J1112" t="s">
        <v>39</v>
      </c>
      <c r="K1112" s="5">
        <f>5674 / 86400</f>
        <v>6.5671296296296297E-2</v>
      </c>
      <c r="L1112" s="5">
        <f>15453 / 86400</f>
        <v>0.17885416666666668</v>
      </c>
    </row>
    <row r="1113" spans="1:12" x14ac:dyDescent="0.25">
      <c r="A1113" s="3">
        <v>45693.588831018518</v>
      </c>
      <c r="B1113" t="s">
        <v>18</v>
      </c>
      <c r="C1113" s="3">
        <v>45693.588854166665</v>
      </c>
      <c r="D1113" t="s">
        <v>18</v>
      </c>
      <c r="E1113" s="4">
        <v>0</v>
      </c>
      <c r="F1113" s="4">
        <v>190936.62700000001</v>
      </c>
      <c r="G1113" s="4">
        <v>190936.62700000001</v>
      </c>
      <c r="H1113" s="5">
        <f>0 / 86400</f>
        <v>0</v>
      </c>
      <c r="I1113" t="s">
        <v>124</v>
      </c>
      <c r="J1113" t="s">
        <v>124</v>
      </c>
      <c r="K1113" s="5">
        <f>2 / 86400</f>
        <v>2.3148148148148147E-5</v>
      </c>
      <c r="L1113" s="5">
        <f>798 / 86400</f>
        <v>9.2361111111111116E-3</v>
      </c>
    </row>
    <row r="1114" spans="1:12" x14ac:dyDescent="0.25">
      <c r="A1114" s="3">
        <v>45693.598090277781</v>
      </c>
      <c r="B1114" t="s">
        <v>18</v>
      </c>
      <c r="C1114" s="3">
        <v>45693.599641203706</v>
      </c>
      <c r="D1114" t="s">
        <v>18</v>
      </c>
      <c r="E1114" s="4">
        <v>0</v>
      </c>
      <c r="F1114" s="4">
        <v>190936.62700000001</v>
      </c>
      <c r="G1114" s="4">
        <v>190936.62700000001</v>
      </c>
      <c r="H1114" s="5">
        <f>119 / 86400</f>
        <v>1.3773148148148147E-3</v>
      </c>
      <c r="I1114" t="s">
        <v>124</v>
      </c>
      <c r="J1114" t="s">
        <v>124</v>
      </c>
      <c r="K1114" s="5">
        <f>133 / 86400</f>
        <v>1.5393518518518519E-3</v>
      </c>
      <c r="L1114" s="5">
        <f>88 / 86400</f>
        <v>1.0185185185185184E-3</v>
      </c>
    </row>
    <row r="1115" spans="1:12" x14ac:dyDescent="0.25">
      <c r="A1115" s="3">
        <v>45693.600659722222</v>
      </c>
      <c r="B1115" t="s">
        <v>18</v>
      </c>
      <c r="C1115" s="3">
        <v>45693.604143518518</v>
      </c>
      <c r="D1115" t="s">
        <v>18</v>
      </c>
      <c r="E1115" s="4">
        <v>0</v>
      </c>
      <c r="F1115" s="4">
        <v>190936.62700000001</v>
      </c>
      <c r="G1115" s="4">
        <v>190936.62700000001</v>
      </c>
      <c r="H1115" s="5">
        <f>279 / 86400</f>
        <v>3.2291666666666666E-3</v>
      </c>
      <c r="I1115" t="s">
        <v>124</v>
      </c>
      <c r="J1115" t="s">
        <v>124</v>
      </c>
      <c r="K1115" s="5">
        <f>300 / 86400</f>
        <v>3.472222222222222E-3</v>
      </c>
      <c r="L1115" s="5">
        <f>478 / 86400</f>
        <v>5.5324074074074078E-3</v>
      </c>
    </row>
    <row r="1116" spans="1:12" x14ac:dyDescent="0.25">
      <c r="A1116" s="3">
        <v>45693.609675925924</v>
      </c>
      <c r="B1116" t="s">
        <v>18</v>
      </c>
      <c r="C1116" s="3">
        <v>45693.609849537039</v>
      </c>
      <c r="D1116" t="s">
        <v>18</v>
      </c>
      <c r="E1116" s="4">
        <v>0</v>
      </c>
      <c r="F1116" s="4">
        <v>190936.62700000001</v>
      </c>
      <c r="G1116" s="4">
        <v>190936.62700000001</v>
      </c>
      <c r="H1116" s="5">
        <f>0 / 86400</f>
        <v>0</v>
      </c>
      <c r="I1116" t="s">
        <v>124</v>
      </c>
      <c r="J1116" t="s">
        <v>124</v>
      </c>
      <c r="K1116" s="5">
        <f>15 / 86400</f>
        <v>1.7361111111111112E-4</v>
      </c>
      <c r="L1116" s="5">
        <f>229 / 86400</f>
        <v>2.650462962962963E-3</v>
      </c>
    </row>
    <row r="1117" spans="1:12" x14ac:dyDescent="0.25">
      <c r="A1117" s="3">
        <v>45693.612500000003</v>
      </c>
      <c r="B1117" t="s">
        <v>18</v>
      </c>
      <c r="C1117" s="3">
        <v>45693.616400462968</v>
      </c>
      <c r="D1117" t="s">
        <v>18</v>
      </c>
      <c r="E1117" s="4">
        <v>0</v>
      </c>
      <c r="F1117" s="4">
        <v>190936.62700000001</v>
      </c>
      <c r="G1117" s="4">
        <v>190936.62700000001</v>
      </c>
      <c r="H1117" s="5">
        <f>319 / 86400</f>
        <v>3.6921296296296298E-3</v>
      </c>
      <c r="I1117" t="s">
        <v>124</v>
      </c>
      <c r="J1117" t="s">
        <v>124</v>
      </c>
      <c r="K1117" s="5">
        <f>337 / 86400</f>
        <v>3.9004629629629628E-3</v>
      </c>
      <c r="L1117" s="5">
        <f>331 / 86400</f>
        <v>3.8310185185185183E-3</v>
      </c>
    </row>
    <row r="1118" spans="1:12" x14ac:dyDescent="0.25">
      <c r="A1118" s="3">
        <v>45693.62023148148</v>
      </c>
      <c r="B1118" t="s">
        <v>18</v>
      </c>
      <c r="C1118" s="3">
        <v>45693.620393518519</v>
      </c>
      <c r="D1118" t="s">
        <v>18</v>
      </c>
      <c r="E1118" s="4">
        <v>0</v>
      </c>
      <c r="F1118" s="4">
        <v>190936.62700000001</v>
      </c>
      <c r="G1118" s="4">
        <v>190936.62700000001</v>
      </c>
      <c r="H1118" s="5">
        <f>0 / 86400</f>
        <v>0</v>
      </c>
      <c r="I1118" t="s">
        <v>124</v>
      </c>
      <c r="J1118" t="s">
        <v>124</v>
      </c>
      <c r="K1118" s="5">
        <f>14 / 86400</f>
        <v>1.6203703703703703E-4</v>
      </c>
      <c r="L1118" s="5">
        <f>423 / 86400</f>
        <v>4.8958333333333336E-3</v>
      </c>
    </row>
    <row r="1119" spans="1:12" x14ac:dyDescent="0.25">
      <c r="A1119" s="3">
        <v>45693.625289351854</v>
      </c>
      <c r="B1119" t="s">
        <v>18</v>
      </c>
      <c r="C1119" s="3">
        <v>45693.628958333335</v>
      </c>
      <c r="D1119" t="s">
        <v>18</v>
      </c>
      <c r="E1119" s="4">
        <v>0.72599999999999998</v>
      </c>
      <c r="F1119" s="4">
        <v>190936.62700000001</v>
      </c>
      <c r="G1119" s="4">
        <v>190937.353</v>
      </c>
      <c r="H1119" s="5">
        <f>59 / 86400</f>
        <v>6.8287037037037036E-4</v>
      </c>
      <c r="I1119" t="s">
        <v>39</v>
      </c>
      <c r="J1119" t="s">
        <v>119</v>
      </c>
      <c r="K1119" s="5">
        <f>317 / 86400</f>
        <v>3.6689814814814814E-3</v>
      </c>
      <c r="L1119" s="5">
        <f>55 / 86400</f>
        <v>6.3657407407407413E-4</v>
      </c>
    </row>
    <row r="1120" spans="1:12" x14ac:dyDescent="0.25">
      <c r="A1120" s="3">
        <v>45693.629594907412</v>
      </c>
      <c r="B1120" t="s">
        <v>18</v>
      </c>
      <c r="C1120" s="3">
        <v>45693.631574074076</v>
      </c>
      <c r="D1120" t="s">
        <v>18</v>
      </c>
      <c r="E1120" s="4">
        <v>0</v>
      </c>
      <c r="F1120" s="4">
        <v>190937.353</v>
      </c>
      <c r="G1120" s="4">
        <v>190937.353</v>
      </c>
      <c r="H1120" s="5">
        <f>159 / 86400</f>
        <v>1.8402777777777777E-3</v>
      </c>
      <c r="I1120" t="s">
        <v>124</v>
      </c>
      <c r="J1120" t="s">
        <v>124</v>
      </c>
      <c r="K1120" s="5">
        <f>171 / 86400</f>
        <v>1.9791666666666668E-3</v>
      </c>
      <c r="L1120" s="5">
        <f>526 / 86400</f>
        <v>6.0879629629629626E-3</v>
      </c>
    </row>
    <row r="1121" spans="1:12" x14ac:dyDescent="0.25">
      <c r="A1121" s="3">
        <v>45693.637662037036</v>
      </c>
      <c r="B1121" t="s">
        <v>18</v>
      </c>
      <c r="C1121" s="3">
        <v>45693.645682870367</v>
      </c>
      <c r="D1121" t="s">
        <v>346</v>
      </c>
      <c r="E1121" s="4">
        <v>0.84399999999999997</v>
      </c>
      <c r="F1121" s="4">
        <v>190937.353</v>
      </c>
      <c r="G1121" s="4">
        <v>190938.19699999999</v>
      </c>
      <c r="H1121" s="5">
        <f>259 / 86400</f>
        <v>2.9976851851851853E-3</v>
      </c>
      <c r="I1121" t="s">
        <v>20</v>
      </c>
      <c r="J1121" t="s">
        <v>86</v>
      </c>
      <c r="K1121" s="5">
        <f>693 / 86400</f>
        <v>8.0208333333333329E-3</v>
      </c>
      <c r="L1121" s="5">
        <f>599 / 86400</f>
        <v>6.9328703703703705E-3</v>
      </c>
    </row>
    <row r="1122" spans="1:12" x14ac:dyDescent="0.25">
      <c r="A1122" s="3">
        <v>45693.652615740742</v>
      </c>
      <c r="B1122" t="s">
        <v>346</v>
      </c>
      <c r="C1122" s="3">
        <v>45693.652650462958</v>
      </c>
      <c r="D1122" t="s">
        <v>346</v>
      </c>
      <c r="E1122" s="4">
        <v>0</v>
      </c>
      <c r="F1122" s="4">
        <v>190938.19699999999</v>
      </c>
      <c r="G1122" s="4">
        <v>190938.19699999999</v>
      </c>
      <c r="H1122" s="5">
        <f>0 / 86400</f>
        <v>0</v>
      </c>
      <c r="I1122" t="s">
        <v>124</v>
      </c>
      <c r="J1122" t="s">
        <v>124</v>
      </c>
      <c r="K1122" s="5">
        <f>3 / 86400</f>
        <v>3.4722222222222222E-5</v>
      </c>
      <c r="L1122" s="5">
        <f>6119 / 86400</f>
        <v>7.0821759259259265E-2</v>
      </c>
    </row>
    <row r="1123" spans="1:12" x14ac:dyDescent="0.25">
      <c r="A1123" s="3">
        <v>45693.72347222222</v>
      </c>
      <c r="B1123" t="s">
        <v>346</v>
      </c>
      <c r="C1123" s="3">
        <v>45693.758726851855</v>
      </c>
      <c r="D1123" t="s">
        <v>389</v>
      </c>
      <c r="E1123" s="4">
        <v>2.3519999999999999</v>
      </c>
      <c r="F1123" s="4">
        <v>190938.19699999999</v>
      </c>
      <c r="G1123" s="4">
        <v>190940.549</v>
      </c>
      <c r="H1123" s="5">
        <f>2539 / 86400</f>
        <v>2.9386574074074075E-2</v>
      </c>
      <c r="I1123" t="s">
        <v>184</v>
      </c>
      <c r="J1123" t="s">
        <v>149</v>
      </c>
      <c r="K1123" s="5">
        <f>3045 / 86400</f>
        <v>3.5243055555555555E-2</v>
      </c>
      <c r="L1123" s="5">
        <f>739 / 86400</f>
        <v>8.5532407407407415E-3</v>
      </c>
    </row>
    <row r="1124" spans="1:12" x14ac:dyDescent="0.25">
      <c r="A1124" s="3">
        <v>45693.767280092594</v>
      </c>
      <c r="B1124" t="s">
        <v>389</v>
      </c>
      <c r="C1124" s="3">
        <v>45693.777222222227</v>
      </c>
      <c r="D1124" t="s">
        <v>390</v>
      </c>
      <c r="E1124" s="4">
        <v>0.157</v>
      </c>
      <c r="F1124" s="4">
        <v>190940.549</v>
      </c>
      <c r="G1124" s="4">
        <v>190940.70600000001</v>
      </c>
      <c r="H1124" s="5">
        <f>760 / 86400</f>
        <v>8.7962962962962968E-3</v>
      </c>
      <c r="I1124" t="s">
        <v>82</v>
      </c>
      <c r="J1124" t="s">
        <v>116</v>
      </c>
      <c r="K1124" s="5">
        <f>859 / 86400</f>
        <v>9.9421296296296289E-3</v>
      </c>
      <c r="L1124" s="5">
        <f>475 / 86400</f>
        <v>5.4976851851851853E-3</v>
      </c>
    </row>
    <row r="1125" spans="1:12" x14ac:dyDescent="0.25">
      <c r="A1125" s="3">
        <v>45693.782719907409</v>
      </c>
      <c r="B1125" t="s">
        <v>390</v>
      </c>
      <c r="C1125" s="3">
        <v>45693.922384259262</v>
      </c>
      <c r="D1125" t="s">
        <v>125</v>
      </c>
      <c r="E1125" s="4">
        <v>57.152000000000001</v>
      </c>
      <c r="F1125" s="4">
        <v>190940.70600000001</v>
      </c>
      <c r="G1125" s="4">
        <v>190997.85800000001</v>
      </c>
      <c r="H1125" s="5">
        <f>4060 / 86400</f>
        <v>4.6990740740740743E-2</v>
      </c>
      <c r="I1125" t="s">
        <v>38</v>
      </c>
      <c r="J1125" t="s">
        <v>28</v>
      </c>
      <c r="K1125" s="5">
        <f>12067 / 86400</f>
        <v>0.13966435185185186</v>
      </c>
      <c r="L1125" s="5">
        <f>318 / 86400</f>
        <v>3.6805555555555554E-3</v>
      </c>
    </row>
    <row r="1126" spans="1:12" x14ac:dyDescent="0.25">
      <c r="A1126" s="3">
        <v>45693.926064814819</v>
      </c>
      <c r="B1126" t="s">
        <v>125</v>
      </c>
      <c r="C1126" s="3">
        <v>45693.930196759262</v>
      </c>
      <c r="D1126" t="s">
        <v>102</v>
      </c>
      <c r="E1126" s="4">
        <v>1.3939999999999999</v>
      </c>
      <c r="F1126" s="4">
        <v>190997.85800000001</v>
      </c>
      <c r="G1126" s="4">
        <v>190999.25200000001</v>
      </c>
      <c r="H1126" s="5">
        <f>0 / 86400</f>
        <v>0</v>
      </c>
      <c r="I1126" t="s">
        <v>174</v>
      </c>
      <c r="J1126" t="s">
        <v>52</v>
      </c>
      <c r="K1126" s="5">
        <f>356 / 86400</f>
        <v>4.1203703703703706E-3</v>
      </c>
      <c r="L1126" s="5">
        <f>313 / 86400</f>
        <v>3.6226851851851854E-3</v>
      </c>
    </row>
    <row r="1127" spans="1:12" x14ac:dyDescent="0.25">
      <c r="A1127" s="3">
        <v>45693.933819444443</v>
      </c>
      <c r="B1127" t="s">
        <v>102</v>
      </c>
      <c r="C1127" s="3">
        <v>45693.934652777782</v>
      </c>
      <c r="D1127" t="s">
        <v>102</v>
      </c>
      <c r="E1127" s="4">
        <v>0.11899999999999999</v>
      </c>
      <c r="F1127" s="4">
        <v>190999.25200000001</v>
      </c>
      <c r="G1127" s="4">
        <v>190999.37100000001</v>
      </c>
      <c r="H1127" s="5">
        <f>20 / 86400</f>
        <v>2.3148148148148149E-4</v>
      </c>
      <c r="I1127" t="s">
        <v>154</v>
      </c>
      <c r="J1127" t="s">
        <v>260</v>
      </c>
      <c r="K1127" s="5">
        <f>72 / 86400</f>
        <v>8.3333333333333339E-4</v>
      </c>
      <c r="L1127" s="5">
        <f>5645 / 86400</f>
        <v>6.5335648148148143E-2</v>
      </c>
    </row>
    <row r="1128" spans="1:12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</row>
    <row r="1129" spans="1:12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</row>
    <row r="1130" spans="1:12" s="10" customFormat="1" ht="20.100000000000001" customHeight="1" x14ac:dyDescent="0.35">
      <c r="A1130" s="12" t="s">
        <v>450</v>
      </c>
      <c r="B1130" s="12"/>
      <c r="C1130" s="12"/>
      <c r="D1130" s="12"/>
      <c r="E1130" s="12"/>
      <c r="F1130" s="12"/>
      <c r="G1130" s="12"/>
      <c r="H1130" s="12"/>
      <c r="I1130" s="12"/>
      <c r="J1130" s="12"/>
    </row>
    <row r="1131" spans="1:12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</row>
    <row r="1132" spans="1:12" ht="30" x14ac:dyDescent="0.25">
      <c r="A1132" s="2" t="s">
        <v>6</v>
      </c>
      <c r="B1132" s="2" t="s">
        <v>7</v>
      </c>
      <c r="C1132" s="2" t="s">
        <v>8</v>
      </c>
      <c r="D1132" s="2" t="s">
        <v>9</v>
      </c>
      <c r="E1132" s="2" t="s">
        <v>10</v>
      </c>
      <c r="F1132" s="2" t="s">
        <v>11</v>
      </c>
      <c r="G1132" s="2" t="s">
        <v>12</v>
      </c>
      <c r="H1132" s="2" t="s">
        <v>13</v>
      </c>
      <c r="I1132" s="2" t="s">
        <v>14</v>
      </c>
      <c r="J1132" s="2" t="s">
        <v>15</v>
      </c>
      <c r="K1132" s="2" t="s">
        <v>16</v>
      </c>
      <c r="L1132" s="2" t="s">
        <v>17</v>
      </c>
    </row>
    <row r="1133" spans="1:12" x14ac:dyDescent="0.25">
      <c r="A1133" s="3">
        <v>45693.204606481479</v>
      </c>
      <c r="B1133" t="s">
        <v>91</v>
      </c>
      <c r="C1133" s="3">
        <v>45693.435983796298</v>
      </c>
      <c r="D1133" t="s">
        <v>73</v>
      </c>
      <c r="E1133" s="4">
        <v>101.22</v>
      </c>
      <c r="F1133" s="4">
        <v>520936.11099999998</v>
      </c>
      <c r="G1133" s="4">
        <v>521037.33100000001</v>
      </c>
      <c r="H1133" s="5">
        <f>6557 / 86400</f>
        <v>7.5891203703703697E-2</v>
      </c>
      <c r="I1133" t="s">
        <v>104</v>
      </c>
      <c r="J1133" t="s">
        <v>24</v>
      </c>
      <c r="K1133" s="5">
        <f>19991 / 86400</f>
        <v>0.23137731481481483</v>
      </c>
      <c r="L1133" s="5">
        <f>18082 / 86400</f>
        <v>0.20928240740740742</v>
      </c>
    </row>
    <row r="1134" spans="1:12" x14ac:dyDescent="0.25">
      <c r="A1134" s="3">
        <v>45693.440659722226</v>
      </c>
      <c r="B1134" t="s">
        <v>73</v>
      </c>
      <c r="C1134" s="3">
        <v>45693.443032407406</v>
      </c>
      <c r="D1134" t="s">
        <v>269</v>
      </c>
      <c r="E1134" s="4">
        <v>0.68300000000000005</v>
      </c>
      <c r="F1134" s="4">
        <v>521037.33100000001</v>
      </c>
      <c r="G1134" s="4">
        <v>521038.01400000002</v>
      </c>
      <c r="H1134" s="5">
        <f>60 / 86400</f>
        <v>6.9444444444444447E-4</v>
      </c>
      <c r="I1134" t="s">
        <v>198</v>
      </c>
      <c r="J1134" t="s">
        <v>59</v>
      </c>
      <c r="K1134" s="5">
        <f>204 / 86400</f>
        <v>2.3611111111111111E-3</v>
      </c>
      <c r="L1134" s="5">
        <f>1985 / 86400</f>
        <v>2.2974537037037036E-2</v>
      </c>
    </row>
    <row r="1135" spans="1:12" x14ac:dyDescent="0.25">
      <c r="A1135" s="3">
        <v>45693.466006944444</v>
      </c>
      <c r="B1135" t="s">
        <v>269</v>
      </c>
      <c r="C1135" s="3">
        <v>45693.469143518523</v>
      </c>
      <c r="D1135" t="s">
        <v>330</v>
      </c>
      <c r="E1135" s="4">
        <v>1.0549999999999999</v>
      </c>
      <c r="F1135" s="4">
        <v>521038.01400000002</v>
      </c>
      <c r="G1135" s="4">
        <v>521039.06900000002</v>
      </c>
      <c r="H1135" s="5">
        <f>0 / 86400</f>
        <v>0</v>
      </c>
      <c r="I1135" t="s">
        <v>195</v>
      </c>
      <c r="J1135" t="s">
        <v>52</v>
      </c>
      <c r="K1135" s="5">
        <f>270 / 86400</f>
        <v>3.1250000000000002E-3</v>
      </c>
      <c r="L1135" s="5">
        <f>1213 / 86400</f>
        <v>1.4039351851851851E-2</v>
      </c>
    </row>
    <row r="1136" spans="1:12" x14ac:dyDescent="0.25">
      <c r="A1136" s="3">
        <v>45693.483182870375</v>
      </c>
      <c r="B1136" t="s">
        <v>118</v>
      </c>
      <c r="C1136" s="3">
        <v>45693.485636574071</v>
      </c>
      <c r="D1136" t="s">
        <v>328</v>
      </c>
      <c r="E1136" s="4">
        <v>0.77400000000000002</v>
      </c>
      <c r="F1136" s="4">
        <v>521039.06900000002</v>
      </c>
      <c r="G1136" s="4">
        <v>521039.84299999999</v>
      </c>
      <c r="H1136" s="5">
        <f>0 / 86400</f>
        <v>0</v>
      </c>
      <c r="I1136" t="s">
        <v>39</v>
      </c>
      <c r="J1136" t="s">
        <v>55</v>
      </c>
      <c r="K1136" s="5">
        <f>211 / 86400</f>
        <v>2.4421296296296296E-3</v>
      </c>
      <c r="L1136" s="5">
        <f>201 / 86400</f>
        <v>2.3263888888888887E-3</v>
      </c>
    </row>
    <row r="1137" spans="1:12" x14ac:dyDescent="0.25">
      <c r="A1137" s="3">
        <v>45693.487962962958</v>
      </c>
      <c r="B1137" t="s">
        <v>129</v>
      </c>
      <c r="C1137" s="3">
        <v>45693.488310185188</v>
      </c>
      <c r="D1137" t="s">
        <v>129</v>
      </c>
      <c r="E1137" s="4">
        <v>4.0000000000000001E-3</v>
      </c>
      <c r="F1137" s="4">
        <v>521039.84299999999</v>
      </c>
      <c r="G1137" s="4">
        <v>521039.84700000001</v>
      </c>
      <c r="H1137" s="5">
        <f>19 / 86400</f>
        <v>2.199074074074074E-4</v>
      </c>
      <c r="I1137" t="s">
        <v>124</v>
      </c>
      <c r="J1137" t="s">
        <v>124</v>
      </c>
      <c r="K1137" s="5">
        <f>29 / 86400</f>
        <v>3.3564814814814812E-4</v>
      </c>
      <c r="L1137" s="5">
        <f>310 / 86400</f>
        <v>3.5879629629629629E-3</v>
      </c>
    </row>
    <row r="1138" spans="1:12" x14ac:dyDescent="0.25">
      <c r="A1138" s="3">
        <v>45693.491898148146</v>
      </c>
      <c r="B1138" t="s">
        <v>129</v>
      </c>
      <c r="C1138" s="3">
        <v>45693.621203703704</v>
      </c>
      <c r="D1138" t="s">
        <v>327</v>
      </c>
      <c r="E1138" s="4">
        <v>50.143999999999998</v>
      </c>
      <c r="F1138" s="4">
        <v>521039.84700000001</v>
      </c>
      <c r="G1138" s="4">
        <v>521089.99099999998</v>
      </c>
      <c r="H1138" s="5">
        <f>4520 / 86400</f>
        <v>5.2314814814814814E-2</v>
      </c>
      <c r="I1138" t="s">
        <v>27</v>
      </c>
      <c r="J1138" t="s">
        <v>31</v>
      </c>
      <c r="K1138" s="5">
        <f>11172 / 86400</f>
        <v>0.12930555555555556</v>
      </c>
      <c r="L1138" s="5">
        <f>641 / 86400</f>
        <v>7.4189814814814813E-3</v>
      </c>
    </row>
    <row r="1139" spans="1:12" x14ac:dyDescent="0.25">
      <c r="A1139" s="3">
        <v>45693.628622685181</v>
      </c>
      <c r="B1139" t="s">
        <v>327</v>
      </c>
      <c r="C1139" s="3">
        <v>45693.790879629625</v>
      </c>
      <c r="D1139" t="s">
        <v>73</v>
      </c>
      <c r="E1139" s="4">
        <v>50.982999999999997</v>
      </c>
      <c r="F1139" s="4">
        <v>521089.99099999998</v>
      </c>
      <c r="G1139" s="4">
        <v>521140.97399999999</v>
      </c>
      <c r="H1139" s="5">
        <f>6102 / 86400</f>
        <v>7.0624999999999993E-2</v>
      </c>
      <c r="I1139" t="s">
        <v>71</v>
      </c>
      <c r="J1139" t="s">
        <v>55</v>
      </c>
      <c r="K1139" s="5">
        <f>14018 / 86400</f>
        <v>0.16224537037037037</v>
      </c>
      <c r="L1139" s="5">
        <f>534 / 86400</f>
        <v>6.1805555555555555E-3</v>
      </c>
    </row>
    <row r="1140" spans="1:12" x14ac:dyDescent="0.25">
      <c r="A1140" s="3">
        <v>45693.797060185185</v>
      </c>
      <c r="B1140" t="s">
        <v>73</v>
      </c>
      <c r="C1140" s="3">
        <v>45693.99998842593</v>
      </c>
      <c r="D1140" t="s">
        <v>103</v>
      </c>
      <c r="E1140" s="4">
        <v>96.156000000000006</v>
      </c>
      <c r="F1140" s="4">
        <v>521140.97399999999</v>
      </c>
      <c r="G1140" s="4">
        <v>521237.13</v>
      </c>
      <c r="H1140" s="5">
        <f>5079 / 86400</f>
        <v>5.8784722222222224E-2</v>
      </c>
      <c r="I1140" t="s">
        <v>165</v>
      </c>
      <c r="J1140" t="s">
        <v>128</v>
      </c>
      <c r="K1140" s="5">
        <f>17533 / 86400</f>
        <v>0.20292824074074073</v>
      </c>
      <c r="L1140" s="5">
        <f>0 / 86400</f>
        <v>0</v>
      </c>
    </row>
    <row r="1141" spans="1:12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</row>
    <row r="1142" spans="1:12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</row>
    <row r="1143" spans="1:12" s="10" customFormat="1" ht="20.100000000000001" customHeight="1" x14ac:dyDescent="0.35">
      <c r="A1143" s="12" t="s">
        <v>451</v>
      </c>
      <c r="B1143" s="12"/>
      <c r="C1143" s="12"/>
      <c r="D1143" s="12"/>
      <c r="E1143" s="12"/>
      <c r="F1143" s="12"/>
      <c r="G1143" s="12"/>
      <c r="H1143" s="12"/>
      <c r="I1143" s="12"/>
      <c r="J1143" s="12"/>
    </row>
    <row r="1144" spans="1:12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</row>
    <row r="1145" spans="1:12" ht="30" x14ac:dyDescent="0.25">
      <c r="A1145" s="2" t="s">
        <v>6</v>
      </c>
      <c r="B1145" s="2" t="s">
        <v>7</v>
      </c>
      <c r="C1145" s="2" t="s">
        <v>8</v>
      </c>
      <c r="D1145" s="2" t="s">
        <v>9</v>
      </c>
      <c r="E1145" s="2" t="s">
        <v>10</v>
      </c>
      <c r="F1145" s="2" t="s">
        <v>11</v>
      </c>
      <c r="G1145" s="2" t="s">
        <v>12</v>
      </c>
      <c r="H1145" s="2" t="s">
        <v>13</v>
      </c>
      <c r="I1145" s="2" t="s">
        <v>14</v>
      </c>
      <c r="J1145" s="2" t="s">
        <v>15</v>
      </c>
      <c r="K1145" s="2" t="s">
        <v>16</v>
      </c>
      <c r="L1145" s="2" t="s">
        <v>17</v>
      </c>
    </row>
    <row r="1146" spans="1:12" x14ac:dyDescent="0.25">
      <c r="A1146" s="3">
        <v>45693.137430555551</v>
      </c>
      <c r="B1146" t="s">
        <v>95</v>
      </c>
      <c r="C1146" s="3">
        <v>45693.140277777777</v>
      </c>
      <c r="D1146" t="s">
        <v>95</v>
      </c>
      <c r="E1146" s="4">
        <v>9.5000000000000001E-2</v>
      </c>
      <c r="F1146" s="4">
        <v>21521.744999999999</v>
      </c>
      <c r="G1146" s="4">
        <v>21521.84</v>
      </c>
      <c r="H1146" s="5">
        <f>139 / 86400</f>
        <v>1.6087962962962963E-3</v>
      </c>
      <c r="I1146" t="s">
        <v>119</v>
      </c>
      <c r="J1146" t="s">
        <v>116</v>
      </c>
      <c r="K1146" s="5">
        <f>246 / 86400</f>
        <v>2.8472222222222223E-3</v>
      </c>
      <c r="L1146" s="5">
        <f>12042 / 86400</f>
        <v>0.139375</v>
      </c>
    </row>
    <row r="1147" spans="1:12" x14ac:dyDescent="0.25">
      <c r="A1147" s="3">
        <v>45693.142222222217</v>
      </c>
      <c r="B1147" t="s">
        <v>95</v>
      </c>
      <c r="C1147" s="3">
        <v>45693.217488425929</v>
      </c>
      <c r="D1147" t="s">
        <v>327</v>
      </c>
      <c r="E1147" s="4">
        <v>50.576999999999998</v>
      </c>
      <c r="F1147" s="4">
        <v>21521.84</v>
      </c>
      <c r="G1147" s="4">
        <v>21572.417000000001</v>
      </c>
      <c r="H1147" s="5">
        <f>1299 / 86400</f>
        <v>1.5034722222222222E-2</v>
      </c>
      <c r="I1147" t="s">
        <v>51</v>
      </c>
      <c r="J1147" t="s">
        <v>231</v>
      </c>
      <c r="K1147" s="5">
        <f>6503 / 86400</f>
        <v>7.526620370370371E-2</v>
      </c>
      <c r="L1147" s="5">
        <f>95 / 86400</f>
        <v>1.0995370370370371E-3</v>
      </c>
    </row>
    <row r="1148" spans="1:12" x14ac:dyDescent="0.25">
      <c r="A1148" s="3">
        <v>45693.218587962961</v>
      </c>
      <c r="B1148" t="s">
        <v>327</v>
      </c>
      <c r="C1148" s="3">
        <v>45693.329768518517</v>
      </c>
      <c r="D1148" t="s">
        <v>144</v>
      </c>
      <c r="E1148" s="4">
        <v>51.9</v>
      </c>
      <c r="F1148" s="4">
        <v>21572.417000000001</v>
      </c>
      <c r="G1148" s="4">
        <v>21624.316999999999</v>
      </c>
      <c r="H1148" s="5">
        <f>2599 / 86400</f>
        <v>3.0081018518518517E-2</v>
      </c>
      <c r="I1148" t="s">
        <v>60</v>
      </c>
      <c r="J1148" t="s">
        <v>37</v>
      </c>
      <c r="K1148" s="5">
        <f>9606 / 86400</f>
        <v>0.11118055555555556</v>
      </c>
      <c r="L1148" s="5">
        <f>657 / 86400</f>
        <v>7.6041666666666671E-3</v>
      </c>
    </row>
    <row r="1149" spans="1:12" x14ac:dyDescent="0.25">
      <c r="A1149" s="3">
        <v>45693.337372685186</v>
      </c>
      <c r="B1149" t="s">
        <v>144</v>
      </c>
      <c r="C1149" s="3">
        <v>45693.478576388894</v>
      </c>
      <c r="D1149" t="s">
        <v>247</v>
      </c>
      <c r="E1149" s="4">
        <v>52.015000000000001</v>
      </c>
      <c r="F1149" s="4">
        <v>21624.316999999999</v>
      </c>
      <c r="G1149" s="4">
        <v>21676.331999999999</v>
      </c>
      <c r="H1149" s="5">
        <f>3940 / 86400</f>
        <v>4.5601851851851852E-2</v>
      </c>
      <c r="I1149" t="s">
        <v>141</v>
      </c>
      <c r="J1149" t="s">
        <v>35</v>
      </c>
      <c r="K1149" s="5">
        <f>12200 / 86400</f>
        <v>0.14120370370370369</v>
      </c>
      <c r="L1149" s="5">
        <f>311 / 86400</f>
        <v>3.5995370370370369E-3</v>
      </c>
    </row>
    <row r="1150" spans="1:12" x14ac:dyDescent="0.25">
      <c r="A1150" s="3">
        <v>45693.482175925921</v>
      </c>
      <c r="B1150" t="s">
        <v>247</v>
      </c>
      <c r="C1150" s="3">
        <v>45693.482361111106</v>
      </c>
      <c r="D1150" t="s">
        <v>247</v>
      </c>
      <c r="E1150" s="4">
        <v>8.0000000000000002E-3</v>
      </c>
      <c r="F1150" s="4">
        <v>21676.331999999999</v>
      </c>
      <c r="G1150" s="4">
        <v>21676.34</v>
      </c>
      <c r="H1150" s="5">
        <f>0 / 86400</f>
        <v>0</v>
      </c>
      <c r="I1150" t="s">
        <v>124</v>
      </c>
      <c r="J1150" t="s">
        <v>126</v>
      </c>
      <c r="K1150" s="5">
        <f>16 / 86400</f>
        <v>1.8518518518518518E-4</v>
      </c>
      <c r="L1150" s="5">
        <f>510 / 86400</f>
        <v>5.9027777777777776E-3</v>
      </c>
    </row>
    <row r="1151" spans="1:12" x14ac:dyDescent="0.25">
      <c r="A1151" s="3">
        <v>45693.488263888888</v>
      </c>
      <c r="B1151" t="s">
        <v>247</v>
      </c>
      <c r="C1151" s="3">
        <v>45693.494490740741</v>
      </c>
      <c r="D1151" t="s">
        <v>391</v>
      </c>
      <c r="E1151" s="4">
        <v>1.617</v>
      </c>
      <c r="F1151" s="4">
        <v>21676.34</v>
      </c>
      <c r="G1151" s="4">
        <v>21677.956999999999</v>
      </c>
      <c r="H1151" s="5">
        <f>239 / 86400</f>
        <v>2.7662037037037039E-3</v>
      </c>
      <c r="I1151" t="s">
        <v>123</v>
      </c>
      <c r="J1151" t="s">
        <v>154</v>
      </c>
      <c r="K1151" s="5">
        <f>538 / 86400</f>
        <v>6.2268518518518515E-3</v>
      </c>
      <c r="L1151" s="5">
        <f>87 / 86400</f>
        <v>1.0069444444444444E-3</v>
      </c>
    </row>
    <row r="1152" spans="1:12" x14ac:dyDescent="0.25">
      <c r="A1152" s="3">
        <v>45693.495497685188</v>
      </c>
      <c r="B1152" t="s">
        <v>391</v>
      </c>
      <c r="C1152" s="3">
        <v>45693.595868055556</v>
      </c>
      <c r="D1152" t="s">
        <v>137</v>
      </c>
      <c r="E1152" s="4">
        <v>40.537999999999997</v>
      </c>
      <c r="F1152" s="4">
        <v>21677.956999999999</v>
      </c>
      <c r="G1152" s="4">
        <v>21718.494999999999</v>
      </c>
      <c r="H1152" s="5">
        <f>2441 / 86400</f>
        <v>2.8252314814814813E-2</v>
      </c>
      <c r="I1152" t="s">
        <v>261</v>
      </c>
      <c r="J1152" t="s">
        <v>28</v>
      </c>
      <c r="K1152" s="5">
        <f>8671 / 86400</f>
        <v>0.10035879629629629</v>
      </c>
      <c r="L1152" s="5">
        <f>1171 / 86400</f>
        <v>1.3553240740740741E-2</v>
      </c>
    </row>
    <row r="1153" spans="1:12" x14ac:dyDescent="0.25">
      <c r="A1153" s="3">
        <v>45693.609421296293</v>
      </c>
      <c r="B1153" t="s">
        <v>137</v>
      </c>
      <c r="C1153" s="3">
        <v>45693.694247685184</v>
      </c>
      <c r="D1153" t="s">
        <v>392</v>
      </c>
      <c r="E1153" s="4">
        <v>41.335000000000001</v>
      </c>
      <c r="F1153" s="4">
        <v>21718.494999999999</v>
      </c>
      <c r="G1153" s="4">
        <v>21759.83</v>
      </c>
      <c r="H1153" s="5">
        <f>2059 / 86400</f>
        <v>2.3831018518518519E-2</v>
      </c>
      <c r="I1153" t="s">
        <v>142</v>
      </c>
      <c r="J1153" t="s">
        <v>128</v>
      </c>
      <c r="K1153" s="5">
        <f>7328 / 86400</f>
        <v>8.4814814814814815E-2</v>
      </c>
      <c r="L1153" s="5">
        <f>789 / 86400</f>
        <v>9.1319444444444443E-3</v>
      </c>
    </row>
    <row r="1154" spans="1:12" x14ac:dyDescent="0.25">
      <c r="A1154" s="3">
        <v>45693.703379629631</v>
      </c>
      <c r="B1154" t="s">
        <v>392</v>
      </c>
      <c r="C1154" s="3">
        <v>45693.817708333328</v>
      </c>
      <c r="D1154" t="s">
        <v>269</v>
      </c>
      <c r="E1154" s="4">
        <v>40.137999999999998</v>
      </c>
      <c r="F1154" s="4">
        <v>21759.83</v>
      </c>
      <c r="G1154" s="4">
        <v>21799.968000000001</v>
      </c>
      <c r="H1154" s="5">
        <f>2819 / 86400</f>
        <v>3.2627314814814817E-2</v>
      </c>
      <c r="I1154" t="s">
        <v>239</v>
      </c>
      <c r="J1154" t="s">
        <v>35</v>
      </c>
      <c r="K1154" s="5">
        <f>9877 / 86400</f>
        <v>0.11431712962962963</v>
      </c>
      <c r="L1154" s="5">
        <f>687 / 86400</f>
        <v>7.951388888888888E-3</v>
      </c>
    </row>
    <row r="1155" spans="1:12" x14ac:dyDescent="0.25">
      <c r="A1155" s="3">
        <v>45693.825659722221</v>
      </c>
      <c r="B1155" t="s">
        <v>269</v>
      </c>
      <c r="C1155" s="3">
        <v>45693.828819444447</v>
      </c>
      <c r="D1155" t="s">
        <v>73</v>
      </c>
      <c r="E1155" s="4">
        <v>0.70899999999999996</v>
      </c>
      <c r="F1155" s="4">
        <v>21799.968000000001</v>
      </c>
      <c r="G1155" s="4">
        <v>21800.677</v>
      </c>
      <c r="H1155" s="5">
        <f>99 / 86400</f>
        <v>1.1458333333333333E-3</v>
      </c>
      <c r="I1155" t="s">
        <v>153</v>
      </c>
      <c r="J1155" t="s">
        <v>82</v>
      </c>
      <c r="K1155" s="5">
        <f>273 / 86400</f>
        <v>3.1597222222222222E-3</v>
      </c>
      <c r="L1155" s="5">
        <f>451 / 86400</f>
        <v>5.2199074074074075E-3</v>
      </c>
    </row>
    <row r="1156" spans="1:12" x14ac:dyDescent="0.25">
      <c r="A1156" s="3">
        <v>45693.834039351852</v>
      </c>
      <c r="B1156" t="s">
        <v>73</v>
      </c>
      <c r="C1156" s="3">
        <v>45693.836446759262</v>
      </c>
      <c r="D1156" t="s">
        <v>95</v>
      </c>
      <c r="E1156" s="4">
        <v>0.745</v>
      </c>
      <c r="F1156" s="4">
        <v>21800.677</v>
      </c>
      <c r="G1156" s="4">
        <v>21801.421999999999</v>
      </c>
      <c r="H1156" s="5">
        <f>19 / 86400</f>
        <v>2.199074074074074E-4</v>
      </c>
      <c r="I1156" t="s">
        <v>85</v>
      </c>
      <c r="J1156" t="s">
        <v>55</v>
      </c>
      <c r="K1156" s="5">
        <f>208 / 86400</f>
        <v>2.4074074074074076E-3</v>
      </c>
      <c r="L1156" s="5">
        <f>14130 / 86400</f>
        <v>0.16354166666666667</v>
      </c>
    </row>
    <row r="1157" spans="1:12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</row>
    <row r="1158" spans="1:12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</row>
    <row r="1159" spans="1:12" s="10" customFormat="1" ht="20.100000000000001" customHeight="1" x14ac:dyDescent="0.35">
      <c r="A1159" s="12" t="s">
        <v>452</v>
      </c>
      <c r="B1159" s="12"/>
      <c r="C1159" s="12"/>
      <c r="D1159" s="12"/>
      <c r="E1159" s="12"/>
      <c r="F1159" s="12"/>
      <c r="G1159" s="12"/>
      <c r="H1159" s="12"/>
      <c r="I1159" s="12"/>
      <c r="J1159" s="12"/>
    </row>
    <row r="1160" spans="1:12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</row>
    <row r="1161" spans="1:12" ht="30" x14ac:dyDescent="0.25">
      <c r="A1161" s="2" t="s">
        <v>6</v>
      </c>
      <c r="B1161" s="2" t="s">
        <v>7</v>
      </c>
      <c r="C1161" s="2" t="s">
        <v>8</v>
      </c>
      <c r="D1161" s="2" t="s">
        <v>9</v>
      </c>
      <c r="E1161" s="2" t="s">
        <v>10</v>
      </c>
      <c r="F1161" s="2" t="s">
        <v>11</v>
      </c>
      <c r="G1161" s="2" t="s">
        <v>12</v>
      </c>
      <c r="H1161" s="2" t="s">
        <v>13</v>
      </c>
      <c r="I1161" s="2" t="s">
        <v>14</v>
      </c>
      <c r="J1161" s="2" t="s">
        <v>15</v>
      </c>
      <c r="K1161" s="2" t="s">
        <v>16</v>
      </c>
      <c r="L1161" s="2" t="s">
        <v>17</v>
      </c>
    </row>
    <row r="1162" spans="1:12" x14ac:dyDescent="0.25">
      <c r="A1162" s="3">
        <v>45693.219189814816</v>
      </c>
      <c r="B1162" t="s">
        <v>40</v>
      </c>
      <c r="C1162" s="3">
        <v>45693.250555555554</v>
      </c>
      <c r="D1162" t="s">
        <v>282</v>
      </c>
      <c r="E1162" s="4">
        <v>1.7070000000000001</v>
      </c>
      <c r="F1162" s="4">
        <v>62954.618000000002</v>
      </c>
      <c r="G1162" s="4">
        <v>62956.324999999997</v>
      </c>
      <c r="H1162" s="5">
        <f>2139 / 86400</f>
        <v>2.4756944444444446E-2</v>
      </c>
      <c r="I1162" t="s">
        <v>204</v>
      </c>
      <c r="J1162" t="s">
        <v>126</v>
      </c>
      <c r="K1162" s="5">
        <f>2709 / 86400</f>
        <v>3.1354166666666669E-2</v>
      </c>
      <c r="L1162" s="5">
        <f>19971 / 86400</f>
        <v>0.23114583333333333</v>
      </c>
    </row>
    <row r="1163" spans="1:12" x14ac:dyDescent="0.25">
      <c r="A1163" s="3">
        <v>45693.262511574074</v>
      </c>
      <c r="B1163" t="s">
        <v>282</v>
      </c>
      <c r="C1163" s="3">
        <v>45693.480312500003</v>
      </c>
      <c r="D1163" t="s">
        <v>73</v>
      </c>
      <c r="E1163" s="4">
        <v>80.194000000000003</v>
      </c>
      <c r="F1163" s="4">
        <v>62956.324999999997</v>
      </c>
      <c r="G1163" s="4">
        <v>63036.519</v>
      </c>
      <c r="H1163" s="5">
        <f>7177 / 86400</f>
        <v>8.306712962962963E-2</v>
      </c>
      <c r="I1163" t="s">
        <v>165</v>
      </c>
      <c r="J1163" t="s">
        <v>35</v>
      </c>
      <c r="K1163" s="5">
        <f>18818 / 86400</f>
        <v>0.21780092592592593</v>
      </c>
      <c r="L1163" s="5">
        <f>173 / 86400</f>
        <v>2.0023148148148148E-3</v>
      </c>
    </row>
    <row r="1164" spans="1:12" x14ac:dyDescent="0.25">
      <c r="A1164" s="3">
        <v>45693.482314814813</v>
      </c>
      <c r="B1164" t="s">
        <v>73</v>
      </c>
      <c r="C1164" s="3">
        <v>45693.483622685184</v>
      </c>
      <c r="D1164" t="s">
        <v>73</v>
      </c>
      <c r="E1164" s="4">
        <v>3.7999999999999999E-2</v>
      </c>
      <c r="F1164" s="4">
        <v>63036.519</v>
      </c>
      <c r="G1164" s="4">
        <v>63036.557000000001</v>
      </c>
      <c r="H1164" s="5">
        <f>59 / 86400</f>
        <v>6.8287037037037036E-4</v>
      </c>
      <c r="I1164" t="s">
        <v>133</v>
      </c>
      <c r="J1164" t="s">
        <v>116</v>
      </c>
      <c r="K1164" s="5">
        <f>113 / 86400</f>
        <v>1.3078703703703703E-3</v>
      </c>
      <c r="L1164" s="5">
        <f>1688 / 86400</f>
        <v>1.9537037037037037E-2</v>
      </c>
    </row>
    <row r="1165" spans="1:12" x14ac:dyDescent="0.25">
      <c r="A1165" s="3">
        <v>45693.503159722226</v>
      </c>
      <c r="B1165" t="s">
        <v>73</v>
      </c>
      <c r="C1165" s="3">
        <v>45693.719444444447</v>
      </c>
      <c r="D1165" t="s">
        <v>40</v>
      </c>
      <c r="E1165" s="4">
        <v>105.238</v>
      </c>
      <c r="F1165" s="4">
        <v>63036.557000000001</v>
      </c>
      <c r="G1165" s="4">
        <v>63141.794999999998</v>
      </c>
      <c r="H1165" s="5">
        <f>5262 / 86400</f>
        <v>6.0902777777777778E-2</v>
      </c>
      <c r="I1165" t="s">
        <v>27</v>
      </c>
      <c r="J1165" t="s">
        <v>128</v>
      </c>
      <c r="K1165" s="5">
        <f>18687 / 86400</f>
        <v>0.21628472222222223</v>
      </c>
      <c r="L1165" s="5">
        <f>415 / 86400</f>
        <v>4.8032407407407407E-3</v>
      </c>
    </row>
    <row r="1166" spans="1:12" x14ac:dyDescent="0.25">
      <c r="A1166" s="3">
        <v>45693.724247685182</v>
      </c>
      <c r="B1166" t="s">
        <v>40</v>
      </c>
      <c r="C1166" s="3">
        <v>45693.724733796298</v>
      </c>
      <c r="D1166" t="s">
        <v>342</v>
      </c>
      <c r="E1166" s="4">
        <v>3.1E-2</v>
      </c>
      <c r="F1166" s="4">
        <v>63141.794999999998</v>
      </c>
      <c r="G1166" s="4">
        <v>63141.826000000001</v>
      </c>
      <c r="H1166" s="5">
        <f>0 / 86400</f>
        <v>0</v>
      </c>
      <c r="I1166" t="s">
        <v>132</v>
      </c>
      <c r="J1166" t="s">
        <v>149</v>
      </c>
      <c r="K1166" s="5">
        <f>42 / 86400</f>
        <v>4.861111111111111E-4</v>
      </c>
      <c r="L1166" s="5">
        <f>474 / 86400</f>
        <v>5.4861111111111109E-3</v>
      </c>
    </row>
    <row r="1167" spans="1:12" x14ac:dyDescent="0.25">
      <c r="A1167" s="3">
        <v>45693.730219907404</v>
      </c>
      <c r="B1167" t="s">
        <v>393</v>
      </c>
      <c r="C1167" s="3">
        <v>45693.734027777777</v>
      </c>
      <c r="D1167" t="s">
        <v>40</v>
      </c>
      <c r="E1167" s="4">
        <v>1.36</v>
      </c>
      <c r="F1167" s="4">
        <v>63141.826000000001</v>
      </c>
      <c r="G1167" s="4">
        <v>63143.186000000002</v>
      </c>
      <c r="H1167" s="5">
        <f>159 / 86400</f>
        <v>1.8402777777777777E-3</v>
      </c>
      <c r="I1167" t="s">
        <v>261</v>
      </c>
      <c r="J1167" t="s">
        <v>35</v>
      </c>
      <c r="K1167" s="5">
        <f>328 / 86400</f>
        <v>3.7962962962962963E-3</v>
      </c>
      <c r="L1167" s="5">
        <f>22979 / 86400</f>
        <v>0.26596064814814813</v>
      </c>
    </row>
    <row r="1168" spans="1:12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</row>
    <row r="1169" spans="1:12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</row>
    <row r="1170" spans="1:12" s="10" customFormat="1" ht="20.100000000000001" customHeight="1" x14ac:dyDescent="0.35">
      <c r="A1170" s="12" t="s">
        <v>453</v>
      </c>
      <c r="B1170" s="12"/>
      <c r="C1170" s="12"/>
      <c r="D1170" s="12"/>
      <c r="E1170" s="12"/>
      <c r="F1170" s="12"/>
      <c r="G1170" s="12"/>
      <c r="H1170" s="12"/>
      <c r="I1170" s="12"/>
      <c r="J1170" s="12"/>
    </row>
    <row r="1171" spans="1:12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</row>
    <row r="1172" spans="1:12" ht="30" x14ac:dyDescent="0.25">
      <c r="A1172" s="2" t="s">
        <v>6</v>
      </c>
      <c r="B1172" s="2" t="s">
        <v>7</v>
      </c>
      <c r="C1172" s="2" t="s">
        <v>8</v>
      </c>
      <c r="D1172" s="2" t="s">
        <v>9</v>
      </c>
      <c r="E1172" s="2" t="s">
        <v>10</v>
      </c>
      <c r="F1172" s="2" t="s">
        <v>11</v>
      </c>
      <c r="G1172" s="2" t="s">
        <v>12</v>
      </c>
      <c r="H1172" s="2" t="s">
        <v>13</v>
      </c>
      <c r="I1172" s="2" t="s">
        <v>14</v>
      </c>
      <c r="J1172" s="2" t="s">
        <v>15</v>
      </c>
      <c r="K1172" s="2" t="s">
        <v>16</v>
      </c>
      <c r="L1172" s="2" t="s">
        <v>17</v>
      </c>
    </row>
    <row r="1173" spans="1:12" x14ac:dyDescent="0.25">
      <c r="A1173" s="3">
        <v>45693.253761574073</v>
      </c>
      <c r="B1173" t="s">
        <v>69</v>
      </c>
      <c r="C1173" s="3">
        <v>45693.257951388892</v>
      </c>
      <c r="D1173" t="s">
        <v>69</v>
      </c>
      <c r="E1173" s="4">
        <v>0</v>
      </c>
      <c r="F1173" s="4">
        <v>4233.018</v>
      </c>
      <c r="G1173" s="4">
        <v>4233.018</v>
      </c>
      <c r="H1173" s="5">
        <f>360 / 86400</f>
        <v>4.1666666666666666E-3</v>
      </c>
      <c r="I1173" t="s">
        <v>124</v>
      </c>
      <c r="J1173" t="s">
        <v>124</v>
      </c>
      <c r="K1173" s="5">
        <f>362 / 86400</f>
        <v>4.1898148148148146E-3</v>
      </c>
      <c r="L1173" s="5">
        <f>22389 / 86400</f>
        <v>0.25913194444444443</v>
      </c>
    </row>
    <row r="1174" spans="1:12" x14ac:dyDescent="0.25">
      <c r="A1174" s="3">
        <v>45693.263321759259</v>
      </c>
      <c r="B1174" t="s">
        <v>69</v>
      </c>
      <c r="C1174" s="3">
        <v>45693.334178240737</v>
      </c>
      <c r="D1174" t="s">
        <v>330</v>
      </c>
      <c r="E1174" s="4">
        <v>34.988999999999997</v>
      </c>
      <c r="F1174" s="4">
        <v>4233.018</v>
      </c>
      <c r="G1174" s="4">
        <v>4268.0069999999996</v>
      </c>
      <c r="H1174" s="5">
        <f>1439 / 86400</f>
        <v>1.6655092592592593E-2</v>
      </c>
      <c r="I1174" t="s">
        <v>357</v>
      </c>
      <c r="J1174" t="s">
        <v>136</v>
      </c>
      <c r="K1174" s="5">
        <f>6121 / 86400</f>
        <v>7.0844907407407412E-2</v>
      </c>
      <c r="L1174" s="5">
        <f>447 / 86400</f>
        <v>5.1736111111111115E-3</v>
      </c>
    </row>
    <row r="1175" spans="1:12" x14ac:dyDescent="0.25">
      <c r="A1175" s="3">
        <v>45693.339351851857</v>
      </c>
      <c r="B1175" t="s">
        <v>330</v>
      </c>
      <c r="C1175" s="3">
        <v>45693.606215277774</v>
      </c>
      <c r="D1175" t="s">
        <v>73</v>
      </c>
      <c r="E1175" s="4">
        <v>101.29600000000001</v>
      </c>
      <c r="F1175" s="4">
        <v>4268.0069999999996</v>
      </c>
      <c r="G1175" s="4">
        <v>4369.3029999999999</v>
      </c>
      <c r="H1175" s="5">
        <f>7399 / 86400</f>
        <v>8.5636574074074073E-2</v>
      </c>
      <c r="I1175" t="s">
        <v>105</v>
      </c>
      <c r="J1175" t="s">
        <v>31</v>
      </c>
      <c r="K1175" s="5">
        <f>23056 / 86400</f>
        <v>0.26685185185185184</v>
      </c>
      <c r="L1175" s="5">
        <f>166 / 86400</f>
        <v>1.9212962962962964E-3</v>
      </c>
    </row>
    <row r="1176" spans="1:12" x14ac:dyDescent="0.25">
      <c r="A1176" s="3">
        <v>45693.608136574076</v>
      </c>
      <c r="B1176" t="s">
        <v>73</v>
      </c>
      <c r="C1176" s="3">
        <v>45693.608877314815</v>
      </c>
      <c r="D1176" t="s">
        <v>148</v>
      </c>
      <c r="E1176" s="4">
        <v>3.5000000000000003E-2</v>
      </c>
      <c r="F1176" s="4">
        <v>4369.3029999999999</v>
      </c>
      <c r="G1176" s="4">
        <v>4369.3379999999997</v>
      </c>
      <c r="H1176" s="5">
        <f>20 / 86400</f>
        <v>2.3148148148148149E-4</v>
      </c>
      <c r="I1176" t="s">
        <v>132</v>
      </c>
      <c r="J1176" t="s">
        <v>126</v>
      </c>
      <c r="K1176" s="5">
        <f>64 / 86400</f>
        <v>7.407407407407407E-4</v>
      </c>
      <c r="L1176" s="5">
        <f>438 / 86400</f>
        <v>5.0694444444444441E-3</v>
      </c>
    </row>
    <row r="1177" spans="1:12" x14ac:dyDescent="0.25">
      <c r="A1177" s="3">
        <v>45693.613946759258</v>
      </c>
      <c r="B1177" t="s">
        <v>148</v>
      </c>
      <c r="C1177" s="3">
        <v>45693.614652777775</v>
      </c>
      <c r="D1177" t="s">
        <v>144</v>
      </c>
      <c r="E1177" s="4">
        <v>0.193</v>
      </c>
      <c r="F1177" s="4">
        <v>4369.3379999999997</v>
      </c>
      <c r="G1177" s="4">
        <v>4369.5309999999999</v>
      </c>
      <c r="H1177" s="5">
        <f>0 / 86400</f>
        <v>0</v>
      </c>
      <c r="I1177" t="s">
        <v>156</v>
      </c>
      <c r="J1177" t="s">
        <v>154</v>
      </c>
      <c r="K1177" s="5">
        <f>61 / 86400</f>
        <v>7.0601851851851847E-4</v>
      </c>
      <c r="L1177" s="5">
        <f>249 / 86400</f>
        <v>2.8819444444444444E-3</v>
      </c>
    </row>
    <row r="1178" spans="1:12" x14ac:dyDescent="0.25">
      <c r="A1178" s="3">
        <v>45693.617534722223</v>
      </c>
      <c r="B1178" t="s">
        <v>144</v>
      </c>
      <c r="C1178" s="3">
        <v>45693.620613425926</v>
      </c>
      <c r="D1178" t="s">
        <v>330</v>
      </c>
      <c r="E1178" s="4">
        <v>1.1579999999999999</v>
      </c>
      <c r="F1178" s="4">
        <v>4369.5309999999999</v>
      </c>
      <c r="G1178" s="4">
        <v>4370.6890000000003</v>
      </c>
      <c r="H1178" s="5">
        <f>19 / 86400</f>
        <v>2.199074074074074E-4</v>
      </c>
      <c r="I1178" t="s">
        <v>85</v>
      </c>
      <c r="J1178" t="s">
        <v>31</v>
      </c>
      <c r="K1178" s="5">
        <f>266 / 86400</f>
        <v>3.0787037037037037E-3</v>
      </c>
      <c r="L1178" s="5">
        <f>1185 / 86400</f>
        <v>1.3715277777777778E-2</v>
      </c>
    </row>
    <row r="1179" spans="1:12" x14ac:dyDescent="0.25">
      <c r="A1179" s="3">
        <v>45693.634328703702</v>
      </c>
      <c r="B1179" t="s">
        <v>330</v>
      </c>
      <c r="C1179" s="3">
        <v>45693.699328703704</v>
      </c>
      <c r="D1179" t="s">
        <v>18</v>
      </c>
      <c r="E1179" s="4">
        <v>35.338000000000001</v>
      </c>
      <c r="F1179" s="4">
        <v>4370.6890000000003</v>
      </c>
      <c r="G1179" s="4">
        <v>4406.027</v>
      </c>
      <c r="H1179" s="5">
        <f>1099 / 86400</f>
        <v>1.2719907407407407E-2</v>
      </c>
      <c r="I1179" t="s">
        <v>145</v>
      </c>
      <c r="J1179" t="s">
        <v>150</v>
      </c>
      <c r="K1179" s="5">
        <f>5615 / 86400</f>
        <v>6.4988425925925922E-2</v>
      </c>
      <c r="L1179" s="5">
        <f>6022 / 86400</f>
        <v>6.969907407407408E-2</v>
      </c>
    </row>
    <row r="1180" spans="1:12" x14ac:dyDescent="0.25">
      <c r="A1180" s="3">
        <v>45693.769027777773</v>
      </c>
      <c r="B1180" t="s">
        <v>18</v>
      </c>
      <c r="C1180" s="3">
        <v>45693.773981481485</v>
      </c>
      <c r="D1180" t="s">
        <v>69</v>
      </c>
      <c r="E1180" s="4">
        <v>0.45800000000000002</v>
      </c>
      <c r="F1180" s="4">
        <v>4406.027</v>
      </c>
      <c r="G1180" s="4">
        <v>4406.4849999999997</v>
      </c>
      <c r="H1180" s="5">
        <f>159 / 86400</f>
        <v>1.8402777777777777E-3</v>
      </c>
      <c r="I1180" t="s">
        <v>82</v>
      </c>
      <c r="J1180" t="s">
        <v>86</v>
      </c>
      <c r="K1180" s="5">
        <f>428 / 86400</f>
        <v>4.9537037037037041E-3</v>
      </c>
      <c r="L1180" s="5">
        <f>19527 / 86400</f>
        <v>0.22600694444444444</v>
      </c>
    </row>
    <row r="1181" spans="1:12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</row>
    <row r="1182" spans="1:12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</row>
    <row r="1183" spans="1:12" s="10" customFormat="1" ht="20.100000000000001" customHeight="1" x14ac:dyDescent="0.35">
      <c r="A1183" s="12" t="s">
        <v>454</v>
      </c>
      <c r="B1183" s="12"/>
      <c r="C1183" s="12"/>
      <c r="D1183" s="12"/>
      <c r="E1183" s="12"/>
      <c r="F1183" s="12"/>
      <c r="G1183" s="12"/>
      <c r="H1183" s="12"/>
      <c r="I1183" s="12"/>
      <c r="J1183" s="12"/>
    </row>
    <row r="1184" spans="1:12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</row>
    <row r="1185" spans="1:12" ht="30" x14ac:dyDescent="0.25">
      <c r="A1185" s="2" t="s">
        <v>6</v>
      </c>
      <c r="B1185" s="2" t="s">
        <v>7</v>
      </c>
      <c r="C1185" s="2" t="s">
        <v>8</v>
      </c>
      <c r="D1185" s="2" t="s">
        <v>9</v>
      </c>
      <c r="E1185" s="2" t="s">
        <v>10</v>
      </c>
      <c r="F1185" s="2" t="s">
        <v>11</v>
      </c>
      <c r="G1185" s="2" t="s">
        <v>12</v>
      </c>
      <c r="H1185" s="2" t="s">
        <v>13</v>
      </c>
      <c r="I1185" s="2" t="s">
        <v>14</v>
      </c>
      <c r="J1185" s="2" t="s">
        <v>15</v>
      </c>
      <c r="K1185" s="2" t="s">
        <v>16</v>
      </c>
      <c r="L1185" s="2" t="s">
        <v>17</v>
      </c>
    </row>
    <row r="1186" spans="1:12" x14ac:dyDescent="0.25">
      <c r="A1186" s="3">
        <v>45693.222442129627</v>
      </c>
      <c r="B1186" t="s">
        <v>29</v>
      </c>
      <c r="C1186" s="3">
        <v>45693.224282407406</v>
      </c>
      <c r="D1186" t="s">
        <v>29</v>
      </c>
      <c r="E1186" s="4">
        <v>9.4E-2</v>
      </c>
      <c r="F1186" s="4">
        <v>406639.603</v>
      </c>
      <c r="G1186" s="4">
        <v>406639.69699999999</v>
      </c>
      <c r="H1186" s="5">
        <f>79 / 86400</f>
        <v>9.1435185185185185E-4</v>
      </c>
      <c r="I1186" t="s">
        <v>260</v>
      </c>
      <c r="J1186" t="s">
        <v>126</v>
      </c>
      <c r="K1186" s="5">
        <f>158 / 86400</f>
        <v>1.8287037037037037E-3</v>
      </c>
      <c r="L1186" s="5">
        <f>20150 / 86400</f>
        <v>0.23321759259259259</v>
      </c>
    </row>
    <row r="1187" spans="1:12" x14ac:dyDescent="0.25">
      <c r="A1187" s="3">
        <v>45693.23505787037</v>
      </c>
      <c r="B1187" t="s">
        <v>29</v>
      </c>
      <c r="C1187" s="3">
        <v>45693.286597222221</v>
      </c>
      <c r="D1187" t="s">
        <v>118</v>
      </c>
      <c r="E1187" s="4">
        <v>25.382000000000001</v>
      </c>
      <c r="F1187" s="4">
        <v>406639.69699999999</v>
      </c>
      <c r="G1187" s="4">
        <v>406665.07900000003</v>
      </c>
      <c r="H1187" s="5">
        <f>1260 / 86400</f>
        <v>1.4583333333333334E-2</v>
      </c>
      <c r="I1187" t="s">
        <v>135</v>
      </c>
      <c r="J1187" t="s">
        <v>136</v>
      </c>
      <c r="K1187" s="5">
        <f>4452 / 86400</f>
        <v>5.1527777777777777E-2</v>
      </c>
      <c r="L1187" s="5">
        <f>1056 / 86400</f>
        <v>1.2222222222222223E-2</v>
      </c>
    </row>
    <row r="1188" spans="1:12" x14ac:dyDescent="0.25">
      <c r="A1188" s="3">
        <v>45693.298819444448</v>
      </c>
      <c r="B1188" t="s">
        <v>118</v>
      </c>
      <c r="C1188" s="3">
        <v>45693.299178240741</v>
      </c>
      <c r="D1188" t="s">
        <v>118</v>
      </c>
      <c r="E1188" s="4">
        <v>8.9999999999999993E-3</v>
      </c>
      <c r="F1188" s="4">
        <v>406665.07900000003</v>
      </c>
      <c r="G1188" s="4">
        <v>406665.08799999999</v>
      </c>
      <c r="H1188" s="5">
        <f>19 / 86400</f>
        <v>2.199074074074074E-4</v>
      </c>
      <c r="I1188" t="s">
        <v>124</v>
      </c>
      <c r="J1188" t="s">
        <v>116</v>
      </c>
      <c r="K1188" s="5">
        <f>30 / 86400</f>
        <v>3.4722222222222224E-4</v>
      </c>
      <c r="L1188" s="5">
        <f>32 / 86400</f>
        <v>3.7037037037037035E-4</v>
      </c>
    </row>
    <row r="1189" spans="1:12" x14ac:dyDescent="0.25">
      <c r="A1189" s="3">
        <v>45693.29954861111</v>
      </c>
      <c r="B1189" t="s">
        <v>118</v>
      </c>
      <c r="C1189" s="3">
        <v>45693.299756944441</v>
      </c>
      <c r="D1189" t="s">
        <v>118</v>
      </c>
      <c r="E1189" s="4">
        <v>4.0000000000000001E-3</v>
      </c>
      <c r="F1189" s="4">
        <v>406665.08799999999</v>
      </c>
      <c r="G1189" s="4">
        <v>406665.092</v>
      </c>
      <c r="H1189" s="5">
        <f>0 / 86400</f>
        <v>0</v>
      </c>
      <c r="I1189" t="s">
        <v>124</v>
      </c>
      <c r="J1189" t="s">
        <v>116</v>
      </c>
      <c r="K1189" s="5">
        <f>17 / 86400</f>
        <v>1.9675925925925926E-4</v>
      </c>
      <c r="L1189" s="5">
        <f>1537 / 86400</f>
        <v>1.7789351851851851E-2</v>
      </c>
    </row>
    <row r="1190" spans="1:12" x14ac:dyDescent="0.25">
      <c r="A1190" s="3">
        <v>45693.317546296297</v>
      </c>
      <c r="B1190" t="s">
        <v>118</v>
      </c>
      <c r="C1190" s="3">
        <v>45693.444976851853</v>
      </c>
      <c r="D1190" t="s">
        <v>155</v>
      </c>
      <c r="E1190" s="4">
        <v>51.073999999999998</v>
      </c>
      <c r="F1190" s="4">
        <v>406665.092</v>
      </c>
      <c r="G1190" s="4">
        <v>406716.16600000003</v>
      </c>
      <c r="H1190" s="5">
        <f>3678 / 86400</f>
        <v>4.2569444444444444E-2</v>
      </c>
      <c r="I1190" t="s">
        <v>36</v>
      </c>
      <c r="J1190" t="s">
        <v>28</v>
      </c>
      <c r="K1190" s="5">
        <f>11010 / 86400</f>
        <v>0.12743055555555555</v>
      </c>
      <c r="L1190" s="5">
        <f>5145 / 86400</f>
        <v>5.9548611111111108E-2</v>
      </c>
    </row>
    <row r="1191" spans="1:12" x14ac:dyDescent="0.25">
      <c r="A1191" s="3">
        <v>45693.504525462966</v>
      </c>
      <c r="B1191" t="s">
        <v>155</v>
      </c>
      <c r="C1191" s="3">
        <v>45693.641469907408</v>
      </c>
      <c r="D1191" t="s">
        <v>73</v>
      </c>
      <c r="E1191" s="4">
        <v>49.844000000000001</v>
      </c>
      <c r="F1191" s="4">
        <v>406716.16600000003</v>
      </c>
      <c r="G1191" s="4">
        <v>406766.01</v>
      </c>
      <c r="H1191" s="5">
        <f>4101 / 86400</f>
        <v>4.746527777777778E-2</v>
      </c>
      <c r="I1191" t="s">
        <v>283</v>
      </c>
      <c r="J1191" t="s">
        <v>35</v>
      </c>
      <c r="K1191" s="5">
        <f>11831 / 86400</f>
        <v>0.13693287037037036</v>
      </c>
      <c r="L1191" s="5">
        <f>396 / 86400</f>
        <v>4.5833333333333334E-3</v>
      </c>
    </row>
    <row r="1192" spans="1:12" x14ac:dyDescent="0.25">
      <c r="A1192" s="3">
        <v>45693.646053240736</v>
      </c>
      <c r="B1192" t="s">
        <v>73</v>
      </c>
      <c r="C1192" s="3">
        <v>45693.646215277782</v>
      </c>
      <c r="D1192" t="s">
        <v>73</v>
      </c>
      <c r="E1192" s="4">
        <v>7.0000000000000001E-3</v>
      </c>
      <c r="F1192" s="4">
        <v>406766.01</v>
      </c>
      <c r="G1192" s="4">
        <v>406766.01699999999</v>
      </c>
      <c r="H1192" s="5">
        <f>0 / 86400</f>
        <v>0</v>
      </c>
      <c r="I1192" t="s">
        <v>133</v>
      </c>
      <c r="J1192" t="s">
        <v>126</v>
      </c>
      <c r="K1192" s="5">
        <f>14 / 86400</f>
        <v>1.6203703703703703E-4</v>
      </c>
      <c r="L1192" s="5">
        <f>138 / 86400</f>
        <v>1.5972222222222223E-3</v>
      </c>
    </row>
    <row r="1193" spans="1:12" x14ac:dyDescent="0.25">
      <c r="A1193" s="3">
        <v>45693.647812499999</v>
      </c>
      <c r="B1193" t="s">
        <v>148</v>
      </c>
      <c r="C1193" s="3">
        <v>45693.651874999996</v>
      </c>
      <c r="D1193" t="s">
        <v>111</v>
      </c>
      <c r="E1193" s="4">
        <v>0.94299999999999995</v>
      </c>
      <c r="F1193" s="4">
        <v>406766.01699999999</v>
      </c>
      <c r="G1193" s="4">
        <v>406766.96</v>
      </c>
      <c r="H1193" s="5">
        <f>139 / 86400</f>
        <v>1.6087962962962963E-3</v>
      </c>
      <c r="I1193" t="s">
        <v>167</v>
      </c>
      <c r="J1193" t="s">
        <v>20</v>
      </c>
      <c r="K1193" s="5">
        <f>350 / 86400</f>
        <v>4.0509259259259257E-3</v>
      </c>
      <c r="L1193" s="5">
        <f>815 / 86400</f>
        <v>9.432870370370371E-3</v>
      </c>
    </row>
    <row r="1194" spans="1:12" x14ac:dyDescent="0.25">
      <c r="A1194" s="3">
        <v>45693.661307870367</v>
      </c>
      <c r="B1194" t="s">
        <v>111</v>
      </c>
      <c r="C1194" s="3">
        <v>45693.887777777782</v>
      </c>
      <c r="D1194" t="s">
        <v>29</v>
      </c>
      <c r="E1194" s="4">
        <v>82.094999999999999</v>
      </c>
      <c r="F1194" s="4">
        <v>406766.96</v>
      </c>
      <c r="G1194" s="4">
        <v>406849.05499999999</v>
      </c>
      <c r="H1194" s="5">
        <f>7316 / 86400</f>
        <v>8.4675925925925932E-2</v>
      </c>
      <c r="I1194" t="s">
        <v>34</v>
      </c>
      <c r="J1194" t="s">
        <v>35</v>
      </c>
      <c r="K1194" s="5">
        <f>19566 / 86400</f>
        <v>0.22645833333333334</v>
      </c>
      <c r="L1194" s="5">
        <f>9695 / 86400</f>
        <v>0.11221064814814814</v>
      </c>
    </row>
    <row r="1195" spans="1:12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</row>
    <row r="1196" spans="1:12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</row>
    <row r="1197" spans="1:12" s="10" customFormat="1" ht="20.100000000000001" customHeight="1" x14ac:dyDescent="0.35">
      <c r="A1197" s="12" t="s">
        <v>455</v>
      </c>
      <c r="B1197" s="12"/>
      <c r="C1197" s="12"/>
      <c r="D1197" s="12"/>
      <c r="E1197" s="12"/>
      <c r="F1197" s="12"/>
      <c r="G1197" s="12"/>
      <c r="H1197" s="12"/>
      <c r="I1197" s="12"/>
      <c r="J1197" s="12"/>
    </row>
    <row r="1198" spans="1:12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</row>
    <row r="1199" spans="1:12" ht="30" x14ac:dyDescent="0.25">
      <c r="A1199" s="2" t="s">
        <v>6</v>
      </c>
      <c r="B1199" s="2" t="s">
        <v>7</v>
      </c>
      <c r="C1199" s="2" t="s">
        <v>8</v>
      </c>
      <c r="D1199" s="2" t="s">
        <v>9</v>
      </c>
      <c r="E1199" s="2" t="s">
        <v>10</v>
      </c>
      <c r="F1199" s="2" t="s">
        <v>11</v>
      </c>
      <c r="G1199" s="2" t="s">
        <v>12</v>
      </c>
      <c r="H1199" s="2" t="s">
        <v>13</v>
      </c>
      <c r="I1199" s="2" t="s">
        <v>14</v>
      </c>
      <c r="J1199" s="2" t="s">
        <v>15</v>
      </c>
      <c r="K1199" s="2" t="s">
        <v>16</v>
      </c>
      <c r="L1199" s="2" t="s">
        <v>17</v>
      </c>
    </row>
    <row r="1200" spans="1:12" x14ac:dyDescent="0.25">
      <c r="A1200" s="3">
        <v>45693.009212962963</v>
      </c>
      <c r="B1200" t="s">
        <v>89</v>
      </c>
      <c r="C1200" s="3">
        <v>45693.009502314817</v>
      </c>
      <c r="D1200" t="s">
        <v>89</v>
      </c>
      <c r="E1200" s="4">
        <v>2.8000000000000001E-2</v>
      </c>
      <c r="F1200" s="4">
        <v>547713.46200000006</v>
      </c>
      <c r="G1200" s="4">
        <v>547713.49</v>
      </c>
      <c r="H1200" s="5">
        <f>0 / 86400</f>
        <v>0</v>
      </c>
      <c r="I1200" t="s">
        <v>132</v>
      </c>
      <c r="J1200" t="s">
        <v>86</v>
      </c>
      <c r="K1200" s="5">
        <f>25 / 86400</f>
        <v>2.8935185185185184E-4</v>
      </c>
      <c r="L1200" s="5">
        <f>2180 / 86400</f>
        <v>2.5231481481481483E-2</v>
      </c>
    </row>
    <row r="1201" spans="1:12" x14ac:dyDescent="0.25">
      <c r="A1201" s="3">
        <v>45693.025520833333</v>
      </c>
      <c r="B1201" t="s">
        <v>89</v>
      </c>
      <c r="C1201" s="3">
        <v>45693.035798611112</v>
      </c>
      <c r="D1201" t="s">
        <v>280</v>
      </c>
      <c r="E1201" s="4">
        <v>4.6950000000000003</v>
      </c>
      <c r="F1201" s="4">
        <v>547713.49</v>
      </c>
      <c r="G1201" s="4">
        <v>547718.18500000006</v>
      </c>
      <c r="H1201" s="5">
        <f>119 / 86400</f>
        <v>1.3773148148148147E-3</v>
      </c>
      <c r="I1201" t="s">
        <v>195</v>
      </c>
      <c r="J1201" t="s">
        <v>37</v>
      </c>
      <c r="K1201" s="5">
        <f>887 / 86400</f>
        <v>1.0266203703703704E-2</v>
      </c>
      <c r="L1201" s="5">
        <f>17012 / 86400</f>
        <v>0.19689814814814816</v>
      </c>
    </row>
    <row r="1202" spans="1:12" x14ac:dyDescent="0.25">
      <c r="A1202" s="3">
        <v>45693.23269675926</v>
      </c>
      <c r="B1202" t="s">
        <v>280</v>
      </c>
      <c r="C1202" s="3">
        <v>45693.446087962962</v>
      </c>
      <c r="D1202" t="s">
        <v>118</v>
      </c>
      <c r="E1202" s="4">
        <v>90.867999999999995</v>
      </c>
      <c r="F1202" s="4">
        <v>547718.18500000006</v>
      </c>
      <c r="G1202" s="4">
        <v>547809.05299999996</v>
      </c>
      <c r="H1202" s="5">
        <f>5737 / 86400</f>
        <v>6.6400462962962967E-2</v>
      </c>
      <c r="I1202" t="s">
        <v>33</v>
      </c>
      <c r="J1202" t="s">
        <v>24</v>
      </c>
      <c r="K1202" s="5">
        <f>18436 / 86400</f>
        <v>0.21337962962962964</v>
      </c>
      <c r="L1202" s="5">
        <f>707 / 86400</f>
        <v>8.1828703703703699E-3</v>
      </c>
    </row>
    <row r="1203" spans="1:12" x14ac:dyDescent="0.25">
      <c r="A1203" s="3">
        <v>45693.454270833332</v>
      </c>
      <c r="B1203" t="s">
        <v>118</v>
      </c>
      <c r="C1203" s="3">
        <v>45693.671909722223</v>
      </c>
      <c r="D1203" t="s">
        <v>73</v>
      </c>
      <c r="E1203" s="4">
        <v>93.715999999999994</v>
      </c>
      <c r="F1203" s="4">
        <v>547809.05299999996</v>
      </c>
      <c r="G1203" s="4">
        <v>547902.76899999997</v>
      </c>
      <c r="H1203" s="5">
        <f>5641 / 86400</f>
        <v>6.5289351851851848E-2</v>
      </c>
      <c r="I1203" t="s">
        <v>33</v>
      </c>
      <c r="J1203" t="s">
        <v>24</v>
      </c>
      <c r="K1203" s="5">
        <f>18803 / 86400</f>
        <v>0.21762731481481482</v>
      </c>
      <c r="L1203" s="5">
        <f>327 / 86400</f>
        <v>3.7847222222222223E-3</v>
      </c>
    </row>
    <row r="1204" spans="1:12" x14ac:dyDescent="0.25">
      <c r="A1204" s="3">
        <v>45693.67569444445</v>
      </c>
      <c r="B1204" t="s">
        <v>73</v>
      </c>
      <c r="C1204" s="3">
        <v>45693.677847222221</v>
      </c>
      <c r="D1204" t="s">
        <v>394</v>
      </c>
      <c r="E1204" s="4">
        <v>0.26700000000000002</v>
      </c>
      <c r="F1204" s="4">
        <v>547902.76899999997</v>
      </c>
      <c r="G1204" s="4">
        <v>547903.03599999996</v>
      </c>
      <c r="H1204" s="5">
        <f>80 / 86400</f>
        <v>9.2592592592592596E-4</v>
      </c>
      <c r="I1204" t="s">
        <v>39</v>
      </c>
      <c r="J1204" t="s">
        <v>133</v>
      </c>
      <c r="K1204" s="5">
        <f>186 / 86400</f>
        <v>2.1527777777777778E-3</v>
      </c>
      <c r="L1204" s="5">
        <f>2734 / 86400</f>
        <v>3.1643518518518515E-2</v>
      </c>
    </row>
    <row r="1205" spans="1:12" x14ac:dyDescent="0.25">
      <c r="A1205" s="3">
        <v>45693.709490740745</v>
      </c>
      <c r="B1205" t="s">
        <v>394</v>
      </c>
      <c r="C1205" s="3">
        <v>45693.99998842593</v>
      </c>
      <c r="D1205" t="s">
        <v>106</v>
      </c>
      <c r="E1205" s="4">
        <v>124.934</v>
      </c>
      <c r="F1205" s="4">
        <v>547903.03599999996</v>
      </c>
      <c r="G1205" s="4">
        <v>548027.97</v>
      </c>
      <c r="H1205" s="5">
        <f>7601 / 86400</f>
        <v>8.7974537037037032E-2</v>
      </c>
      <c r="I1205" t="s">
        <v>45</v>
      </c>
      <c r="J1205" t="s">
        <v>24</v>
      </c>
      <c r="K1205" s="5">
        <f>25099 / 86400</f>
        <v>0.29049768518518521</v>
      </c>
      <c r="L1205" s="5">
        <f>0 / 86400</f>
        <v>0</v>
      </c>
    </row>
    <row r="1206" spans="1:12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</row>
    <row r="1207" spans="1:12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</row>
    <row r="1208" spans="1:12" s="10" customFormat="1" ht="20.100000000000001" customHeight="1" x14ac:dyDescent="0.35">
      <c r="A1208" s="12" t="s">
        <v>456</v>
      </c>
      <c r="B1208" s="12"/>
      <c r="C1208" s="12"/>
      <c r="D1208" s="12"/>
      <c r="E1208" s="12"/>
      <c r="F1208" s="12"/>
      <c r="G1208" s="12"/>
      <c r="H1208" s="12"/>
      <c r="I1208" s="12"/>
      <c r="J1208" s="12"/>
    </row>
    <row r="1209" spans="1:12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</row>
    <row r="1210" spans="1:12" ht="30" x14ac:dyDescent="0.25">
      <c r="A1210" s="2" t="s">
        <v>6</v>
      </c>
      <c r="B1210" s="2" t="s">
        <v>7</v>
      </c>
      <c r="C1210" s="2" t="s">
        <v>8</v>
      </c>
      <c r="D1210" s="2" t="s">
        <v>9</v>
      </c>
      <c r="E1210" s="2" t="s">
        <v>10</v>
      </c>
      <c r="F1210" s="2" t="s">
        <v>11</v>
      </c>
      <c r="G1210" s="2" t="s">
        <v>12</v>
      </c>
      <c r="H1210" s="2" t="s">
        <v>13</v>
      </c>
      <c r="I1210" s="2" t="s">
        <v>14</v>
      </c>
      <c r="J1210" s="2" t="s">
        <v>15</v>
      </c>
      <c r="K1210" s="2" t="s">
        <v>16</v>
      </c>
      <c r="L1210" s="2" t="s">
        <v>17</v>
      </c>
    </row>
    <row r="1211" spans="1:12" x14ac:dyDescent="0.25">
      <c r="A1211" s="3">
        <v>45693.415532407409</v>
      </c>
      <c r="B1211" t="s">
        <v>107</v>
      </c>
      <c r="C1211" s="3">
        <v>45693.417048611111</v>
      </c>
      <c r="D1211" t="s">
        <v>395</v>
      </c>
      <c r="E1211" s="4">
        <v>0.26500000000000001</v>
      </c>
      <c r="F1211" s="4">
        <v>45839.62</v>
      </c>
      <c r="G1211" s="4">
        <v>45839.885000000002</v>
      </c>
      <c r="H1211" s="5">
        <f>79 / 86400</f>
        <v>9.1435185185185185E-4</v>
      </c>
      <c r="I1211" t="s">
        <v>133</v>
      </c>
      <c r="J1211" t="s">
        <v>132</v>
      </c>
      <c r="K1211" s="5">
        <f>131 / 86400</f>
        <v>1.5162037037037036E-3</v>
      </c>
      <c r="L1211" s="5">
        <f>35999 / 86400</f>
        <v>0.41665509259259259</v>
      </c>
    </row>
    <row r="1212" spans="1:12" x14ac:dyDescent="0.25">
      <c r="A1212" s="3">
        <v>45693.418171296296</v>
      </c>
      <c r="B1212" t="s">
        <v>395</v>
      </c>
      <c r="C1212" s="3">
        <v>45693.419814814813</v>
      </c>
      <c r="D1212" t="s">
        <v>396</v>
      </c>
      <c r="E1212" s="4">
        <v>1.0149999999999999</v>
      </c>
      <c r="F1212" s="4">
        <v>45839.885000000002</v>
      </c>
      <c r="G1212" s="4">
        <v>45840.9</v>
      </c>
      <c r="H1212" s="5">
        <f>20 / 86400</f>
        <v>2.3148148148148149E-4</v>
      </c>
      <c r="I1212" t="s">
        <v>59</v>
      </c>
      <c r="J1212" t="s">
        <v>172</v>
      </c>
      <c r="K1212" s="5">
        <f>141 / 86400</f>
        <v>1.6319444444444445E-3</v>
      </c>
      <c r="L1212" s="5">
        <f>2726 / 86400</f>
        <v>3.1550925925925927E-2</v>
      </c>
    </row>
    <row r="1213" spans="1:12" x14ac:dyDescent="0.25">
      <c r="A1213" s="3">
        <v>45693.451365740737</v>
      </c>
      <c r="B1213" t="s">
        <v>396</v>
      </c>
      <c r="C1213" s="3">
        <v>45693.509722222225</v>
      </c>
      <c r="D1213" t="s">
        <v>111</v>
      </c>
      <c r="E1213" s="4">
        <v>122.77500000000001</v>
      </c>
      <c r="F1213" s="4">
        <v>45840.9</v>
      </c>
      <c r="G1213" s="4">
        <v>45963.675000000003</v>
      </c>
      <c r="H1213" s="5">
        <f>1618 / 86400</f>
        <v>1.8726851851851852E-2</v>
      </c>
      <c r="I1213" t="s">
        <v>194</v>
      </c>
      <c r="J1213" t="s">
        <v>397</v>
      </c>
      <c r="K1213" s="5">
        <f>5042 / 86400</f>
        <v>5.8356481481481481E-2</v>
      </c>
      <c r="L1213" s="5">
        <f>156 / 86400</f>
        <v>1.8055555555555555E-3</v>
      </c>
    </row>
    <row r="1214" spans="1:12" x14ac:dyDescent="0.25">
      <c r="A1214" s="3">
        <v>45693.51152777778</v>
      </c>
      <c r="B1214" t="s">
        <v>111</v>
      </c>
      <c r="C1214" s="3">
        <v>45693.512256944443</v>
      </c>
      <c r="D1214" t="s">
        <v>111</v>
      </c>
      <c r="E1214" s="4">
        <v>0.115</v>
      </c>
      <c r="F1214" s="4">
        <v>45963.675000000003</v>
      </c>
      <c r="G1214" s="4">
        <v>45963.79</v>
      </c>
      <c r="H1214" s="5">
        <f>20 / 86400</f>
        <v>2.3148148148148149E-4</v>
      </c>
      <c r="I1214" t="s">
        <v>260</v>
      </c>
      <c r="J1214" t="s">
        <v>132</v>
      </c>
      <c r="K1214" s="5">
        <f>63 / 86400</f>
        <v>7.291666666666667E-4</v>
      </c>
      <c r="L1214" s="5">
        <f>165 / 86400</f>
        <v>1.9097222222222222E-3</v>
      </c>
    </row>
    <row r="1215" spans="1:12" x14ac:dyDescent="0.25">
      <c r="A1215" s="3">
        <v>45693.514166666668</v>
      </c>
      <c r="B1215" t="s">
        <v>111</v>
      </c>
      <c r="C1215" s="3">
        <v>45693.515289351853</v>
      </c>
      <c r="D1215" t="s">
        <v>111</v>
      </c>
      <c r="E1215" s="4">
        <v>0</v>
      </c>
      <c r="F1215" s="4">
        <v>45963.79</v>
      </c>
      <c r="G1215" s="4">
        <v>45963.79</v>
      </c>
      <c r="H1215" s="5">
        <f>79 / 86400</f>
        <v>9.1435185185185185E-4</v>
      </c>
      <c r="I1215" t="s">
        <v>124</v>
      </c>
      <c r="J1215" t="s">
        <v>124</v>
      </c>
      <c r="K1215" s="5">
        <f>96 / 86400</f>
        <v>1.1111111111111111E-3</v>
      </c>
      <c r="L1215" s="5">
        <f>631 / 86400</f>
        <v>7.3032407407407404E-3</v>
      </c>
    </row>
    <row r="1216" spans="1:12" x14ac:dyDescent="0.25">
      <c r="A1216" s="3">
        <v>45693.522592592592</v>
      </c>
      <c r="B1216" t="s">
        <v>111</v>
      </c>
      <c r="C1216" s="3">
        <v>45693.529652777783</v>
      </c>
      <c r="D1216" t="s">
        <v>111</v>
      </c>
      <c r="E1216" s="4">
        <v>3.08</v>
      </c>
      <c r="F1216" s="4">
        <v>45963.79</v>
      </c>
      <c r="G1216" s="4">
        <v>45966.87</v>
      </c>
      <c r="H1216" s="5">
        <f>339 / 86400</f>
        <v>3.9236111111111112E-3</v>
      </c>
      <c r="I1216" t="s">
        <v>24</v>
      </c>
      <c r="J1216" t="s">
        <v>24</v>
      </c>
      <c r="K1216" s="5">
        <f>609 / 86400</f>
        <v>7.0486111111111114E-3</v>
      </c>
      <c r="L1216" s="5">
        <f>697 / 86400</f>
        <v>8.067129629629629E-3</v>
      </c>
    </row>
    <row r="1217" spans="1:12" x14ac:dyDescent="0.25">
      <c r="A1217" s="3">
        <v>45693.537719907406</v>
      </c>
      <c r="B1217" t="s">
        <v>111</v>
      </c>
      <c r="C1217" s="3">
        <v>45693.540335648147</v>
      </c>
      <c r="D1217" t="s">
        <v>42</v>
      </c>
      <c r="E1217" s="4">
        <v>1.39</v>
      </c>
      <c r="F1217" s="4">
        <v>45966.87</v>
      </c>
      <c r="G1217" s="4">
        <v>45968.26</v>
      </c>
      <c r="H1217" s="5">
        <f>79 / 86400</f>
        <v>9.1435185185185185E-4</v>
      </c>
      <c r="I1217" t="s">
        <v>20</v>
      </c>
      <c r="J1217" t="s">
        <v>39</v>
      </c>
      <c r="K1217" s="5">
        <f>225 / 86400</f>
        <v>2.6041666666666665E-3</v>
      </c>
      <c r="L1217" s="5">
        <f>41 / 86400</f>
        <v>4.7453703703703704E-4</v>
      </c>
    </row>
    <row r="1218" spans="1:12" x14ac:dyDescent="0.25">
      <c r="A1218" s="3">
        <v>45693.540810185186</v>
      </c>
      <c r="B1218" t="s">
        <v>42</v>
      </c>
      <c r="C1218" s="3">
        <v>45693.542673611111</v>
      </c>
      <c r="D1218" t="s">
        <v>111</v>
      </c>
      <c r="E1218" s="4">
        <v>1.36</v>
      </c>
      <c r="F1218" s="4">
        <v>45968.26</v>
      </c>
      <c r="G1218" s="4">
        <v>45969.62</v>
      </c>
      <c r="H1218" s="5">
        <f>20 / 86400</f>
        <v>2.3148148148148149E-4</v>
      </c>
      <c r="I1218" t="s">
        <v>59</v>
      </c>
      <c r="J1218" t="s">
        <v>159</v>
      </c>
      <c r="K1218" s="5">
        <f>160 / 86400</f>
        <v>1.8518518518518519E-3</v>
      </c>
      <c r="L1218" s="5">
        <f>3062 / 86400</f>
        <v>3.5439814814814813E-2</v>
      </c>
    </row>
    <row r="1219" spans="1:12" x14ac:dyDescent="0.25">
      <c r="A1219" s="3">
        <v>45693.57811342593</v>
      </c>
      <c r="B1219" t="s">
        <v>111</v>
      </c>
      <c r="C1219" s="3">
        <v>45693.826631944445</v>
      </c>
      <c r="D1219" t="s">
        <v>264</v>
      </c>
      <c r="E1219" s="4">
        <v>472.80500000000001</v>
      </c>
      <c r="F1219" s="4">
        <v>45969.62</v>
      </c>
      <c r="G1219" s="4">
        <v>46442.425000000003</v>
      </c>
      <c r="H1219" s="5">
        <f>6418 / 86400</f>
        <v>7.4282407407407408E-2</v>
      </c>
      <c r="I1219" t="s">
        <v>54</v>
      </c>
      <c r="J1219" t="s">
        <v>45</v>
      </c>
      <c r="K1219" s="5">
        <f>21472 / 86400</f>
        <v>0.24851851851851853</v>
      </c>
      <c r="L1219" s="5">
        <f>3 / 86400</f>
        <v>3.4722222222222222E-5</v>
      </c>
    </row>
    <row r="1220" spans="1:12" x14ac:dyDescent="0.25">
      <c r="A1220" s="3">
        <v>45693.826666666668</v>
      </c>
      <c r="B1220" t="s">
        <v>264</v>
      </c>
      <c r="C1220" s="3">
        <v>45693.915925925925</v>
      </c>
      <c r="D1220" t="s">
        <v>312</v>
      </c>
      <c r="E1220" s="4">
        <v>205.13</v>
      </c>
      <c r="F1220" s="4">
        <v>46442.425000000003</v>
      </c>
      <c r="G1220" s="4">
        <v>46647.555</v>
      </c>
      <c r="H1220" s="5">
        <f>2580 / 86400</f>
        <v>2.9861111111111113E-2</v>
      </c>
      <c r="I1220" t="s">
        <v>141</v>
      </c>
      <c r="J1220" t="s">
        <v>74</v>
      </c>
      <c r="K1220" s="5">
        <f>7712 / 86400</f>
        <v>8.925925925925926E-2</v>
      </c>
      <c r="L1220" s="5">
        <f>23 / 86400</f>
        <v>2.6620370370370372E-4</v>
      </c>
    </row>
    <row r="1221" spans="1:12" x14ac:dyDescent="0.25">
      <c r="A1221" s="3">
        <v>45693.916192129633</v>
      </c>
      <c r="B1221" t="s">
        <v>312</v>
      </c>
      <c r="C1221" s="3">
        <v>45693.918171296296</v>
      </c>
      <c r="D1221" t="s">
        <v>312</v>
      </c>
      <c r="E1221" s="4">
        <v>3.13</v>
      </c>
      <c r="F1221" s="4">
        <v>46647.555</v>
      </c>
      <c r="G1221" s="4">
        <v>46650.684999999998</v>
      </c>
      <c r="H1221" s="5">
        <f>39 / 86400</f>
        <v>4.5138888888888887E-4</v>
      </c>
      <c r="I1221" t="s">
        <v>174</v>
      </c>
      <c r="J1221" t="s">
        <v>147</v>
      </c>
      <c r="K1221" s="5">
        <f>171 / 86400</f>
        <v>1.9791666666666668E-3</v>
      </c>
      <c r="L1221" s="5">
        <f>86 / 86400</f>
        <v>9.9537037037037042E-4</v>
      </c>
    </row>
    <row r="1222" spans="1:12" x14ac:dyDescent="0.25">
      <c r="A1222" s="3">
        <v>45693.919166666667</v>
      </c>
      <c r="B1222" t="s">
        <v>313</v>
      </c>
      <c r="C1222" s="3">
        <v>45693.919212962966</v>
      </c>
      <c r="D1222" t="s">
        <v>313</v>
      </c>
      <c r="E1222" s="4">
        <v>0</v>
      </c>
      <c r="F1222" s="4">
        <v>46650.684999999998</v>
      </c>
      <c r="G1222" s="4">
        <v>46650.684999999998</v>
      </c>
      <c r="H1222" s="5">
        <f>0 / 86400</f>
        <v>0</v>
      </c>
      <c r="I1222" t="s">
        <v>124</v>
      </c>
      <c r="J1222" t="s">
        <v>124</v>
      </c>
      <c r="K1222" s="5">
        <f>4 / 86400</f>
        <v>4.6296296296296294E-5</v>
      </c>
      <c r="L1222" s="5">
        <f>1 / 86400</f>
        <v>1.1574074074074073E-5</v>
      </c>
    </row>
    <row r="1223" spans="1:12" x14ac:dyDescent="0.25">
      <c r="A1223" s="3">
        <v>45693.919224537036</v>
      </c>
      <c r="B1223" t="s">
        <v>313</v>
      </c>
      <c r="C1223" s="3">
        <v>45693.919236111113</v>
      </c>
      <c r="D1223" t="s">
        <v>313</v>
      </c>
      <c r="E1223" s="4">
        <v>0</v>
      </c>
      <c r="F1223" s="4">
        <v>46650.684999999998</v>
      </c>
      <c r="G1223" s="4">
        <v>46650.684999999998</v>
      </c>
      <c r="H1223" s="5">
        <f>0 / 86400</f>
        <v>0</v>
      </c>
      <c r="I1223" t="s">
        <v>124</v>
      </c>
      <c r="J1223" t="s">
        <v>124</v>
      </c>
      <c r="K1223" s="5">
        <f>1 / 86400</f>
        <v>1.1574074074074073E-5</v>
      </c>
      <c r="L1223" s="5">
        <f>3 / 86400</f>
        <v>3.4722222222222222E-5</v>
      </c>
    </row>
    <row r="1224" spans="1:12" x14ac:dyDescent="0.25">
      <c r="A1224" s="3">
        <v>45693.919270833328</v>
      </c>
      <c r="B1224" t="s">
        <v>313</v>
      </c>
      <c r="C1224" s="3">
        <v>45693.99700231482</v>
      </c>
      <c r="D1224" t="s">
        <v>108</v>
      </c>
      <c r="E1224" s="4">
        <v>158.66</v>
      </c>
      <c r="F1224" s="4">
        <v>46650.684999999998</v>
      </c>
      <c r="G1224" s="4">
        <v>46809.345000000001</v>
      </c>
      <c r="H1224" s="5">
        <f>2409 / 86400</f>
        <v>2.7881944444444445E-2</v>
      </c>
      <c r="I1224" t="s">
        <v>283</v>
      </c>
      <c r="J1224" t="s">
        <v>47</v>
      </c>
      <c r="K1224" s="5">
        <f>6716 / 86400</f>
        <v>7.7731481481481485E-2</v>
      </c>
      <c r="L1224" s="5">
        <f>63 / 86400</f>
        <v>7.291666666666667E-4</v>
      </c>
    </row>
    <row r="1225" spans="1:12" x14ac:dyDescent="0.25">
      <c r="A1225" s="3">
        <v>45693.997731481482</v>
      </c>
      <c r="B1225" t="s">
        <v>108</v>
      </c>
      <c r="C1225" s="3">
        <v>45693.99998842593</v>
      </c>
      <c r="D1225" t="s">
        <v>108</v>
      </c>
      <c r="E1225" s="4">
        <v>5.0000000000000001E-3</v>
      </c>
      <c r="F1225" s="4">
        <v>46809.345000000001</v>
      </c>
      <c r="G1225" s="4">
        <v>46809.35</v>
      </c>
      <c r="H1225" s="5">
        <f>199 / 86400</f>
        <v>2.3032407407407407E-3</v>
      </c>
      <c r="I1225" t="s">
        <v>124</v>
      </c>
      <c r="J1225" t="s">
        <v>124</v>
      </c>
      <c r="K1225" s="5">
        <f>195 / 86400</f>
        <v>2.2569444444444442E-3</v>
      </c>
      <c r="L1225" s="5">
        <f>0 / 86400</f>
        <v>0</v>
      </c>
    </row>
    <row r="1226" spans="1:12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</row>
    <row r="1227" spans="1:12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</row>
    <row r="1228" spans="1:12" s="10" customFormat="1" ht="20.100000000000001" customHeight="1" x14ac:dyDescent="0.35">
      <c r="A1228" s="12" t="s">
        <v>457</v>
      </c>
      <c r="B1228" s="12"/>
      <c r="C1228" s="12"/>
      <c r="D1228" s="12"/>
      <c r="E1228" s="12"/>
      <c r="F1228" s="12"/>
      <c r="G1228" s="12"/>
      <c r="H1228" s="12"/>
      <c r="I1228" s="12"/>
      <c r="J1228" s="12"/>
    </row>
    <row r="1229" spans="1:12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</row>
    <row r="1230" spans="1:12" ht="30" x14ac:dyDescent="0.25">
      <c r="A1230" s="2" t="s">
        <v>6</v>
      </c>
      <c r="B1230" s="2" t="s">
        <v>7</v>
      </c>
      <c r="C1230" s="2" t="s">
        <v>8</v>
      </c>
      <c r="D1230" s="2" t="s">
        <v>9</v>
      </c>
      <c r="E1230" s="2" t="s">
        <v>10</v>
      </c>
      <c r="F1230" s="2" t="s">
        <v>11</v>
      </c>
      <c r="G1230" s="2" t="s">
        <v>12</v>
      </c>
      <c r="H1230" s="2" t="s">
        <v>13</v>
      </c>
      <c r="I1230" s="2" t="s">
        <v>14</v>
      </c>
      <c r="J1230" s="2" t="s">
        <v>15</v>
      </c>
      <c r="K1230" s="2" t="s">
        <v>16</v>
      </c>
      <c r="L1230" s="2" t="s">
        <v>17</v>
      </c>
    </row>
    <row r="1231" spans="1:12" x14ac:dyDescent="0.25">
      <c r="A1231" s="3">
        <v>45693.186087962968</v>
      </c>
      <c r="B1231" t="s">
        <v>109</v>
      </c>
      <c r="C1231" s="3">
        <v>45693.267175925925</v>
      </c>
      <c r="D1231" t="s">
        <v>327</v>
      </c>
      <c r="E1231" s="4">
        <v>50.823</v>
      </c>
      <c r="F1231" s="4">
        <v>56979.409</v>
      </c>
      <c r="G1231" s="4">
        <v>57030.232000000004</v>
      </c>
      <c r="H1231" s="5">
        <f>1679 / 86400</f>
        <v>1.9432870370370371E-2</v>
      </c>
      <c r="I1231" t="s">
        <v>76</v>
      </c>
      <c r="J1231" t="s">
        <v>172</v>
      </c>
      <c r="K1231" s="5">
        <f>7005 / 86400</f>
        <v>8.1076388888888892E-2</v>
      </c>
      <c r="L1231" s="5">
        <f>16119 / 86400</f>
        <v>0.18656249999999999</v>
      </c>
    </row>
    <row r="1232" spans="1:12" x14ac:dyDescent="0.25">
      <c r="A1232" s="3">
        <v>45693.267650462964</v>
      </c>
      <c r="B1232" t="s">
        <v>327</v>
      </c>
      <c r="C1232" s="3">
        <v>45693.370810185181</v>
      </c>
      <c r="D1232" t="s">
        <v>111</v>
      </c>
      <c r="E1232" s="4">
        <v>50.253999999999998</v>
      </c>
      <c r="F1232" s="4">
        <v>57030.232000000004</v>
      </c>
      <c r="G1232" s="4">
        <v>57080.485999999997</v>
      </c>
      <c r="H1232" s="5">
        <f>2140 / 86400</f>
        <v>2.476851851851852E-2</v>
      </c>
      <c r="I1232" t="s">
        <v>54</v>
      </c>
      <c r="J1232" t="s">
        <v>128</v>
      </c>
      <c r="K1232" s="5">
        <f>8912 / 86400</f>
        <v>0.10314814814814814</v>
      </c>
      <c r="L1232" s="5">
        <f>533 / 86400</f>
        <v>6.1689814814814819E-3</v>
      </c>
    </row>
    <row r="1233" spans="1:12" x14ac:dyDescent="0.25">
      <c r="A1233" s="3">
        <v>45693.376979166671</v>
      </c>
      <c r="B1233" t="s">
        <v>111</v>
      </c>
      <c r="C1233" s="3">
        <v>45693.377210648148</v>
      </c>
      <c r="D1233" t="s">
        <v>42</v>
      </c>
      <c r="E1233" s="4">
        <v>0.02</v>
      </c>
      <c r="F1233" s="4">
        <v>57080.485999999997</v>
      </c>
      <c r="G1233" s="4">
        <v>57080.506000000001</v>
      </c>
      <c r="H1233" s="5">
        <f>0 / 86400</f>
        <v>0</v>
      </c>
      <c r="I1233" t="s">
        <v>82</v>
      </c>
      <c r="J1233" t="s">
        <v>86</v>
      </c>
      <c r="K1233" s="5">
        <f>19 / 86400</f>
        <v>2.199074074074074E-4</v>
      </c>
      <c r="L1233" s="5">
        <f>1668 / 86400</f>
        <v>1.9305555555555555E-2</v>
      </c>
    </row>
    <row r="1234" spans="1:12" x14ac:dyDescent="0.25">
      <c r="A1234" s="3">
        <v>45693.396516203706</v>
      </c>
      <c r="B1234" t="s">
        <v>42</v>
      </c>
      <c r="C1234" s="3">
        <v>45693.401192129633</v>
      </c>
      <c r="D1234" t="s">
        <v>118</v>
      </c>
      <c r="E1234" s="4">
        <v>1.1020000000000001</v>
      </c>
      <c r="F1234" s="4">
        <v>57080.506000000001</v>
      </c>
      <c r="G1234" s="4">
        <v>57081.608</v>
      </c>
      <c r="H1234" s="5">
        <f>59 / 86400</f>
        <v>6.8287037037037036E-4</v>
      </c>
      <c r="I1234" t="s">
        <v>150</v>
      </c>
      <c r="J1234" t="s">
        <v>20</v>
      </c>
      <c r="K1234" s="5">
        <f>404 / 86400</f>
        <v>4.6759259259259263E-3</v>
      </c>
      <c r="L1234" s="5">
        <f>371 / 86400</f>
        <v>4.2939814814814811E-3</v>
      </c>
    </row>
    <row r="1235" spans="1:12" x14ac:dyDescent="0.25">
      <c r="A1235" s="3">
        <v>45693.405486111107</v>
      </c>
      <c r="B1235" t="s">
        <v>118</v>
      </c>
      <c r="C1235" s="3">
        <v>45693.521099537036</v>
      </c>
      <c r="D1235" t="s">
        <v>327</v>
      </c>
      <c r="E1235" s="4">
        <v>50.783000000000001</v>
      </c>
      <c r="F1235" s="4">
        <v>57081.608</v>
      </c>
      <c r="G1235" s="4">
        <v>57132.391000000003</v>
      </c>
      <c r="H1235" s="5">
        <f>3881 / 86400</f>
        <v>4.4918981481481483E-2</v>
      </c>
      <c r="I1235" t="s">
        <v>92</v>
      </c>
      <c r="J1235" t="s">
        <v>24</v>
      </c>
      <c r="K1235" s="5">
        <f>9989 / 86400</f>
        <v>0.11561342592592593</v>
      </c>
      <c r="L1235" s="5">
        <f>50 / 86400</f>
        <v>5.7870370370370367E-4</v>
      </c>
    </row>
    <row r="1236" spans="1:12" x14ac:dyDescent="0.25">
      <c r="A1236" s="3">
        <v>45693.521678240737</v>
      </c>
      <c r="B1236" t="s">
        <v>327</v>
      </c>
      <c r="C1236" s="3">
        <v>45693.562326388885</v>
      </c>
      <c r="D1236" t="s">
        <v>243</v>
      </c>
      <c r="E1236" s="4">
        <v>6.3230000000000004</v>
      </c>
      <c r="F1236" s="4">
        <v>57132.391000000003</v>
      </c>
      <c r="G1236" s="4">
        <v>57138.714</v>
      </c>
      <c r="H1236" s="5">
        <f>2220 / 86400</f>
        <v>2.5694444444444443E-2</v>
      </c>
      <c r="I1236" t="s">
        <v>171</v>
      </c>
      <c r="J1236" t="s">
        <v>260</v>
      </c>
      <c r="K1236" s="5">
        <f>3511 / 86400</f>
        <v>4.0636574074074075E-2</v>
      </c>
      <c r="L1236" s="5">
        <f>24 / 86400</f>
        <v>2.7777777777777778E-4</v>
      </c>
    </row>
    <row r="1237" spans="1:12" x14ac:dyDescent="0.25">
      <c r="A1237" s="3">
        <v>45693.562604166669</v>
      </c>
      <c r="B1237" t="s">
        <v>243</v>
      </c>
      <c r="C1237" s="3">
        <v>45693.647407407407</v>
      </c>
      <c r="D1237" t="s">
        <v>73</v>
      </c>
      <c r="E1237" s="4">
        <v>44.545999999999999</v>
      </c>
      <c r="F1237" s="4">
        <v>57138.714</v>
      </c>
      <c r="G1237" s="4">
        <v>57183.26</v>
      </c>
      <c r="H1237" s="5">
        <f>1799 / 86400</f>
        <v>2.0821759259259259E-2</v>
      </c>
      <c r="I1237" t="s">
        <v>47</v>
      </c>
      <c r="J1237" t="s">
        <v>39</v>
      </c>
      <c r="K1237" s="5">
        <f>7327 / 86400</f>
        <v>8.4803240740740735E-2</v>
      </c>
      <c r="L1237" s="5">
        <f>386 / 86400</f>
        <v>4.4675925925925924E-3</v>
      </c>
    </row>
    <row r="1238" spans="1:12" x14ac:dyDescent="0.25">
      <c r="A1238" s="3">
        <v>45693.651874999996</v>
      </c>
      <c r="B1238" t="s">
        <v>148</v>
      </c>
      <c r="C1238" s="3">
        <v>45693.652766203704</v>
      </c>
      <c r="D1238" t="s">
        <v>144</v>
      </c>
      <c r="E1238" s="4">
        <v>0.108</v>
      </c>
      <c r="F1238" s="4">
        <v>57183.26</v>
      </c>
      <c r="G1238" s="4">
        <v>57183.368000000002</v>
      </c>
      <c r="H1238" s="5">
        <f>19 / 86400</f>
        <v>2.199074074074074E-4</v>
      </c>
      <c r="I1238" t="s">
        <v>35</v>
      </c>
      <c r="J1238" t="s">
        <v>133</v>
      </c>
      <c r="K1238" s="5">
        <f>76 / 86400</f>
        <v>8.7962962962962962E-4</v>
      </c>
      <c r="L1238" s="5">
        <f>238 / 86400</f>
        <v>2.7546296296296294E-3</v>
      </c>
    </row>
    <row r="1239" spans="1:12" x14ac:dyDescent="0.25">
      <c r="A1239" s="3">
        <v>45693.65552083333</v>
      </c>
      <c r="B1239" t="s">
        <v>144</v>
      </c>
      <c r="C1239" s="3">
        <v>45693.657233796301</v>
      </c>
      <c r="D1239" t="s">
        <v>109</v>
      </c>
      <c r="E1239" s="4">
        <v>0.41699999999999998</v>
      </c>
      <c r="F1239" s="4">
        <v>57183.368000000002</v>
      </c>
      <c r="G1239" s="4">
        <v>57183.785000000003</v>
      </c>
      <c r="H1239" s="5">
        <f>20 / 86400</f>
        <v>2.3148148148148149E-4</v>
      </c>
      <c r="I1239" t="s">
        <v>160</v>
      </c>
      <c r="J1239" t="s">
        <v>20</v>
      </c>
      <c r="K1239" s="5">
        <f>147 / 86400</f>
        <v>1.7013888888888888E-3</v>
      </c>
      <c r="L1239" s="5">
        <f>101 / 86400</f>
        <v>1.1689814814814816E-3</v>
      </c>
    </row>
    <row r="1240" spans="1:12" x14ac:dyDescent="0.25">
      <c r="A1240" s="3">
        <v>45693.658402777779</v>
      </c>
      <c r="B1240" t="s">
        <v>109</v>
      </c>
      <c r="C1240" s="3">
        <v>45693.65898148148</v>
      </c>
      <c r="D1240" t="s">
        <v>109</v>
      </c>
      <c r="E1240" s="4">
        <v>0.04</v>
      </c>
      <c r="F1240" s="4">
        <v>57183.785000000003</v>
      </c>
      <c r="G1240" s="4">
        <v>57183.824999999997</v>
      </c>
      <c r="H1240" s="5">
        <f>20 / 86400</f>
        <v>2.3148148148148149E-4</v>
      </c>
      <c r="I1240" t="s">
        <v>119</v>
      </c>
      <c r="J1240" t="s">
        <v>149</v>
      </c>
      <c r="K1240" s="5">
        <f>50 / 86400</f>
        <v>5.7870370370370367E-4</v>
      </c>
      <c r="L1240" s="5">
        <f>2281 / 86400</f>
        <v>2.6400462962962962E-2</v>
      </c>
    </row>
    <row r="1241" spans="1:12" x14ac:dyDescent="0.25">
      <c r="A1241" s="3">
        <v>45693.685381944444</v>
      </c>
      <c r="B1241" t="s">
        <v>109</v>
      </c>
      <c r="C1241" s="3">
        <v>45693.990000000005</v>
      </c>
      <c r="D1241" t="s">
        <v>158</v>
      </c>
      <c r="E1241" s="4">
        <v>109.53400000000001</v>
      </c>
      <c r="F1241" s="4">
        <v>57183.824999999997</v>
      </c>
      <c r="G1241" s="4">
        <v>57293.358999999997</v>
      </c>
      <c r="H1241" s="5">
        <f>8900 / 86400</f>
        <v>0.10300925925925926</v>
      </c>
      <c r="I1241" t="s">
        <v>33</v>
      </c>
      <c r="J1241" t="s">
        <v>35</v>
      </c>
      <c r="K1241" s="5">
        <f>26318 / 86400</f>
        <v>0.30460648148148151</v>
      </c>
      <c r="L1241" s="5">
        <f>11 / 86400</f>
        <v>1.273148148148148E-4</v>
      </c>
    </row>
    <row r="1242" spans="1:12" x14ac:dyDescent="0.25">
      <c r="A1242" s="3">
        <v>45693.990127314813</v>
      </c>
      <c r="B1242" t="s">
        <v>158</v>
      </c>
      <c r="C1242" s="3">
        <v>45693.99998842593</v>
      </c>
      <c r="D1242" t="s">
        <v>110</v>
      </c>
      <c r="E1242" s="4">
        <v>5.9870000000000001</v>
      </c>
      <c r="F1242" s="4">
        <v>57293.358999999997</v>
      </c>
      <c r="G1242" s="4">
        <v>57299.345999999998</v>
      </c>
      <c r="H1242" s="5">
        <f>379 / 86400</f>
        <v>4.386574074074074E-3</v>
      </c>
      <c r="I1242" t="s">
        <v>60</v>
      </c>
      <c r="J1242" t="s">
        <v>153</v>
      </c>
      <c r="K1242" s="5">
        <f>852 / 86400</f>
        <v>9.8611111111111104E-3</v>
      </c>
      <c r="L1242" s="5">
        <f>0 / 86400</f>
        <v>0</v>
      </c>
    </row>
    <row r="1243" spans="1:12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</row>
    <row r="1244" spans="1:12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</row>
    <row r="1245" spans="1:12" s="10" customFormat="1" ht="20.100000000000001" customHeight="1" x14ac:dyDescent="0.35">
      <c r="A1245" s="12" t="s">
        <v>458</v>
      </c>
      <c r="B1245" s="12"/>
      <c r="C1245" s="12"/>
      <c r="D1245" s="12"/>
      <c r="E1245" s="12"/>
      <c r="F1245" s="12"/>
      <c r="G1245" s="12"/>
      <c r="H1245" s="12"/>
      <c r="I1245" s="12"/>
      <c r="J1245" s="12"/>
    </row>
    <row r="1246" spans="1:12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</row>
    <row r="1247" spans="1:12" ht="30" x14ac:dyDescent="0.25">
      <c r="A1247" s="2" t="s">
        <v>6</v>
      </c>
      <c r="B1247" s="2" t="s">
        <v>7</v>
      </c>
      <c r="C1247" s="2" t="s">
        <v>8</v>
      </c>
      <c r="D1247" s="2" t="s">
        <v>9</v>
      </c>
      <c r="E1247" s="2" t="s">
        <v>10</v>
      </c>
      <c r="F1247" s="2" t="s">
        <v>11</v>
      </c>
      <c r="G1247" s="2" t="s">
        <v>12</v>
      </c>
      <c r="H1247" s="2" t="s">
        <v>13</v>
      </c>
      <c r="I1247" s="2" t="s">
        <v>14</v>
      </c>
      <c r="J1247" s="2" t="s">
        <v>15</v>
      </c>
      <c r="K1247" s="2" t="s">
        <v>16</v>
      </c>
      <c r="L1247" s="2" t="s">
        <v>17</v>
      </c>
    </row>
    <row r="1248" spans="1:12" x14ac:dyDescent="0.25">
      <c r="A1248" s="3">
        <v>45693.156504629631</v>
      </c>
      <c r="B1248" t="s">
        <v>111</v>
      </c>
      <c r="C1248" s="3">
        <v>45693.159756944442</v>
      </c>
      <c r="D1248" t="s">
        <v>148</v>
      </c>
      <c r="E1248" s="4">
        <v>0.66700000000000004</v>
      </c>
      <c r="F1248" s="4">
        <v>60248.228999999999</v>
      </c>
      <c r="G1248" s="4">
        <v>60248.896000000001</v>
      </c>
      <c r="H1248" s="5">
        <f>159 / 86400</f>
        <v>1.8402777777777777E-3</v>
      </c>
      <c r="I1248" t="s">
        <v>204</v>
      </c>
      <c r="J1248" t="s">
        <v>82</v>
      </c>
      <c r="K1248" s="5">
        <f>280 / 86400</f>
        <v>3.2407407407407406E-3</v>
      </c>
      <c r="L1248" s="5">
        <f>14664 / 86400</f>
        <v>0.16972222222222222</v>
      </c>
    </row>
    <row r="1249" spans="1:12" x14ac:dyDescent="0.25">
      <c r="A1249" s="3">
        <v>45693.172974537039</v>
      </c>
      <c r="B1249" t="s">
        <v>148</v>
      </c>
      <c r="C1249" s="3">
        <v>45693.241979166662</v>
      </c>
      <c r="D1249" t="s">
        <v>247</v>
      </c>
      <c r="E1249" s="4">
        <v>43.533999999999999</v>
      </c>
      <c r="F1249" s="4">
        <v>60248.896000000001</v>
      </c>
      <c r="G1249" s="4">
        <v>60292.43</v>
      </c>
      <c r="H1249" s="5">
        <f>1539 / 86400</f>
        <v>1.7812499999999998E-2</v>
      </c>
      <c r="I1249" t="s">
        <v>43</v>
      </c>
      <c r="J1249" t="s">
        <v>172</v>
      </c>
      <c r="K1249" s="5">
        <f>5962 / 86400</f>
        <v>6.9004629629629624E-2</v>
      </c>
      <c r="L1249" s="5">
        <f>178 / 86400</f>
        <v>2.0601851851851853E-3</v>
      </c>
    </row>
    <row r="1250" spans="1:12" x14ac:dyDescent="0.25">
      <c r="A1250" s="3">
        <v>45693.244039351848</v>
      </c>
      <c r="B1250" t="s">
        <v>247</v>
      </c>
      <c r="C1250" s="3">
        <v>45693.31549768518</v>
      </c>
      <c r="D1250" t="s">
        <v>139</v>
      </c>
      <c r="E1250" s="4">
        <v>39.950000000000003</v>
      </c>
      <c r="F1250" s="4">
        <v>60292.43</v>
      </c>
      <c r="G1250" s="4">
        <v>60332.38</v>
      </c>
      <c r="H1250" s="5">
        <f>1380 / 86400</f>
        <v>1.5972222222222221E-2</v>
      </c>
      <c r="I1250" t="s">
        <v>141</v>
      </c>
      <c r="J1250" t="s">
        <v>150</v>
      </c>
      <c r="K1250" s="5">
        <f>6174 / 86400</f>
        <v>7.1458333333333332E-2</v>
      </c>
      <c r="L1250" s="5">
        <f>871 / 86400</f>
        <v>1.0081018518518519E-2</v>
      </c>
    </row>
    <row r="1251" spans="1:12" x14ac:dyDescent="0.25">
      <c r="A1251" s="3">
        <v>45693.325578703705</v>
      </c>
      <c r="B1251" t="s">
        <v>164</v>
      </c>
      <c r="C1251" s="3">
        <v>45693.328622685185</v>
      </c>
      <c r="D1251" t="s">
        <v>371</v>
      </c>
      <c r="E1251" s="4">
        <v>0.753</v>
      </c>
      <c r="F1251" s="4">
        <v>60332.38</v>
      </c>
      <c r="G1251" s="4">
        <v>60333.133000000002</v>
      </c>
      <c r="H1251" s="5">
        <f>60 / 86400</f>
        <v>6.9444444444444447E-4</v>
      </c>
      <c r="I1251" t="s">
        <v>169</v>
      </c>
      <c r="J1251" t="s">
        <v>20</v>
      </c>
      <c r="K1251" s="5">
        <f>263 / 86400</f>
        <v>3.0439814814814813E-3</v>
      </c>
      <c r="L1251" s="5">
        <f>6489 / 86400</f>
        <v>7.5104166666666666E-2</v>
      </c>
    </row>
    <row r="1252" spans="1:12" x14ac:dyDescent="0.25">
      <c r="A1252" s="3">
        <v>45693.403726851851</v>
      </c>
      <c r="B1252" t="s">
        <v>371</v>
      </c>
      <c r="C1252" s="3">
        <v>45693.509641203702</v>
      </c>
      <c r="D1252" t="s">
        <v>332</v>
      </c>
      <c r="E1252" s="4">
        <v>43.030999999999999</v>
      </c>
      <c r="F1252" s="4">
        <v>60333.133000000002</v>
      </c>
      <c r="G1252" s="4">
        <v>60376.163999999997</v>
      </c>
      <c r="H1252" s="5">
        <f>3480 / 86400</f>
        <v>4.027777777777778E-2</v>
      </c>
      <c r="I1252" t="s">
        <v>71</v>
      </c>
      <c r="J1252" t="s">
        <v>28</v>
      </c>
      <c r="K1252" s="5">
        <f>9150 / 86400</f>
        <v>0.10590277777777778</v>
      </c>
      <c r="L1252" s="5">
        <f>328 / 86400</f>
        <v>3.7962962962962963E-3</v>
      </c>
    </row>
    <row r="1253" spans="1:12" x14ac:dyDescent="0.25">
      <c r="A1253" s="3">
        <v>45693.513437500005</v>
      </c>
      <c r="B1253" t="s">
        <v>332</v>
      </c>
      <c r="C1253" s="3">
        <v>45693.623564814814</v>
      </c>
      <c r="D1253" t="s">
        <v>73</v>
      </c>
      <c r="E1253" s="4">
        <v>45.911999999999999</v>
      </c>
      <c r="F1253" s="4">
        <v>60376.163999999997</v>
      </c>
      <c r="G1253" s="4">
        <v>60422.076000000001</v>
      </c>
      <c r="H1253" s="5">
        <f>3243 / 86400</f>
        <v>3.7534722222222219E-2</v>
      </c>
      <c r="I1253" t="s">
        <v>71</v>
      </c>
      <c r="J1253" t="s">
        <v>28</v>
      </c>
      <c r="K1253" s="5">
        <f>9514 / 86400</f>
        <v>0.11011574074074074</v>
      </c>
      <c r="L1253" s="5">
        <f>272 / 86400</f>
        <v>3.1481481481481482E-3</v>
      </c>
    </row>
    <row r="1254" spans="1:12" x14ac:dyDescent="0.25">
      <c r="A1254" s="3">
        <v>45693.626712962963</v>
      </c>
      <c r="B1254" t="s">
        <v>73</v>
      </c>
      <c r="C1254" s="3">
        <v>45693.627465277779</v>
      </c>
      <c r="D1254" t="s">
        <v>144</v>
      </c>
      <c r="E1254" s="4">
        <v>0.19500000000000001</v>
      </c>
      <c r="F1254" s="4">
        <v>60422.076000000001</v>
      </c>
      <c r="G1254" s="4">
        <v>60422.271000000001</v>
      </c>
      <c r="H1254" s="5">
        <f>0 / 86400</f>
        <v>0</v>
      </c>
      <c r="I1254" t="s">
        <v>212</v>
      </c>
      <c r="J1254" t="s">
        <v>154</v>
      </c>
      <c r="K1254" s="5">
        <f>65 / 86400</f>
        <v>7.5231481481481482E-4</v>
      </c>
      <c r="L1254" s="5">
        <f>102 / 86400</f>
        <v>1.1805555555555556E-3</v>
      </c>
    </row>
    <row r="1255" spans="1:12" x14ac:dyDescent="0.25">
      <c r="A1255" s="3">
        <v>45693.628645833334</v>
      </c>
      <c r="B1255" t="s">
        <v>144</v>
      </c>
      <c r="C1255" s="3">
        <v>45693.631296296298</v>
      </c>
      <c r="D1255" t="s">
        <v>111</v>
      </c>
      <c r="E1255" s="4">
        <v>0.76200000000000001</v>
      </c>
      <c r="F1255" s="4">
        <v>60422.271000000001</v>
      </c>
      <c r="G1255" s="4">
        <v>60423.033000000003</v>
      </c>
      <c r="H1255" s="5">
        <f>40 / 86400</f>
        <v>4.6296296296296298E-4</v>
      </c>
      <c r="I1255" t="s">
        <v>138</v>
      </c>
      <c r="J1255" t="s">
        <v>59</v>
      </c>
      <c r="K1255" s="5">
        <f>229 / 86400</f>
        <v>2.650462962962963E-3</v>
      </c>
      <c r="L1255" s="5">
        <f>50 / 86400</f>
        <v>5.7870370370370367E-4</v>
      </c>
    </row>
    <row r="1256" spans="1:12" x14ac:dyDescent="0.25">
      <c r="A1256" s="3">
        <v>45693.631874999999</v>
      </c>
      <c r="B1256" t="s">
        <v>111</v>
      </c>
      <c r="C1256" s="3">
        <v>45693.632210648153</v>
      </c>
      <c r="D1256" t="s">
        <v>111</v>
      </c>
      <c r="E1256" s="4">
        <v>1.6E-2</v>
      </c>
      <c r="F1256" s="4">
        <v>60423.033000000003</v>
      </c>
      <c r="G1256" s="4">
        <v>60423.048999999999</v>
      </c>
      <c r="H1256" s="5">
        <f>0 / 86400</f>
        <v>0</v>
      </c>
      <c r="I1256" t="s">
        <v>260</v>
      </c>
      <c r="J1256" t="s">
        <v>126</v>
      </c>
      <c r="K1256" s="5">
        <f>29 / 86400</f>
        <v>3.3564814814814812E-4</v>
      </c>
      <c r="L1256" s="5">
        <f>830 / 86400</f>
        <v>9.6064814814814815E-3</v>
      </c>
    </row>
    <row r="1257" spans="1:12" x14ac:dyDescent="0.25">
      <c r="A1257" s="3">
        <v>45693.641817129625</v>
      </c>
      <c r="B1257" t="s">
        <v>111</v>
      </c>
      <c r="C1257" s="3">
        <v>45693.805891203709</v>
      </c>
      <c r="D1257" t="s">
        <v>328</v>
      </c>
      <c r="E1257" s="4">
        <v>68.564999999999998</v>
      </c>
      <c r="F1257" s="4">
        <v>60423.048999999999</v>
      </c>
      <c r="G1257" s="4">
        <v>60491.614000000001</v>
      </c>
      <c r="H1257" s="5">
        <f>5478 / 86400</f>
        <v>6.340277777777778E-2</v>
      </c>
      <c r="I1257" t="s">
        <v>38</v>
      </c>
      <c r="J1257" t="s">
        <v>28</v>
      </c>
      <c r="K1257" s="5">
        <f>14176 / 86400</f>
        <v>0.16407407407407407</v>
      </c>
      <c r="L1257" s="5">
        <f>51 / 86400</f>
        <v>5.9027777777777778E-4</v>
      </c>
    </row>
    <row r="1258" spans="1:12" x14ac:dyDescent="0.25">
      <c r="A1258" s="3">
        <v>45693.806481481486</v>
      </c>
      <c r="B1258" t="s">
        <v>328</v>
      </c>
      <c r="C1258" s="3">
        <v>45693.806585648148</v>
      </c>
      <c r="D1258" t="s">
        <v>328</v>
      </c>
      <c r="E1258" s="4">
        <v>4.0000000000000001E-3</v>
      </c>
      <c r="F1258" s="4">
        <v>60491.614000000001</v>
      </c>
      <c r="G1258" s="4">
        <v>60491.618000000002</v>
      </c>
      <c r="H1258" s="5">
        <f>0 / 86400</f>
        <v>0</v>
      </c>
      <c r="I1258" t="s">
        <v>124</v>
      </c>
      <c r="J1258" t="s">
        <v>126</v>
      </c>
      <c r="K1258" s="5">
        <f>9 / 86400</f>
        <v>1.0416666666666667E-4</v>
      </c>
      <c r="L1258" s="5">
        <f>423 / 86400</f>
        <v>4.8958333333333336E-3</v>
      </c>
    </row>
    <row r="1259" spans="1:12" x14ac:dyDescent="0.25">
      <c r="A1259" s="3">
        <v>45693.811481481476</v>
      </c>
      <c r="B1259" t="s">
        <v>129</v>
      </c>
      <c r="C1259" s="3">
        <v>45693.99998842593</v>
      </c>
      <c r="D1259" t="s">
        <v>112</v>
      </c>
      <c r="E1259" s="4">
        <v>86.022999999999996</v>
      </c>
      <c r="F1259" s="4">
        <v>60491.618000000002</v>
      </c>
      <c r="G1259" s="4">
        <v>60577.641000000003</v>
      </c>
      <c r="H1259" s="5">
        <f>5880 / 86400</f>
        <v>6.805555555555555E-2</v>
      </c>
      <c r="I1259" t="s">
        <v>33</v>
      </c>
      <c r="J1259" t="s">
        <v>37</v>
      </c>
      <c r="K1259" s="5">
        <f>16287 / 86400</f>
        <v>0.18850694444444444</v>
      </c>
      <c r="L1259" s="5">
        <f>0 / 86400</f>
        <v>0</v>
      </c>
    </row>
    <row r="1260" spans="1:12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</row>
    <row r="1261" spans="1:12" x14ac:dyDescent="0.25">
      <c r="A1261" s="11" t="s">
        <v>114</v>
      </c>
      <c r="B1261" s="11"/>
      <c r="C1261" s="11"/>
      <c r="D1261" s="11"/>
      <c r="E1261" s="11"/>
      <c r="F1261" s="11"/>
      <c r="G1261" s="11"/>
      <c r="H1261" s="11"/>
      <c r="I1261" s="11"/>
      <c r="J1261" s="11"/>
    </row>
  </sheetData>
  <mergeCells count="254">
    <mergeCell ref="A1:J1"/>
    <mergeCell ref="A2:J2"/>
    <mergeCell ref="A3:J3"/>
    <mergeCell ref="A4:J4"/>
    <mergeCell ref="A5:J5"/>
    <mergeCell ref="A6:J6"/>
    <mergeCell ref="A70:J70"/>
    <mergeCell ref="A71:J71"/>
    <mergeCell ref="A72:J72"/>
    <mergeCell ref="A73:J73"/>
    <mergeCell ref="A74:J74"/>
    <mergeCell ref="A75:J75"/>
    <mergeCell ref="A89:J89"/>
    <mergeCell ref="A90:J90"/>
    <mergeCell ref="A91:J91"/>
    <mergeCell ref="A92:J92"/>
    <mergeCell ref="A100:J100"/>
    <mergeCell ref="A101:J101"/>
    <mergeCell ref="A102:J102"/>
    <mergeCell ref="A103:J103"/>
    <mergeCell ref="A120:J120"/>
    <mergeCell ref="A121:J121"/>
    <mergeCell ref="A122:J122"/>
    <mergeCell ref="A123:J123"/>
    <mergeCell ref="A138:J138"/>
    <mergeCell ref="A139:J139"/>
    <mergeCell ref="A140:J140"/>
    <mergeCell ref="A141:J141"/>
    <mergeCell ref="A158:J158"/>
    <mergeCell ref="A159:J159"/>
    <mergeCell ref="A160:J160"/>
    <mergeCell ref="A161:J161"/>
    <mergeCell ref="A170:J170"/>
    <mergeCell ref="A171:J171"/>
    <mergeCell ref="A172:J172"/>
    <mergeCell ref="A173:J173"/>
    <mergeCell ref="A185:J185"/>
    <mergeCell ref="A186:J186"/>
    <mergeCell ref="A187:J187"/>
    <mergeCell ref="A188:J188"/>
    <mergeCell ref="A408:J408"/>
    <mergeCell ref="A409:J409"/>
    <mergeCell ref="A410:J410"/>
    <mergeCell ref="A411:J411"/>
    <mergeCell ref="A417:J417"/>
    <mergeCell ref="A418:J418"/>
    <mergeCell ref="A419:J419"/>
    <mergeCell ref="A420:J420"/>
    <mergeCell ref="A432:J432"/>
    <mergeCell ref="A433:J433"/>
    <mergeCell ref="A434:J434"/>
    <mergeCell ref="A435:J435"/>
    <mergeCell ref="A451:J451"/>
    <mergeCell ref="A452:J452"/>
    <mergeCell ref="A453:J453"/>
    <mergeCell ref="A454:J454"/>
    <mergeCell ref="A465:J465"/>
    <mergeCell ref="A466:J466"/>
    <mergeCell ref="A467:J467"/>
    <mergeCell ref="A468:J468"/>
    <mergeCell ref="A482:J482"/>
    <mergeCell ref="A483:J483"/>
    <mergeCell ref="A484:J484"/>
    <mergeCell ref="A485:J485"/>
    <mergeCell ref="A508:J508"/>
    <mergeCell ref="A509:J509"/>
    <mergeCell ref="A510:J510"/>
    <mergeCell ref="A511:J511"/>
    <mergeCell ref="A527:J527"/>
    <mergeCell ref="A528:J528"/>
    <mergeCell ref="A529:J529"/>
    <mergeCell ref="A530:J530"/>
    <mergeCell ref="A545:J545"/>
    <mergeCell ref="A546:J546"/>
    <mergeCell ref="A547:J547"/>
    <mergeCell ref="A548:J548"/>
    <mergeCell ref="A569:J569"/>
    <mergeCell ref="A570:J570"/>
    <mergeCell ref="A571:J571"/>
    <mergeCell ref="A572:J572"/>
    <mergeCell ref="A592:J592"/>
    <mergeCell ref="A593:J593"/>
    <mergeCell ref="A594:J594"/>
    <mergeCell ref="A595:J595"/>
    <mergeCell ref="A608:J608"/>
    <mergeCell ref="A609:J609"/>
    <mergeCell ref="A610:J610"/>
    <mergeCell ref="A611:J611"/>
    <mergeCell ref="A621:J621"/>
    <mergeCell ref="A622:J622"/>
    <mergeCell ref="A623:J623"/>
    <mergeCell ref="A624:J624"/>
    <mergeCell ref="A631:J631"/>
    <mergeCell ref="A632:J632"/>
    <mergeCell ref="A633:J633"/>
    <mergeCell ref="A634:J634"/>
    <mergeCell ref="A655:J655"/>
    <mergeCell ref="A656:J656"/>
    <mergeCell ref="A657:J657"/>
    <mergeCell ref="A658:J658"/>
    <mergeCell ref="A670:J670"/>
    <mergeCell ref="A671:J671"/>
    <mergeCell ref="A672:J672"/>
    <mergeCell ref="A673:J673"/>
    <mergeCell ref="A687:J687"/>
    <mergeCell ref="A688:J688"/>
    <mergeCell ref="A689:J689"/>
    <mergeCell ref="A690:J690"/>
    <mergeCell ref="A705:J705"/>
    <mergeCell ref="A706:J706"/>
    <mergeCell ref="A707:J707"/>
    <mergeCell ref="A708:J708"/>
    <mergeCell ref="A720:J720"/>
    <mergeCell ref="A721:J721"/>
    <mergeCell ref="A722:J722"/>
    <mergeCell ref="A723:J723"/>
    <mergeCell ref="A728:J728"/>
    <mergeCell ref="A729:J729"/>
    <mergeCell ref="A730:J730"/>
    <mergeCell ref="A731:J731"/>
    <mergeCell ref="A739:J739"/>
    <mergeCell ref="A740:J740"/>
    <mergeCell ref="A741:J741"/>
    <mergeCell ref="A742:J742"/>
    <mergeCell ref="A756:J756"/>
    <mergeCell ref="A757:J757"/>
    <mergeCell ref="A758:J758"/>
    <mergeCell ref="A759:J759"/>
    <mergeCell ref="A779:J779"/>
    <mergeCell ref="A780:J780"/>
    <mergeCell ref="A781:J781"/>
    <mergeCell ref="A782:J782"/>
    <mergeCell ref="A804:J804"/>
    <mergeCell ref="A805:J805"/>
    <mergeCell ref="A806:J806"/>
    <mergeCell ref="A807:J807"/>
    <mergeCell ref="A818:J818"/>
    <mergeCell ref="A819:J819"/>
    <mergeCell ref="A820:J820"/>
    <mergeCell ref="A821:J821"/>
    <mergeCell ref="A824:J824"/>
    <mergeCell ref="A825:J825"/>
    <mergeCell ref="A826:J826"/>
    <mergeCell ref="A827:J827"/>
    <mergeCell ref="A841:J841"/>
    <mergeCell ref="A842:J842"/>
    <mergeCell ref="A843:J843"/>
    <mergeCell ref="A844:J844"/>
    <mergeCell ref="A851:J851"/>
    <mergeCell ref="A852:J852"/>
    <mergeCell ref="A853:J853"/>
    <mergeCell ref="A854:J854"/>
    <mergeCell ref="A866:J866"/>
    <mergeCell ref="A867:J867"/>
    <mergeCell ref="A868:J868"/>
    <mergeCell ref="A869:J869"/>
    <mergeCell ref="A882:J882"/>
    <mergeCell ref="A883:J883"/>
    <mergeCell ref="A884:J884"/>
    <mergeCell ref="A885:J885"/>
    <mergeCell ref="A898:J898"/>
    <mergeCell ref="A899:J899"/>
    <mergeCell ref="A900:J900"/>
    <mergeCell ref="A901:J901"/>
    <mergeCell ref="A914:J914"/>
    <mergeCell ref="A915:J915"/>
    <mergeCell ref="A916:J916"/>
    <mergeCell ref="A917:J917"/>
    <mergeCell ref="A931:J931"/>
    <mergeCell ref="A932:J932"/>
    <mergeCell ref="A933:J933"/>
    <mergeCell ref="A934:J934"/>
    <mergeCell ref="A942:J942"/>
    <mergeCell ref="A943:J943"/>
    <mergeCell ref="A944:J944"/>
    <mergeCell ref="A945:J945"/>
    <mergeCell ref="A969:J969"/>
    <mergeCell ref="A970:J970"/>
    <mergeCell ref="A971:J971"/>
    <mergeCell ref="A972:J972"/>
    <mergeCell ref="A979:J979"/>
    <mergeCell ref="A980:J980"/>
    <mergeCell ref="A981:J981"/>
    <mergeCell ref="A982:J982"/>
    <mergeCell ref="A993:J993"/>
    <mergeCell ref="A994:J994"/>
    <mergeCell ref="A995:J995"/>
    <mergeCell ref="A996:J996"/>
    <mergeCell ref="A1013:J1013"/>
    <mergeCell ref="A1014:J1014"/>
    <mergeCell ref="A1015:J1015"/>
    <mergeCell ref="A1016:J1016"/>
    <mergeCell ref="A1023:J1023"/>
    <mergeCell ref="A1024:J1024"/>
    <mergeCell ref="A1025:J1025"/>
    <mergeCell ref="A1026:J1026"/>
    <mergeCell ref="A1037:J1037"/>
    <mergeCell ref="A1038:J1038"/>
    <mergeCell ref="A1039:J1039"/>
    <mergeCell ref="A1040:J1040"/>
    <mergeCell ref="A1070:J1070"/>
    <mergeCell ref="A1071:J1071"/>
    <mergeCell ref="A1072:J1072"/>
    <mergeCell ref="A1073:J1073"/>
    <mergeCell ref="A1082:J1082"/>
    <mergeCell ref="A1083:J1083"/>
    <mergeCell ref="A1084:J1084"/>
    <mergeCell ref="A1085:J1085"/>
    <mergeCell ref="A1092:J1092"/>
    <mergeCell ref="A1093:J1093"/>
    <mergeCell ref="A1094:J1094"/>
    <mergeCell ref="A1095:J1095"/>
    <mergeCell ref="A1105:J1105"/>
    <mergeCell ref="A1106:J1106"/>
    <mergeCell ref="A1107:J1107"/>
    <mergeCell ref="A1108:J1108"/>
    <mergeCell ref="A1128:J1128"/>
    <mergeCell ref="A1129:J1129"/>
    <mergeCell ref="A1130:J1130"/>
    <mergeCell ref="A1131:J1131"/>
    <mergeCell ref="A1141:J1141"/>
    <mergeCell ref="A1142:J1142"/>
    <mergeCell ref="A1143:J1143"/>
    <mergeCell ref="A1144:J1144"/>
    <mergeCell ref="A1157:J1157"/>
    <mergeCell ref="A1158:J1158"/>
    <mergeCell ref="A1159:J1159"/>
    <mergeCell ref="A1160:J1160"/>
    <mergeCell ref="A1168:J1168"/>
    <mergeCell ref="A1169:J1169"/>
    <mergeCell ref="A1170:J1170"/>
    <mergeCell ref="A1171:J1171"/>
    <mergeCell ref="A1181:J1181"/>
    <mergeCell ref="A1182:J1182"/>
    <mergeCell ref="A1183:J1183"/>
    <mergeCell ref="A1184:J1184"/>
    <mergeCell ref="A1195:J1195"/>
    <mergeCell ref="A1196:J1196"/>
    <mergeCell ref="A1197:J1197"/>
    <mergeCell ref="A1198:J1198"/>
    <mergeCell ref="A1206:J1206"/>
    <mergeCell ref="A1207:J1207"/>
    <mergeCell ref="A1246:J1246"/>
    <mergeCell ref="A1260:J1260"/>
    <mergeCell ref="A1261:J1261"/>
    <mergeCell ref="A1208:J1208"/>
    <mergeCell ref="A1209:J1209"/>
    <mergeCell ref="A1226:J1226"/>
    <mergeCell ref="A1227:J1227"/>
    <mergeCell ref="A1228:J1228"/>
    <mergeCell ref="A1229:J1229"/>
    <mergeCell ref="A1243:J1243"/>
    <mergeCell ref="A1244:J1244"/>
    <mergeCell ref="A1245:J1245"/>
  </mergeCells>
  <phoneticPr fontId="5" type="noConversion"/>
  <conditionalFormatting sqref="A8:A68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2025-09-22T19:52:03Z</dcterms:created>
  <dcterms:modified xsi:type="dcterms:W3CDTF">2025-09-23T04:57:57Z</dcterms:modified>
</cp:coreProperties>
</file>