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82B1625C-AAB1-4827-8A7E-5A463D0D9FC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927" i="1" l="1"/>
  <c r="K927" i="1"/>
  <c r="H927" i="1"/>
  <c r="L926" i="1"/>
  <c r="K926" i="1"/>
  <c r="H926" i="1"/>
  <c r="L925" i="1"/>
  <c r="K925" i="1"/>
  <c r="H925" i="1"/>
  <c r="L919" i="1"/>
  <c r="K919" i="1"/>
  <c r="H919" i="1"/>
  <c r="L918" i="1"/>
  <c r="K918" i="1"/>
  <c r="H918" i="1"/>
  <c r="L917" i="1"/>
  <c r="K917" i="1"/>
  <c r="H917" i="1"/>
  <c r="L916" i="1"/>
  <c r="K916" i="1"/>
  <c r="H916" i="1"/>
  <c r="L915" i="1"/>
  <c r="K915" i="1"/>
  <c r="H915" i="1"/>
  <c r="L914" i="1"/>
  <c r="K914" i="1"/>
  <c r="H914" i="1"/>
  <c r="L913" i="1"/>
  <c r="K913" i="1"/>
  <c r="H913" i="1"/>
  <c r="L907" i="1"/>
  <c r="K907" i="1"/>
  <c r="H907" i="1"/>
  <c r="L906" i="1"/>
  <c r="K906" i="1"/>
  <c r="H906" i="1"/>
  <c r="L905" i="1"/>
  <c r="K905" i="1"/>
  <c r="H905" i="1"/>
  <c r="L904" i="1"/>
  <c r="K904" i="1"/>
  <c r="H904" i="1"/>
  <c r="L903" i="1"/>
  <c r="K903" i="1"/>
  <c r="H903" i="1"/>
  <c r="L902" i="1"/>
  <c r="K902" i="1"/>
  <c r="H902" i="1"/>
  <c r="L901" i="1"/>
  <c r="K901" i="1"/>
  <c r="H901" i="1"/>
  <c r="L900" i="1"/>
  <c r="K900" i="1"/>
  <c r="H900" i="1"/>
  <c r="L899" i="1"/>
  <c r="K899" i="1"/>
  <c r="H899" i="1"/>
  <c r="L898" i="1"/>
  <c r="K898" i="1"/>
  <c r="H898" i="1"/>
  <c r="L897" i="1"/>
  <c r="K897" i="1"/>
  <c r="H897" i="1"/>
  <c r="L896" i="1"/>
  <c r="K896" i="1"/>
  <c r="H896" i="1"/>
  <c r="L895" i="1"/>
  <c r="K895" i="1"/>
  <c r="H895" i="1"/>
  <c r="L894" i="1"/>
  <c r="K894" i="1"/>
  <c r="H894" i="1"/>
  <c r="L893" i="1"/>
  <c r="K893" i="1"/>
  <c r="H893" i="1"/>
  <c r="L887" i="1"/>
  <c r="K887" i="1"/>
  <c r="H887" i="1"/>
  <c r="L886" i="1"/>
  <c r="K886" i="1"/>
  <c r="H886" i="1"/>
  <c r="L885" i="1"/>
  <c r="K885" i="1"/>
  <c r="H885" i="1"/>
  <c r="L884" i="1"/>
  <c r="K884" i="1"/>
  <c r="H884" i="1"/>
  <c r="L883" i="1"/>
  <c r="K883" i="1"/>
  <c r="H883" i="1"/>
  <c r="L882" i="1"/>
  <c r="K882" i="1"/>
  <c r="H882" i="1"/>
  <c r="L881" i="1"/>
  <c r="K881" i="1"/>
  <c r="H881" i="1"/>
  <c r="L875" i="1"/>
  <c r="K875" i="1"/>
  <c r="H875" i="1"/>
  <c r="L874" i="1"/>
  <c r="K874" i="1"/>
  <c r="H874" i="1"/>
  <c r="L873" i="1"/>
  <c r="K873" i="1"/>
  <c r="H873" i="1"/>
  <c r="L872" i="1"/>
  <c r="K872" i="1"/>
  <c r="H872" i="1"/>
  <c r="L871" i="1"/>
  <c r="K871" i="1"/>
  <c r="H871" i="1"/>
  <c r="L870" i="1"/>
  <c r="K870" i="1"/>
  <c r="H870" i="1"/>
  <c r="L869" i="1"/>
  <c r="K869" i="1"/>
  <c r="H869" i="1"/>
  <c r="L868" i="1"/>
  <c r="K868" i="1"/>
  <c r="H868" i="1"/>
  <c r="L867" i="1"/>
  <c r="K867" i="1"/>
  <c r="H867" i="1"/>
  <c r="L861" i="1"/>
  <c r="K861" i="1"/>
  <c r="H861" i="1"/>
  <c r="L860" i="1"/>
  <c r="K860" i="1"/>
  <c r="H860" i="1"/>
  <c r="L859" i="1"/>
  <c r="K859" i="1"/>
  <c r="H859" i="1"/>
  <c r="L858" i="1"/>
  <c r="K858" i="1"/>
  <c r="H858" i="1"/>
  <c r="L857" i="1"/>
  <c r="K857" i="1"/>
  <c r="H857" i="1"/>
  <c r="L856" i="1"/>
  <c r="K856" i="1"/>
  <c r="H856" i="1"/>
  <c r="L855" i="1"/>
  <c r="K855" i="1"/>
  <c r="H855" i="1"/>
  <c r="L854" i="1"/>
  <c r="K854" i="1"/>
  <c r="H854" i="1"/>
  <c r="L848" i="1"/>
  <c r="K848" i="1"/>
  <c r="H848" i="1"/>
  <c r="L847" i="1"/>
  <c r="K847" i="1"/>
  <c r="H847" i="1"/>
  <c r="L841" i="1"/>
  <c r="K841" i="1"/>
  <c r="H841" i="1"/>
  <c r="L840" i="1"/>
  <c r="K840" i="1"/>
  <c r="H840" i="1"/>
  <c r="L839" i="1"/>
  <c r="K839" i="1"/>
  <c r="H839" i="1"/>
  <c r="L838" i="1"/>
  <c r="K838" i="1"/>
  <c r="H838" i="1"/>
  <c r="L837" i="1"/>
  <c r="K837" i="1"/>
  <c r="H837" i="1"/>
  <c r="L836" i="1"/>
  <c r="K836" i="1"/>
  <c r="H836" i="1"/>
  <c r="L835" i="1"/>
  <c r="K835" i="1"/>
  <c r="H835" i="1"/>
  <c r="L829" i="1"/>
  <c r="K829" i="1"/>
  <c r="H829" i="1"/>
  <c r="L828" i="1"/>
  <c r="K828" i="1"/>
  <c r="H828" i="1"/>
  <c r="L827" i="1"/>
  <c r="K827" i="1"/>
  <c r="H827" i="1"/>
  <c r="L826" i="1"/>
  <c r="K826" i="1"/>
  <c r="H826" i="1"/>
  <c r="L825" i="1"/>
  <c r="K825" i="1"/>
  <c r="H825" i="1"/>
  <c r="L824" i="1"/>
  <c r="K824" i="1"/>
  <c r="H824" i="1"/>
  <c r="L818" i="1"/>
  <c r="K818" i="1"/>
  <c r="H818" i="1"/>
  <c r="L817" i="1"/>
  <c r="K817" i="1"/>
  <c r="H817" i="1"/>
  <c r="L816" i="1"/>
  <c r="K816" i="1"/>
  <c r="H816" i="1"/>
  <c r="L815" i="1"/>
  <c r="K815" i="1"/>
  <c r="H815" i="1"/>
  <c r="L814" i="1"/>
  <c r="K814" i="1"/>
  <c r="H814" i="1"/>
  <c r="L808" i="1"/>
  <c r="K808" i="1"/>
  <c r="H808" i="1"/>
  <c r="L807" i="1"/>
  <c r="K807" i="1"/>
  <c r="H807" i="1"/>
  <c r="L806" i="1"/>
  <c r="K806" i="1"/>
  <c r="H806" i="1"/>
  <c r="L805" i="1"/>
  <c r="K805" i="1"/>
  <c r="H805" i="1"/>
  <c r="L804" i="1"/>
  <c r="K804" i="1"/>
  <c r="H804" i="1"/>
  <c r="L803" i="1"/>
  <c r="K803" i="1"/>
  <c r="H803" i="1"/>
  <c r="L802" i="1"/>
  <c r="K802" i="1"/>
  <c r="H802" i="1"/>
  <c r="L801" i="1"/>
  <c r="K801" i="1"/>
  <c r="H801" i="1"/>
  <c r="L800" i="1"/>
  <c r="K800" i="1"/>
  <c r="H800" i="1"/>
  <c r="L799" i="1"/>
  <c r="K799" i="1"/>
  <c r="H799" i="1"/>
  <c r="L793" i="1"/>
  <c r="K793" i="1"/>
  <c r="H793" i="1"/>
  <c r="L792" i="1"/>
  <c r="K792" i="1"/>
  <c r="H792" i="1"/>
  <c r="L791" i="1"/>
  <c r="K791" i="1"/>
  <c r="H791" i="1"/>
  <c r="L790" i="1"/>
  <c r="K790" i="1"/>
  <c r="H790" i="1"/>
  <c r="L789" i="1"/>
  <c r="K789" i="1"/>
  <c r="H789" i="1"/>
  <c r="L788" i="1"/>
  <c r="K788" i="1"/>
  <c r="H788" i="1"/>
  <c r="L787" i="1"/>
  <c r="K787" i="1"/>
  <c r="H787" i="1"/>
  <c r="L786" i="1"/>
  <c r="K786" i="1"/>
  <c r="H786" i="1"/>
  <c r="L785" i="1"/>
  <c r="K785" i="1"/>
  <c r="H785" i="1"/>
  <c r="L784" i="1"/>
  <c r="K784" i="1"/>
  <c r="H784" i="1"/>
  <c r="L783" i="1"/>
  <c r="K783" i="1"/>
  <c r="H783" i="1"/>
  <c r="L782" i="1"/>
  <c r="K782" i="1"/>
  <c r="H782" i="1"/>
  <c r="L781" i="1"/>
  <c r="K781" i="1"/>
  <c r="H781" i="1"/>
  <c r="L780" i="1"/>
  <c r="K780" i="1"/>
  <c r="H780" i="1"/>
  <c r="L774" i="1"/>
  <c r="K774" i="1"/>
  <c r="H774" i="1"/>
  <c r="L773" i="1"/>
  <c r="K773" i="1"/>
  <c r="H773" i="1"/>
  <c r="L772" i="1"/>
  <c r="K772" i="1"/>
  <c r="H772" i="1"/>
  <c r="L771" i="1"/>
  <c r="K771" i="1"/>
  <c r="H771" i="1"/>
  <c r="L770" i="1"/>
  <c r="K770" i="1"/>
  <c r="H770" i="1"/>
  <c r="L769" i="1"/>
  <c r="K769" i="1"/>
  <c r="H769" i="1"/>
  <c r="L768" i="1"/>
  <c r="K768" i="1"/>
  <c r="H768" i="1"/>
  <c r="L767" i="1"/>
  <c r="K767" i="1"/>
  <c r="H767" i="1"/>
  <c r="L761" i="1"/>
  <c r="K761" i="1"/>
  <c r="H761" i="1"/>
  <c r="L760" i="1"/>
  <c r="K760" i="1"/>
  <c r="H760" i="1"/>
  <c r="L759" i="1"/>
  <c r="K759" i="1"/>
  <c r="H759" i="1"/>
  <c r="L758" i="1"/>
  <c r="K758" i="1"/>
  <c r="H758" i="1"/>
  <c r="L757" i="1"/>
  <c r="K757" i="1"/>
  <c r="H757" i="1"/>
  <c r="L756" i="1"/>
  <c r="K756" i="1"/>
  <c r="H756" i="1"/>
  <c r="L755" i="1"/>
  <c r="K755" i="1"/>
  <c r="H755" i="1"/>
  <c r="L749" i="1"/>
  <c r="K749" i="1"/>
  <c r="H749" i="1"/>
  <c r="L748" i="1"/>
  <c r="K748" i="1"/>
  <c r="H748" i="1"/>
  <c r="L747" i="1"/>
  <c r="K747" i="1"/>
  <c r="H747" i="1"/>
  <c r="L746" i="1"/>
  <c r="K746" i="1"/>
  <c r="H746" i="1"/>
  <c r="L740" i="1"/>
  <c r="K740" i="1"/>
  <c r="H740" i="1"/>
  <c r="L739" i="1"/>
  <c r="K739" i="1"/>
  <c r="H739" i="1"/>
  <c r="L738" i="1"/>
  <c r="K738" i="1"/>
  <c r="H738" i="1"/>
  <c r="L737" i="1"/>
  <c r="K737" i="1"/>
  <c r="H737" i="1"/>
  <c r="L736" i="1"/>
  <c r="K736" i="1"/>
  <c r="H736" i="1"/>
  <c r="L735" i="1"/>
  <c r="K735" i="1"/>
  <c r="H735" i="1"/>
  <c r="L734" i="1"/>
  <c r="K734" i="1"/>
  <c r="H734" i="1"/>
  <c r="L733" i="1"/>
  <c r="K733" i="1"/>
  <c r="H733" i="1"/>
  <c r="L732" i="1"/>
  <c r="K732" i="1"/>
  <c r="H732" i="1"/>
  <c r="L731" i="1"/>
  <c r="K731" i="1"/>
  <c r="H731" i="1"/>
  <c r="L730" i="1"/>
  <c r="K730" i="1"/>
  <c r="H730" i="1"/>
  <c r="L729" i="1"/>
  <c r="K729" i="1"/>
  <c r="H729" i="1"/>
  <c r="L728" i="1"/>
  <c r="K728" i="1"/>
  <c r="H728" i="1"/>
  <c r="L727" i="1"/>
  <c r="K727" i="1"/>
  <c r="H727" i="1"/>
  <c r="L726" i="1"/>
  <c r="K726" i="1"/>
  <c r="H726" i="1"/>
  <c r="L725" i="1"/>
  <c r="K725" i="1"/>
  <c r="H725" i="1"/>
  <c r="L724" i="1"/>
  <c r="K724" i="1"/>
  <c r="H724" i="1"/>
  <c r="L723" i="1"/>
  <c r="K723" i="1"/>
  <c r="H723" i="1"/>
  <c r="L717" i="1"/>
  <c r="K717" i="1"/>
  <c r="H717" i="1"/>
  <c r="L716" i="1"/>
  <c r="K716" i="1"/>
  <c r="H716" i="1"/>
  <c r="L715" i="1"/>
  <c r="K715" i="1"/>
  <c r="H715" i="1"/>
  <c r="L714" i="1"/>
  <c r="K714" i="1"/>
  <c r="H714" i="1"/>
  <c r="L713" i="1"/>
  <c r="K713" i="1"/>
  <c r="H713" i="1"/>
  <c r="L707" i="1"/>
  <c r="K707" i="1"/>
  <c r="H707" i="1"/>
  <c r="L706" i="1"/>
  <c r="K706" i="1"/>
  <c r="H706" i="1"/>
  <c r="L705" i="1"/>
  <c r="K705" i="1"/>
  <c r="H705" i="1"/>
  <c r="L704" i="1"/>
  <c r="K704" i="1"/>
  <c r="H704" i="1"/>
  <c r="L703" i="1"/>
  <c r="K703" i="1"/>
  <c r="H703" i="1"/>
  <c r="L702" i="1"/>
  <c r="K702" i="1"/>
  <c r="H702" i="1"/>
  <c r="L696" i="1"/>
  <c r="K696" i="1"/>
  <c r="H696" i="1"/>
  <c r="L695" i="1"/>
  <c r="K695" i="1"/>
  <c r="H695" i="1"/>
  <c r="L694" i="1"/>
  <c r="K694" i="1"/>
  <c r="H694" i="1"/>
  <c r="L693" i="1"/>
  <c r="K693" i="1"/>
  <c r="H693" i="1"/>
  <c r="L692" i="1"/>
  <c r="K692" i="1"/>
  <c r="H692" i="1"/>
  <c r="L691" i="1"/>
  <c r="K691" i="1"/>
  <c r="H691" i="1"/>
  <c r="L690" i="1"/>
  <c r="K690" i="1"/>
  <c r="H690" i="1"/>
  <c r="L689" i="1"/>
  <c r="K689" i="1"/>
  <c r="H689" i="1"/>
  <c r="L688" i="1"/>
  <c r="K688" i="1"/>
  <c r="H688" i="1"/>
  <c r="L687" i="1"/>
  <c r="K687" i="1"/>
  <c r="H687" i="1"/>
  <c r="L686" i="1"/>
  <c r="K686" i="1"/>
  <c r="H686" i="1"/>
  <c r="L685" i="1"/>
  <c r="K685" i="1"/>
  <c r="H685" i="1"/>
  <c r="L684" i="1"/>
  <c r="K684" i="1"/>
  <c r="H684" i="1"/>
  <c r="L683" i="1"/>
  <c r="K683" i="1"/>
  <c r="H683" i="1"/>
  <c r="L677" i="1"/>
  <c r="K677" i="1"/>
  <c r="H677" i="1"/>
  <c r="L676" i="1"/>
  <c r="K676" i="1"/>
  <c r="H676" i="1"/>
  <c r="L675" i="1"/>
  <c r="K675" i="1"/>
  <c r="H675" i="1"/>
  <c r="L674" i="1"/>
  <c r="K674" i="1"/>
  <c r="H674" i="1"/>
  <c r="L673" i="1"/>
  <c r="K673" i="1"/>
  <c r="H673" i="1"/>
  <c r="L672" i="1"/>
  <c r="K672" i="1"/>
  <c r="H672" i="1"/>
  <c r="L671" i="1"/>
  <c r="K671" i="1"/>
  <c r="H671" i="1"/>
  <c r="L670" i="1"/>
  <c r="K670" i="1"/>
  <c r="H670" i="1"/>
  <c r="L664" i="1"/>
  <c r="K664" i="1"/>
  <c r="H664" i="1"/>
  <c r="L663" i="1"/>
  <c r="K663" i="1"/>
  <c r="H663" i="1"/>
  <c r="L662" i="1"/>
  <c r="K662" i="1"/>
  <c r="H662" i="1"/>
  <c r="L661" i="1"/>
  <c r="K661" i="1"/>
  <c r="H661" i="1"/>
  <c r="L660" i="1"/>
  <c r="K660" i="1"/>
  <c r="H660" i="1"/>
  <c r="L659" i="1"/>
  <c r="K659" i="1"/>
  <c r="H659" i="1"/>
  <c r="L658" i="1"/>
  <c r="K658" i="1"/>
  <c r="H658" i="1"/>
  <c r="L657" i="1"/>
  <c r="K657" i="1"/>
  <c r="H657" i="1"/>
  <c r="L656" i="1"/>
  <c r="K656" i="1"/>
  <c r="H656" i="1"/>
  <c r="L655" i="1"/>
  <c r="K655" i="1"/>
  <c r="H655" i="1"/>
  <c r="L654" i="1"/>
  <c r="K654" i="1"/>
  <c r="H654" i="1"/>
  <c r="L653" i="1"/>
  <c r="K653" i="1"/>
  <c r="H653" i="1"/>
  <c r="L652" i="1"/>
  <c r="K652" i="1"/>
  <c r="H652" i="1"/>
  <c r="L651" i="1"/>
  <c r="K651" i="1"/>
  <c r="H651" i="1"/>
  <c r="L650" i="1"/>
  <c r="K650" i="1"/>
  <c r="H650" i="1"/>
  <c r="L649" i="1"/>
  <c r="K649" i="1"/>
  <c r="H649" i="1"/>
  <c r="L643" i="1"/>
  <c r="K643" i="1"/>
  <c r="H643" i="1"/>
  <c r="L642" i="1"/>
  <c r="K642" i="1"/>
  <c r="H642" i="1"/>
  <c r="L641" i="1"/>
  <c r="K641" i="1"/>
  <c r="H641" i="1"/>
  <c r="L640" i="1"/>
  <c r="K640" i="1"/>
  <c r="H640" i="1"/>
  <c r="L639" i="1"/>
  <c r="K639" i="1"/>
  <c r="H639" i="1"/>
  <c r="L638" i="1"/>
  <c r="K638" i="1"/>
  <c r="H638" i="1"/>
  <c r="L637" i="1"/>
  <c r="K637" i="1"/>
  <c r="H637" i="1"/>
  <c r="L636" i="1"/>
  <c r="K636" i="1"/>
  <c r="H636" i="1"/>
  <c r="L635" i="1"/>
  <c r="K635" i="1"/>
  <c r="H635" i="1"/>
  <c r="L634" i="1"/>
  <c r="K634" i="1"/>
  <c r="H634" i="1"/>
  <c r="L628" i="1"/>
  <c r="K628" i="1"/>
  <c r="H628" i="1"/>
  <c r="L627" i="1"/>
  <c r="K627" i="1"/>
  <c r="H627" i="1"/>
  <c r="L626" i="1"/>
  <c r="K626" i="1"/>
  <c r="H626" i="1"/>
  <c r="L625" i="1"/>
  <c r="K625" i="1"/>
  <c r="H625" i="1"/>
  <c r="L624" i="1"/>
  <c r="K624" i="1"/>
  <c r="H624" i="1"/>
  <c r="L623" i="1"/>
  <c r="K623" i="1"/>
  <c r="H623" i="1"/>
  <c r="L622" i="1"/>
  <c r="K622" i="1"/>
  <c r="H622" i="1"/>
  <c r="L621" i="1"/>
  <c r="K621" i="1"/>
  <c r="H621" i="1"/>
  <c r="L615" i="1"/>
  <c r="K615" i="1"/>
  <c r="H615" i="1"/>
  <c r="L614" i="1"/>
  <c r="K614" i="1"/>
  <c r="H614" i="1"/>
  <c r="L613" i="1"/>
  <c r="K613" i="1"/>
  <c r="H613" i="1"/>
  <c r="L612" i="1"/>
  <c r="K612" i="1"/>
  <c r="H612" i="1"/>
  <c r="L611" i="1"/>
  <c r="K611" i="1"/>
  <c r="H611" i="1"/>
  <c r="L610" i="1"/>
  <c r="K610" i="1"/>
  <c r="H610" i="1"/>
  <c r="L609" i="1"/>
  <c r="K609" i="1"/>
  <c r="H609" i="1"/>
  <c r="L608" i="1"/>
  <c r="K608" i="1"/>
  <c r="H608" i="1"/>
  <c r="L607" i="1"/>
  <c r="K607" i="1"/>
  <c r="H607" i="1"/>
  <c r="L606" i="1"/>
  <c r="K606" i="1"/>
  <c r="H606" i="1"/>
  <c r="L605" i="1"/>
  <c r="K605" i="1"/>
  <c r="H605" i="1"/>
  <c r="L604" i="1"/>
  <c r="K604" i="1"/>
  <c r="H604" i="1"/>
  <c r="L603" i="1"/>
  <c r="K603" i="1"/>
  <c r="H603" i="1"/>
  <c r="L602" i="1"/>
  <c r="K602" i="1"/>
  <c r="H602" i="1"/>
  <c r="L601" i="1"/>
  <c r="K601" i="1"/>
  <c r="H601" i="1"/>
  <c r="L600" i="1"/>
  <c r="K600" i="1"/>
  <c r="H600" i="1"/>
  <c r="L599" i="1"/>
  <c r="K599" i="1"/>
  <c r="H599" i="1"/>
  <c r="L598" i="1"/>
  <c r="K598" i="1"/>
  <c r="H598" i="1"/>
  <c r="L597" i="1"/>
  <c r="K597" i="1"/>
  <c r="H597" i="1"/>
  <c r="L596" i="1"/>
  <c r="K596" i="1"/>
  <c r="H596" i="1"/>
  <c r="L595" i="1"/>
  <c r="K595" i="1"/>
  <c r="H595" i="1"/>
  <c r="L594" i="1"/>
  <c r="K594" i="1"/>
  <c r="H594" i="1"/>
  <c r="L593" i="1"/>
  <c r="K593" i="1"/>
  <c r="H593" i="1"/>
  <c r="L592" i="1"/>
  <c r="K592" i="1"/>
  <c r="H592" i="1"/>
  <c r="L586" i="1"/>
  <c r="K586" i="1"/>
  <c r="H586" i="1"/>
  <c r="L585" i="1"/>
  <c r="K585" i="1"/>
  <c r="H585" i="1"/>
  <c r="L584" i="1"/>
  <c r="K584" i="1"/>
  <c r="H584" i="1"/>
  <c r="L583" i="1"/>
  <c r="K583" i="1"/>
  <c r="H583" i="1"/>
  <c r="L577" i="1"/>
  <c r="K577" i="1"/>
  <c r="H577" i="1"/>
  <c r="L576" i="1"/>
  <c r="K576" i="1"/>
  <c r="H576" i="1"/>
  <c r="L575" i="1"/>
  <c r="K575" i="1"/>
  <c r="H575" i="1"/>
  <c r="L574" i="1"/>
  <c r="K574" i="1"/>
  <c r="H574" i="1"/>
  <c r="L573" i="1"/>
  <c r="K573" i="1"/>
  <c r="H573" i="1"/>
  <c r="L572" i="1"/>
  <c r="K572" i="1"/>
  <c r="H572" i="1"/>
  <c r="L571" i="1"/>
  <c r="K571" i="1"/>
  <c r="H571" i="1"/>
  <c r="L570" i="1"/>
  <c r="K570" i="1"/>
  <c r="H570" i="1"/>
  <c r="L569" i="1"/>
  <c r="K569" i="1"/>
  <c r="H569" i="1"/>
  <c r="L568" i="1"/>
  <c r="K568" i="1"/>
  <c r="H568" i="1"/>
  <c r="L567" i="1"/>
  <c r="K567" i="1"/>
  <c r="H567" i="1"/>
  <c r="L566" i="1"/>
  <c r="K566" i="1"/>
  <c r="H566" i="1"/>
  <c r="L565" i="1"/>
  <c r="K565" i="1"/>
  <c r="H565" i="1"/>
  <c r="L559" i="1"/>
  <c r="K559" i="1"/>
  <c r="H559" i="1"/>
  <c r="L558" i="1"/>
  <c r="K558" i="1"/>
  <c r="H558" i="1"/>
  <c r="L557" i="1"/>
  <c r="K557" i="1"/>
  <c r="H557" i="1"/>
  <c r="L556" i="1"/>
  <c r="K556" i="1"/>
  <c r="H556" i="1"/>
  <c r="L555" i="1"/>
  <c r="K555" i="1"/>
  <c r="H555" i="1"/>
  <c r="L554" i="1"/>
  <c r="K554" i="1"/>
  <c r="H554" i="1"/>
  <c r="L553" i="1"/>
  <c r="K553" i="1"/>
  <c r="H553" i="1"/>
  <c r="L552" i="1"/>
  <c r="K552" i="1"/>
  <c r="H552" i="1"/>
  <c r="L551" i="1"/>
  <c r="K551" i="1"/>
  <c r="H551" i="1"/>
  <c r="L550" i="1"/>
  <c r="K550" i="1"/>
  <c r="H550" i="1"/>
  <c r="L549" i="1"/>
  <c r="K549" i="1"/>
  <c r="H549" i="1"/>
  <c r="L543" i="1"/>
  <c r="K543" i="1"/>
  <c r="H543" i="1"/>
  <c r="L542" i="1"/>
  <c r="K542" i="1"/>
  <c r="H542" i="1"/>
  <c r="L541" i="1"/>
  <c r="K541" i="1"/>
  <c r="H541" i="1"/>
  <c r="L540" i="1"/>
  <c r="K540" i="1"/>
  <c r="H540" i="1"/>
  <c r="L539" i="1"/>
  <c r="K539" i="1"/>
  <c r="H539" i="1"/>
  <c r="L538" i="1"/>
  <c r="K538" i="1"/>
  <c r="H538" i="1"/>
  <c r="L537" i="1"/>
  <c r="K537" i="1"/>
  <c r="H537" i="1"/>
  <c r="L536" i="1"/>
  <c r="K536" i="1"/>
  <c r="H536" i="1"/>
  <c r="L535" i="1"/>
  <c r="K535" i="1"/>
  <c r="H535" i="1"/>
  <c r="L534" i="1"/>
  <c r="K534" i="1"/>
  <c r="H534" i="1"/>
  <c r="L533" i="1"/>
  <c r="K533" i="1"/>
  <c r="H533" i="1"/>
  <c r="L527" i="1"/>
  <c r="K527" i="1"/>
  <c r="H527" i="1"/>
  <c r="L526" i="1"/>
  <c r="K526" i="1"/>
  <c r="H526" i="1"/>
  <c r="L525" i="1"/>
  <c r="K525" i="1"/>
  <c r="H525" i="1"/>
  <c r="L524" i="1"/>
  <c r="K524" i="1"/>
  <c r="H524" i="1"/>
  <c r="L523" i="1"/>
  <c r="K523" i="1"/>
  <c r="H523" i="1"/>
  <c r="L522" i="1"/>
  <c r="K522" i="1"/>
  <c r="H522" i="1"/>
  <c r="L521" i="1"/>
  <c r="K521" i="1"/>
  <c r="H521" i="1"/>
  <c r="L520" i="1"/>
  <c r="K520" i="1"/>
  <c r="H520" i="1"/>
  <c r="L519" i="1"/>
  <c r="K519" i="1"/>
  <c r="H519" i="1"/>
  <c r="L513" i="1"/>
  <c r="K513" i="1"/>
  <c r="H513" i="1"/>
  <c r="L512" i="1"/>
  <c r="K512" i="1"/>
  <c r="H512" i="1"/>
  <c r="L511" i="1"/>
  <c r="K511" i="1"/>
  <c r="H511" i="1"/>
  <c r="L510" i="1"/>
  <c r="K510" i="1"/>
  <c r="H510" i="1"/>
  <c r="L509" i="1"/>
  <c r="K509" i="1"/>
  <c r="H509" i="1"/>
  <c r="L508" i="1"/>
  <c r="K508" i="1"/>
  <c r="H508" i="1"/>
  <c r="L507" i="1"/>
  <c r="K507" i="1"/>
  <c r="H507" i="1"/>
  <c r="L501" i="1"/>
  <c r="K501" i="1"/>
  <c r="H501" i="1"/>
  <c r="L500" i="1"/>
  <c r="K500" i="1"/>
  <c r="H500" i="1"/>
  <c r="L499" i="1"/>
  <c r="K499" i="1"/>
  <c r="H499" i="1"/>
  <c r="L498" i="1"/>
  <c r="K498" i="1"/>
  <c r="H498" i="1"/>
  <c r="L497" i="1"/>
  <c r="K497" i="1"/>
  <c r="H497" i="1"/>
  <c r="L496" i="1"/>
  <c r="K496" i="1"/>
  <c r="H496" i="1"/>
  <c r="L495" i="1"/>
  <c r="K495" i="1"/>
  <c r="H495" i="1"/>
  <c r="L494" i="1"/>
  <c r="K494" i="1"/>
  <c r="H494" i="1"/>
  <c r="L493" i="1"/>
  <c r="K493" i="1"/>
  <c r="H493" i="1"/>
  <c r="L492" i="1"/>
  <c r="K492" i="1"/>
  <c r="H492" i="1"/>
  <c r="L491" i="1"/>
  <c r="K491" i="1"/>
  <c r="H491" i="1"/>
  <c r="L490" i="1"/>
  <c r="K490" i="1"/>
  <c r="H490" i="1"/>
  <c r="L489" i="1"/>
  <c r="K489" i="1"/>
  <c r="H489" i="1"/>
  <c r="L488" i="1"/>
  <c r="K488" i="1"/>
  <c r="H488" i="1"/>
  <c r="L487" i="1"/>
  <c r="K487" i="1"/>
  <c r="H487" i="1"/>
  <c r="L486" i="1"/>
  <c r="K486" i="1"/>
  <c r="H486" i="1"/>
  <c r="L485" i="1"/>
  <c r="K485" i="1"/>
  <c r="H485" i="1"/>
  <c r="L479" i="1"/>
  <c r="K479" i="1"/>
  <c r="H479" i="1"/>
  <c r="L473" i="1"/>
  <c r="K473" i="1"/>
  <c r="H473" i="1"/>
  <c r="L472" i="1"/>
  <c r="K472" i="1"/>
  <c r="H472" i="1"/>
  <c r="L471" i="1"/>
  <c r="K471" i="1"/>
  <c r="H471" i="1"/>
  <c r="L470" i="1"/>
  <c r="K470" i="1"/>
  <c r="H470" i="1"/>
  <c r="L469" i="1"/>
  <c r="K469" i="1"/>
  <c r="H469" i="1"/>
  <c r="L468" i="1"/>
  <c r="K468" i="1"/>
  <c r="H468" i="1"/>
  <c r="L467" i="1"/>
  <c r="K467" i="1"/>
  <c r="H467" i="1"/>
  <c r="L466" i="1"/>
  <c r="K466" i="1"/>
  <c r="H466" i="1"/>
  <c r="L460" i="1"/>
  <c r="K460" i="1"/>
  <c r="H460" i="1"/>
  <c r="L459" i="1"/>
  <c r="K459" i="1"/>
  <c r="H459" i="1"/>
  <c r="L458" i="1"/>
  <c r="K458" i="1"/>
  <c r="H458" i="1"/>
  <c r="L457" i="1"/>
  <c r="K457" i="1"/>
  <c r="H457" i="1"/>
  <c r="L456" i="1"/>
  <c r="K456" i="1"/>
  <c r="H456" i="1"/>
  <c r="L455" i="1"/>
  <c r="K455" i="1"/>
  <c r="H455" i="1"/>
  <c r="L454" i="1"/>
  <c r="K454" i="1"/>
  <c r="H454" i="1"/>
  <c r="L453" i="1"/>
  <c r="K453" i="1"/>
  <c r="H453" i="1"/>
  <c r="L452" i="1"/>
  <c r="K452" i="1"/>
  <c r="H452" i="1"/>
  <c r="L446" i="1"/>
  <c r="K446" i="1"/>
  <c r="H446" i="1"/>
  <c r="L445" i="1"/>
  <c r="K445" i="1"/>
  <c r="H445" i="1"/>
  <c r="L444" i="1"/>
  <c r="K444" i="1"/>
  <c r="H444" i="1"/>
  <c r="L443" i="1"/>
  <c r="K443" i="1"/>
  <c r="H443" i="1"/>
  <c r="L442" i="1"/>
  <c r="K442" i="1"/>
  <c r="H442" i="1"/>
  <c r="L441" i="1"/>
  <c r="K441" i="1"/>
  <c r="H441" i="1"/>
  <c r="L440" i="1"/>
  <c r="K440" i="1"/>
  <c r="H440" i="1"/>
  <c r="L439" i="1"/>
  <c r="K439" i="1"/>
  <c r="H439" i="1"/>
  <c r="L433" i="1"/>
  <c r="K433" i="1"/>
  <c r="H433" i="1"/>
  <c r="L432" i="1"/>
  <c r="K432" i="1"/>
  <c r="H432" i="1"/>
  <c r="L431" i="1"/>
  <c r="K431" i="1"/>
  <c r="H431" i="1"/>
  <c r="L430" i="1"/>
  <c r="K430" i="1"/>
  <c r="H430" i="1"/>
  <c r="L429" i="1"/>
  <c r="K429" i="1"/>
  <c r="H429" i="1"/>
  <c r="L428" i="1"/>
  <c r="K428" i="1"/>
  <c r="H428" i="1"/>
  <c r="L427" i="1"/>
  <c r="K427" i="1"/>
  <c r="H427" i="1"/>
  <c r="L426" i="1"/>
  <c r="K426" i="1"/>
  <c r="H426" i="1"/>
  <c r="L425" i="1"/>
  <c r="K425" i="1"/>
  <c r="H425" i="1"/>
  <c r="L424" i="1"/>
  <c r="K424" i="1"/>
  <c r="H424" i="1"/>
  <c r="L423" i="1"/>
  <c r="K423" i="1"/>
  <c r="H423" i="1"/>
  <c r="L422" i="1"/>
  <c r="K422" i="1"/>
  <c r="H422" i="1"/>
  <c r="L421" i="1"/>
  <c r="K421" i="1"/>
  <c r="H421" i="1"/>
  <c r="L420" i="1"/>
  <c r="K420" i="1"/>
  <c r="H420" i="1"/>
  <c r="L419" i="1"/>
  <c r="K419" i="1"/>
  <c r="H419" i="1"/>
  <c r="L418" i="1"/>
  <c r="K418" i="1"/>
  <c r="H418" i="1"/>
  <c r="L417" i="1"/>
  <c r="K417" i="1"/>
  <c r="H417" i="1"/>
  <c r="L416" i="1"/>
  <c r="K416" i="1"/>
  <c r="H416" i="1"/>
  <c r="L415" i="1"/>
  <c r="K415" i="1"/>
  <c r="H415" i="1"/>
  <c r="L414" i="1"/>
  <c r="K414" i="1"/>
  <c r="H414" i="1"/>
  <c r="L413" i="1"/>
  <c r="K413" i="1"/>
  <c r="H413" i="1"/>
  <c r="L412" i="1"/>
  <c r="K412" i="1"/>
  <c r="H412" i="1"/>
  <c r="L411" i="1"/>
  <c r="K411" i="1"/>
  <c r="H411" i="1"/>
  <c r="L410" i="1"/>
  <c r="K410" i="1"/>
  <c r="H410" i="1"/>
  <c r="L404" i="1"/>
  <c r="K404" i="1"/>
  <c r="H404" i="1"/>
  <c r="L403" i="1"/>
  <c r="K403" i="1"/>
  <c r="H403" i="1"/>
  <c r="L402" i="1"/>
  <c r="K402" i="1"/>
  <c r="H402" i="1"/>
  <c r="L401" i="1"/>
  <c r="K401" i="1"/>
  <c r="H401" i="1"/>
  <c r="L400" i="1"/>
  <c r="K400" i="1"/>
  <c r="H400" i="1"/>
  <c r="L399" i="1"/>
  <c r="K399" i="1"/>
  <c r="H399" i="1"/>
  <c r="L398" i="1"/>
  <c r="K398" i="1"/>
  <c r="H398" i="1"/>
  <c r="L397" i="1"/>
  <c r="K397" i="1"/>
  <c r="H397" i="1"/>
  <c r="L396" i="1"/>
  <c r="K396" i="1"/>
  <c r="H396" i="1"/>
  <c r="L395" i="1"/>
  <c r="K395" i="1"/>
  <c r="H395" i="1"/>
  <c r="L394" i="1"/>
  <c r="K394" i="1"/>
  <c r="H394" i="1"/>
  <c r="L393" i="1"/>
  <c r="K393" i="1"/>
  <c r="H393" i="1"/>
  <c r="L387" i="1"/>
  <c r="K387" i="1"/>
  <c r="H387" i="1"/>
  <c r="L386" i="1"/>
  <c r="K386" i="1"/>
  <c r="H386" i="1"/>
  <c r="L385" i="1"/>
  <c r="K385" i="1"/>
  <c r="H385" i="1"/>
  <c r="L384" i="1"/>
  <c r="K384" i="1"/>
  <c r="H384" i="1"/>
  <c r="L383" i="1"/>
  <c r="K383" i="1"/>
  <c r="H383" i="1"/>
  <c r="L377" i="1"/>
  <c r="K377" i="1"/>
  <c r="H377" i="1"/>
  <c r="L376" i="1"/>
  <c r="K376" i="1"/>
  <c r="H376" i="1"/>
  <c r="L375" i="1"/>
  <c r="K375" i="1"/>
  <c r="H375" i="1"/>
  <c r="L374" i="1"/>
  <c r="K374" i="1"/>
  <c r="H374" i="1"/>
  <c r="L373" i="1"/>
  <c r="K373" i="1"/>
  <c r="H373" i="1"/>
  <c r="L372" i="1"/>
  <c r="K372" i="1"/>
  <c r="H372" i="1"/>
  <c r="L371" i="1"/>
  <c r="K371" i="1"/>
  <c r="H371" i="1"/>
  <c r="L370" i="1"/>
  <c r="K370" i="1"/>
  <c r="H370" i="1"/>
  <c r="L364" i="1"/>
  <c r="K364" i="1"/>
  <c r="H364" i="1"/>
  <c r="L363" i="1"/>
  <c r="K363" i="1"/>
  <c r="H363" i="1"/>
  <c r="L362" i="1"/>
  <c r="K362" i="1"/>
  <c r="H362" i="1"/>
  <c r="L361" i="1"/>
  <c r="K361" i="1"/>
  <c r="H361" i="1"/>
  <c r="L360" i="1"/>
  <c r="K360" i="1"/>
  <c r="H360" i="1"/>
  <c r="L359" i="1"/>
  <c r="K359" i="1"/>
  <c r="H359" i="1"/>
  <c r="L353" i="1"/>
  <c r="K353" i="1"/>
  <c r="H353" i="1"/>
  <c r="L352" i="1"/>
  <c r="K352" i="1"/>
  <c r="H352" i="1"/>
  <c r="L351" i="1"/>
  <c r="K351" i="1"/>
  <c r="H351" i="1"/>
  <c r="L350" i="1"/>
  <c r="K350" i="1"/>
  <c r="H350" i="1"/>
  <c r="L349" i="1"/>
  <c r="K349" i="1"/>
  <c r="H349" i="1"/>
  <c r="L348" i="1"/>
  <c r="K348" i="1"/>
  <c r="H348" i="1"/>
  <c r="L342" i="1"/>
  <c r="K342" i="1"/>
  <c r="H342" i="1"/>
  <c r="L341" i="1"/>
  <c r="K341" i="1"/>
  <c r="H341" i="1"/>
  <c r="L340" i="1"/>
  <c r="K340" i="1"/>
  <c r="H340" i="1"/>
  <c r="L339" i="1"/>
  <c r="K339" i="1"/>
  <c r="H339" i="1"/>
  <c r="L338" i="1"/>
  <c r="K338" i="1"/>
  <c r="H338" i="1"/>
  <c r="L337" i="1"/>
  <c r="K337" i="1"/>
  <c r="H337" i="1"/>
  <c r="L336" i="1"/>
  <c r="K336" i="1"/>
  <c r="H336" i="1"/>
  <c r="L335" i="1"/>
  <c r="K335" i="1"/>
  <c r="H335" i="1"/>
  <c r="L334" i="1"/>
  <c r="K334" i="1"/>
  <c r="H334" i="1"/>
  <c r="L333" i="1"/>
  <c r="K333" i="1"/>
  <c r="H333" i="1"/>
  <c r="L327" i="1"/>
  <c r="K327" i="1"/>
  <c r="H327" i="1"/>
  <c r="L326" i="1"/>
  <c r="K326" i="1"/>
  <c r="H326" i="1"/>
  <c r="L325" i="1"/>
  <c r="K325" i="1"/>
  <c r="H325" i="1"/>
  <c r="L324" i="1"/>
  <c r="K324" i="1"/>
  <c r="H324" i="1"/>
  <c r="L323" i="1"/>
  <c r="K323" i="1"/>
  <c r="H323" i="1"/>
  <c r="L322" i="1"/>
  <c r="K322" i="1"/>
  <c r="H322" i="1"/>
  <c r="L321" i="1"/>
  <c r="K321" i="1"/>
  <c r="H321" i="1"/>
  <c r="L320" i="1"/>
  <c r="K320" i="1"/>
  <c r="H320" i="1"/>
  <c r="L319" i="1"/>
  <c r="K319" i="1"/>
  <c r="H319" i="1"/>
  <c r="L318" i="1"/>
  <c r="K318" i="1"/>
  <c r="H318" i="1"/>
  <c r="L317" i="1"/>
  <c r="K317" i="1"/>
  <c r="H317" i="1"/>
  <c r="L316" i="1"/>
  <c r="K316" i="1"/>
  <c r="H316" i="1"/>
  <c r="L310" i="1"/>
  <c r="K310" i="1"/>
  <c r="H310" i="1"/>
  <c r="L309" i="1"/>
  <c r="K309" i="1"/>
  <c r="H309" i="1"/>
  <c r="L308" i="1"/>
  <c r="K308" i="1"/>
  <c r="H308" i="1"/>
  <c r="L307" i="1"/>
  <c r="K307" i="1"/>
  <c r="H307" i="1"/>
  <c r="L306" i="1"/>
  <c r="K306" i="1"/>
  <c r="H306" i="1"/>
  <c r="L300" i="1"/>
  <c r="K300" i="1"/>
  <c r="H300" i="1"/>
  <c r="L299" i="1"/>
  <c r="K299" i="1"/>
  <c r="H299" i="1"/>
  <c r="L298" i="1"/>
  <c r="K298" i="1"/>
  <c r="H298" i="1"/>
  <c r="L297" i="1"/>
  <c r="K297" i="1"/>
  <c r="H297" i="1"/>
  <c r="L296" i="1"/>
  <c r="K296" i="1"/>
  <c r="H296" i="1"/>
  <c r="L295" i="1"/>
  <c r="K295" i="1"/>
  <c r="H295" i="1"/>
  <c r="L289" i="1"/>
  <c r="K289" i="1"/>
  <c r="H289" i="1"/>
  <c r="L288" i="1"/>
  <c r="K288" i="1"/>
  <c r="H288" i="1"/>
  <c r="L287" i="1"/>
  <c r="K287" i="1"/>
  <c r="H287" i="1"/>
  <c r="L286" i="1"/>
  <c r="K286" i="1"/>
  <c r="H286" i="1"/>
  <c r="L285" i="1"/>
  <c r="K285" i="1"/>
  <c r="H285" i="1"/>
  <c r="L284" i="1"/>
  <c r="K284" i="1"/>
  <c r="H284" i="1"/>
  <c r="L283" i="1"/>
  <c r="K283" i="1"/>
  <c r="H283" i="1"/>
  <c r="L282" i="1"/>
  <c r="K282" i="1"/>
  <c r="H282" i="1"/>
  <c r="L281" i="1"/>
  <c r="K281" i="1"/>
  <c r="H281" i="1"/>
  <c r="L280" i="1"/>
  <c r="K280" i="1"/>
  <c r="H280" i="1"/>
  <c r="L279" i="1"/>
  <c r="K279" i="1"/>
  <c r="H279" i="1"/>
  <c r="L273" i="1"/>
  <c r="K273" i="1"/>
  <c r="H273" i="1"/>
  <c r="L272" i="1"/>
  <c r="K272" i="1"/>
  <c r="H272" i="1"/>
  <c r="L271" i="1"/>
  <c r="K271" i="1"/>
  <c r="H271" i="1"/>
  <c r="L270" i="1"/>
  <c r="K270" i="1"/>
  <c r="H270" i="1"/>
  <c r="L269" i="1"/>
  <c r="K269" i="1"/>
  <c r="H269" i="1"/>
  <c r="L268" i="1"/>
  <c r="K268" i="1"/>
  <c r="H268" i="1"/>
  <c r="L267" i="1"/>
  <c r="K267" i="1"/>
  <c r="H267" i="1"/>
  <c r="L266" i="1"/>
  <c r="K266" i="1"/>
  <c r="H266" i="1"/>
  <c r="L265" i="1"/>
  <c r="K265" i="1"/>
  <c r="H265" i="1"/>
  <c r="L264" i="1"/>
  <c r="K264" i="1"/>
  <c r="H264" i="1"/>
  <c r="L258" i="1"/>
  <c r="K258" i="1"/>
  <c r="H258" i="1"/>
  <c r="L257" i="1"/>
  <c r="K257" i="1"/>
  <c r="H257" i="1"/>
  <c r="L256" i="1"/>
  <c r="K256" i="1"/>
  <c r="H256" i="1"/>
  <c r="L255" i="1"/>
  <c r="K255" i="1"/>
  <c r="H255" i="1"/>
  <c r="L254" i="1"/>
  <c r="K254" i="1"/>
  <c r="H254" i="1"/>
  <c r="L253" i="1"/>
  <c r="K253" i="1"/>
  <c r="H253" i="1"/>
  <c r="L252" i="1"/>
  <c r="K252" i="1"/>
  <c r="H252" i="1"/>
  <c r="L251" i="1"/>
  <c r="K251" i="1"/>
  <c r="H251" i="1"/>
  <c r="L250" i="1"/>
  <c r="K250" i="1"/>
  <c r="H250" i="1"/>
  <c r="L249" i="1"/>
  <c r="K249" i="1"/>
  <c r="H249" i="1"/>
  <c r="L248" i="1"/>
  <c r="K248" i="1"/>
  <c r="H248" i="1"/>
  <c r="L247" i="1"/>
  <c r="K247" i="1"/>
  <c r="H247" i="1"/>
  <c r="L246" i="1"/>
  <c r="K246" i="1"/>
  <c r="H246" i="1"/>
  <c r="L240" i="1"/>
  <c r="K240" i="1"/>
  <c r="H240" i="1"/>
  <c r="L239" i="1"/>
  <c r="K239" i="1"/>
  <c r="H239" i="1"/>
  <c r="L233" i="1"/>
  <c r="K233" i="1"/>
  <c r="H233" i="1"/>
  <c r="L232" i="1"/>
  <c r="K232" i="1"/>
  <c r="H232" i="1"/>
  <c r="L231" i="1"/>
  <c r="K231" i="1"/>
  <c r="H231" i="1"/>
  <c r="L230" i="1"/>
  <c r="K230" i="1"/>
  <c r="H230" i="1"/>
  <c r="L229" i="1"/>
  <c r="K229" i="1"/>
  <c r="H229" i="1"/>
  <c r="L228" i="1"/>
  <c r="K228" i="1"/>
  <c r="H228" i="1"/>
  <c r="L227" i="1"/>
  <c r="K227" i="1"/>
  <c r="H227" i="1"/>
  <c r="L226" i="1"/>
  <c r="K226" i="1"/>
  <c r="H226" i="1"/>
  <c r="L220" i="1"/>
  <c r="K220" i="1"/>
  <c r="H220" i="1"/>
  <c r="L219" i="1"/>
  <c r="K219" i="1"/>
  <c r="H219" i="1"/>
  <c r="L218" i="1"/>
  <c r="K218" i="1"/>
  <c r="H218" i="1"/>
  <c r="L217" i="1"/>
  <c r="K217" i="1"/>
  <c r="H217" i="1"/>
  <c r="L211" i="1"/>
  <c r="K211" i="1"/>
  <c r="H211" i="1"/>
  <c r="L210" i="1"/>
  <c r="K210" i="1"/>
  <c r="H210" i="1"/>
  <c r="L204" i="1"/>
  <c r="K204" i="1"/>
  <c r="H204" i="1"/>
  <c r="L203" i="1"/>
  <c r="K203" i="1"/>
  <c r="H203" i="1"/>
  <c r="L202" i="1"/>
  <c r="K202" i="1"/>
  <c r="H202" i="1"/>
  <c r="L201" i="1"/>
  <c r="K201" i="1"/>
  <c r="H201" i="1"/>
  <c r="L200" i="1"/>
  <c r="K200" i="1"/>
  <c r="H200" i="1"/>
  <c r="L199" i="1"/>
  <c r="K199" i="1"/>
  <c r="H199" i="1"/>
  <c r="L198" i="1"/>
  <c r="K198" i="1"/>
  <c r="H198" i="1"/>
  <c r="L197" i="1"/>
  <c r="K197" i="1"/>
  <c r="H197" i="1"/>
  <c r="L196" i="1"/>
  <c r="K196" i="1"/>
  <c r="H196" i="1"/>
  <c r="L195" i="1"/>
  <c r="K195" i="1"/>
  <c r="H195" i="1"/>
  <c r="L189" i="1"/>
  <c r="K189" i="1"/>
  <c r="H189" i="1"/>
  <c r="L188" i="1"/>
  <c r="K188" i="1"/>
  <c r="H188" i="1"/>
  <c r="L187" i="1"/>
  <c r="K187" i="1"/>
  <c r="H187" i="1"/>
  <c r="L186" i="1"/>
  <c r="K186" i="1"/>
  <c r="H186" i="1"/>
  <c r="L185" i="1"/>
  <c r="K185" i="1"/>
  <c r="H185" i="1"/>
  <c r="L184" i="1"/>
  <c r="K184" i="1"/>
  <c r="H184" i="1"/>
  <c r="L183" i="1"/>
  <c r="K183" i="1"/>
  <c r="H183" i="1"/>
  <c r="L182" i="1"/>
  <c r="K182" i="1"/>
  <c r="H182" i="1"/>
  <c r="L176" i="1"/>
  <c r="K176" i="1"/>
  <c r="H176" i="1"/>
  <c r="L175" i="1"/>
  <c r="K175" i="1"/>
  <c r="H175" i="1"/>
  <c r="L174" i="1"/>
  <c r="K174" i="1"/>
  <c r="H174" i="1"/>
  <c r="L173" i="1"/>
  <c r="K173" i="1"/>
  <c r="H173" i="1"/>
  <c r="L172" i="1"/>
  <c r="K172" i="1"/>
  <c r="H172" i="1"/>
  <c r="L171" i="1"/>
  <c r="K171" i="1"/>
  <c r="H171" i="1"/>
  <c r="L170" i="1"/>
  <c r="K170" i="1"/>
  <c r="H170" i="1"/>
  <c r="L169" i="1"/>
  <c r="K169" i="1"/>
  <c r="H169" i="1"/>
  <c r="L168" i="1"/>
  <c r="K168" i="1"/>
  <c r="H168" i="1"/>
  <c r="L167" i="1"/>
  <c r="K167" i="1"/>
  <c r="H167" i="1"/>
  <c r="L161" i="1"/>
  <c r="K161" i="1"/>
  <c r="H161" i="1"/>
  <c r="L160" i="1"/>
  <c r="K160" i="1"/>
  <c r="H160" i="1"/>
  <c r="L159" i="1"/>
  <c r="K159" i="1"/>
  <c r="H159" i="1"/>
  <c r="L158" i="1"/>
  <c r="K158" i="1"/>
  <c r="H158" i="1"/>
  <c r="L157" i="1"/>
  <c r="K157" i="1"/>
  <c r="H157" i="1"/>
  <c r="L156" i="1"/>
  <c r="K156" i="1"/>
  <c r="H156" i="1"/>
  <c r="L155" i="1"/>
  <c r="K155" i="1"/>
  <c r="H155" i="1"/>
  <c r="L154" i="1"/>
  <c r="K154" i="1"/>
  <c r="H154" i="1"/>
  <c r="L153" i="1"/>
  <c r="K153" i="1"/>
  <c r="H153" i="1"/>
  <c r="L152" i="1"/>
  <c r="K152" i="1"/>
  <c r="H152" i="1"/>
  <c r="L151" i="1"/>
  <c r="K151" i="1"/>
  <c r="H151" i="1"/>
  <c r="L150" i="1"/>
  <c r="K150" i="1"/>
  <c r="H150" i="1"/>
  <c r="L149" i="1"/>
  <c r="K149" i="1"/>
  <c r="H149" i="1"/>
  <c r="L148" i="1"/>
  <c r="K148" i="1"/>
  <c r="H148" i="1"/>
  <c r="L147" i="1"/>
  <c r="K147" i="1"/>
  <c r="H147" i="1"/>
  <c r="L146" i="1"/>
  <c r="K146" i="1"/>
  <c r="H146" i="1"/>
  <c r="L145" i="1"/>
  <c r="K145" i="1"/>
  <c r="H145" i="1"/>
  <c r="L144" i="1"/>
  <c r="K144" i="1"/>
  <c r="H144" i="1"/>
  <c r="L143" i="1"/>
  <c r="K143" i="1"/>
  <c r="H143" i="1"/>
  <c r="L142" i="1"/>
  <c r="K142" i="1"/>
  <c r="H142" i="1"/>
  <c r="L141" i="1"/>
  <c r="K141" i="1"/>
  <c r="H141" i="1"/>
  <c r="L140" i="1"/>
  <c r="K140" i="1"/>
  <c r="H140" i="1"/>
  <c r="L139" i="1"/>
  <c r="K139" i="1"/>
  <c r="H139" i="1"/>
  <c r="L138" i="1"/>
  <c r="K138" i="1"/>
  <c r="H138" i="1"/>
  <c r="L137" i="1"/>
  <c r="K137" i="1"/>
  <c r="H137" i="1"/>
  <c r="L136" i="1"/>
  <c r="K136" i="1"/>
  <c r="H136" i="1"/>
  <c r="L135" i="1"/>
  <c r="K135" i="1"/>
  <c r="H135" i="1"/>
  <c r="L129" i="1"/>
  <c r="K129" i="1"/>
  <c r="H129" i="1"/>
  <c r="L128" i="1"/>
  <c r="K128" i="1"/>
  <c r="H128" i="1"/>
  <c r="L127" i="1"/>
  <c r="K127" i="1"/>
  <c r="H127" i="1"/>
  <c r="L126" i="1"/>
  <c r="K126" i="1"/>
  <c r="H126" i="1"/>
  <c r="L125" i="1"/>
  <c r="K125" i="1"/>
  <c r="H125" i="1"/>
  <c r="L124" i="1"/>
  <c r="K124" i="1"/>
  <c r="H124" i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L116" i="1"/>
  <c r="K116" i="1"/>
  <c r="H116" i="1"/>
  <c r="L115" i="1"/>
  <c r="K115" i="1"/>
  <c r="H115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L80" i="1"/>
  <c r="K80" i="1"/>
  <c r="H80" i="1"/>
  <c r="L79" i="1"/>
  <c r="K79" i="1"/>
  <c r="H79" i="1"/>
  <c r="L78" i="1"/>
  <c r="K78" i="1"/>
  <c r="H78" i="1"/>
  <c r="L77" i="1"/>
  <c r="K77" i="1"/>
  <c r="H77" i="1"/>
  <c r="L76" i="1"/>
  <c r="K76" i="1"/>
  <c r="H76" i="1"/>
  <c r="M68" i="1"/>
  <c r="L68" i="1"/>
  <c r="I68" i="1"/>
  <c r="M67" i="1"/>
  <c r="L67" i="1"/>
  <c r="I67" i="1"/>
  <c r="M66" i="1"/>
  <c r="L66" i="1"/>
  <c r="I66" i="1"/>
  <c r="M65" i="1"/>
  <c r="L65" i="1"/>
  <c r="I65" i="1"/>
  <c r="M64" i="1"/>
  <c r="L64" i="1"/>
  <c r="I64" i="1"/>
  <c r="M63" i="1"/>
  <c r="L63" i="1"/>
  <c r="I63" i="1"/>
  <c r="M62" i="1"/>
  <c r="L62" i="1"/>
  <c r="I62" i="1"/>
  <c r="M61" i="1"/>
  <c r="L61" i="1"/>
  <c r="I61" i="1"/>
  <c r="M60" i="1"/>
  <c r="L60" i="1"/>
  <c r="I60" i="1"/>
  <c r="M59" i="1"/>
  <c r="L59" i="1"/>
  <c r="I59" i="1"/>
  <c r="M58" i="1"/>
  <c r="L58" i="1"/>
  <c r="I58" i="1"/>
  <c r="M57" i="1"/>
  <c r="L57" i="1"/>
  <c r="I57" i="1"/>
  <c r="M56" i="1"/>
  <c r="L56" i="1"/>
  <c r="I56" i="1"/>
  <c r="M55" i="1"/>
  <c r="L55" i="1"/>
  <c r="I55" i="1"/>
  <c r="M54" i="1"/>
  <c r="L54" i="1"/>
  <c r="I54" i="1"/>
  <c r="M53" i="1"/>
  <c r="L53" i="1"/>
  <c r="I53" i="1"/>
  <c r="M52" i="1"/>
  <c r="L52" i="1"/>
  <c r="I52" i="1"/>
  <c r="M51" i="1"/>
  <c r="L51" i="1"/>
  <c r="I51" i="1"/>
  <c r="M50" i="1"/>
  <c r="L50" i="1"/>
  <c r="I50" i="1"/>
  <c r="M49" i="1"/>
  <c r="L49" i="1"/>
  <c r="I49" i="1"/>
  <c r="M48" i="1"/>
  <c r="L48" i="1"/>
  <c r="I48" i="1"/>
  <c r="M47" i="1"/>
  <c r="L47" i="1"/>
  <c r="I47" i="1"/>
  <c r="M46" i="1"/>
  <c r="L46" i="1"/>
  <c r="I46" i="1"/>
  <c r="M45" i="1"/>
  <c r="L45" i="1"/>
  <c r="I45" i="1"/>
  <c r="M44" i="1"/>
  <c r="L44" i="1"/>
  <c r="I44" i="1"/>
  <c r="M43" i="1"/>
  <c r="L43" i="1"/>
  <c r="I43" i="1"/>
  <c r="M42" i="1"/>
  <c r="L42" i="1"/>
  <c r="I42" i="1"/>
  <c r="M41" i="1"/>
  <c r="L41" i="1"/>
  <c r="I41" i="1"/>
  <c r="M40" i="1"/>
  <c r="L40" i="1"/>
  <c r="I40" i="1"/>
  <c r="M39" i="1"/>
  <c r="L39" i="1"/>
  <c r="I39" i="1"/>
  <c r="M38" i="1"/>
  <c r="L38" i="1"/>
  <c r="I38" i="1"/>
  <c r="M37" i="1"/>
  <c r="L37" i="1"/>
  <c r="I37" i="1"/>
  <c r="M36" i="1"/>
  <c r="L36" i="1"/>
  <c r="I36" i="1"/>
  <c r="M35" i="1"/>
  <c r="L35" i="1"/>
  <c r="I35" i="1"/>
  <c r="M34" i="1"/>
  <c r="L34" i="1"/>
  <c r="I34" i="1"/>
  <c r="M33" i="1"/>
  <c r="L33" i="1"/>
  <c r="I33" i="1"/>
  <c r="M32" i="1"/>
  <c r="L32" i="1"/>
  <c r="I32" i="1"/>
  <c r="M31" i="1"/>
  <c r="L31" i="1"/>
  <c r="I31" i="1"/>
  <c r="M30" i="1"/>
  <c r="L30" i="1"/>
  <c r="I30" i="1"/>
  <c r="M29" i="1"/>
  <c r="L29" i="1"/>
  <c r="I29" i="1"/>
  <c r="M28" i="1"/>
  <c r="L28" i="1"/>
  <c r="I28" i="1"/>
  <c r="M27" i="1"/>
  <c r="L27" i="1"/>
  <c r="I27" i="1"/>
  <c r="M26" i="1"/>
  <c r="L26" i="1"/>
  <c r="I26" i="1"/>
  <c r="M25" i="1"/>
  <c r="L25" i="1"/>
  <c r="I25" i="1"/>
  <c r="M24" i="1"/>
  <c r="L24" i="1"/>
  <c r="I24" i="1"/>
  <c r="M23" i="1"/>
  <c r="L23" i="1"/>
  <c r="I23" i="1"/>
  <c r="M22" i="1"/>
  <c r="L22" i="1"/>
  <c r="I22" i="1"/>
  <c r="M21" i="1"/>
  <c r="L21" i="1"/>
  <c r="I21" i="1"/>
  <c r="M20" i="1"/>
  <c r="L20" i="1"/>
  <c r="I20" i="1"/>
  <c r="M19" i="1"/>
  <c r="L19" i="1"/>
  <c r="I19" i="1"/>
  <c r="M18" i="1"/>
  <c r="L18" i="1"/>
  <c r="I18" i="1"/>
  <c r="M17" i="1"/>
  <c r="L17" i="1"/>
  <c r="I17" i="1"/>
  <c r="M16" i="1"/>
  <c r="L16" i="1"/>
  <c r="I16" i="1"/>
  <c r="M15" i="1"/>
  <c r="L15" i="1"/>
  <c r="I15" i="1"/>
  <c r="M14" i="1"/>
  <c r="L14" i="1"/>
  <c r="I14" i="1"/>
  <c r="M13" i="1"/>
  <c r="L13" i="1"/>
  <c r="I13" i="1"/>
  <c r="M12" i="1"/>
  <c r="L12" i="1"/>
  <c r="I12" i="1"/>
  <c r="M11" i="1"/>
  <c r="L11" i="1"/>
  <c r="I11" i="1"/>
  <c r="M10" i="1"/>
  <c r="L10" i="1"/>
  <c r="I10" i="1"/>
  <c r="M9" i="1"/>
  <c r="L9" i="1"/>
  <c r="I9" i="1"/>
  <c r="M8" i="1"/>
  <c r="L8" i="1"/>
  <c r="I8" i="1"/>
</calcChain>
</file>

<file path=xl/sharedStrings.xml><?xml version="1.0" encoding="utf-8"?>
<sst xmlns="http://schemas.openxmlformats.org/spreadsheetml/2006/main" count="3337" uniqueCount="342">
  <si>
    <t>Informe de trayectos</t>
  </si>
  <si>
    <t>Periodo: 6 de febrero de 2025 0:00 - 6 de febrero de 2025 23:59</t>
  </si>
  <si>
    <t>Informe generado</t>
  </si>
  <si>
    <t>a: 22 de septiembre de 2025 14:13</t>
  </si>
  <si>
    <t>Resumen del informe</t>
  </si>
  <si>
    <t>Nombre de objeto</t>
  </si>
  <si>
    <t>Hora de inicio de trabajo</t>
  </si>
  <si>
    <t>Ubicación de inicio de trabajo</t>
  </si>
  <si>
    <t>Hora de fin de trabajo</t>
  </si>
  <si>
    <t>Ubicación de fin de trabajo</t>
  </si>
  <si>
    <t>Kilometraje recorrido</t>
  </si>
  <si>
    <t>Kilometraje al inicio</t>
  </si>
  <si>
    <t>Kilometraje al final</t>
  </si>
  <si>
    <t>Duración de inactividad</t>
  </si>
  <si>
    <t>Velocidad máxima</t>
  </si>
  <si>
    <t>Velocidad media</t>
  </si>
  <si>
    <t>Duración del trabajo</t>
  </si>
  <si>
    <t>Duración de parada</t>
  </si>
  <si>
    <t>Ate, Lima Metropolitana, Lima, 15498, Perú</t>
  </si>
  <si>
    <t>94 km/h</t>
  </si>
  <si>
    <t>19 km/h</t>
  </si>
  <si>
    <t>Avenida Lima Norte, Santa Eulalia, Lima Metropolitana, Lima, 15468, Perú</t>
  </si>
  <si>
    <t>7 km/h</t>
  </si>
  <si>
    <t>0 km/h</t>
  </si>
  <si>
    <t>Avenida Los Incas, Ate, Lima Metropolitana, Lima, 15483, Perú</t>
  </si>
  <si>
    <t>Los Huancas, Ate, Lima Metropolitana, Lima, 15483, Perú</t>
  </si>
  <si>
    <t>88 km/h</t>
  </si>
  <si>
    <t>20 km/h</t>
  </si>
  <si>
    <t>Ate, Lima Metropolitana, Lima, 15483, Perú</t>
  </si>
  <si>
    <t>76 km/h</t>
  </si>
  <si>
    <t>18 km/h</t>
  </si>
  <si>
    <t>Calle Manantiales de Vida, Ate, Lima Metropolitana, Lima, 15487, Perú</t>
  </si>
  <si>
    <t>43 km/h</t>
  </si>
  <si>
    <t>78 km/h</t>
  </si>
  <si>
    <t>16 km/h</t>
  </si>
  <si>
    <t>72 km/h</t>
  </si>
  <si>
    <t>52 km/h</t>
  </si>
  <si>
    <t>17 km/h</t>
  </si>
  <si>
    <t>Carretera Central, Chaclacayo, Lima Metropolitana, Lima, 15476, Perú</t>
  </si>
  <si>
    <t>Avenida Las Retamas, Ricardo Palma, Huarochirí, Lima, 15468, Perú</t>
  </si>
  <si>
    <t>Calle los Alamos, Chosica, Lima Metropolitana, Lima, 15468, Perú</t>
  </si>
  <si>
    <t>Capitan Gamarra, Ricardo Palma, Huarochirí, Lima, 15468, Perú, (Ruta4507nueva era 23-10-23)</t>
  </si>
  <si>
    <t>35 km/h</t>
  </si>
  <si>
    <t>8 km/h</t>
  </si>
  <si>
    <t>Calle A, Chosica, Lima Metropolitana, Lima, 15468, Perú</t>
  </si>
  <si>
    <t>30 km/h</t>
  </si>
  <si>
    <t>13 km/h</t>
  </si>
  <si>
    <t>Simón Bolívar, Ricardo Palma, Huarochirí, Lima, 15468, Perú</t>
  </si>
  <si>
    <t>Avenida José Carlos Mariátegui, Ricardo Palma, Huarochirí, Lima, 15468, Perú</t>
  </si>
  <si>
    <t>81 km/h</t>
  </si>
  <si>
    <t>Calle Huayna Cápac, 200, Chaclacayo, Lima Metropolitana, Lima, 15474, Perú</t>
  </si>
  <si>
    <t>15 km/h</t>
  </si>
  <si>
    <t>14 km/h</t>
  </si>
  <si>
    <t>Pasaje A, Ate, Lima Metropolitana, Lima, 15487, Perú</t>
  </si>
  <si>
    <t>82 km/h</t>
  </si>
  <si>
    <t>Calle 1, Ate, Lima Metropolitana, Lima, 15483, Perú</t>
  </si>
  <si>
    <t>77 km/h</t>
  </si>
  <si>
    <t>Calle Santa Luisa, 2142, Ate, Lima Metropolitana, Lima, 15002, Perú, (Ruta4507nueva era 23-10-23, RUTA DESVIO TEM.  4507)</t>
  </si>
  <si>
    <t>Avenida La Paz, G2, Santa Eulalia, Huarochirí, Lima, 15500, Perú</t>
  </si>
  <si>
    <t>54 km/h</t>
  </si>
  <si>
    <t>Calle Leoncio Prado, Santa Eulalia, Huarochirí, Lima, 15468, Perú</t>
  </si>
  <si>
    <t>41 km/h</t>
  </si>
  <si>
    <t>9 km/h</t>
  </si>
  <si>
    <t>Calle Las Tunas, Santa Anita, Lima Metropolitana, Lima, 15007, Perú</t>
  </si>
  <si>
    <t>66 km/h</t>
  </si>
  <si>
    <t>Santa Eulalia, Huarochirí, Lima, 15468, Perú</t>
  </si>
  <si>
    <t>Calle Los Topacios, Lurigancho, Lima Metropolitana, Lima, 15472, Perú</t>
  </si>
  <si>
    <t>63 km/h</t>
  </si>
  <si>
    <t>Avenida Nicolás de Ayllón, 816-818, Ate, Lima Metropolitana, Lima, 15487, Perú, (Ruta4507nueva era 23-10-23)</t>
  </si>
  <si>
    <t>95 km/h</t>
  </si>
  <si>
    <t>Avenida Almirante Miguel Grau, 1294, Lima, Lima Metropolitana, Lima, 15011, Perú, (Ruta4507nueva era 23-10-23)</t>
  </si>
  <si>
    <t>Avenida Paseo de la República, Lima, Lima Metropolitana, Lima, 15083, Perú, (Ruta4507nueva era 23-10-23)</t>
  </si>
  <si>
    <t>85 km/h</t>
  </si>
  <si>
    <t>Avenida Camino Real, Santa Anita, Lima Metropolitana, Lima, 15009, Perú</t>
  </si>
  <si>
    <t>Calle 11, Santa Anita, Lima Metropolitana, Lima, 15009, Perú</t>
  </si>
  <si>
    <t>11 km/h</t>
  </si>
  <si>
    <t>73 km/h</t>
  </si>
  <si>
    <t>Ate, Lima Metropolitana, Lima, 15474, Perú</t>
  </si>
  <si>
    <t>70 km/h</t>
  </si>
  <si>
    <t>Avenida Enrique Guzmán y Valle, Chosica, Lima Metropolitana, Lima, 15468, Perú</t>
  </si>
  <si>
    <t>Calle Los Álamos, Ate, Lima Metropolitana, Lima, 15483, Perú</t>
  </si>
  <si>
    <t>34 km/h</t>
  </si>
  <si>
    <t>4 km/h</t>
  </si>
  <si>
    <t>Carretera Central, Ate, Lima Metropolitana, Lima, 15474, Perú</t>
  </si>
  <si>
    <t>91 km/h</t>
  </si>
  <si>
    <t>21 km/h</t>
  </si>
  <si>
    <t>23 km/h</t>
  </si>
  <si>
    <t>36 km/h</t>
  </si>
  <si>
    <t>2 km/h</t>
  </si>
  <si>
    <t>Avenida Lima Norte, Chosica, Lima Metropolitana, Lima, 15468, Perú</t>
  </si>
  <si>
    <t>Chaclacayo, Lima Metropolitana, Lima, 15472, Perú</t>
  </si>
  <si>
    <t>87 km/h</t>
  </si>
  <si>
    <t>83 km/h</t>
  </si>
  <si>
    <t>Prolongación Javier Prado Este, Ate, Lima Metropolitana, Lima, 15498, Perú</t>
  </si>
  <si>
    <t>Ate, Lima Metropolitana, Lima, 15487, Perú</t>
  </si>
  <si>
    <t>79 km/h</t>
  </si>
  <si>
    <t>Carretera Central, Sol de Cupiche, Huarochirí, Lima, 15500, Perú</t>
  </si>
  <si>
    <t>Carretera Central, Corcona, Huarochirí, Lima, Perú</t>
  </si>
  <si>
    <t>68 km/h</t>
  </si>
  <si>
    <t>Lurigancho, Lima Metropolitana, Lima, 15468, Perú</t>
  </si>
  <si>
    <t>Plaza Francisco Bolognesi, Lima, Lima Metropolitana, Lima, 15083, Perú, (Ruta4507nueva era 23-10-23)</t>
  </si>
  <si>
    <t>96 km/h</t>
  </si>
  <si>
    <t>48 km/h</t>
  </si>
  <si>
    <t>Avenida Colectora, Chosica, Lima Metropolitana, Lima, 15468, Perú</t>
  </si>
  <si>
    <t>Calle 3, Chosica, Lima Metropolitana, Lima, 15468, Perú</t>
  </si>
  <si>
    <t>5 km/h</t>
  </si>
  <si>
    <t>Avenida Micaela Bastidas, 561, Santa Eulalia, Huarochirí, Lima, 15468, Perú</t>
  </si>
  <si>
    <t>71 km/h</t>
  </si>
  <si>
    <t>Alameda E, Chaclacayo, Lima Metropolitana, Lima, 15476, Perú</t>
  </si>
  <si>
    <t>90 km/h</t>
  </si>
  <si>
    <t>Micaela Bastidas, Ate, Lima Metropolitana, Lima, 15498, Perú</t>
  </si>
  <si>
    <t>Avenida Lima Norte, Chosica, Lima Metropolitana, Lima, 15468, Perú, (Ruta4507nueva era 23-10-23)</t>
  </si>
  <si>
    <t>45 km/h</t>
  </si>
  <si>
    <t>12 km/h</t>
  </si>
  <si>
    <t>80 km/h</t>
  </si>
  <si>
    <t>58 km/h</t>
  </si>
  <si>
    <t>10 km/h</t>
  </si>
  <si>
    <t>Avenida Nicolás de Ayllón, Santa Anita, Lima Metropolitana, Lima, 15008, Perú, (Ruta4507nueva era 23-10-23)</t>
  </si>
  <si>
    <t>Avenida Metropolitana, Ate, Lima Metropolitana, Lima, 15498, Perú, (RUTA DESVIO TEM.  4507)</t>
  </si>
  <si>
    <t>84 km/h</t>
  </si>
  <si>
    <t>Carretera Central, Chaclacayo, Lima Metropolitana, Lima, 15474, Perú, (S07ÑAÑA, Ruta4507nueva era 23-10-23)</t>
  </si>
  <si>
    <t>Calle 2, Ate, Lima Metropolitana, Lima, 15487, Perú</t>
  </si>
  <si>
    <t>61 km/h</t>
  </si>
  <si>
    <t>Carretera Central, Ate, Lima Metropolitana, Lima, 15474, Perú, (Ruta4507nueva era 23-10-23)</t>
  </si>
  <si>
    <t>Avenida Lima Sur, 1205, Chosica, Lima Metropolitana, Lima, 15468, Perú</t>
  </si>
  <si>
    <t>100 km/h</t>
  </si>
  <si>
    <t>Carretera Central, Lurigancho, Lima Metropolitana, Lima, 15472, Perú, (Ruta4507nueva era 23-10-23)</t>
  </si>
  <si>
    <t>67 km/h</t>
  </si>
  <si>
    <t>Avenida José Santos Chocano, Ricardo Palma, Huarochirí, Lima, 15468, Perú</t>
  </si>
  <si>
    <t>Totales:</t>
  </si>
  <si>
    <t/>
  </si>
  <si>
    <t>* Los datos de combustible se calculan de acuerdo con el consumo medio de combustible del vehículo especificado en su configuración</t>
  </si>
  <si>
    <t>Calle Córdova, Ricardo Palma, Huarochirí, Lima, 15468, Perú, (Ruta4507nueva era 23-10-23)</t>
  </si>
  <si>
    <t>Jose Carlos Mariátegui, Ricardo Palma, Lima Metropolitana, Lima, 15468, Perú, (PARADERO RICARDO PALMA)</t>
  </si>
  <si>
    <t>Jirón Sánchez Pinillos, Lima, Lima Metropolitana, Lima, 15082, Perú</t>
  </si>
  <si>
    <t>Río Mayo, Ate, Lima Metropolitana, Lima, 15498, Perú</t>
  </si>
  <si>
    <t>Avenida Simón Bolívar, Santa Eulalia, Huarochirí, Lima, 15468, Perú</t>
  </si>
  <si>
    <t>Marcos Puente Llanos, Ate, Lima Metropolitana, Lima, 15498, Perú</t>
  </si>
  <si>
    <t>22 km/h</t>
  </si>
  <si>
    <t>Marcos Puente Llanos, Ate, Lima Metropolitana, Lima, 15498, Perú, (RUTA DESVIO TEM.  4507)</t>
  </si>
  <si>
    <t>27 km/h</t>
  </si>
  <si>
    <t>1 km/h</t>
  </si>
  <si>
    <t>6 km/h</t>
  </si>
  <si>
    <t>Carretera Central, Chaclacayo, Lima Metropolitana, Lima, 15476, Perú, (Ruta4507nueva era 23-10-23)</t>
  </si>
  <si>
    <t>57 km/h</t>
  </si>
  <si>
    <t>Avenida De Las Torres, San Luis, Lima Metropolitana, Lima, 15022, Perú</t>
  </si>
  <si>
    <t>75 km/h</t>
  </si>
  <si>
    <t>Calle Salaverry, 280, Chosica, Lima Metropolitana, Lima, 15468, Perú, (Ruta4507nueva era 23-10-23)</t>
  </si>
  <si>
    <t>Calle Salaverry, 280, Chosica, Lima Metropolitana, Lima, 15468, Perú</t>
  </si>
  <si>
    <t>Jirón Tacna, Chosica, Lima Metropolitana, Lima, 15468, Perú, (Ruta4507nueva era 23-10-23)</t>
  </si>
  <si>
    <t>29 km/h</t>
  </si>
  <si>
    <t>3 km/h</t>
  </si>
  <si>
    <t>74 km/h</t>
  </si>
  <si>
    <t>24 km/h</t>
  </si>
  <si>
    <t>44 km/h</t>
  </si>
  <si>
    <t>Ricardo Palma, Huarochirí, Lima, 15468, Perú, (CURVA RICARDO PALMA, Ruta4507nueva era 23-10-23)</t>
  </si>
  <si>
    <t>32 km/h</t>
  </si>
  <si>
    <t>Avenida Andrés Avelino Cáceres, Ate, Lima Metropolitana, Lima, 15483, Perú</t>
  </si>
  <si>
    <t>Avenida José Carlos Mariátegui, Ate, Lima Metropolitana, Lima, 15483, Perú</t>
  </si>
  <si>
    <t>28 km/h</t>
  </si>
  <si>
    <t>Avenida Nicolás de Ayllón, Ate, Lima Metropolitana, Lima, 15498, Perú, (Ruta4507nueva era 23-10-23)</t>
  </si>
  <si>
    <t>37 km/h</t>
  </si>
  <si>
    <t>Avenida José Carlos Mariátegui, Ate, Lima Metropolitana, Lima, 15487, Perú</t>
  </si>
  <si>
    <t>Avenida José Carlos Mariátegui, Ate, Lima Metropolitana, Lima, 15487, Perú, (LIDERCOM)</t>
  </si>
  <si>
    <t>Carretera Central, Ate, Lima Metropolitana, Lima, 15487, Perú, (Ruta4507nueva era 23-10-23)</t>
  </si>
  <si>
    <t>Carretera Central, Ate, Lima Metropolitana, Lima, 15487, Perú</t>
  </si>
  <si>
    <t>Calle Pacayal, Ate, Lima Metropolitana, Lima, 15487, Perú</t>
  </si>
  <si>
    <t>26 km/h</t>
  </si>
  <si>
    <t>Avenida Alfonso Ugarte, Ate, Lima Metropolitana, Lima, 15487, Perú</t>
  </si>
  <si>
    <t>Calle 2 de Mayo, Ate, Lima Metropolitana, Lima, 15487, Perú</t>
  </si>
  <si>
    <t>Pasaje Gould, Lima, Lima Metropolitana, Lima, 15082, Perú, (PARADERO DESTINO ASCOPE)</t>
  </si>
  <si>
    <t>Calle Los Ficus, Chaclacayo, Lima Metropolitana, Lima, 15472, Perú</t>
  </si>
  <si>
    <t>Chaclacayo, Lima Metropolitana, Lima, 15476, Perú</t>
  </si>
  <si>
    <t>Carretera Central, Chaclacayo, Lima Metropolitana, Lima, 15474, Perú, (Ruta4507nueva era 23-10-23)</t>
  </si>
  <si>
    <t>25 km/h</t>
  </si>
  <si>
    <t>Avenida Nicolás de Ayllón, Ate, Lima Metropolitana, Lima, 15002, Perú, (Ruta4507nueva era 23-10-23, RUTA DESVIO TEM.  4507)</t>
  </si>
  <si>
    <t>Calle Berlín, Ate, Lima Metropolitana, Lima, 15498, Perú</t>
  </si>
  <si>
    <t>Avenida Gloria Grande, Ate, Lima Metropolitana, Lima, 15483, Perú</t>
  </si>
  <si>
    <t>Carretera Central, Ate, Lima Metropolitana, Lima, 15483, Perú, (Ruta4507nueva era 23-10-23)</t>
  </si>
  <si>
    <t>49 km/h</t>
  </si>
  <si>
    <t>Avenida Jaime Zubieta Calderón, Ate, Lima Metropolitana, Lima, 15483, Perú, (Ruta4507nueva era 23-10-23)</t>
  </si>
  <si>
    <t>39 km/h</t>
  </si>
  <si>
    <t>Avenida Jaime Zubieta Calderon, Ate, Lima Metropolitana, Lima, 15483, Perú</t>
  </si>
  <si>
    <t>Ricardo Palma, Huarochirí, Lima, 15468, Perú, (Ruta4507nueva era 23-10-23)</t>
  </si>
  <si>
    <t>Calle Digoberto Ojeda, Ricardo Palma, Huarochirí, Lima, 15468, Perú</t>
  </si>
  <si>
    <t>Avenida Óscar Raimundo Benavides, 150, Lima, Lima Metropolitana, Lima, 15082, Perú</t>
  </si>
  <si>
    <t>Ciclovía Colonial, Lima, Lima Metropolitana, Lima, 15082, Perú, (Ruta4507nueva era 23-10-23)</t>
  </si>
  <si>
    <t>Jirón Huarochirí, 643, Lima, Lima Metropolitana, Lima, 15082, Perú</t>
  </si>
  <si>
    <t>Vía Expresa Almirante Miguel Grau, Lima, Lima Metropolitana, Lima, 15011, Perú, (Ruta4507nueva era 23-10-23)</t>
  </si>
  <si>
    <t>Avenida Nicolás Ayllón, 137, Lima, Lima Metropolitana, Lima, 15011, Perú, (Ruta4507nueva era 23-10-23)</t>
  </si>
  <si>
    <t>38 km/h</t>
  </si>
  <si>
    <t>Avenida Óscar Raimundo Benavides, 153, Lima, Lima Metropolitana, Lima, 15082, Perú</t>
  </si>
  <si>
    <t>59 km/h</t>
  </si>
  <si>
    <t>Chaclacayo, Lima Metropolitana, Lima, 15474, Perú</t>
  </si>
  <si>
    <t>Avenida Óscar Raimundo Benavides, 150, Lima, Lima Metropolitana, Lima, 15082, Perú, (Ruta4507nueva era 23-10-23)</t>
  </si>
  <si>
    <t>51 km/h</t>
  </si>
  <si>
    <t>62 km/h</t>
  </si>
  <si>
    <t>Jose Carlos Mariátegui, Chosica, Lima Metropolitana, Lima, 15468, Perú, (PARADERO RICARDO PALMA)</t>
  </si>
  <si>
    <t>Carretera Central, Chaclacayo, Lima Metropolitana, Lima, 15474, Perú</t>
  </si>
  <si>
    <t>Avenida Simón Bolívar, Santa Eulalia, Huarochirí, Lima, 15468, Perú, (Ruta4507nueva era 23-10-23)</t>
  </si>
  <si>
    <t>Venta, Ate, Lima Metropolitana, Lima, 15474, Perú</t>
  </si>
  <si>
    <t>Avenida Pincipal, Ate, Lima Metropolitana, Lima, 15487, Perú</t>
  </si>
  <si>
    <t>65 km/h</t>
  </si>
  <si>
    <t>Avenida Jaime Zubieta Calderón, Ate, Lima Metropolitana, Lima, 15483, Perú</t>
  </si>
  <si>
    <t>Calle Los Gladiolos, Chosica, Lima Metropolitana, Lima, 15468, Perú</t>
  </si>
  <si>
    <t>Calle Bernardino Salguero, Chosica, Lima Metropolitana, Lima, 15468, Perú</t>
  </si>
  <si>
    <t>Calle Nueva Los Alamos, Santa Eulalia, Huarochirí, Lima, 15468, Perú</t>
  </si>
  <si>
    <t>64 km/h</t>
  </si>
  <si>
    <t>40 km/h</t>
  </si>
  <si>
    <t>Abraham Valdelomar, Ricardo Palma, Huarochirí, Lima, 15468, Perú</t>
  </si>
  <si>
    <t>Avenida Alfonso Cobián, Chaclacayo, Lima Metropolitana, Lima, 15476, Perú</t>
  </si>
  <si>
    <t>Calle Alhelíes, Chaclacayo, Lima Metropolitana, Lima, 15476, Perú</t>
  </si>
  <si>
    <t>Calle Amelies, Chosica, Lima Metropolitana, Lima, 15468, Perú</t>
  </si>
  <si>
    <t>53 km/h</t>
  </si>
  <si>
    <t>47 km/h</t>
  </si>
  <si>
    <t>Jirón Trujillo Sur, Chosica, Lima Metropolitana, Lima, 15468, Perú, (Ruta4507nueva era 23-10-23)</t>
  </si>
  <si>
    <t>Avenida 15 de Julio, Nº 512 UVC 3, Ate, Lima Metropolitana, Lima, 15483, Perú</t>
  </si>
  <si>
    <t>Carretera Central, Ricardo Palma, Huarochirí, Lima, 15468, Perú</t>
  </si>
  <si>
    <t>42 km/h</t>
  </si>
  <si>
    <t>Avenida Los Cipreses, Santa Anita, Lima Metropolitana, Lima, 15008, Perú, (RUTA DESVIO TEM.  4507)</t>
  </si>
  <si>
    <t>Avenida Nicolás de Ayllón, Ate, Lima Metropolitana, Lima, 15002, Perú</t>
  </si>
  <si>
    <t>Avenida Nicolás de Ayllón, Santa Anita, Lima Metropolitana, Lima, 15498, Perú, (Ruta4507nueva era 23-10-23)</t>
  </si>
  <si>
    <t>55 km/h</t>
  </si>
  <si>
    <t>Avenida Río Perene, Ate, Lima Metropolitana, Lima, 15498, Perú</t>
  </si>
  <si>
    <t>Avenida La Roncadora, Ate, Lima Metropolitana, Lima, 15487, Perú</t>
  </si>
  <si>
    <t>La Estrella, Ate, Lima Metropolitana, Lima, 15487, Perú</t>
  </si>
  <si>
    <t>Avenida Principal, Lurigancho, Lima Metropolitana, Lima, 15487, Perú</t>
  </si>
  <si>
    <t>Lurigancho, Lima Metropolitana, Lima, 15487, Perú</t>
  </si>
  <si>
    <t>Avenida Lima Sur, Chosica, Lima Metropolitana, Lima, 15468, Perú, (Ruta4507nueva era 23-10-23)</t>
  </si>
  <si>
    <t>46 km/h</t>
  </si>
  <si>
    <t>33 km/h</t>
  </si>
  <si>
    <t>Chosica, Lima Metropolitana, Lima, 15468, Perú</t>
  </si>
  <si>
    <t>Avenida José Carlos Mariátegui, Ricardo Palma, Huarochirí, Lima, 15468, Perú, (CURVA RICARDO PALMA, Ruta4507nueva era 23-10-23)</t>
  </si>
  <si>
    <t>Jirón Ascope, Lima, Lima Metropolitana, Lima, 15082, Perú, (PARADERO DESTINO ASCOPE, Ruta4507nueva era 23-10-23)</t>
  </si>
  <si>
    <t>Avenida Lima Norte, 599, Chosica, Lima Metropolitana, Lima, 15468, Perú, (Ruta4507nueva era 23-10-23)</t>
  </si>
  <si>
    <t>Chosica, Lima Metropolitana, Lima, 15468, Perú, (Ruta4507nueva era 23-10-23)</t>
  </si>
  <si>
    <t>Avenida Almirante Miguel Grau, 243, Lima, Lima Metropolitana, Lima, 15001, Perú, (Ruta4507nueva era 23-10-23)</t>
  </si>
  <si>
    <t>Avenida Lima Sur, Chosica, Lima Metropolitana, Lima, 15468, Perú</t>
  </si>
  <si>
    <t>Jirón Brasil, Chosica, Lima Metropolitana, Lima, 15468, Perú</t>
  </si>
  <si>
    <t>Calle Abraham Valdelomar, 108, Ricardo Palma, Huarochirí, Lima, 15468, Perú</t>
  </si>
  <si>
    <t>Avenida Buenos Aires, Santa Eulalia, Huarochirí, Lima, 15468, Perú</t>
  </si>
  <si>
    <t>Jirón Tacna, Chosica, Lima Metropolitana, Lima, 15468, Perú</t>
  </si>
  <si>
    <t>Avenida San Marcos, Ate, Lima Metropolitana, Lima, 15483, Perú</t>
  </si>
  <si>
    <t>Simón Bolívar, Ricardo Palma, Huarochirí, Lima, 15468, Perú, (Ruta4507nueva era 23-10-23)</t>
  </si>
  <si>
    <t>Avenida Lima Norte, Santa Eulalia, Huarochirí, Lima, 15468, Perú</t>
  </si>
  <si>
    <t>Avenida José Carlos Mariátegui, Ate, Lima Metropolitana, Lima, 15474, Perú</t>
  </si>
  <si>
    <t>Jirón Cornelio Borda, Breña, Lima Metropolitana, Lima, 15082, Perú, (Ruta4507nueva era 23-10-23)</t>
  </si>
  <si>
    <t>Avenida San Martín, Santa Eulalia, Huarochirí, Lima, 15468, Perú</t>
  </si>
  <si>
    <t>31 km/h</t>
  </si>
  <si>
    <t>Avenida Los Incas, Ate, Lima Metropolitana, Lima, 15474, Perú</t>
  </si>
  <si>
    <t>Calle 20 de Enero, Santa Eulalia, Huarochirí, Lima, 15468, Perú</t>
  </si>
  <si>
    <t>Calle 20 de Enero, Santa Eulalia, Huarochirí, Lima, 15468, Perú, (Ruta4507nueva era 23-10-23)</t>
  </si>
  <si>
    <t>Avenida 28 de Julio, 970, Jesús María, Lima Metropolitana, Lima, 15083, Perú</t>
  </si>
  <si>
    <t>Avenida 28 de Julio, Lima, Lima Metropolitana, Lima, 15083, Perú</t>
  </si>
  <si>
    <t>Carretera Central, Chaclacayo, Lima Metropolitana, Lima, 15464, Perú</t>
  </si>
  <si>
    <t>Avenida Nicolás Ayllón, Chaclacayo, Lima Metropolitana, Lima, 15472, Perú, (Ruta4507nueva era 23-10-23)</t>
  </si>
  <si>
    <t>Jirón Cornelio Borda, Lima, Lima Metropolitana, Lima, 15082, Perú</t>
  </si>
  <si>
    <t>Avenida Alfonso Ugarte, 650, Lima, Lima Metropolitana, Lima, 15082, Perú</t>
  </si>
  <si>
    <t>Avenida 15 de Julio, Ate, Lima Metropolitana, Lima, 15483, Perú</t>
  </si>
  <si>
    <t>Avenida Esperanza, Ate, Lima Metropolitana, Lima, 15487, Perú</t>
  </si>
  <si>
    <t>69 km/h</t>
  </si>
  <si>
    <t>Corcona, Huarochirí, Lima, Perú</t>
  </si>
  <si>
    <t>Jirón Chucuito, Chosica, Lima Metropolitana, Lima, 15468, Perú</t>
  </si>
  <si>
    <t>Avenida Lima Norte, Santa Eulalia, Huarochirí, Lima, 15468, Perú, (Ruta4507nueva era 23-10-23)</t>
  </si>
  <si>
    <t>Carretera Central, Sol de Cupiche, Huarochirí, Lima, Perú</t>
  </si>
  <si>
    <t>Jirón Callao, Chosica, Lima Metropolitana, Lima, 15468, Perú</t>
  </si>
  <si>
    <t>Jirón Chucuito, 187, Chosica, Lima Metropolitana, Lima, 15468, Perú</t>
  </si>
  <si>
    <t>Calle Cesar Vallejo, Ricardo Palma, Huarochirí, Lima, 15468, Perú</t>
  </si>
  <si>
    <t>Avenida Paseo de la República, 400, Jesús María, Lima Metropolitana, Lima, 15001, Perú</t>
  </si>
  <si>
    <t>Avenida Paseo de la República, Lima, Lima Metropolitana, Lima, 15083, Perú</t>
  </si>
  <si>
    <t>86 km/h</t>
  </si>
  <si>
    <t>Jirón Sánchez Pinillos, 189, Lima, Lima Metropolitana, Lima, 15082, Perú, (Ruta4507nueva era 23-10-23)</t>
  </si>
  <si>
    <t>Jirón Huarochirí, Lima, Lima Metropolitana, Lima, 15082, Perú, (Ruta4507nueva era 23-10-23)</t>
  </si>
  <si>
    <t>Avenida San Martín, San José de Palle, Huarochirí, Lima, 15500, Perú</t>
  </si>
  <si>
    <t>50 km/h</t>
  </si>
  <si>
    <t>93 km/h</t>
  </si>
  <si>
    <t>Carretera Central, Lurigancho, Lima Metropolitana, Lima, 15483, Perú</t>
  </si>
  <si>
    <t>101 km/h</t>
  </si>
  <si>
    <t>Jirón Los Próceres, Santa Eulalia, Huarochirí, Lima, 15468, Perú, (Ruta4507nueva era 23-10-23)</t>
  </si>
  <si>
    <t>Jirón Los Próceres, Santa Eulalia, Huarochirí, Lima, 15468, Perú</t>
  </si>
  <si>
    <t>56 km/h</t>
  </si>
  <si>
    <t>Avenida Bernardino Rivadavia, Ate, Lima Metropolitana, Lima, 15498, Perú, (RUTA DESVIO TEM.  4507)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</si>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</sst>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:ss"/>
    <numFmt numFmtId="165" formatCode="&quot;&quot;#,##0.0##&quot; km&quot;"/>
  </numFmts>
  <fonts count="5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  <font>
      <i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darkTrellis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46" fontId="0" fillId="0" borderId="0" xfId="0" applyNumberFormat="1"/>
    <xf numFmtId="0" fontId="0" fillId="2" borderId="2" xfId="0" applyFill="1" applyBorder="1"/>
    <xf numFmtId="165" fontId="0" fillId="2" borderId="2" xfId="0" applyNumberFormat="1" applyFill="1" applyBorder="1"/>
    <xf numFmtId="46" fontId="0" fillId="2" borderId="2" xfId="0" applyNumberFormat="1" applyFill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9"/>
  <sheetViews>
    <sheetView tabSelected="1" workbookViewId="0">
      <selection sqref="A1:J1"/>
    </sheetView>
  </sheetViews>
  <sheetFormatPr baseColWidth="10" defaultColWidth="9.140625" defaultRowHeight="15" x14ac:dyDescent="0.25"/>
  <cols>
    <col min="1" max="30" width="19" customWidth="1"/>
  </cols>
  <sheetData>
    <row r="1" spans="1:13" ht="24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3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3" s="1" customForma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</row>
    <row r="7" spans="1:13" ht="3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</row>
    <row r="8" spans="1:13" x14ac:dyDescent="0.25">
      <c r="A8" t="s">
        <v>282</v>
      </c>
      <c r="B8" s="3">
        <v>45694.179594907408</v>
      </c>
      <c r="C8" t="s">
        <v>18</v>
      </c>
      <c r="D8" s="3">
        <v>45694.951099537036</v>
      </c>
      <c r="E8" t="s">
        <v>18</v>
      </c>
      <c r="F8" s="4">
        <v>241.834</v>
      </c>
      <c r="G8" s="4">
        <v>512801.63799999998</v>
      </c>
      <c r="H8" s="4">
        <v>513043.47200000001</v>
      </c>
      <c r="I8" s="5">
        <f>11999 / 86400</f>
        <v>0.13887731481481483</v>
      </c>
      <c r="J8" t="s">
        <v>19</v>
      </c>
      <c r="K8" t="s">
        <v>20</v>
      </c>
      <c r="L8" s="5">
        <f>45055 / 86400</f>
        <v>0.5214699074074074</v>
      </c>
      <c r="M8" s="5">
        <f>41341 / 86400</f>
        <v>0.47848379629629628</v>
      </c>
    </row>
    <row r="9" spans="1:13" x14ac:dyDescent="0.25">
      <c r="A9" t="s">
        <v>283</v>
      </c>
      <c r="B9" s="3">
        <v>45694.001168981486</v>
      </c>
      <c r="C9" t="s">
        <v>21</v>
      </c>
      <c r="D9" s="3">
        <v>45694.311585648145</v>
      </c>
      <c r="E9" t="s">
        <v>21</v>
      </c>
      <c r="F9" s="4">
        <v>6.8000000000000005E-2</v>
      </c>
      <c r="G9" s="4">
        <v>17976.552</v>
      </c>
      <c r="H9" s="4">
        <v>17976.62</v>
      </c>
      <c r="I9" s="5">
        <f>463 / 86400</f>
        <v>5.3587962962962964E-3</v>
      </c>
      <c r="J9" t="s">
        <v>22</v>
      </c>
      <c r="K9" t="s">
        <v>23</v>
      </c>
      <c r="L9" s="5">
        <f>634 / 86400</f>
        <v>7.3379629629629628E-3</v>
      </c>
      <c r="M9" s="5">
        <f>85763 / 86400</f>
        <v>0.99262731481481481</v>
      </c>
    </row>
    <row r="10" spans="1:13" x14ac:dyDescent="0.25">
      <c r="A10" t="s">
        <v>284</v>
      </c>
      <c r="B10" s="3">
        <v>45694.225173611107</v>
      </c>
      <c r="C10" t="s">
        <v>24</v>
      </c>
      <c r="D10" s="3">
        <v>45694.85564814815</v>
      </c>
      <c r="E10" t="s">
        <v>25</v>
      </c>
      <c r="F10" s="4">
        <v>259.428</v>
      </c>
      <c r="G10" s="4">
        <v>327221.15500000003</v>
      </c>
      <c r="H10" s="4">
        <v>327480.58299999998</v>
      </c>
      <c r="I10" s="5">
        <f>14516 / 86400</f>
        <v>0.16800925925925925</v>
      </c>
      <c r="J10" t="s">
        <v>26</v>
      </c>
      <c r="K10" t="s">
        <v>27</v>
      </c>
      <c r="L10" s="5">
        <f>47261 / 86400</f>
        <v>0.54700231481481476</v>
      </c>
      <c r="M10" s="5">
        <f>39134 / 86400</f>
        <v>0.45293981481481482</v>
      </c>
    </row>
    <row r="11" spans="1:13" x14ac:dyDescent="0.25">
      <c r="A11" t="s">
        <v>285</v>
      </c>
      <c r="B11" s="3">
        <v>45694.287511574075</v>
      </c>
      <c r="C11" t="s">
        <v>28</v>
      </c>
      <c r="D11" s="3">
        <v>45694.724351851852</v>
      </c>
      <c r="E11" t="s">
        <v>28</v>
      </c>
      <c r="F11" s="4">
        <v>60.643999999999998</v>
      </c>
      <c r="G11" s="4">
        <v>20220.465</v>
      </c>
      <c r="H11" s="4">
        <v>20281.109</v>
      </c>
      <c r="I11" s="5">
        <f>3154 / 86400</f>
        <v>3.650462962962963E-2</v>
      </c>
      <c r="J11" t="s">
        <v>29</v>
      </c>
      <c r="K11" t="s">
        <v>30</v>
      </c>
      <c r="L11" s="5">
        <f>11873 / 86400</f>
        <v>0.13741898148148149</v>
      </c>
      <c r="M11" s="5">
        <f>74521 / 86400</f>
        <v>0.86251157407407408</v>
      </c>
    </row>
    <row r="12" spans="1:13" x14ac:dyDescent="0.25">
      <c r="A12" t="s">
        <v>286</v>
      </c>
      <c r="B12" s="3">
        <v>45694.259224537032</v>
      </c>
      <c r="C12" t="s">
        <v>31</v>
      </c>
      <c r="D12" s="3">
        <v>45694.797638888893</v>
      </c>
      <c r="E12" t="s">
        <v>31</v>
      </c>
      <c r="F12" s="4">
        <v>23.285</v>
      </c>
      <c r="G12" s="4">
        <v>512095.45600000001</v>
      </c>
      <c r="H12" s="4">
        <v>512118.74099999998</v>
      </c>
      <c r="I12" s="5">
        <f>5710 / 86400</f>
        <v>6.6087962962962959E-2</v>
      </c>
      <c r="J12" t="s">
        <v>32</v>
      </c>
      <c r="K12" t="s">
        <v>22</v>
      </c>
      <c r="L12" s="5">
        <f>11347 / 86400</f>
        <v>0.13133101851851853</v>
      </c>
      <c r="M12" s="5">
        <f>75041 / 86400</f>
        <v>0.86853009259259262</v>
      </c>
    </row>
    <row r="13" spans="1:13" x14ac:dyDescent="0.25">
      <c r="A13" t="s">
        <v>287</v>
      </c>
      <c r="B13" s="3">
        <v>45694.213645833333</v>
      </c>
      <c r="C13" t="s">
        <v>28</v>
      </c>
      <c r="D13" s="3">
        <v>45694.850231481483</v>
      </c>
      <c r="E13" t="s">
        <v>28</v>
      </c>
      <c r="F13" s="4">
        <v>197.738</v>
      </c>
      <c r="G13" s="4">
        <v>91226.877999999997</v>
      </c>
      <c r="H13" s="4">
        <v>91424.615999999995</v>
      </c>
      <c r="I13" s="5">
        <f>12796 / 86400</f>
        <v>0.14810185185185185</v>
      </c>
      <c r="J13" t="s">
        <v>33</v>
      </c>
      <c r="K13" t="s">
        <v>34</v>
      </c>
      <c r="L13" s="5">
        <f>44545 / 86400</f>
        <v>0.51556712962962958</v>
      </c>
      <c r="M13" s="5">
        <f>41853 / 86400</f>
        <v>0.48440972222222223</v>
      </c>
    </row>
    <row r="14" spans="1:13" x14ac:dyDescent="0.25">
      <c r="A14" t="s">
        <v>288</v>
      </c>
      <c r="B14" s="3">
        <v>45694.003252314811</v>
      </c>
      <c r="C14" t="s">
        <v>18</v>
      </c>
      <c r="D14" s="3">
        <v>45694.757673611108</v>
      </c>
      <c r="E14" t="s">
        <v>18</v>
      </c>
      <c r="F14" s="4">
        <v>246.54900000000001</v>
      </c>
      <c r="G14" s="4">
        <v>136188.47700000001</v>
      </c>
      <c r="H14" s="4">
        <v>136435.02600000001</v>
      </c>
      <c r="I14" s="5">
        <f>13798 / 86400</f>
        <v>0.15969907407407408</v>
      </c>
      <c r="J14" t="s">
        <v>35</v>
      </c>
      <c r="K14" t="s">
        <v>20</v>
      </c>
      <c r="L14" s="5">
        <f>45826 / 86400</f>
        <v>0.53039351851851857</v>
      </c>
      <c r="M14" s="5">
        <f>40571 / 86400</f>
        <v>0.46957175925925926</v>
      </c>
    </row>
    <row r="15" spans="1:13" x14ac:dyDescent="0.25">
      <c r="A15" t="s">
        <v>289</v>
      </c>
      <c r="B15" s="3">
        <v>45694.642928240741</v>
      </c>
      <c r="C15" t="s">
        <v>28</v>
      </c>
      <c r="D15" s="3">
        <v>45694.702789351853</v>
      </c>
      <c r="E15" t="s">
        <v>28</v>
      </c>
      <c r="F15" s="4">
        <v>5.8413536799550059</v>
      </c>
      <c r="G15" s="4">
        <v>346602.45781565428</v>
      </c>
      <c r="H15" s="4">
        <v>346608.7517108139</v>
      </c>
      <c r="I15" s="5">
        <f>0 / 86400</f>
        <v>0</v>
      </c>
      <c r="J15" t="s">
        <v>36</v>
      </c>
      <c r="K15" t="s">
        <v>37</v>
      </c>
      <c r="L15" s="5">
        <f>1236 / 86400</f>
        <v>1.4305555555555556E-2</v>
      </c>
      <c r="M15" s="5">
        <f>85163 / 86400</f>
        <v>0.98568287037037039</v>
      </c>
    </row>
    <row r="16" spans="1:13" x14ac:dyDescent="0.25">
      <c r="A16" t="s">
        <v>290</v>
      </c>
      <c r="B16" s="3">
        <v>45694.17</v>
      </c>
      <c r="C16" t="s">
        <v>38</v>
      </c>
      <c r="D16" s="3">
        <v>45694.600636574076</v>
      </c>
      <c r="E16" t="s">
        <v>38</v>
      </c>
      <c r="F16" s="4">
        <v>175.31</v>
      </c>
      <c r="G16" s="4">
        <v>483300.79599999997</v>
      </c>
      <c r="H16" s="4">
        <v>483476.10600000003</v>
      </c>
      <c r="I16" s="5">
        <f>10840 / 86400</f>
        <v>0.12546296296296297</v>
      </c>
      <c r="J16" t="s">
        <v>29</v>
      </c>
      <c r="K16" t="s">
        <v>37</v>
      </c>
      <c r="L16" s="5">
        <f>36236 / 86400</f>
        <v>0.41939814814814813</v>
      </c>
      <c r="M16" s="5">
        <f>50162 / 86400</f>
        <v>0.58057870370370368</v>
      </c>
    </row>
    <row r="17" spans="1:13" x14ac:dyDescent="0.25">
      <c r="A17" t="s">
        <v>291</v>
      </c>
      <c r="B17" s="3">
        <v>45694.276446759264</v>
      </c>
      <c r="C17" t="s">
        <v>39</v>
      </c>
      <c r="D17" s="3">
        <v>45694.790949074071</v>
      </c>
      <c r="E17" t="s">
        <v>40</v>
      </c>
      <c r="F17" s="4">
        <v>195.04400000000001</v>
      </c>
      <c r="G17" s="4">
        <v>506922.39299999998</v>
      </c>
      <c r="H17" s="4">
        <v>507117.43699999998</v>
      </c>
      <c r="I17" s="5">
        <f>12778 / 86400</f>
        <v>0.14789351851851851</v>
      </c>
      <c r="J17" t="s">
        <v>29</v>
      </c>
      <c r="K17" t="s">
        <v>37</v>
      </c>
      <c r="L17" s="5">
        <f>40417 / 86400</f>
        <v>0.46778935185185183</v>
      </c>
      <c r="M17" s="5">
        <f>45981 / 86400</f>
        <v>0.53218750000000004</v>
      </c>
    </row>
    <row r="18" spans="1:13" x14ac:dyDescent="0.25">
      <c r="A18" t="s">
        <v>292</v>
      </c>
      <c r="B18" s="3">
        <v>45694.443784722222</v>
      </c>
      <c r="C18" t="s">
        <v>41</v>
      </c>
      <c r="D18" s="3">
        <v>45694.827407407407</v>
      </c>
      <c r="E18" t="s">
        <v>41</v>
      </c>
      <c r="F18" s="4">
        <v>2.1309999999999998</v>
      </c>
      <c r="G18" s="4">
        <v>436500.70500000002</v>
      </c>
      <c r="H18" s="4">
        <v>436502.83600000001</v>
      </c>
      <c r="I18" s="5">
        <f>440 / 86400</f>
        <v>5.092592592592593E-3</v>
      </c>
      <c r="J18" t="s">
        <v>42</v>
      </c>
      <c r="K18" t="s">
        <v>43</v>
      </c>
      <c r="L18" s="5">
        <f>967 / 86400</f>
        <v>1.119212962962963E-2</v>
      </c>
      <c r="M18" s="5">
        <f>85429 / 86400</f>
        <v>0.98876157407407406</v>
      </c>
    </row>
    <row r="19" spans="1:13" x14ac:dyDescent="0.25">
      <c r="A19" t="s">
        <v>293</v>
      </c>
      <c r="B19" s="3">
        <v>45694.753067129626</v>
      </c>
      <c r="C19" t="s">
        <v>44</v>
      </c>
      <c r="D19" s="3">
        <v>45694.868738425925</v>
      </c>
      <c r="E19" t="s">
        <v>21</v>
      </c>
      <c r="F19" s="4">
        <v>5.5419999999999998</v>
      </c>
      <c r="G19" s="4">
        <v>52884.758000000002</v>
      </c>
      <c r="H19" s="4">
        <v>52890.3</v>
      </c>
      <c r="I19" s="5">
        <f>238 / 86400</f>
        <v>2.7546296296296294E-3</v>
      </c>
      <c r="J19" t="s">
        <v>45</v>
      </c>
      <c r="K19" t="s">
        <v>46</v>
      </c>
      <c r="L19" s="5">
        <f>1553 / 86400</f>
        <v>1.7974537037037035E-2</v>
      </c>
      <c r="M19" s="5">
        <f>84846 / 86400</f>
        <v>0.98201388888888885</v>
      </c>
    </row>
    <row r="20" spans="1:13" x14ac:dyDescent="0.25">
      <c r="A20" t="s">
        <v>294</v>
      </c>
      <c r="B20" s="3">
        <v>45694.004016203704</v>
      </c>
      <c r="C20" t="s">
        <v>47</v>
      </c>
      <c r="D20" s="3">
        <v>45694.769050925926</v>
      </c>
      <c r="E20" t="s">
        <v>48</v>
      </c>
      <c r="F20" s="4">
        <v>204.739</v>
      </c>
      <c r="G20" s="4">
        <v>214562.02600000001</v>
      </c>
      <c r="H20" s="4">
        <v>214766.76500000001</v>
      </c>
      <c r="I20" s="5">
        <f>14709 / 86400</f>
        <v>0.17024305555555555</v>
      </c>
      <c r="J20" t="s">
        <v>49</v>
      </c>
      <c r="K20" t="s">
        <v>37</v>
      </c>
      <c r="L20" s="5">
        <f>43956 / 86400</f>
        <v>0.50875000000000004</v>
      </c>
      <c r="M20" s="5">
        <f>42437 / 86400</f>
        <v>0.49116898148148147</v>
      </c>
    </row>
    <row r="21" spans="1:13" x14ac:dyDescent="0.25">
      <c r="A21" t="s">
        <v>295</v>
      </c>
      <c r="B21" s="3">
        <v>45694.273287037038</v>
      </c>
      <c r="C21" t="s">
        <v>50</v>
      </c>
      <c r="D21" s="3">
        <v>45694.865405092598</v>
      </c>
      <c r="E21" t="s">
        <v>50</v>
      </c>
      <c r="F21" s="4">
        <v>163.79400000000001</v>
      </c>
      <c r="G21" s="4">
        <v>523897.10499999998</v>
      </c>
      <c r="H21" s="4">
        <v>524060.89899999998</v>
      </c>
      <c r="I21" s="5">
        <f>18954 / 86400</f>
        <v>0.21937499999999999</v>
      </c>
      <c r="J21" t="s">
        <v>26</v>
      </c>
      <c r="K21" t="s">
        <v>51</v>
      </c>
      <c r="L21" s="5">
        <f>39434 / 86400</f>
        <v>0.45641203703703703</v>
      </c>
      <c r="M21" s="5">
        <f>46962 / 86400</f>
        <v>0.5435416666666667</v>
      </c>
    </row>
    <row r="22" spans="1:13" x14ac:dyDescent="0.25">
      <c r="A22" t="s">
        <v>296</v>
      </c>
      <c r="B22" s="3">
        <v>45694.236030092594</v>
      </c>
      <c r="C22" t="s">
        <v>28</v>
      </c>
      <c r="D22" s="3">
        <v>45694.769131944442</v>
      </c>
      <c r="E22" t="s">
        <v>28</v>
      </c>
      <c r="F22" s="4">
        <v>164.13299999999998</v>
      </c>
      <c r="G22" s="4">
        <v>11596.356</v>
      </c>
      <c r="H22" s="4">
        <v>11760.489</v>
      </c>
      <c r="I22" s="5">
        <f>17974 / 86400</f>
        <v>0.20803240740740742</v>
      </c>
      <c r="J22" t="s">
        <v>35</v>
      </c>
      <c r="K22" t="s">
        <v>52</v>
      </c>
      <c r="L22" s="5">
        <f>43033 / 86400</f>
        <v>0.49806712962962962</v>
      </c>
      <c r="M22" s="5">
        <f>43361 / 86400</f>
        <v>0.50186342592592592</v>
      </c>
    </row>
    <row r="23" spans="1:13" x14ac:dyDescent="0.25">
      <c r="A23" t="s">
        <v>297</v>
      </c>
      <c r="B23" s="3">
        <v>45694.236134259263</v>
      </c>
      <c r="C23" t="s">
        <v>28</v>
      </c>
      <c r="D23" s="3">
        <v>45694.904456018514</v>
      </c>
      <c r="E23" t="s">
        <v>28</v>
      </c>
      <c r="F23" s="4">
        <v>189.80199999999999</v>
      </c>
      <c r="G23" s="4">
        <v>4553.4380000000001</v>
      </c>
      <c r="H23" s="4">
        <v>4743.24</v>
      </c>
      <c r="I23" s="5">
        <f>20517 / 86400</f>
        <v>0.23746527777777779</v>
      </c>
      <c r="J23" t="s">
        <v>35</v>
      </c>
      <c r="K23" t="s">
        <v>52</v>
      </c>
      <c r="L23" s="5">
        <f>47723 / 86400</f>
        <v>0.55234953703703704</v>
      </c>
      <c r="M23" s="5">
        <f>38674 / 86400</f>
        <v>0.44761574074074073</v>
      </c>
    </row>
    <row r="24" spans="1:13" x14ac:dyDescent="0.25">
      <c r="A24" t="s">
        <v>298</v>
      </c>
      <c r="B24" s="3">
        <v>45694.206226851849</v>
      </c>
      <c r="C24" t="s">
        <v>38</v>
      </c>
      <c r="D24" s="3">
        <v>45694.735277777778</v>
      </c>
      <c r="E24" t="s">
        <v>38</v>
      </c>
      <c r="F24" s="4">
        <v>208.84399999999999</v>
      </c>
      <c r="G24" s="4">
        <v>385795.11300000001</v>
      </c>
      <c r="H24" s="4">
        <v>386003.95699999999</v>
      </c>
      <c r="I24" s="5">
        <f>11959 / 86400</f>
        <v>0.13841435185185186</v>
      </c>
      <c r="J24" t="s">
        <v>35</v>
      </c>
      <c r="K24" t="s">
        <v>30</v>
      </c>
      <c r="L24" s="5">
        <f>41694 / 86400</f>
        <v>0.48256944444444444</v>
      </c>
      <c r="M24" s="5">
        <f>44702 / 86400</f>
        <v>0.51738425925925924</v>
      </c>
    </row>
    <row r="25" spans="1:13" x14ac:dyDescent="0.25">
      <c r="A25" t="s">
        <v>299</v>
      </c>
      <c r="B25" s="3">
        <v>45694.315914351857</v>
      </c>
      <c r="C25" t="s">
        <v>53</v>
      </c>
      <c r="D25" s="3">
        <v>45694.823078703703</v>
      </c>
      <c r="E25" t="s">
        <v>53</v>
      </c>
      <c r="F25" s="4">
        <v>100.755</v>
      </c>
      <c r="G25" s="4">
        <v>391500.24300000002</v>
      </c>
      <c r="H25" s="4">
        <v>391600.99800000002</v>
      </c>
      <c r="I25" s="5">
        <f>6352 / 86400</f>
        <v>7.3518518518518525E-2</v>
      </c>
      <c r="J25" t="s">
        <v>54</v>
      </c>
      <c r="K25" t="s">
        <v>20</v>
      </c>
      <c r="L25" s="5">
        <f>19401 / 86400</f>
        <v>0.2245486111111111</v>
      </c>
      <c r="M25" s="5">
        <f>66988 / 86400</f>
        <v>0.77532407407407411</v>
      </c>
    </row>
    <row r="26" spans="1:13" x14ac:dyDescent="0.25">
      <c r="A26" t="s">
        <v>300</v>
      </c>
      <c r="B26" s="3">
        <v>45694.147650462968</v>
      </c>
      <c r="C26" t="s">
        <v>55</v>
      </c>
      <c r="D26" s="3">
        <v>45694.686238425929</v>
      </c>
      <c r="E26" t="s">
        <v>55</v>
      </c>
      <c r="F26" s="4">
        <v>112.82</v>
      </c>
      <c r="G26" s="4">
        <v>521805.19799999997</v>
      </c>
      <c r="H26" s="4">
        <v>521918.01799999998</v>
      </c>
      <c r="I26" s="5">
        <f>7355 / 86400</f>
        <v>8.5127314814814808E-2</v>
      </c>
      <c r="J26" t="s">
        <v>56</v>
      </c>
      <c r="K26" t="s">
        <v>37</v>
      </c>
      <c r="L26" s="5">
        <f>23511 / 86400</f>
        <v>0.27211805555555557</v>
      </c>
      <c r="M26" s="5">
        <f>62881 / 86400</f>
        <v>0.7277893518518519</v>
      </c>
    </row>
    <row r="27" spans="1:13" x14ac:dyDescent="0.25">
      <c r="A27" t="s">
        <v>301</v>
      </c>
      <c r="B27" s="3">
        <v>45694</v>
      </c>
      <c r="C27" t="s">
        <v>57</v>
      </c>
      <c r="D27" s="3">
        <v>45694.949953703705</v>
      </c>
      <c r="E27" t="s">
        <v>58</v>
      </c>
      <c r="F27" s="4">
        <v>62.68</v>
      </c>
      <c r="G27" s="4">
        <v>410606.011</v>
      </c>
      <c r="H27" s="4">
        <v>410668.69099999999</v>
      </c>
      <c r="I27" s="5">
        <f>2935 / 86400</f>
        <v>3.3969907407407407E-2</v>
      </c>
      <c r="J27" t="s">
        <v>59</v>
      </c>
      <c r="K27" t="s">
        <v>30</v>
      </c>
      <c r="L27" s="5">
        <f>12309 / 86400</f>
        <v>0.14246527777777779</v>
      </c>
      <c r="M27" s="5">
        <f>74087 / 86400</f>
        <v>0.85748842592592589</v>
      </c>
    </row>
    <row r="28" spans="1:13" x14ac:dyDescent="0.25">
      <c r="A28" t="s">
        <v>302</v>
      </c>
      <c r="B28" s="3">
        <v>45694.396747685183</v>
      </c>
      <c r="C28" t="s">
        <v>60</v>
      </c>
      <c r="D28" s="3">
        <v>45694.470335648148</v>
      </c>
      <c r="E28" t="s">
        <v>60</v>
      </c>
      <c r="F28" s="4">
        <v>2.331</v>
      </c>
      <c r="G28" s="4">
        <v>401585.72200000001</v>
      </c>
      <c r="H28" s="4">
        <v>401588.05300000001</v>
      </c>
      <c r="I28" s="5">
        <f>218 / 86400</f>
        <v>2.5231481481481481E-3</v>
      </c>
      <c r="J28" t="s">
        <v>61</v>
      </c>
      <c r="K28" t="s">
        <v>62</v>
      </c>
      <c r="L28" s="5">
        <f>955 / 86400</f>
        <v>1.105324074074074E-2</v>
      </c>
      <c r="M28" s="5">
        <f>85442 / 86400</f>
        <v>0.98891203703703701</v>
      </c>
    </row>
    <row r="29" spans="1:13" x14ac:dyDescent="0.25">
      <c r="A29" t="s">
        <v>303</v>
      </c>
      <c r="B29" s="3">
        <v>45694.290868055556</v>
      </c>
      <c r="C29" t="s">
        <v>63</v>
      </c>
      <c r="D29" s="3">
        <v>45694.983159722222</v>
      </c>
      <c r="E29" t="s">
        <v>63</v>
      </c>
      <c r="F29" s="4">
        <v>122.27000000000001</v>
      </c>
      <c r="G29" s="4">
        <v>347431.66</v>
      </c>
      <c r="H29" s="4">
        <v>347553.93</v>
      </c>
      <c r="I29" s="5">
        <f>7892 / 86400</f>
        <v>9.1342592592592586E-2</v>
      </c>
      <c r="J29" t="s">
        <v>64</v>
      </c>
      <c r="K29" t="s">
        <v>37</v>
      </c>
      <c r="L29" s="5">
        <f>26594 / 86400</f>
        <v>0.30780092592592595</v>
      </c>
      <c r="M29" s="5">
        <f>59803 / 86400</f>
        <v>0.69216435185185188</v>
      </c>
    </row>
    <row r="30" spans="1:13" x14ac:dyDescent="0.25">
      <c r="A30" t="s">
        <v>304</v>
      </c>
      <c r="B30" s="3">
        <v>45694.249490740738</v>
      </c>
      <c r="C30" t="s">
        <v>65</v>
      </c>
      <c r="D30" s="3">
        <v>45694.844259259262</v>
      </c>
      <c r="E30" t="s">
        <v>66</v>
      </c>
      <c r="F30" s="4">
        <v>17.585000000000001</v>
      </c>
      <c r="G30" s="4">
        <v>39779.105000000003</v>
      </c>
      <c r="H30" s="4">
        <v>39796.69</v>
      </c>
      <c r="I30" s="5">
        <f>1415 / 86400</f>
        <v>1.6377314814814813E-2</v>
      </c>
      <c r="J30" t="s">
        <v>67</v>
      </c>
      <c r="K30" t="s">
        <v>52</v>
      </c>
      <c r="L30" s="5">
        <f>4374 / 86400</f>
        <v>5.0625000000000003E-2</v>
      </c>
      <c r="M30" s="5">
        <f>82023 / 86400</f>
        <v>0.94934027777777774</v>
      </c>
    </row>
    <row r="31" spans="1:13" x14ac:dyDescent="0.25">
      <c r="A31" t="s">
        <v>305</v>
      </c>
      <c r="B31" s="3">
        <v>45694</v>
      </c>
      <c r="C31" t="s">
        <v>38</v>
      </c>
      <c r="D31" s="3">
        <v>45694.99998842593</v>
      </c>
      <c r="E31" t="s">
        <v>68</v>
      </c>
      <c r="F31" s="4">
        <v>289.846</v>
      </c>
      <c r="G31" s="4">
        <v>44521.684000000001</v>
      </c>
      <c r="H31" s="4">
        <v>44811.53</v>
      </c>
      <c r="I31" s="5">
        <f>18079 / 86400</f>
        <v>0.20924768518518519</v>
      </c>
      <c r="J31" t="s">
        <v>69</v>
      </c>
      <c r="K31" t="s">
        <v>30</v>
      </c>
      <c r="L31" s="5">
        <f>56894 / 86400</f>
        <v>0.65849537037037043</v>
      </c>
      <c r="M31" s="5">
        <f>29502 / 86400</f>
        <v>0.34145833333333331</v>
      </c>
    </row>
    <row r="32" spans="1:13" x14ac:dyDescent="0.25">
      <c r="A32" t="s">
        <v>306</v>
      </c>
      <c r="B32" s="3">
        <v>45694</v>
      </c>
      <c r="C32" t="s">
        <v>70</v>
      </c>
      <c r="D32" s="3">
        <v>45694.993645833332</v>
      </c>
      <c r="E32" t="s">
        <v>71</v>
      </c>
      <c r="F32" s="4">
        <v>344.03599999994037</v>
      </c>
      <c r="G32" s="4">
        <v>525926.701</v>
      </c>
      <c r="H32" s="4">
        <v>526270.73699999996</v>
      </c>
      <c r="I32" s="5">
        <f>18791 / 86400</f>
        <v>0.21748842592592593</v>
      </c>
      <c r="J32" t="s">
        <v>72</v>
      </c>
      <c r="K32" t="s">
        <v>27</v>
      </c>
      <c r="L32" s="5">
        <f>63366 / 86400</f>
        <v>0.73340277777777774</v>
      </c>
      <c r="M32" s="5">
        <f>23025 / 86400</f>
        <v>0.26649305555555558</v>
      </c>
    </row>
    <row r="33" spans="1:13" x14ac:dyDescent="0.25">
      <c r="A33" t="s">
        <v>307</v>
      </c>
      <c r="B33" s="3">
        <v>45694.28126157407</v>
      </c>
      <c r="C33" t="s">
        <v>38</v>
      </c>
      <c r="D33" s="3">
        <v>45694.758460648147</v>
      </c>
      <c r="E33" t="s">
        <v>38</v>
      </c>
      <c r="F33" s="4">
        <v>189.434</v>
      </c>
      <c r="G33" s="4">
        <v>566536.72100000002</v>
      </c>
      <c r="H33" s="4">
        <v>566726.15500000003</v>
      </c>
      <c r="I33" s="5">
        <f>10458 / 86400</f>
        <v>0.12104166666666667</v>
      </c>
      <c r="J33" t="s">
        <v>72</v>
      </c>
      <c r="K33" t="s">
        <v>20</v>
      </c>
      <c r="L33" s="5">
        <f>35622 / 86400</f>
        <v>0.41229166666666667</v>
      </c>
      <c r="M33" s="5">
        <f>50773 / 86400</f>
        <v>0.58765046296296297</v>
      </c>
    </row>
    <row r="34" spans="1:13" x14ac:dyDescent="0.25">
      <c r="A34" t="s">
        <v>308</v>
      </c>
      <c r="B34" s="3">
        <v>45694.612789351857</v>
      </c>
      <c r="C34" t="s">
        <v>73</v>
      </c>
      <c r="D34" s="3">
        <v>45694.907048611116</v>
      </c>
      <c r="E34" t="s">
        <v>74</v>
      </c>
      <c r="F34" s="4">
        <v>36.414999999999999</v>
      </c>
      <c r="G34" s="4">
        <v>434378.16700000002</v>
      </c>
      <c r="H34" s="4">
        <v>434414.58199999999</v>
      </c>
      <c r="I34" s="5">
        <f>2763 / 86400</f>
        <v>3.197916666666667E-2</v>
      </c>
      <c r="J34" t="s">
        <v>61</v>
      </c>
      <c r="K34" t="s">
        <v>75</v>
      </c>
      <c r="L34" s="5">
        <f>11402 / 86400</f>
        <v>0.13196759259259258</v>
      </c>
      <c r="M34" s="5">
        <f>74992 / 86400</f>
        <v>0.86796296296296294</v>
      </c>
    </row>
    <row r="35" spans="1:13" x14ac:dyDescent="0.25">
      <c r="A35" t="s">
        <v>309</v>
      </c>
      <c r="B35" s="3">
        <v>45694.34684027778</v>
      </c>
      <c r="C35" t="s">
        <v>48</v>
      </c>
      <c r="D35" s="3">
        <v>45694.933263888888</v>
      </c>
      <c r="E35" t="s">
        <v>48</v>
      </c>
      <c r="F35" s="4">
        <v>182.96200000000002</v>
      </c>
      <c r="G35" s="4">
        <v>513987.50599999999</v>
      </c>
      <c r="H35" s="4">
        <v>514170.83299999998</v>
      </c>
      <c r="I35" s="5">
        <f>18141 / 86400</f>
        <v>0.20996527777777776</v>
      </c>
      <c r="J35" t="s">
        <v>76</v>
      </c>
      <c r="K35" t="s">
        <v>51</v>
      </c>
      <c r="L35" s="5">
        <f>44496 / 86400</f>
        <v>0.51500000000000001</v>
      </c>
      <c r="M35" s="5">
        <f>41903 / 86400</f>
        <v>0.48498842592592595</v>
      </c>
    </row>
    <row r="36" spans="1:13" x14ac:dyDescent="0.25">
      <c r="A36" t="s">
        <v>310</v>
      </c>
      <c r="B36" s="3">
        <v>45694</v>
      </c>
      <c r="C36" t="s">
        <v>77</v>
      </c>
      <c r="D36" s="3">
        <v>45694.779212962967</v>
      </c>
      <c r="E36" t="s">
        <v>77</v>
      </c>
      <c r="F36" s="4">
        <v>206.661</v>
      </c>
      <c r="G36" s="4">
        <v>504181.67</v>
      </c>
      <c r="H36" s="4">
        <v>504388.33100000001</v>
      </c>
      <c r="I36" s="5">
        <f>38833 / 86400</f>
        <v>0.44945601851851852</v>
      </c>
      <c r="J36" t="s">
        <v>78</v>
      </c>
      <c r="K36" t="s">
        <v>75</v>
      </c>
      <c r="L36" s="5">
        <f>67324 / 86400</f>
        <v>0.77921296296296294</v>
      </c>
      <c r="M36" s="5">
        <f>19075 / 86400</f>
        <v>0.22077546296296297</v>
      </c>
    </row>
    <row r="37" spans="1:13" x14ac:dyDescent="0.25">
      <c r="A37" t="s">
        <v>311</v>
      </c>
      <c r="B37" s="3">
        <v>45694.229062500002</v>
      </c>
      <c r="C37" t="s">
        <v>79</v>
      </c>
      <c r="D37" s="3">
        <v>45694.956828703704</v>
      </c>
      <c r="E37" t="s">
        <v>79</v>
      </c>
      <c r="F37" s="4">
        <v>213.74599999999998</v>
      </c>
      <c r="G37" s="4">
        <v>350988.84</v>
      </c>
      <c r="H37" s="4">
        <v>351202.58600000001</v>
      </c>
      <c r="I37" s="5">
        <f>11833 / 86400</f>
        <v>0.13695601851851852</v>
      </c>
      <c r="J37" t="s">
        <v>29</v>
      </c>
      <c r="K37" t="s">
        <v>30</v>
      </c>
      <c r="L37" s="5">
        <f>43903 / 86400</f>
        <v>0.50813657407407409</v>
      </c>
      <c r="M37" s="5">
        <f>42489 / 86400</f>
        <v>0.49177083333333332</v>
      </c>
    </row>
    <row r="38" spans="1:13" x14ac:dyDescent="0.25">
      <c r="A38" t="s">
        <v>312</v>
      </c>
      <c r="B38" s="3">
        <v>45694.221157407403</v>
      </c>
      <c r="C38" t="s">
        <v>80</v>
      </c>
      <c r="D38" s="3">
        <v>45694.771944444445</v>
      </c>
      <c r="E38" t="s">
        <v>80</v>
      </c>
      <c r="F38" s="4">
        <v>202.62</v>
      </c>
      <c r="G38" s="4">
        <v>409908.23200000002</v>
      </c>
      <c r="H38" s="4">
        <v>410110.85200000001</v>
      </c>
      <c r="I38" s="5">
        <f>13679 / 86400</f>
        <v>0.15832175925925926</v>
      </c>
      <c r="J38" t="s">
        <v>29</v>
      </c>
      <c r="K38" t="s">
        <v>37</v>
      </c>
      <c r="L38" s="5">
        <f>42409 / 86400</f>
        <v>0.49084490740740738</v>
      </c>
      <c r="M38" s="5">
        <f>43988 / 86400</f>
        <v>0.50912037037037039</v>
      </c>
    </row>
    <row r="39" spans="1:13" x14ac:dyDescent="0.25">
      <c r="A39" t="s">
        <v>313</v>
      </c>
      <c r="B39" s="3">
        <v>45694.43240740741</v>
      </c>
      <c r="C39" t="s">
        <v>28</v>
      </c>
      <c r="D39" s="3">
        <v>45694.694988425923</v>
      </c>
      <c r="E39" t="s">
        <v>28</v>
      </c>
      <c r="F39" s="4">
        <v>12.032</v>
      </c>
      <c r="G39" s="4">
        <v>440763.09</v>
      </c>
      <c r="H39" s="4">
        <v>440775.12199999997</v>
      </c>
      <c r="I39" s="5">
        <f>7437 / 86400</f>
        <v>8.6076388888888883E-2</v>
      </c>
      <c r="J39" t="s">
        <v>81</v>
      </c>
      <c r="K39" t="s">
        <v>82</v>
      </c>
      <c r="L39" s="5">
        <f>10526 / 86400</f>
        <v>0.1218287037037037</v>
      </c>
      <c r="M39" s="5">
        <f>75871 / 86400</f>
        <v>0.87813657407407408</v>
      </c>
    </row>
    <row r="40" spans="1:13" x14ac:dyDescent="0.25">
      <c r="A40" t="s">
        <v>314</v>
      </c>
      <c r="B40" s="3">
        <v>45694.284594907411</v>
      </c>
      <c r="C40" t="s">
        <v>39</v>
      </c>
      <c r="D40" s="3">
        <v>45694.946122685185</v>
      </c>
      <c r="E40" t="s">
        <v>79</v>
      </c>
      <c r="F40" s="4">
        <v>200.80199999999999</v>
      </c>
      <c r="G40" s="4">
        <v>473024.24400000001</v>
      </c>
      <c r="H40" s="4">
        <v>473225.04599999997</v>
      </c>
      <c r="I40" s="5">
        <f>14419 / 86400</f>
        <v>0.16688657407407406</v>
      </c>
      <c r="J40" t="s">
        <v>69</v>
      </c>
      <c r="K40" t="s">
        <v>37</v>
      </c>
      <c r="L40" s="5">
        <f>42995 / 86400</f>
        <v>0.49762731481481481</v>
      </c>
      <c r="M40" s="5">
        <f>43399 / 86400</f>
        <v>0.50230324074074073</v>
      </c>
    </row>
    <row r="41" spans="1:13" x14ac:dyDescent="0.25">
      <c r="A41" t="s">
        <v>315</v>
      </c>
      <c r="B41" s="3">
        <v>45694.292025462964</v>
      </c>
      <c r="C41" t="s">
        <v>77</v>
      </c>
      <c r="D41" s="3">
        <v>45694.984039351853</v>
      </c>
      <c r="E41" t="s">
        <v>77</v>
      </c>
      <c r="F41" s="4">
        <v>204.05199999999999</v>
      </c>
      <c r="G41" s="4">
        <v>412192.96500000003</v>
      </c>
      <c r="H41" s="4">
        <v>412397.01699999999</v>
      </c>
      <c r="I41" s="5">
        <f>12979 / 86400</f>
        <v>0.1502199074074074</v>
      </c>
      <c r="J41" t="s">
        <v>72</v>
      </c>
      <c r="K41" t="s">
        <v>20</v>
      </c>
      <c r="L41" s="5">
        <f>39083 / 86400</f>
        <v>0.45234953703703706</v>
      </c>
      <c r="M41" s="5">
        <f>47311 / 86400</f>
        <v>0.54758101851851848</v>
      </c>
    </row>
    <row r="42" spans="1:13" x14ac:dyDescent="0.25">
      <c r="A42" t="s">
        <v>316</v>
      </c>
      <c r="B42" s="3">
        <v>45694.002500000002</v>
      </c>
      <c r="C42" t="s">
        <v>83</v>
      </c>
      <c r="D42" s="3">
        <v>45694.724398148144</v>
      </c>
      <c r="E42" t="s">
        <v>28</v>
      </c>
      <c r="F42" s="4">
        <v>214.798</v>
      </c>
      <c r="G42" s="4">
        <v>326532.179</v>
      </c>
      <c r="H42" s="4">
        <v>326746.97700000001</v>
      </c>
      <c r="I42" s="5">
        <f>8240 / 86400</f>
        <v>9.5370370370370369E-2</v>
      </c>
      <c r="J42" t="s">
        <v>84</v>
      </c>
      <c r="K42" t="s">
        <v>85</v>
      </c>
      <c r="L42" s="5">
        <f>37692 / 86400</f>
        <v>0.43625000000000003</v>
      </c>
      <c r="M42" s="5">
        <f>48706 / 86400</f>
        <v>0.5637268518518519</v>
      </c>
    </row>
    <row r="43" spans="1:13" x14ac:dyDescent="0.25">
      <c r="A43" t="s">
        <v>317</v>
      </c>
      <c r="B43" s="3">
        <v>45694</v>
      </c>
      <c r="C43" t="s">
        <v>28</v>
      </c>
      <c r="D43" s="3">
        <v>45694.99998842593</v>
      </c>
      <c r="E43" t="s">
        <v>28</v>
      </c>
      <c r="F43" s="4">
        <v>5.5909999999999993</v>
      </c>
      <c r="G43" s="4">
        <v>359563.10399999999</v>
      </c>
      <c r="H43" s="4">
        <v>359568.69500000001</v>
      </c>
      <c r="I43" s="5">
        <f>82637 / 86400</f>
        <v>0.95644675925925926</v>
      </c>
      <c r="J43" t="s">
        <v>86</v>
      </c>
      <c r="K43" t="s">
        <v>23</v>
      </c>
      <c r="L43" s="5">
        <f>84344 / 86400</f>
        <v>0.97620370370370368</v>
      </c>
      <c r="M43" s="5">
        <f>2055 / 86400</f>
        <v>2.3784722222222221E-2</v>
      </c>
    </row>
    <row r="44" spans="1:13" x14ac:dyDescent="0.25">
      <c r="A44" t="s">
        <v>318</v>
      </c>
      <c r="B44" s="3">
        <v>45694.658032407402</v>
      </c>
      <c r="C44" t="s">
        <v>65</v>
      </c>
      <c r="D44" s="3">
        <v>45694.917222222226</v>
      </c>
      <c r="E44" t="s">
        <v>65</v>
      </c>
      <c r="F44" s="4">
        <v>3.786</v>
      </c>
      <c r="G44" s="4">
        <v>80817.004000000001</v>
      </c>
      <c r="H44" s="4">
        <v>80820.789999999994</v>
      </c>
      <c r="I44" s="5">
        <f>6779 / 86400</f>
        <v>7.8460648148148154E-2</v>
      </c>
      <c r="J44" t="s">
        <v>87</v>
      </c>
      <c r="K44" t="s">
        <v>88</v>
      </c>
      <c r="L44" s="5">
        <f>8068 / 86400</f>
        <v>9.3379629629629632E-2</v>
      </c>
      <c r="M44" s="5">
        <f>78324 / 86400</f>
        <v>0.90652777777777782</v>
      </c>
    </row>
    <row r="45" spans="1:13" x14ac:dyDescent="0.25">
      <c r="A45" t="s">
        <v>319</v>
      </c>
      <c r="B45" s="3">
        <v>45694.321273148147</v>
      </c>
      <c r="C45" t="s">
        <v>28</v>
      </c>
      <c r="D45" s="3">
        <v>45694.930011574077</v>
      </c>
      <c r="E45" t="s">
        <v>39</v>
      </c>
      <c r="F45" s="4">
        <v>33.536000000000001</v>
      </c>
      <c r="G45" s="4">
        <v>468244.15399999998</v>
      </c>
      <c r="H45" s="4">
        <v>468277.69</v>
      </c>
      <c r="I45" s="5">
        <f>1116 / 86400</f>
        <v>1.2916666666666667E-2</v>
      </c>
      <c r="J45" t="s">
        <v>49</v>
      </c>
      <c r="K45" t="s">
        <v>85</v>
      </c>
      <c r="L45" s="5">
        <f>5704 / 86400</f>
        <v>6.6018518518518518E-2</v>
      </c>
      <c r="M45" s="5">
        <f>80692 / 86400</f>
        <v>0.93393518518518515</v>
      </c>
    </row>
    <row r="46" spans="1:13" x14ac:dyDescent="0.25">
      <c r="A46" t="s">
        <v>320</v>
      </c>
      <c r="B46" s="3">
        <v>45694.637002314819</v>
      </c>
      <c r="C46" t="s">
        <v>89</v>
      </c>
      <c r="D46" s="3">
        <v>45694.981944444444</v>
      </c>
      <c r="E46" t="s">
        <v>90</v>
      </c>
      <c r="F46" s="4">
        <v>121.628</v>
      </c>
      <c r="G46" s="4">
        <v>427564.59899999999</v>
      </c>
      <c r="H46" s="4">
        <v>427686.22700000001</v>
      </c>
      <c r="I46" s="5">
        <f>9314 / 86400</f>
        <v>0.10780092592592593</v>
      </c>
      <c r="J46" t="s">
        <v>91</v>
      </c>
      <c r="K46" t="s">
        <v>37</v>
      </c>
      <c r="L46" s="5">
        <f>25822 / 86400</f>
        <v>0.29886574074074074</v>
      </c>
      <c r="M46" s="5">
        <f>60574 / 86400</f>
        <v>0.70108796296296294</v>
      </c>
    </row>
    <row r="47" spans="1:13" x14ac:dyDescent="0.25">
      <c r="A47" t="s">
        <v>321</v>
      </c>
      <c r="B47" s="3">
        <v>45694.250381944439</v>
      </c>
      <c r="C47" t="s">
        <v>28</v>
      </c>
      <c r="D47" s="3">
        <v>45694.903761574074</v>
      </c>
      <c r="E47" t="s">
        <v>28</v>
      </c>
      <c r="F47" s="4">
        <v>144.93200000000002</v>
      </c>
      <c r="G47" s="4">
        <v>574305.21</v>
      </c>
      <c r="H47" s="4">
        <v>574450.14199999999</v>
      </c>
      <c r="I47" s="5">
        <f>24672 / 86400</f>
        <v>0.28555555555555556</v>
      </c>
      <c r="J47" t="s">
        <v>92</v>
      </c>
      <c r="K47" t="s">
        <v>75</v>
      </c>
      <c r="L47" s="5">
        <f>49270 / 86400</f>
        <v>0.57025462962962958</v>
      </c>
      <c r="M47" s="5">
        <f>37119 / 86400</f>
        <v>0.42961805555555554</v>
      </c>
    </row>
    <row r="48" spans="1:13" x14ac:dyDescent="0.25">
      <c r="A48" t="s">
        <v>322</v>
      </c>
      <c r="B48" s="3">
        <v>45694.266412037032</v>
      </c>
      <c r="C48" t="s">
        <v>93</v>
      </c>
      <c r="D48" s="3">
        <v>45694.853749999995</v>
      </c>
      <c r="E48" t="s">
        <v>94</v>
      </c>
      <c r="F48" s="4">
        <v>206.739</v>
      </c>
      <c r="G48" s="4">
        <v>415692.13699999999</v>
      </c>
      <c r="H48" s="4">
        <v>415898.87599999999</v>
      </c>
      <c r="I48" s="5">
        <f>14701 / 86400</f>
        <v>0.17015046296296296</v>
      </c>
      <c r="J48" t="s">
        <v>95</v>
      </c>
      <c r="K48" t="s">
        <v>37</v>
      </c>
      <c r="L48" s="5">
        <f>44749 / 86400</f>
        <v>0.51792824074074073</v>
      </c>
      <c r="M48" s="5">
        <f>41649 / 86400</f>
        <v>0.48204861111111114</v>
      </c>
    </row>
    <row r="49" spans="1:13" x14ac:dyDescent="0.25">
      <c r="A49" t="s">
        <v>323</v>
      </c>
      <c r="B49" s="3">
        <v>45694.021990740745</v>
      </c>
      <c r="C49" t="s">
        <v>96</v>
      </c>
      <c r="D49" s="3">
        <v>45694.926527777774</v>
      </c>
      <c r="E49" t="s">
        <v>97</v>
      </c>
      <c r="F49" s="4">
        <v>102.029</v>
      </c>
      <c r="G49" s="4">
        <v>399627.67599999998</v>
      </c>
      <c r="H49" s="4">
        <v>399729.70500000002</v>
      </c>
      <c r="I49" s="5">
        <f>4236 / 86400</f>
        <v>4.9027777777777781E-2</v>
      </c>
      <c r="J49" t="s">
        <v>98</v>
      </c>
      <c r="K49" t="s">
        <v>27</v>
      </c>
      <c r="L49" s="5">
        <f>18740 / 86400</f>
        <v>0.21689814814814815</v>
      </c>
      <c r="M49" s="5">
        <f>67655 / 86400</f>
        <v>0.78304398148148147</v>
      </c>
    </row>
    <row r="50" spans="1:13" x14ac:dyDescent="0.25">
      <c r="A50" t="s">
        <v>324</v>
      </c>
      <c r="B50" s="3">
        <v>45694.325717592597</v>
      </c>
      <c r="C50" t="s">
        <v>28</v>
      </c>
      <c r="D50" s="3">
        <v>45694.611620370371</v>
      </c>
      <c r="E50" t="s">
        <v>28</v>
      </c>
      <c r="F50" s="4">
        <v>0.72199999999999998</v>
      </c>
      <c r="G50" s="4">
        <v>381842.40299999999</v>
      </c>
      <c r="H50" s="4">
        <v>381843.125</v>
      </c>
      <c r="I50" s="5">
        <f>1030 / 86400</f>
        <v>1.1921296296296296E-2</v>
      </c>
      <c r="J50" t="s">
        <v>75</v>
      </c>
      <c r="K50" t="s">
        <v>88</v>
      </c>
      <c r="L50" s="5">
        <f>1510 / 86400</f>
        <v>1.7476851851851851E-2</v>
      </c>
      <c r="M50" s="5">
        <f>84889 / 86400</f>
        <v>0.98251157407407408</v>
      </c>
    </row>
    <row r="51" spans="1:13" x14ac:dyDescent="0.25">
      <c r="A51" t="s">
        <v>325</v>
      </c>
      <c r="B51" s="3">
        <v>45694.360844907409</v>
      </c>
      <c r="C51" t="s">
        <v>99</v>
      </c>
      <c r="D51" s="3">
        <v>45694.990763888884</v>
      </c>
      <c r="E51" t="s">
        <v>99</v>
      </c>
      <c r="F51" s="4">
        <v>203.149</v>
      </c>
      <c r="G51" s="4">
        <v>544834.30900000001</v>
      </c>
      <c r="H51" s="4">
        <v>545037.45799999998</v>
      </c>
      <c r="I51" s="5">
        <f>14313 / 86400</f>
        <v>0.16565972222222222</v>
      </c>
      <c r="J51" t="s">
        <v>72</v>
      </c>
      <c r="K51" t="s">
        <v>37</v>
      </c>
      <c r="L51" s="5">
        <f>41902 / 86400</f>
        <v>0.48497685185185185</v>
      </c>
      <c r="M51" s="5">
        <f>44496 / 86400</f>
        <v>0.51500000000000001</v>
      </c>
    </row>
    <row r="52" spans="1:13" x14ac:dyDescent="0.25">
      <c r="A52" t="s">
        <v>326</v>
      </c>
      <c r="B52" s="3">
        <v>45694</v>
      </c>
      <c r="C52" t="s">
        <v>100</v>
      </c>
      <c r="D52" s="3">
        <v>45694.99998842593</v>
      </c>
      <c r="E52" t="s">
        <v>100</v>
      </c>
      <c r="F52" s="4">
        <v>347.779</v>
      </c>
      <c r="G52" s="4">
        <v>101450.66</v>
      </c>
      <c r="H52" s="4">
        <v>101798.439</v>
      </c>
      <c r="I52" s="5">
        <f>21256 / 86400</f>
        <v>0.24601851851851853</v>
      </c>
      <c r="J52" t="s">
        <v>101</v>
      </c>
      <c r="K52" t="s">
        <v>27</v>
      </c>
      <c r="L52" s="5">
        <f>62424 / 86400</f>
        <v>0.72250000000000003</v>
      </c>
      <c r="M52" s="5">
        <f>23975 / 86400</f>
        <v>0.27748842592592593</v>
      </c>
    </row>
    <row r="53" spans="1:13" x14ac:dyDescent="0.25">
      <c r="A53" t="s">
        <v>327</v>
      </c>
      <c r="B53" s="3">
        <v>45694.002395833333</v>
      </c>
      <c r="C53" t="s">
        <v>83</v>
      </c>
      <c r="D53" s="3">
        <v>45694.818275462967</v>
      </c>
      <c r="E53" t="s">
        <v>28</v>
      </c>
      <c r="F53" s="4">
        <v>7.4169999999999998</v>
      </c>
      <c r="G53" s="4">
        <v>53160.639000000003</v>
      </c>
      <c r="H53" s="4">
        <v>53168.055999999997</v>
      </c>
      <c r="I53" s="5">
        <f>831 / 86400</f>
        <v>9.618055555555555E-3</v>
      </c>
      <c r="J53" t="s">
        <v>102</v>
      </c>
      <c r="K53" t="s">
        <v>75</v>
      </c>
      <c r="L53" s="5">
        <f>2478 / 86400</f>
        <v>2.8680555555555556E-2</v>
      </c>
      <c r="M53" s="5">
        <f>83921 / 86400</f>
        <v>0.97130787037037036</v>
      </c>
    </row>
    <row r="54" spans="1:13" x14ac:dyDescent="0.25">
      <c r="A54" t="s">
        <v>328</v>
      </c>
      <c r="B54" s="3">
        <v>45694.429548611108</v>
      </c>
      <c r="C54" t="s">
        <v>103</v>
      </c>
      <c r="D54" s="3">
        <v>45694.649375000001</v>
      </c>
      <c r="E54" t="s">
        <v>104</v>
      </c>
      <c r="F54" s="4">
        <v>4.6980000000000004</v>
      </c>
      <c r="G54" s="4">
        <v>45291.025999999998</v>
      </c>
      <c r="H54" s="4">
        <v>45295.724000000002</v>
      </c>
      <c r="I54" s="5">
        <f>2479 / 86400</f>
        <v>2.869212962962963E-2</v>
      </c>
      <c r="J54" t="s">
        <v>36</v>
      </c>
      <c r="K54" t="s">
        <v>105</v>
      </c>
      <c r="L54" s="5">
        <f>3399 / 86400</f>
        <v>3.934027777777778E-2</v>
      </c>
      <c r="M54" s="5">
        <f>83000 / 86400</f>
        <v>0.96064814814814814</v>
      </c>
    </row>
    <row r="55" spans="1:13" x14ac:dyDescent="0.25">
      <c r="A55" t="s">
        <v>329</v>
      </c>
      <c r="B55" s="3">
        <v>45694.394930555558</v>
      </c>
      <c r="C55" t="s">
        <v>21</v>
      </c>
      <c r="D55" s="3">
        <v>45694.887141203704</v>
      </c>
      <c r="E55" t="s">
        <v>106</v>
      </c>
      <c r="F55" s="4">
        <v>190.291</v>
      </c>
      <c r="G55" s="4">
        <v>77322.168000000005</v>
      </c>
      <c r="H55" s="4">
        <v>77512.459000000003</v>
      </c>
      <c r="I55" s="5">
        <f>12723 / 86400</f>
        <v>0.14725694444444445</v>
      </c>
      <c r="J55" t="s">
        <v>107</v>
      </c>
      <c r="K55" t="s">
        <v>30</v>
      </c>
      <c r="L55" s="5">
        <f>38565 / 86400</f>
        <v>0.44635416666666666</v>
      </c>
      <c r="M55" s="5">
        <f>47834 / 86400</f>
        <v>0.55363425925925924</v>
      </c>
    </row>
    <row r="56" spans="1:13" x14ac:dyDescent="0.25">
      <c r="A56" t="s">
        <v>330</v>
      </c>
      <c r="B56" s="3">
        <v>45694.1871875</v>
      </c>
      <c r="C56" t="s">
        <v>108</v>
      </c>
      <c r="D56" s="3">
        <v>45694.952604166669</v>
      </c>
      <c r="E56" t="s">
        <v>108</v>
      </c>
      <c r="F56" s="4">
        <v>306.00700000000001</v>
      </c>
      <c r="G56" s="4">
        <v>38339.766000000003</v>
      </c>
      <c r="H56" s="4">
        <v>38645.773000000001</v>
      </c>
      <c r="I56" s="5">
        <f>16116 / 86400</f>
        <v>0.18652777777777776</v>
      </c>
      <c r="J56" t="s">
        <v>109</v>
      </c>
      <c r="K56" t="s">
        <v>27</v>
      </c>
      <c r="L56" s="5">
        <f>55885 / 86400</f>
        <v>0.64681712962962967</v>
      </c>
      <c r="M56" s="5">
        <f>30514 / 86400</f>
        <v>0.35317129629629629</v>
      </c>
    </row>
    <row r="57" spans="1:13" x14ac:dyDescent="0.25">
      <c r="A57" t="s">
        <v>331</v>
      </c>
      <c r="B57" s="3">
        <v>45694.267962962964</v>
      </c>
      <c r="C57" t="s">
        <v>110</v>
      </c>
      <c r="D57" s="3">
        <v>45694.95248842593</v>
      </c>
      <c r="E57" t="s">
        <v>110</v>
      </c>
      <c r="F57" s="4">
        <v>258.36899999999997</v>
      </c>
      <c r="G57" s="4">
        <v>190999.37100000001</v>
      </c>
      <c r="H57" s="4">
        <v>191257.74</v>
      </c>
      <c r="I57" s="5">
        <f>13958 / 86400</f>
        <v>0.16155092592592593</v>
      </c>
      <c r="J57" t="s">
        <v>91</v>
      </c>
      <c r="K57" t="s">
        <v>30</v>
      </c>
      <c r="L57" s="5">
        <f>51425 / 86400</f>
        <v>0.5951967592592593</v>
      </c>
      <c r="M57" s="5">
        <f>34972 / 86400</f>
        <v>0.40476851851851853</v>
      </c>
    </row>
    <row r="58" spans="1:13" x14ac:dyDescent="0.25">
      <c r="A58" t="s">
        <v>332</v>
      </c>
      <c r="B58" s="3">
        <v>45694</v>
      </c>
      <c r="C58" t="s">
        <v>111</v>
      </c>
      <c r="D58" s="3">
        <v>45694.99998842593</v>
      </c>
      <c r="E58" t="s">
        <v>47</v>
      </c>
      <c r="F58" s="4">
        <v>305.19299999999998</v>
      </c>
      <c r="G58" s="4">
        <v>521237.13</v>
      </c>
      <c r="H58" s="4">
        <v>521542.32299999997</v>
      </c>
      <c r="I58" s="5">
        <f>20979 / 86400</f>
        <v>0.24281249999999999</v>
      </c>
      <c r="J58" t="s">
        <v>109</v>
      </c>
      <c r="K58" t="s">
        <v>30</v>
      </c>
      <c r="L58" s="5">
        <f>62439 / 86400</f>
        <v>0.72267361111111106</v>
      </c>
      <c r="M58" s="5">
        <f>23958 / 86400</f>
        <v>0.27729166666666666</v>
      </c>
    </row>
    <row r="59" spans="1:13" x14ac:dyDescent="0.25">
      <c r="A59" t="s">
        <v>333</v>
      </c>
      <c r="B59" s="3">
        <v>45694.330023148148</v>
      </c>
      <c r="C59" t="s">
        <v>89</v>
      </c>
      <c r="D59" s="3">
        <v>45694.753900462965</v>
      </c>
      <c r="E59" t="s">
        <v>89</v>
      </c>
      <c r="F59" s="4">
        <v>9.5919999999999987</v>
      </c>
      <c r="G59" s="4">
        <v>21801.421999999999</v>
      </c>
      <c r="H59" s="4">
        <v>21811.013999999999</v>
      </c>
      <c r="I59" s="5">
        <f>896 / 86400</f>
        <v>1.037037037037037E-2</v>
      </c>
      <c r="J59" t="s">
        <v>112</v>
      </c>
      <c r="K59" t="s">
        <v>113</v>
      </c>
      <c r="L59" s="5">
        <f>2869 / 86400</f>
        <v>3.3206018518518517E-2</v>
      </c>
      <c r="M59" s="5">
        <f>83527 / 86400</f>
        <v>0.96674768518518517</v>
      </c>
    </row>
    <row r="60" spans="1:13" x14ac:dyDescent="0.25">
      <c r="A60" t="s">
        <v>334</v>
      </c>
      <c r="B60" s="3">
        <v>45694.25204861111</v>
      </c>
      <c r="C60" t="s">
        <v>38</v>
      </c>
      <c r="D60" s="3">
        <v>45694.794548611113</v>
      </c>
      <c r="E60" t="s">
        <v>38</v>
      </c>
      <c r="F60" s="4">
        <v>194.09</v>
      </c>
      <c r="G60" s="4">
        <v>63143.186000000002</v>
      </c>
      <c r="H60" s="4">
        <v>63337.275999999998</v>
      </c>
      <c r="I60" s="5">
        <f>12498 / 86400</f>
        <v>0.14465277777777777</v>
      </c>
      <c r="J60" t="s">
        <v>114</v>
      </c>
      <c r="K60" t="s">
        <v>30</v>
      </c>
      <c r="L60" s="5">
        <f>39457 / 86400</f>
        <v>0.45667824074074076</v>
      </c>
      <c r="M60" s="5">
        <f>46939 / 86400</f>
        <v>0.54327546296296292</v>
      </c>
    </row>
    <row r="61" spans="1:13" x14ac:dyDescent="0.25">
      <c r="A61" t="s">
        <v>335</v>
      </c>
      <c r="B61" s="3">
        <v>45694.27375</v>
      </c>
      <c r="C61" t="s">
        <v>93</v>
      </c>
      <c r="D61" s="3">
        <v>45694.779988425929</v>
      </c>
      <c r="E61" t="s">
        <v>93</v>
      </c>
      <c r="F61" s="4">
        <v>0</v>
      </c>
      <c r="G61" s="4">
        <v>4406.4849999999997</v>
      </c>
      <c r="H61" s="4">
        <v>4406.4849999999997</v>
      </c>
      <c r="I61" s="5">
        <f>198 / 86400</f>
        <v>2.2916666666666667E-3</v>
      </c>
      <c r="J61" t="s">
        <v>23</v>
      </c>
      <c r="K61" t="s">
        <v>23</v>
      </c>
      <c r="L61" s="5">
        <f>224 / 86400</f>
        <v>2.5925925925925925E-3</v>
      </c>
      <c r="M61" s="5">
        <f>86173 / 86400</f>
        <v>0.99737268518518518</v>
      </c>
    </row>
    <row r="62" spans="1:13" x14ac:dyDescent="0.25">
      <c r="A62" t="s">
        <v>336</v>
      </c>
      <c r="B62" s="3">
        <v>45694.340671296297</v>
      </c>
      <c r="C62" t="s">
        <v>28</v>
      </c>
      <c r="D62" s="3">
        <v>45694.75271990741</v>
      </c>
      <c r="E62" t="s">
        <v>28</v>
      </c>
      <c r="F62" s="4">
        <v>7.3639999999999999</v>
      </c>
      <c r="G62" s="4">
        <v>406849.05499999999</v>
      </c>
      <c r="H62" s="4">
        <v>406856.41899999999</v>
      </c>
      <c r="I62" s="5">
        <f>1194 / 86400</f>
        <v>1.3819444444444445E-2</v>
      </c>
      <c r="J62" t="s">
        <v>115</v>
      </c>
      <c r="K62" t="s">
        <v>116</v>
      </c>
      <c r="L62" s="5">
        <f>2593 / 86400</f>
        <v>3.0011574074074072E-2</v>
      </c>
      <c r="M62" s="5">
        <f>83802 / 86400</f>
        <v>0.96993055555555552</v>
      </c>
    </row>
    <row r="63" spans="1:13" x14ac:dyDescent="0.25">
      <c r="A63" t="s">
        <v>337</v>
      </c>
      <c r="B63" s="3">
        <v>45694</v>
      </c>
      <c r="C63" t="s">
        <v>117</v>
      </c>
      <c r="D63" s="3">
        <v>45694.99998842593</v>
      </c>
      <c r="E63" t="s">
        <v>118</v>
      </c>
      <c r="F63" s="4">
        <v>314.77300000000002</v>
      </c>
      <c r="G63" s="4">
        <v>548027.96400000004</v>
      </c>
      <c r="H63" s="4">
        <v>548342.73699999996</v>
      </c>
      <c r="I63" s="5">
        <f>20697 / 86400</f>
        <v>0.23954861111111111</v>
      </c>
      <c r="J63" t="s">
        <v>119</v>
      </c>
      <c r="K63" t="s">
        <v>30</v>
      </c>
      <c r="L63" s="5">
        <f>63881 / 86400</f>
        <v>0.73936342592592597</v>
      </c>
      <c r="M63" s="5">
        <f>22513 / 86400</f>
        <v>0.26056712962962963</v>
      </c>
    </row>
    <row r="64" spans="1:13" x14ac:dyDescent="0.25">
      <c r="A64" t="s">
        <v>338</v>
      </c>
      <c r="B64" s="3">
        <v>45694</v>
      </c>
      <c r="C64" t="s">
        <v>120</v>
      </c>
      <c r="D64" s="3">
        <v>45694.250706018516</v>
      </c>
      <c r="E64" t="s">
        <v>121</v>
      </c>
      <c r="F64" s="4">
        <v>328.90500000000003</v>
      </c>
      <c r="G64" s="4">
        <v>46809.35</v>
      </c>
      <c r="H64" s="4">
        <v>47138.254999999997</v>
      </c>
      <c r="I64" s="5">
        <f>2984 / 86400</f>
        <v>3.453703703703704E-2</v>
      </c>
      <c r="J64" t="s">
        <v>122</v>
      </c>
      <c r="K64" t="s">
        <v>19</v>
      </c>
      <c r="L64" s="5">
        <f>12534 / 86400</f>
        <v>0.14506944444444445</v>
      </c>
      <c r="M64" s="5">
        <f>73863 / 86400</f>
        <v>0.8548958333333333</v>
      </c>
    </row>
    <row r="65" spans="1:13" x14ac:dyDescent="0.25">
      <c r="A65" t="s">
        <v>339</v>
      </c>
      <c r="B65" s="3">
        <v>45694</v>
      </c>
      <c r="C65" t="s">
        <v>123</v>
      </c>
      <c r="D65" s="3">
        <v>45694.99998842593</v>
      </c>
      <c r="E65" t="s">
        <v>124</v>
      </c>
      <c r="F65" s="4">
        <v>357.60899999999998</v>
      </c>
      <c r="G65" s="4">
        <v>57299.345999999998</v>
      </c>
      <c r="H65" s="4">
        <v>57656.955000000002</v>
      </c>
      <c r="I65" s="5">
        <f>17375 / 86400</f>
        <v>0.20109953703703703</v>
      </c>
      <c r="J65" t="s">
        <v>125</v>
      </c>
      <c r="K65" t="s">
        <v>27</v>
      </c>
      <c r="L65" s="5">
        <f>63521 / 86400</f>
        <v>0.73519675925925931</v>
      </c>
      <c r="M65" s="5">
        <f>22874 / 86400</f>
        <v>0.26474537037037038</v>
      </c>
    </row>
    <row r="66" spans="1:13" x14ac:dyDescent="0.25">
      <c r="A66" t="s">
        <v>340</v>
      </c>
      <c r="B66" s="3">
        <v>45694</v>
      </c>
      <c r="C66" t="s">
        <v>126</v>
      </c>
      <c r="D66" s="3">
        <v>45694.849791666667</v>
      </c>
      <c r="E66" t="s">
        <v>39</v>
      </c>
      <c r="F66" s="4">
        <v>14.088000000000001</v>
      </c>
      <c r="G66" s="4">
        <v>60577.641000000003</v>
      </c>
      <c r="H66" s="4">
        <v>60591.728999999999</v>
      </c>
      <c r="I66" s="5">
        <f>4139 / 86400</f>
        <v>4.7905092592592589E-2</v>
      </c>
      <c r="J66" t="s">
        <v>127</v>
      </c>
      <c r="K66" t="s">
        <v>43</v>
      </c>
      <c r="L66" s="5">
        <f>6160 / 86400</f>
        <v>7.1296296296296302E-2</v>
      </c>
      <c r="M66" s="5">
        <f>80236 / 86400</f>
        <v>0.92865740740740743</v>
      </c>
    </row>
    <row r="67" spans="1:13" x14ac:dyDescent="0.25">
      <c r="A67" t="s">
        <v>341</v>
      </c>
      <c r="B67" s="3">
        <v>45694.445833333331</v>
      </c>
      <c r="C67" t="s">
        <v>128</v>
      </c>
      <c r="D67" s="3">
        <v>45694.618229166663</v>
      </c>
      <c r="E67" t="s">
        <v>128</v>
      </c>
      <c r="F67" s="4">
        <v>4.0999999999999995E-2</v>
      </c>
      <c r="G67" s="4">
        <v>290572.58299999998</v>
      </c>
      <c r="H67" s="4">
        <v>290572.62400000001</v>
      </c>
      <c r="I67" s="5">
        <f>14396 / 86400</f>
        <v>0.16662037037037036</v>
      </c>
      <c r="J67" t="s">
        <v>62</v>
      </c>
      <c r="K67" t="s">
        <v>23</v>
      </c>
      <c r="L67" s="5">
        <f>14492 / 86400</f>
        <v>0.16773148148148148</v>
      </c>
      <c r="M67" s="5">
        <f>71906 / 86400</f>
        <v>0.83224537037037039</v>
      </c>
    </row>
    <row r="68" spans="1:13" x14ac:dyDescent="0.25">
      <c r="A68" s="6" t="s">
        <v>129</v>
      </c>
      <c r="B68" s="6" t="s">
        <v>130</v>
      </c>
      <c r="C68" s="6" t="s">
        <v>130</v>
      </c>
      <c r="D68" s="6" t="s">
        <v>130</v>
      </c>
      <c r="E68" s="6" t="s">
        <v>130</v>
      </c>
      <c r="F68" s="7">
        <v>8528.8993536798953</v>
      </c>
      <c r="G68" s="6" t="s">
        <v>130</v>
      </c>
      <c r="H68" s="6" t="s">
        <v>130</v>
      </c>
      <c r="I68" s="8">
        <f>694181 / 86400</f>
        <v>8.034502314814814</v>
      </c>
      <c r="J68" s="6" t="s">
        <v>130</v>
      </c>
      <c r="K68" s="6" t="s">
        <v>130</v>
      </c>
      <c r="L68" s="8">
        <f>1848101 / 86400</f>
        <v>21.39005787037037</v>
      </c>
      <c r="M68" s="8">
        <f>3335659 / 86400</f>
        <v>38.60716435185185</v>
      </c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3" s="9" customFormat="1" x14ac:dyDescent="0.25">
      <c r="A70" s="14" t="s">
        <v>131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3" s="10" customFormat="1" ht="20.100000000000001" customHeight="1" x14ac:dyDescent="0.35">
      <c r="A73" s="15" t="s">
        <v>282</v>
      </c>
      <c r="B73" s="15"/>
      <c r="C73" s="15"/>
      <c r="D73" s="15"/>
      <c r="E73" s="15"/>
      <c r="F73" s="15"/>
      <c r="G73" s="15"/>
      <c r="H73" s="15"/>
      <c r="I73" s="15"/>
      <c r="J73" s="15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3" ht="30" x14ac:dyDescent="0.25">
      <c r="A75" s="2" t="s">
        <v>6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 t="s">
        <v>12</v>
      </c>
      <c r="H75" s="2" t="s">
        <v>13</v>
      </c>
      <c r="I75" s="2" t="s">
        <v>14</v>
      </c>
      <c r="J75" s="2" t="s">
        <v>15</v>
      </c>
      <c r="K75" s="2" t="s">
        <v>16</v>
      </c>
      <c r="L75" s="2" t="s">
        <v>17</v>
      </c>
    </row>
    <row r="76" spans="1:13" x14ac:dyDescent="0.25">
      <c r="A76" s="3">
        <v>45694.179594907408</v>
      </c>
      <c r="B76" t="s">
        <v>18</v>
      </c>
      <c r="C76" s="3">
        <v>45694.182916666672</v>
      </c>
      <c r="D76" t="s">
        <v>18</v>
      </c>
      <c r="E76" s="4">
        <v>3.1E-2</v>
      </c>
      <c r="F76" s="4">
        <v>512801.63799999998</v>
      </c>
      <c r="G76" s="4">
        <v>512801.66899999999</v>
      </c>
      <c r="H76" s="5">
        <f>219 / 86400</f>
        <v>2.5347222222222221E-3</v>
      </c>
      <c r="I76" t="s">
        <v>82</v>
      </c>
      <c r="J76" t="s">
        <v>23</v>
      </c>
      <c r="K76" s="5">
        <f>287 / 86400</f>
        <v>3.3217592592592591E-3</v>
      </c>
      <c r="L76" s="5">
        <f>24404 / 86400</f>
        <v>0.28245370370370371</v>
      </c>
    </row>
    <row r="77" spans="1:13" x14ac:dyDescent="0.25">
      <c r="A77" s="3">
        <v>45694.285775462966</v>
      </c>
      <c r="B77" t="s">
        <v>18</v>
      </c>
      <c r="C77" s="3">
        <v>45694.295312499999</v>
      </c>
      <c r="D77" t="s">
        <v>118</v>
      </c>
      <c r="E77" s="4">
        <v>2.7989999999999999</v>
      </c>
      <c r="F77" s="4">
        <v>512801.66899999999</v>
      </c>
      <c r="G77" s="4">
        <v>512804.46799999999</v>
      </c>
      <c r="H77" s="5">
        <f>319 / 86400</f>
        <v>3.6921296296296298E-3</v>
      </c>
      <c r="I77" t="s">
        <v>78</v>
      </c>
      <c r="J77" t="s">
        <v>113</v>
      </c>
      <c r="K77" s="5">
        <f>824 / 86400</f>
        <v>9.5370370370370366E-3</v>
      </c>
      <c r="L77" s="5">
        <f>217 / 86400</f>
        <v>2.5115740740740741E-3</v>
      </c>
    </row>
    <row r="78" spans="1:13" x14ac:dyDescent="0.25">
      <c r="A78" s="3">
        <v>45694.297824074078</v>
      </c>
      <c r="B78" t="s">
        <v>118</v>
      </c>
      <c r="C78" s="3">
        <v>45694.370324074072</v>
      </c>
      <c r="D78" t="s">
        <v>132</v>
      </c>
      <c r="E78" s="4">
        <v>39.869999999999997</v>
      </c>
      <c r="F78" s="4">
        <v>512804.46799999999</v>
      </c>
      <c r="G78" s="4">
        <v>512844.33799999999</v>
      </c>
      <c r="H78" s="5">
        <f>1320 / 86400</f>
        <v>1.5277777777777777E-2</v>
      </c>
      <c r="I78" t="s">
        <v>35</v>
      </c>
      <c r="J78" t="s">
        <v>86</v>
      </c>
      <c r="K78" s="5">
        <f>6264 / 86400</f>
        <v>7.2499999999999995E-2</v>
      </c>
      <c r="L78" s="5">
        <f>1458 / 86400</f>
        <v>1.6875000000000001E-2</v>
      </c>
    </row>
    <row r="79" spans="1:13" x14ac:dyDescent="0.25">
      <c r="A79" s="3">
        <v>45694.387199074074</v>
      </c>
      <c r="B79" t="s">
        <v>132</v>
      </c>
      <c r="C79" s="3">
        <v>45694.388923611114</v>
      </c>
      <c r="D79" t="s">
        <v>133</v>
      </c>
      <c r="E79" s="4">
        <v>0.39700000000000002</v>
      </c>
      <c r="F79" s="4">
        <v>512844.33799999999</v>
      </c>
      <c r="G79" s="4">
        <v>512844.73499999999</v>
      </c>
      <c r="H79" s="5">
        <f>0 / 86400</f>
        <v>0</v>
      </c>
      <c r="I79" t="s">
        <v>52</v>
      </c>
      <c r="J79" t="s">
        <v>116</v>
      </c>
      <c r="K79" s="5">
        <f>148 / 86400</f>
        <v>1.712962962962963E-3</v>
      </c>
      <c r="L79" s="5">
        <f>425 / 86400</f>
        <v>4.9189814814814816E-3</v>
      </c>
    </row>
    <row r="80" spans="1:13" x14ac:dyDescent="0.25">
      <c r="A80" s="3">
        <v>45694.393842592588</v>
      </c>
      <c r="B80" t="s">
        <v>133</v>
      </c>
      <c r="C80" s="3">
        <v>45694.401493055557</v>
      </c>
      <c r="D80" t="s">
        <v>133</v>
      </c>
      <c r="E80" s="4">
        <v>0</v>
      </c>
      <c r="F80" s="4">
        <v>512844.73499999999</v>
      </c>
      <c r="G80" s="4">
        <v>512844.73499999999</v>
      </c>
      <c r="H80" s="5">
        <f>659 / 86400</f>
        <v>7.6273148148148151E-3</v>
      </c>
      <c r="I80" t="s">
        <v>23</v>
      </c>
      <c r="J80" t="s">
        <v>23</v>
      </c>
      <c r="K80" s="5">
        <f>661 / 86400</f>
        <v>7.6504629629629631E-3</v>
      </c>
      <c r="L80" s="5">
        <f>103 / 86400</f>
        <v>1.1921296296296296E-3</v>
      </c>
    </row>
    <row r="81" spans="1:12" x14ac:dyDescent="0.25">
      <c r="A81" s="3">
        <v>45694.402685185181</v>
      </c>
      <c r="B81" t="s">
        <v>133</v>
      </c>
      <c r="C81" s="3">
        <v>45694.514479166668</v>
      </c>
      <c r="D81" t="s">
        <v>134</v>
      </c>
      <c r="E81" s="4">
        <v>51.231000000000002</v>
      </c>
      <c r="F81" s="4">
        <v>512844.73499999999</v>
      </c>
      <c r="G81" s="4">
        <v>512895.96600000001</v>
      </c>
      <c r="H81" s="5">
        <f>2420 / 86400</f>
        <v>2.8009259259259258E-2</v>
      </c>
      <c r="I81" t="s">
        <v>76</v>
      </c>
      <c r="J81" t="s">
        <v>20</v>
      </c>
      <c r="K81" s="5">
        <f>9658 / 86400</f>
        <v>0.11178240740740741</v>
      </c>
      <c r="L81" s="5">
        <f>357 / 86400</f>
        <v>4.1319444444444442E-3</v>
      </c>
    </row>
    <row r="82" spans="1:12" x14ac:dyDescent="0.25">
      <c r="A82" s="3">
        <v>45694.518611111111</v>
      </c>
      <c r="B82" t="s">
        <v>134</v>
      </c>
      <c r="C82" s="3">
        <v>45694.577615740738</v>
      </c>
      <c r="D82" t="s">
        <v>135</v>
      </c>
      <c r="E82" s="4">
        <v>19.391999999999999</v>
      </c>
      <c r="F82" s="4">
        <v>512895.96600000001</v>
      </c>
      <c r="G82" s="4">
        <v>512915.35800000001</v>
      </c>
      <c r="H82" s="5">
        <f>1760 / 86400</f>
        <v>2.0370370370370372E-2</v>
      </c>
      <c r="I82" t="s">
        <v>64</v>
      </c>
      <c r="J82" t="s">
        <v>52</v>
      </c>
      <c r="K82" s="5">
        <f>5098 / 86400</f>
        <v>5.9004629629629629E-2</v>
      </c>
      <c r="L82" s="5">
        <f>9620 / 86400</f>
        <v>0.11134259259259259</v>
      </c>
    </row>
    <row r="83" spans="1:12" x14ac:dyDescent="0.25">
      <c r="A83" s="3">
        <v>45694.688958333332</v>
      </c>
      <c r="B83" t="s">
        <v>135</v>
      </c>
      <c r="C83" s="3">
        <v>45694.870358796295</v>
      </c>
      <c r="D83" t="s">
        <v>136</v>
      </c>
      <c r="E83" s="4">
        <v>89.876000000000005</v>
      </c>
      <c r="F83" s="4">
        <v>512915.35800000001</v>
      </c>
      <c r="G83" s="4">
        <v>513005.234</v>
      </c>
      <c r="H83" s="5">
        <f>3782 / 86400</f>
        <v>4.3773148148148151E-2</v>
      </c>
      <c r="I83" t="s">
        <v>72</v>
      </c>
      <c r="J83" t="s">
        <v>85</v>
      </c>
      <c r="K83" s="5">
        <f>15673 / 86400</f>
        <v>0.18140046296296297</v>
      </c>
      <c r="L83" s="5">
        <f>287 / 86400</f>
        <v>3.3217592592592591E-3</v>
      </c>
    </row>
    <row r="84" spans="1:12" x14ac:dyDescent="0.25">
      <c r="A84" s="3">
        <v>45694.873680555553</v>
      </c>
      <c r="B84" t="s">
        <v>136</v>
      </c>
      <c r="C84" s="3">
        <v>45694.945277777777</v>
      </c>
      <c r="D84" t="s">
        <v>137</v>
      </c>
      <c r="E84" s="4">
        <v>37.744999999999997</v>
      </c>
      <c r="F84" s="4">
        <v>513005.234</v>
      </c>
      <c r="G84" s="4">
        <v>513042.97899999999</v>
      </c>
      <c r="H84" s="5">
        <f>1420 / 86400</f>
        <v>1.6435185185185185E-2</v>
      </c>
      <c r="I84" t="s">
        <v>19</v>
      </c>
      <c r="J84" t="s">
        <v>138</v>
      </c>
      <c r="K84" s="5">
        <f>6186 / 86400</f>
        <v>7.1597222222222229E-2</v>
      </c>
      <c r="L84" s="5">
        <f>246 / 86400</f>
        <v>2.8472222222222223E-3</v>
      </c>
    </row>
    <row r="85" spans="1:12" x14ac:dyDescent="0.25">
      <c r="A85" s="3">
        <v>45694.948124999995</v>
      </c>
      <c r="B85" t="s">
        <v>139</v>
      </c>
      <c r="C85" s="3">
        <v>45694.951099537036</v>
      </c>
      <c r="D85" t="s">
        <v>18</v>
      </c>
      <c r="E85" s="4">
        <v>0.49299999999999999</v>
      </c>
      <c r="F85" s="4">
        <v>513042.97899999999</v>
      </c>
      <c r="G85" s="4">
        <v>513043.47200000001</v>
      </c>
      <c r="H85" s="5">
        <f>100 / 86400</f>
        <v>1.1574074074074073E-3</v>
      </c>
      <c r="I85" t="s">
        <v>140</v>
      </c>
      <c r="J85" t="s">
        <v>22</v>
      </c>
      <c r="K85" s="5">
        <f>256 / 86400</f>
        <v>2.9629629629629628E-3</v>
      </c>
      <c r="L85" s="5">
        <f>4224 / 86400</f>
        <v>4.8888888888888891E-2</v>
      </c>
    </row>
    <row r="86" spans="1:1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2" s="10" customFormat="1" ht="20.100000000000001" customHeight="1" x14ac:dyDescent="0.35">
      <c r="A88" s="15" t="s">
        <v>283</v>
      </c>
      <c r="B88" s="15"/>
      <c r="C88" s="15"/>
      <c r="D88" s="15"/>
      <c r="E88" s="15"/>
      <c r="F88" s="15"/>
      <c r="G88" s="15"/>
      <c r="H88" s="15"/>
      <c r="I88" s="15"/>
      <c r="J88" s="15"/>
    </row>
    <row r="89" spans="1:1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2" ht="30" x14ac:dyDescent="0.25">
      <c r="A90" s="2" t="s">
        <v>6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  <c r="G90" s="2" t="s">
        <v>12</v>
      </c>
      <c r="H90" s="2" t="s">
        <v>13</v>
      </c>
      <c r="I90" s="2" t="s">
        <v>14</v>
      </c>
      <c r="J90" s="2" t="s">
        <v>15</v>
      </c>
      <c r="K90" s="2" t="s">
        <v>16</v>
      </c>
      <c r="L90" s="2" t="s">
        <v>17</v>
      </c>
    </row>
    <row r="91" spans="1:12" x14ac:dyDescent="0.25">
      <c r="A91" s="3">
        <v>45694.001168981486</v>
      </c>
      <c r="B91" t="s">
        <v>21</v>
      </c>
      <c r="C91" s="3">
        <v>45694.001886574071</v>
      </c>
      <c r="D91" t="s">
        <v>21</v>
      </c>
      <c r="E91" s="4">
        <v>1.9E-2</v>
      </c>
      <c r="F91" s="4">
        <v>17976.552</v>
      </c>
      <c r="G91" s="4">
        <v>17976.571</v>
      </c>
      <c r="H91" s="5">
        <f>20 / 86400</f>
        <v>2.3148148148148149E-4</v>
      </c>
      <c r="I91" t="s">
        <v>141</v>
      </c>
      <c r="J91" t="s">
        <v>141</v>
      </c>
      <c r="K91" s="5">
        <f>61 / 86400</f>
        <v>7.0601851851851847E-4</v>
      </c>
      <c r="L91" s="5">
        <f>16701 / 86400</f>
        <v>0.1932986111111111</v>
      </c>
    </row>
    <row r="92" spans="1:12" x14ac:dyDescent="0.25">
      <c r="A92" s="3">
        <v>45694.194016203706</v>
      </c>
      <c r="B92" t="s">
        <v>21</v>
      </c>
      <c r="C92" s="3">
        <v>45694.195162037038</v>
      </c>
      <c r="D92" t="s">
        <v>21</v>
      </c>
      <c r="E92" s="4">
        <v>2.1999999999999999E-2</v>
      </c>
      <c r="F92" s="4">
        <v>17976.571</v>
      </c>
      <c r="G92" s="4">
        <v>17976.593000000001</v>
      </c>
      <c r="H92" s="5">
        <f>39 / 86400</f>
        <v>4.5138888888888887E-4</v>
      </c>
      <c r="I92" t="s">
        <v>88</v>
      </c>
      <c r="J92" t="s">
        <v>141</v>
      </c>
      <c r="K92" s="5">
        <f>99 / 86400</f>
        <v>1.1458333333333333E-3</v>
      </c>
      <c r="L92" s="5">
        <f>2161 / 86400</f>
        <v>2.5011574074074075E-2</v>
      </c>
    </row>
    <row r="93" spans="1:12" x14ac:dyDescent="0.25">
      <c r="A93" s="3">
        <v>45694.220173611116</v>
      </c>
      <c r="B93" t="s">
        <v>21</v>
      </c>
      <c r="C93" s="3">
        <v>45694.222071759257</v>
      </c>
      <c r="D93" t="s">
        <v>21</v>
      </c>
      <c r="E93" s="4">
        <v>1.4E-2</v>
      </c>
      <c r="F93" s="4">
        <v>17976.593000000001</v>
      </c>
      <c r="G93" s="4">
        <v>17976.607</v>
      </c>
      <c r="H93" s="5">
        <f>139 / 86400</f>
        <v>1.6087962962962963E-3</v>
      </c>
      <c r="I93" t="s">
        <v>142</v>
      </c>
      <c r="J93" t="s">
        <v>23</v>
      </c>
      <c r="K93" s="5">
        <f>163 / 86400</f>
        <v>1.8865740740740742E-3</v>
      </c>
      <c r="L93" s="5">
        <f>7410 / 86400</f>
        <v>8.576388888888889E-2</v>
      </c>
    </row>
    <row r="94" spans="1:12" x14ac:dyDescent="0.25">
      <c r="A94" s="3">
        <v>45694.307835648149</v>
      </c>
      <c r="B94" t="s">
        <v>21</v>
      </c>
      <c r="C94" s="3">
        <v>45694.310624999998</v>
      </c>
      <c r="D94" t="s">
        <v>21</v>
      </c>
      <c r="E94" s="4">
        <v>2E-3</v>
      </c>
      <c r="F94" s="4">
        <v>17976.607</v>
      </c>
      <c r="G94" s="4">
        <v>17976.609</v>
      </c>
      <c r="H94" s="5">
        <f>220 / 86400</f>
        <v>2.5462962962962965E-3</v>
      </c>
      <c r="I94" t="s">
        <v>141</v>
      </c>
      <c r="J94" t="s">
        <v>23</v>
      </c>
      <c r="K94" s="5">
        <f>241 / 86400</f>
        <v>2.7893518518518519E-3</v>
      </c>
      <c r="L94" s="5">
        <f>13 / 86400</f>
        <v>1.5046296296296297E-4</v>
      </c>
    </row>
    <row r="95" spans="1:12" x14ac:dyDescent="0.25">
      <c r="A95" s="3">
        <v>45694.31077546296</v>
      </c>
      <c r="B95" t="s">
        <v>21</v>
      </c>
      <c r="C95" s="3">
        <v>45694.311585648145</v>
      </c>
      <c r="D95" t="s">
        <v>21</v>
      </c>
      <c r="E95" s="4">
        <v>1.0999999999999999E-2</v>
      </c>
      <c r="F95" s="4">
        <v>17976.609</v>
      </c>
      <c r="G95" s="4">
        <v>17976.62</v>
      </c>
      <c r="H95" s="5">
        <f>45 / 86400</f>
        <v>5.2083333333333333E-4</v>
      </c>
      <c r="I95" t="s">
        <v>22</v>
      </c>
      <c r="J95" t="s">
        <v>141</v>
      </c>
      <c r="K95" s="5">
        <f>70 / 86400</f>
        <v>8.1018518518518516E-4</v>
      </c>
      <c r="L95" s="5">
        <f>59478 / 86400</f>
        <v>0.68840277777777781</v>
      </c>
    </row>
    <row r="96" spans="1:1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2" s="10" customFormat="1" ht="20.100000000000001" customHeight="1" x14ac:dyDescent="0.35">
      <c r="A98" s="15" t="s">
        <v>284</v>
      </c>
      <c r="B98" s="15"/>
      <c r="C98" s="15"/>
      <c r="D98" s="15"/>
      <c r="E98" s="15"/>
      <c r="F98" s="15"/>
      <c r="G98" s="15"/>
      <c r="H98" s="15"/>
      <c r="I98" s="15"/>
      <c r="J98" s="15"/>
    </row>
    <row r="99" spans="1:1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2" ht="30" x14ac:dyDescent="0.25">
      <c r="A100" s="2" t="s">
        <v>6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12</v>
      </c>
      <c r="H100" s="2" t="s">
        <v>13</v>
      </c>
      <c r="I100" s="2" t="s">
        <v>14</v>
      </c>
      <c r="J100" s="2" t="s">
        <v>15</v>
      </c>
      <c r="K100" s="2" t="s">
        <v>16</v>
      </c>
      <c r="L100" s="2" t="s">
        <v>17</v>
      </c>
    </row>
    <row r="101" spans="1:12" x14ac:dyDescent="0.25">
      <c r="A101" s="3">
        <v>45694.225173611107</v>
      </c>
      <c r="B101" t="s">
        <v>24</v>
      </c>
      <c r="C101" s="3">
        <v>45694.233124999999</v>
      </c>
      <c r="D101" t="s">
        <v>143</v>
      </c>
      <c r="E101" s="4">
        <v>3.7639999999999998</v>
      </c>
      <c r="F101" s="4">
        <v>327221.15500000003</v>
      </c>
      <c r="G101" s="4">
        <v>327224.91899999999</v>
      </c>
      <c r="H101" s="5">
        <f>159 / 86400</f>
        <v>1.8402777777777777E-3</v>
      </c>
      <c r="I101" t="s">
        <v>144</v>
      </c>
      <c r="J101" t="s">
        <v>27</v>
      </c>
      <c r="K101" s="5">
        <f>686 / 86400</f>
        <v>7.9398148148148145E-3</v>
      </c>
      <c r="L101" s="5">
        <f>19628 / 86400</f>
        <v>0.22717592592592592</v>
      </c>
    </row>
    <row r="102" spans="1:12" x14ac:dyDescent="0.25">
      <c r="A102" s="3">
        <v>45694.235127314816</v>
      </c>
      <c r="B102" t="s">
        <v>143</v>
      </c>
      <c r="C102" s="3">
        <v>45694.281655092593</v>
      </c>
      <c r="D102" t="s">
        <v>145</v>
      </c>
      <c r="E102" s="4">
        <v>22.84</v>
      </c>
      <c r="F102" s="4">
        <v>327224.91899999999</v>
      </c>
      <c r="G102" s="4">
        <v>327247.75900000002</v>
      </c>
      <c r="H102" s="5">
        <f>1059 / 86400</f>
        <v>1.2256944444444445E-2</v>
      </c>
      <c r="I102" t="s">
        <v>146</v>
      </c>
      <c r="J102" t="s">
        <v>27</v>
      </c>
      <c r="K102" s="5">
        <f>4019 / 86400</f>
        <v>4.6516203703703705E-2</v>
      </c>
      <c r="L102" s="5">
        <f>634 / 86400</f>
        <v>7.3379629629629628E-3</v>
      </c>
    </row>
    <row r="103" spans="1:12" x14ac:dyDescent="0.25">
      <c r="A103" s="3">
        <v>45694.288993055554</v>
      </c>
      <c r="B103" t="s">
        <v>145</v>
      </c>
      <c r="C103" s="3">
        <v>45694.54751157407</v>
      </c>
      <c r="D103" t="s">
        <v>147</v>
      </c>
      <c r="E103" s="4">
        <v>125.30500000000001</v>
      </c>
      <c r="F103" s="4">
        <v>327247.75900000002</v>
      </c>
      <c r="G103" s="4">
        <v>327373.06400000001</v>
      </c>
      <c r="H103" s="5">
        <f>6903 / 86400</f>
        <v>7.9895833333333333E-2</v>
      </c>
      <c r="I103" t="s">
        <v>26</v>
      </c>
      <c r="J103" t="s">
        <v>27</v>
      </c>
      <c r="K103" s="5">
        <f>22336 / 86400</f>
        <v>0.25851851851851854</v>
      </c>
      <c r="L103" s="5">
        <f>2074 / 86400</f>
        <v>2.4004629629629629E-2</v>
      </c>
    </row>
    <row r="104" spans="1:12" x14ac:dyDescent="0.25">
      <c r="A104" s="3">
        <v>45694.571516203709</v>
      </c>
      <c r="B104" t="s">
        <v>147</v>
      </c>
      <c r="C104" s="3">
        <v>45694.764791666668</v>
      </c>
      <c r="D104" t="s">
        <v>147</v>
      </c>
      <c r="E104" s="4">
        <v>87.760999999999996</v>
      </c>
      <c r="F104" s="4">
        <v>327373.06400000001</v>
      </c>
      <c r="G104" s="4">
        <v>327460.82500000001</v>
      </c>
      <c r="H104" s="5">
        <f>5079 / 86400</f>
        <v>5.8784722222222224E-2</v>
      </c>
      <c r="I104" t="s">
        <v>76</v>
      </c>
      <c r="J104" t="s">
        <v>20</v>
      </c>
      <c r="K104" s="5">
        <f>16699 / 86400</f>
        <v>0.19327546296296297</v>
      </c>
      <c r="L104" s="5">
        <f>202 / 86400</f>
        <v>2.3379629629629631E-3</v>
      </c>
    </row>
    <row r="105" spans="1:12" x14ac:dyDescent="0.25">
      <c r="A105" s="3">
        <v>45694.767129629632</v>
      </c>
      <c r="B105" t="s">
        <v>148</v>
      </c>
      <c r="C105" s="3">
        <v>45694.773113425923</v>
      </c>
      <c r="D105" t="s">
        <v>149</v>
      </c>
      <c r="E105" s="4">
        <v>0.79</v>
      </c>
      <c r="F105" s="4">
        <v>327460.82500000001</v>
      </c>
      <c r="G105" s="4">
        <v>327461.61499999999</v>
      </c>
      <c r="H105" s="5">
        <f>339 / 86400</f>
        <v>3.9236111111111112E-3</v>
      </c>
      <c r="I105" t="s">
        <v>150</v>
      </c>
      <c r="J105" t="s">
        <v>142</v>
      </c>
      <c r="K105" s="5">
        <f>517 / 86400</f>
        <v>5.9837962962962961E-3</v>
      </c>
      <c r="L105" s="5">
        <f>156 / 86400</f>
        <v>1.8055555555555555E-3</v>
      </c>
    </row>
    <row r="106" spans="1:12" x14ac:dyDescent="0.25">
      <c r="A106" s="3">
        <v>45694.774918981479</v>
      </c>
      <c r="B106" t="s">
        <v>149</v>
      </c>
      <c r="C106" s="3">
        <v>45694.775046296301</v>
      </c>
      <c r="D106" t="s">
        <v>149</v>
      </c>
      <c r="E106" s="4">
        <v>8.9999999999999993E-3</v>
      </c>
      <c r="F106" s="4">
        <v>327461.61499999999</v>
      </c>
      <c r="G106" s="4">
        <v>327461.62400000001</v>
      </c>
      <c r="H106" s="5">
        <f>0 / 86400</f>
        <v>0</v>
      </c>
      <c r="I106" t="s">
        <v>23</v>
      </c>
      <c r="J106" t="s">
        <v>151</v>
      </c>
      <c r="K106" s="5">
        <f>11 / 86400</f>
        <v>1.273148148148148E-4</v>
      </c>
      <c r="L106" s="5">
        <f>232 / 86400</f>
        <v>2.685185185185185E-3</v>
      </c>
    </row>
    <row r="107" spans="1:12" x14ac:dyDescent="0.25">
      <c r="A107" s="3">
        <v>45694.777731481481</v>
      </c>
      <c r="B107" t="s">
        <v>149</v>
      </c>
      <c r="C107" s="3">
        <v>45694.808645833335</v>
      </c>
      <c r="D107" t="s">
        <v>83</v>
      </c>
      <c r="E107" s="4">
        <v>17.597999999999999</v>
      </c>
      <c r="F107" s="4">
        <v>327461.62400000001</v>
      </c>
      <c r="G107" s="4">
        <v>327479.22200000001</v>
      </c>
      <c r="H107" s="5">
        <f>879 / 86400</f>
        <v>1.0173611111111111E-2</v>
      </c>
      <c r="I107" t="s">
        <v>152</v>
      </c>
      <c r="J107" t="s">
        <v>153</v>
      </c>
      <c r="K107" s="5">
        <f>2670 / 86400</f>
        <v>3.0902777777777779E-2</v>
      </c>
      <c r="L107" s="5">
        <f>286 / 86400</f>
        <v>3.3101851851851851E-3</v>
      </c>
    </row>
    <row r="108" spans="1:12" x14ac:dyDescent="0.25">
      <c r="A108" s="3">
        <v>45694.811956018515</v>
      </c>
      <c r="B108" t="s">
        <v>83</v>
      </c>
      <c r="C108" s="3">
        <v>45694.81251157407</v>
      </c>
      <c r="D108" t="s">
        <v>123</v>
      </c>
      <c r="E108" s="4">
        <v>2.1000000000000001E-2</v>
      </c>
      <c r="F108" s="4">
        <v>327479.22200000001</v>
      </c>
      <c r="G108" s="4">
        <v>327479.24300000002</v>
      </c>
      <c r="H108" s="5">
        <f>19 / 86400</f>
        <v>2.199074074074074E-4</v>
      </c>
      <c r="I108" t="s">
        <v>75</v>
      </c>
      <c r="J108" t="s">
        <v>88</v>
      </c>
      <c r="K108" s="5">
        <f>48 / 86400</f>
        <v>5.5555555555555556E-4</v>
      </c>
      <c r="L108" s="5">
        <f>3451 / 86400</f>
        <v>3.9942129629629633E-2</v>
      </c>
    </row>
    <row r="109" spans="1:12" x14ac:dyDescent="0.25">
      <c r="A109" s="3">
        <v>45694.852453703701</v>
      </c>
      <c r="B109" t="s">
        <v>123</v>
      </c>
      <c r="C109" s="3">
        <v>45694.85564814815</v>
      </c>
      <c r="D109" t="s">
        <v>25</v>
      </c>
      <c r="E109" s="4">
        <v>1.34</v>
      </c>
      <c r="F109" s="4">
        <v>327479.24300000002</v>
      </c>
      <c r="G109" s="4">
        <v>327480.58299999998</v>
      </c>
      <c r="H109" s="5">
        <f>79 / 86400</f>
        <v>9.1435185185185185E-4</v>
      </c>
      <c r="I109" t="s">
        <v>154</v>
      </c>
      <c r="J109" t="s">
        <v>30</v>
      </c>
      <c r="K109" s="5">
        <f>275 / 86400</f>
        <v>3.1828703703703702E-3</v>
      </c>
      <c r="L109" s="5">
        <f>12471 / 86400</f>
        <v>0.14434027777777778</v>
      </c>
    </row>
    <row r="110" spans="1:1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2" s="10" customFormat="1" ht="20.100000000000001" customHeight="1" x14ac:dyDescent="0.35">
      <c r="A112" s="15" t="s">
        <v>285</v>
      </c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2" ht="30" x14ac:dyDescent="0.25">
      <c r="A114" s="2" t="s">
        <v>6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  <c r="G114" s="2" t="s">
        <v>12</v>
      </c>
      <c r="H114" s="2" t="s">
        <v>13</v>
      </c>
      <c r="I114" s="2" t="s">
        <v>14</v>
      </c>
      <c r="J114" s="2" t="s">
        <v>15</v>
      </c>
      <c r="K114" s="2" t="s">
        <v>16</v>
      </c>
      <c r="L114" s="2" t="s">
        <v>17</v>
      </c>
    </row>
    <row r="115" spans="1:12" x14ac:dyDescent="0.25">
      <c r="A115" s="3">
        <v>45694.287511574075</v>
      </c>
      <c r="B115" t="s">
        <v>28</v>
      </c>
      <c r="C115" s="3">
        <v>45694.34103009259</v>
      </c>
      <c r="D115" t="s">
        <v>47</v>
      </c>
      <c r="E115" s="4">
        <v>29.474</v>
      </c>
      <c r="F115" s="4">
        <v>20220.465</v>
      </c>
      <c r="G115" s="4">
        <v>20249.938999999998</v>
      </c>
      <c r="H115" s="5">
        <f>839 / 86400</f>
        <v>9.7106481481481488E-3</v>
      </c>
      <c r="I115" t="s">
        <v>146</v>
      </c>
      <c r="J115" t="s">
        <v>86</v>
      </c>
      <c r="K115" s="5">
        <f>4624 / 86400</f>
        <v>5.3518518518518521E-2</v>
      </c>
      <c r="L115" s="5">
        <f>25147 / 86400</f>
        <v>0.29105324074074074</v>
      </c>
    </row>
    <row r="116" spans="1:12" x14ac:dyDescent="0.25">
      <c r="A116" s="3">
        <v>45694.344571759255</v>
      </c>
      <c r="B116" t="s">
        <v>47</v>
      </c>
      <c r="C116" s="3">
        <v>45694.344583333332</v>
      </c>
      <c r="D116" t="s">
        <v>47</v>
      </c>
      <c r="E116" s="4">
        <v>0</v>
      </c>
      <c r="F116" s="4">
        <v>20249.938999999998</v>
      </c>
      <c r="G116" s="4">
        <v>20249.938999999998</v>
      </c>
      <c r="H116" s="5">
        <f>0 / 86400</f>
        <v>0</v>
      </c>
      <c r="I116" t="s">
        <v>23</v>
      </c>
      <c r="J116" t="s">
        <v>23</v>
      </c>
      <c r="K116" s="5">
        <f>0 / 86400</f>
        <v>0</v>
      </c>
      <c r="L116" s="5">
        <f>4 / 86400</f>
        <v>4.6296296296296294E-5</v>
      </c>
    </row>
    <row r="117" spans="1:12" x14ac:dyDescent="0.25">
      <c r="A117" s="3">
        <v>45694.344629629632</v>
      </c>
      <c r="B117" t="s">
        <v>47</v>
      </c>
      <c r="C117" s="3">
        <v>45694.344768518524</v>
      </c>
      <c r="D117" t="s">
        <v>47</v>
      </c>
      <c r="E117" s="4">
        <v>0</v>
      </c>
      <c r="F117" s="4">
        <v>20249.938999999998</v>
      </c>
      <c r="G117" s="4">
        <v>20249.938999999998</v>
      </c>
      <c r="H117" s="5">
        <f>0 / 86400</f>
        <v>0</v>
      </c>
      <c r="I117" t="s">
        <v>23</v>
      </c>
      <c r="J117" t="s">
        <v>23</v>
      </c>
      <c r="K117" s="5">
        <f>12 / 86400</f>
        <v>1.3888888888888889E-4</v>
      </c>
      <c r="L117" s="5">
        <f>2329 / 86400</f>
        <v>2.6956018518518518E-2</v>
      </c>
    </row>
    <row r="118" spans="1:12" x14ac:dyDescent="0.25">
      <c r="A118" s="3">
        <v>45694.371724537035</v>
      </c>
      <c r="B118" t="s">
        <v>47</v>
      </c>
      <c r="C118" s="3">
        <v>45694.371944444443</v>
      </c>
      <c r="D118" t="s">
        <v>47</v>
      </c>
      <c r="E118" s="4">
        <v>0</v>
      </c>
      <c r="F118" s="4">
        <v>20249.938999999998</v>
      </c>
      <c r="G118" s="4">
        <v>20249.938999999998</v>
      </c>
      <c r="H118" s="5">
        <f>0 / 86400</f>
        <v>0</v>
      </c>
      <c r="I118" t="s">
        <v>23</v>
      </c>
      <c r="J118" t="s">
        <v>23</v>
      </c>
      <c r="K118" s="5">
        <f>18 / 86400</f>
        <v>2.0833333333333335E-4</v>
      </c>
      <c r="L118" s="5">
        <f>1653 / 86400</f>
        <v>1.9131944444444444E-2</v>
      </c>
    </row>
    <row r="119" spans="1:12" x14ac:dyDescent="0.25">
      <c r="A119" s="3">
        <v>45694.391076388885</v>
      </c>
      <c r="B119" t="s">
        <v>47</v>
      </c>
      <c r="C119" s="3">
        <v>45694.394131944442</v>
      </c>
      <c r="D119" t="s">
        <v>136</v>
      </c>
      <c r="E119" s="4">
        <v>0.312</v>
      </c>
      <c r="F119" s="4">
        <v>20249.938999999998</v>
      </c>
      <c r="G119" s="4">
        <v>20250.251</v>
      </c>
      <c r="H119" s="5">
        <f>119 / 86400</f>
        <v>1.3773148148148147E-3</v>
      </c>
      <c r="I119" t="s">
        <v>153</v>
      </c>
      <c r="J119" t="s">
        <v>82</v>
      </c>
      <c r="K119" s="5">
        <f>264 / 86400</f>
        <v>3.0555555555555557E-3</v>
      </c>
      <c r="L119" s="5">
        <f>622 / 86400</f>
        <v>7.1990740740740739E-3</v>
      </c>
    </row>
    <row r="120" spans="1:12" x14ac:dyDescent="0.25">
      <c r="A120" s="3">
        <v>45694.401331018518</v>
      </c>
      <c r="B120" t="s">
        <v>136</v>
      </c>
      <c r="C120" s="3">
        <v>45694.403495370367</v>
      </c>
      <c r="D120" t="s">
        <v>155</v>
      </c>
      <c r="E120" s="4">
        <v>0.58299999999999996</v>
      </c>
      <c r="F120" s="4">
        <v>20250.251</v>
      </c>
      <c r="G120" s="4">
        <v>20250.833999999999</v>
      </c>
      <c r="H120" s="5">
        <f>0 / 86400</f>
        <v>0</v>
      </c>
      <c r="I120" t="s">
        <v>156</v>
      </c>
      <c r="J120" t="s">
        <v>75</v>
      </c>
      <c r="K120" s="5">
        <f>187 / 86400</f>
        <v>2.1643518518518518E-3</v>
      </c>
      <c r="L120" s="5">
        <f>416 / 86400</f>
        <v>4.8148148148148152E-3</v>
      </c>
    </row>
    <row r="121" spans="1:12" x14ac:dyDescent="0.25">
      <c r="A121" s="3">
        <v>45694.408310185187</v>
      </c>
      <c r="B121" t="s">
        <v>155</v>
      </c>
      <c r="C121" s="3">
        <v>45694.409409722226</v>
      </c>
      <c r="D121" t="s">
        <v>155</v>
      </c>
      <c r="E121" s="4">
        <v>4.0000000000000001E-3</v>
      </c>
      <c r="F121" s="4">
        <v>20250.833999999999</v>
      </c>
      <c r="G121" s="4">
        <v>20250.838</v>
      </c>
      <c r="H121" s="5">
        <f>79 / 86400</f>
        <v>9.1435185185185185E-4</v>
      </c>
      <c r="I121" t="s">
        <v>23</v>
      </c>
      <c r="J121" t="s">
        <v>23</v>
      </c>
      <c r="K121" s="5">
        <f>95 / 86400</f>
        <v>1.0995370370370371E-3</v>
      </c>
      <c r="L121" s="5">
        <f>125 / 86400</f>
        <v>1.4467592592592592E-3</v>
      </c>
    </row>
    <row r="122" spans="1:12" x14ac:dyDescent="0.25">
      <c r="A122" s="3">
        <v>45694.410856481481</v>
      </c>
      <c r="B122" t="s">
        <v>155</v>
      </c>
      <c r="C122" s="3">
        <v>45694.46094907407</v>
      </c>
      <c r="D122" t="s">
        <v>157</v>
      </c>
      <c r="E122" s="4">
        <v>25.545999999999999</v>
      </c>
      <c r="F122" s="4">
        <v>20250.838</v>
      </c>
      <c r="G122" s="4">
        <v>20276.383999999998</v>
      </c>
      <c r="H122" s="5">
        <f>1199 / 86400</f>
        <v>1.3877314814814815E-2</v>
      </c>
      <c r="I122" t="s">
        <v>29</v>
      </c>
      <c r="J122" t="s">
        <v>85</v>
      </c>
      <c r="K122" s="5">
        <f>4328 / 86400</f>
        <v>5.0092592592592591E-2</v>
      </c>
      <c r="L122" s="5">
        <f>2375 / 86400</f>
        <v>2.7488425925925927E-2</v>
      </c>
    </row>
    <row r="123" spans="1:12" x14ac:dyDescent="0.25">
      <c r="A123" s="3">
        <v>45694.488437499997</v>
      </c>
      <c r="B123" t="s">
        <v>157</v>
      </c>
      <c r="C123" s="3">
        <v>45694.495671296296</v>
      </c>
      <c r="D123" t="s">
        <v>28</v>
      </c>
      <c r="E123" s="4">
        <v>0.77</v>
      </c>
      <c r="F123" s="4">
        <v>20276.383999999998</v>
      </c>
      <c r="G123" s="4">
        <v>20277.153999999999</v>
      </c>
      <c r="H123" s="5">
        <f>360 / 86400</f>
        <v>4.1666666666666666E-3</v>
      </c>
      <c r="I123" t="s">
        <v>140</v>
      </c>
      <c r="J123" t="s">
        <v>82</v>
      </c>
      <c r="K123" s="5">
        <f>625 / 86400</f>
        <v>7.2337962962962963E-3</v>
      </c>
      <c r="L123" s="5">
        <f>28 / 86400</f>
        <v>3.2407407407407406E-4</v>
      </c>
    </row>
    <row r="124" spans="1:12" x14ac:dyDescent="0.25">
      <c r="A124" s="3">
        <v>45694.495995370366</v>
      </c>
      <c r="B124" t="s">
        <v>28</v>
      </c>
      <c r="C124" s="3">
        <v>45694.503229166672</v>
      </c>
      <c r="D124" t="s">
        <v>158</v>
      </c>
      <c r="E124" s="4">
        <v>2.1749999999999998</v>
      </c>
      <c r="F124" s="4">
        <v>20277.153999999999</v>
      </c>
      <c r="G124" s="4">
        <v>20279.329000000002</v>
      </c>
      <c r="H124" s="5">
        <f>140 / 86400</f>
        <v>1.6203703703703703E-3</v>
      </c>
      <c r="I124" t="s">
        <v>159</v>
      </c>
      <c r="J124" t="s">
        <v>46</v>
      </c>
      <c r="K124" s="5">
        <f>624 / 86400</f>
        <v>7.2222222222222219E-3</v>
      </c>
      <c r="L124" s="5">
        <f>4163 / 86400</f>
        <v>4.8182870370370369E-2</v>
      </c>
    </row>
    <row r="125" spans="1:12" x14ac:dyDescent="0.25">
      <c r="A125" s="3">
        <v>45694.551412037035</v>
      </c>
      <c r="B125" t="s">
        <v>158</v>
      </c>
      <c r="C125" s="3">
        <v>45694.552824074075</v>
      </c>
      <c r="D125" t="s">
        <v>28</v>
      </c>
      <c r="E125" s="4">
        <v>0.23699999999999999</v>
      </c>
      <c r="F125" s="4">
        <v>20279.329000000002</v>
      </c>
      <c r="G125" s="4">
        <v>20279.565999999999</v>
      </c>
      <c r="H125" s="5">
        <f>0 / 86400</f>
        <v>0</v>
      </c>
      <c r="I125" t="s">
        <v>75</v>
      </c>
      <c r="J125" t="s">
        <v>22</v>
      </c>
      <c r="K125" s="5">
        <f>122 / 86400</f>
        <v>1.4120370370370369E-3</v>
      </c>
      <c r="L125" s="5">
        <f>84 / 86400</f>
        <v>9.7222222222222219E-4</v>
      </c>
    </row>
    <row r="126" spans="1:12" x14ac:dyDescent="0.25">
      <c r="A126" s="3">
        <v>45694.553796296299</v>
      </c>
      <c r="B126" t="s">
        <v>28</v>
      </c>
      <c r="C126" s="3">
        <v>45694.553888888884</v>
      </c>
      <c r="D126" t="s">
        <v>28</v>
      </c>
      <c r="E126" s="4">
        <v>0</v>
      </c>
      <c r="F126" s="4">
        <v>20279.565999999999</v>
      </c>
      <c r="G126" s="4">
        <v>20279.565999999999</v>
      </c>
      <c r="H126" s="5">
        <f>0 / 86400</f>
        <v>0</v>
      </c>
      <c r="I126" t="s">
        <v>23</v>
      </c>
      <c r="J126" t="s">
        <v>23</v>
      </c>
      <c r="K126" s="5">
        <f>7 / 86400</f>
        <v>8.1018518518518516E-5</v>
      </c>
      <c r="L126" s="5">
        <f>5866 / 86400</f>
        <v>6.789351851851852E-2</v>
      </c>
    </row>
    <row r="127" spans="1:12" x14ac:dyDescent="0.25">
      <c r="A127" s="3">
        <v>45694.621782407412</v>
      </c>
      <c r="B127" t="s">
        <v>28</v>
      </c>
      <c r="C127" s="3">
        <v>45694.624386574069</v>
      </c>
      <c r="D127" t="s">
        <v>158</v>
      </c>
      <c r="E127" s="4">
        <v>0.13800000000000001</v>
      </c>
      <c r="F127" s="4">
        <v>20279.565999999999</v>
      </c>
      <c r="G127" s="4">
        <v>20279.704000000002</v>
      </c>
      <c r="H127" s="5">
        <f>119 / 86400</f>
        <v>1.3773148148148147E-3</v>
      </c>
      <c r="I127" t="s">
        <v>22</v>
      </c>
      <c r="J127" t="s">
        <v>88</v>
      </c>
      <c r="K127" s="5">
        <f>225 / 86400</f>
        <v>2.6041666666666665E-3</v>
      </c>
      <c r="L127" s="5">
        <f>204 / 86400</f>
        <v>2.3611111111111111E-3</v>
      </c>
    </row>
    <row r="128" spans="1:12" x14ac:dyDescent="0.25">
      <c r="A128" s="3">
        <v>45694.626747685186</v>
      </c>
      <c r="B128" t="s">
        <v>158</v>
      </c>
      <c r="C128" s="3">
        <v>45694.632766203707</v>
      </c>
      <c r="D128" t="s">
        <v>28</v>
      </c>
      <c r="E128" s="4">
        <v>1.359</v>
      </c>
      <c r="F128" s="4">
        <v>20279.704000000002</v>
      </c>
      <c r="G128" s="4">
        <v>20281.062999999998</v>
      </c>
      <c r="H128" s="5">
        <f>100 / 86400</f>
        <v>1.1574074074074073E-3</v>
      </c>
      <c r="I128" t="s">
        <v>20</v>
      </c>
      <c r="J128" t="s">
        <v>62</v>
      </c>
      <c r="K128" s="5">
        <f>520 / 86400</f>
        <v>6.0185185185185185E-3</v>
      </c>
      <c r="L128" s="5">
        <f>7690 / 86400</f>
        <v>8.9004629629629628E-2</v>
      </c>
    </row>
    <row r="129" spans="1:12" x14ac:dyDescent="0.25">
      <c r="A129" s="3">
        <v>45694.721770833334</v>
      </c>
      <c r="B129" t="s">
        <v>28</v>
      </c>
      <c r="C129" s="3">
        <v>45694.724351851852</v>
      </c>
      <c r="D129" t="s">
        <v>28</v>
      </c>
      <c r="E129" s="4">
        <v>4.5999999999999999E-2</v>
      </c>
      <c r="F129" s="4">
        <v>20281.062999999998</v>
      </c>
      <c r="G129" s="4">
        <v>20281.109</v>
      </c>
      <c r="H129" s="5">
        <f>199 / 86400</f>
        <v>2.3032407407407407E-3</v>
      </c>
      <c r="I129" t="s">
        <v>105</v>
      </c>
      <c r="J129" t="s">
        <v>141</v>
      </c>
      <c r="K129" s="5">
        <f>222 / 86400</f>
        <v>2.5694444444444445E-3</v>
      </c>
      <c r="L129" s="5">
        <f>23815 / 86400</f>
        <v>0.27563657407407405</v>
      </c>
    </row>
    <row r="130" spans="1:1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2" s="10" customFormat="1" ht="20.100000000000001" customHeight="1" x14ac:dyDescent="0.35">
      <c r="A132" s="15" t="s">
        <v>286</v>
      </c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2" ht="30" x14ac:dyDescent="0.25">
      <c r="A134" s="2" t="s">
        <v>6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  <c r="G134" s="2" t="s">
        <v>12</v>
      </c>
      <c r="H134" s="2" t="s">
        <v>13</v>
      </c>
      <c r="I134" s="2" t="s">
        <v>14</v>
      </c>
      <c r="J134" s="2" t="s">
        <v>15</v>
      </c>
      <c r="K134" s="2" t="s">
        <v>16</v>
      </c>
      <c r="L134" s="2" t="s">
        <v>17</v>
      </c>
    </row>
    <row r="135" spans="1:12" x14ac:dyDescent="0.25">
      <c r="A135" s="3">
        <v>45694.259224537032</v>
      </c>
      <c r="B135" t="s">
        <v>31</v>
      </c>
      <c r="C135" s="3">
        <v>45694.262118055558</v>
      </c>
      <c r="D135" t="s">
        <v>31</v>
      </c>
      <c r="E135" s="4">
        <v>2.5999999999999999E-2</v>
      </c>
      <c r="F135" s="4">
        <v>512095.45600000001</v>
      </c>
      <c r="G135" s="4">
        <v>512095.48200000002</v>
      </c>
      <c r="H135" s="5">
        <f>159 / 86400</f>
        <v>1.8402777777777777E-3</v>
      </c>
      <c r="I135" t="s">
        <v>105</v>
      </c>
      <c r="J135" t="s">
        <v>23</v>
      </c>
      <c r="K135" s="5">
        <f>249 / 86400</f>
        <v>2.8819444444444444E-3</v>
      </c>
      <c r="L135" s="5">
        <f>22453 / 86400</f>
        <v>0.25987268518518519</v>
      </c>
    </row>
    <row r="136" spans="1:12" x14ac:dyDescent="0.25">
      <c r="A136" s="3">
        <v>45694.262766203705</v>
      </c>
      <c r="B136" t="s">
        <v>31</v>
      </c>
      <c r="C136" s="3">
        <v>45694.263275462959</v>
      </c>
      <c r="D136" t="s">
        <v>31</v>
      </c>
      <c r="E136" s="4">
        <v>7.0000000000000001E-3</v>
      </c>
      <c r="F136" s="4">
        <v>512095.48200000002</v>
      </c>
      <c r="G136" s="4">
        <v>512095.489</v>
      </c>
      <c r="H136" s="5">
        <f>19 / 86400</f>
        <v>2.199074074074074E-4</v>
      </c>
      <c r="I136" t="s">
        <v>141</v>
      </c>
      <c r="J136" t="s">
        <v>141</v>
      </c>
      <c r="K136" s="5">
        <f>43 / 86400</f>
        <v>4.9768518518518521E-4</v>
      </c>
      <c r="L136" s="5">
        <f>11175 / 86400</f>
        <v>0.12934027777777779</v>
      </c>
    </row>
    <row r="137" spans="1:12" x14ac:dyDescent="0.25">
      <c r="A137" s="3">
        <v>45694.39261574074</v>
      </c>
      <c r="B137" t="s">
        <v>31</v>
      </c>
      <c r="C137" s="3">
        <v>45694.396412037036</v>
      </c>
      <c r="D137" t="s">
        <v>31</v>
      </c>
      <c r="E137" s="4">
        <v>0.01</v>
      </c>
      <c r="F137" s="4">
        <v>512095.489</v>
      </c>
      <c r="G137" s="4">
        <v>512095.49900000001</v>
      </c>
      <c r="H137" s="5">
        <f>299 / 86400</f>
        <v>3.460648148148148E-3</v>
      </c>
      <c r="I137" t="s">
        <v>141</v>
      </c>
      <c r="J137" t="s">
        <v>23</v>
      </c>
      <c r="K137" s="5">
        <f>328 / 86400</f>
        <v>3.7962962962962963E-3</v>
      </c>
      <c r="L137" s="5">
        <f>162 / 86400</f>
        <v>1.8749999999999999E-3</v>
      </c>
    </row>
    <row r="138" spans="1:12" x14ac:dyDescent="0.25">
      <c r="A138" s="3">
        <v>45694.398287037038</v>
      </c>
      <c r="B138" t="s">
        <v>31</v>
      </c>
      <c r="C138" s="3">
        <v>45694.417592592596</v>
      </c>
      <c r="D138" t="s">
        <v>160</v>
      </c>
      <c r="E138" s="4">
        <v>7.702</v>
      </c>
      <c r="F138" s="4">
        <v>512095.49900000001</v>
      </c>
      <c r="G138" s="4">
        <v>512103.201</v>
      </c>
      <c r="H138" s="5">
        <f>260 / 86400</f>
        <v>3.0092592592592593E-3</v>
      </c>
      <c r="I138" t="s">
        <v>161</v>
      </c>
      <c r="J138" t="s">
        <v>37</v>
      </c>
      <c r="K138" s="5">
        <f>1668 / 86400</f>
        <v>1.9305555555555555E-2</v>
      </c>
      <c r="L138" s="5">
        <f>668 / 86400</f>
        <v>7.7314814814814815E-3</v>
      </c>
    </row>
    <row r="139" spans="1:12" x14ac:dyDescent="0.25">
      <c r="A139" s="3">
        <v>45694.425324074073</v>
      </c>
      <c r="B139" t="s">
        <v>160</v>
      </c>
      <c r="C139" s="3">
        <v>45694.441921296297</v>
      </c>
      <c r="D139" t="s">
        <v>162</v>
      </c>
      <c r="E139" s="4">
        <v>3.5950000000000002</v>
      </c>
      <c r="F139" s="4">
        <v>512103.201</v>
      </c>
      <c r="G139" s="4">
        <v>512106.79599999997</v>
      </c>
      <c r="H139" s="5">
        <f>419 / 86400</f>
        <v>4.8495370370370368E-3</v>
      </c>
      <c r="I139" t="s">
        <v>150</v>
      </c>
      <c r="J139" t="s">
        <v>62</v>
      </c>
      <c r="K139" s="5">
        <f>1434 / 86400</f>
        <v>1.6597222222222222E-2</v>
      </c>
      <c r="L139" s="5">
        <f>679 / 86400</f>
        <v>7.858796296296296E-3</v>
      </c>
    </row>
    <row r="140" spans="1:12" x14ac:dyDescent="0.25">
      <c r="A140" s="3">
        <v>45694.449780092589</v>
      </c>
      <c r="B140" t="s">
        <v>162</v>
      </c>
      <c r="C140" s="3">
        <v>45694.450636574074</v>
      </c>
      <c r="D140" t="s">
        <v>162</v>
      </c>
      <c r="E140" s="4">
        <v>6.0000000000000001E-3</v>
      </c>
      <c r="F140" s="4">
        <v>512106.79599999997</v>
      </c>
      <c r="G140" s="4">
        <v>512106.80200000003</v>
      </c>
      <c r="H140" s="5">
        <f>59 / 86400</f>
        <v>6.8287037037037036E-4</v>
      </c>
      <c r="I140" t="s">
        <v>23</v>
      </c>
      <c r="J140" t="s">
        <v>23</v>
      </c>
      <c r="K140" s="5">
        <f>74 / 86400</f>
        <v>8.564814814814815E-4</v>
      </c>
      <c r="L140" s="5">
        <f>2190 / 86400</f>
        <v>2.5347222222222222E-2</v>
      </c>
    </row>
    <row r="141" spans="1:12" x14ac:dyDescent="0.25">
      <c r="A141" s="3">
        <v>45694.475983796292</v>
      </c>
      <c r="B141" t="s">
        <v>162</v>
      </c>
      <c r="C141" s="3">
        <v>45694.477986111116</v>
      </c>
      <c r="D141" t="s">
        <v>163</v>
      </c>
      <c r="E141" s="4">
        <v>0.26100000000000001</v>
      </c>
      <c r="F141" s="4">
        <v>512106.80200000003</v>
      </c>
      <c r="G141" s="4">
        <v>512107.06300000002</v>
      </c>
      <c r="H141" s="5">
        <f>59 / 86400</f>
        <v>6.8287037037037036E-4</v>
      </c>
      <c r="I141" t="s">
        <v>20</v>
      </c>
      <c r="J141" t="s">
        <v>105</v>
      </c>
      <c r="K141" s="5">
        <f>173 / 86400</f>
        <v>2.0023148148148148E-3</v>
      </c>
      <c r="L141" s="5">
        <f>334 / 86400</f>
        <v>3.8657407407407408E-3</v>
      </c>
    </row>
    <row r="142" spans="1:12" x14ac:dyDescent="0.25">
      <c r="A142" s="3">
        <v>45694.481851851851</v>
      </c>
      <c r="B142" t="s">
        <v>163</v>
      </c>
      <c r="C142" s="3">
        <v>45694.481909722221</v>
      </c>
      <c r="D142" t="s">
        <v>163</v>
      </c>
      <c r="E142" s="4">
        <v>0</v>
      </c>
      <c r="F142" s="4">
        <v>512107.06300000002</v>
      </c>
      <c r="G142" s="4">
        <v>512107.06300000002</v>
      </c>
      <c r="H142" s="5">
        <f>0 / 86400</f>
        <v>0</v>
      </c>
      <c r="I142" t="s">
        <v>23</v>
      </c>
      <c r="J142" t="s">
        <v>23</v>
      </c>
      <c r="K142" s="5">
        <f>5 / 86400</f>
        <v>5.7870370370370373E-5</v>
      </c>
      <c r="L142" s="5">
        <f>47 / 86400</f>
        <v>5.4398148148148144E-4</v>
      </c>
    </row>
    <row r="143" spans="1:12" x14ac:dyDescent="0.25">
      <c r="A143" s="3">
        <v>45694.482453703706</v>
      </c>
      <c r="B143" t="s">
        <v>163</v>
      </c>
      <c r="C143" s="3">
        <v>45694.482581018514</v>
      </c>
      <c r="D143" t="s">
        <v>163</v>
      </c>
      <c r="E143" s="4">
        <v>0</v>
      </c>
      <c r="F143" s="4">
        <v>512107.06300000002</v>
      </c>
      <c r="G143" s="4">
        <v>512107.06300000002</v>
      </c>
      <c r="H143" s="5">
        <f>0 / 86400</f>
        <v>0</v>
      </c>
      <c r="I143" t="s">
        <v>23</v>
      </c>
      <c r="J143" t="s">
        <v>23</v>
      </c>
      <c r="K143" s="5">
        <f>11 / 86400</f>
        <v>1.273148148148148E-4</v>
      </c>
      <c r="L143" s="5">
        <f>750 / 86400</f>
        <v>8.6805555555555559E-3</v>
      </c>
    </row>
    <row r="144" spans="1:12" x14ac:dyDescent="0.25">
      <c r="A144" s="3">
        <v>45694.491261574076</v>
      </c>
      <c r="B144" t="s">
        <v>163</v>
      </c>
      <c r="C144" s="3">
        <v>45694.491377314815</v>
      </c>
      <c r="D144" t="s">
        <v>163</v>
      </c>
      <c r="E144" s="4">
        <v>0</v>
      </c>
      <c r="F144" s="4">
        <v>512107.06300000002</v>
      </c>
      <c r="G144" s="4">
        <v>512107.06300000002</v>
      </c>
      <c r="H144" s="5">
        <f>0 / 86400</f>
        <v>0</v>
      </c>
      <c r="I144" t="s">
        <v>23</v>
      </c>
      <c r="J144" t="s">
        <v>23</v>
      </c>
      <c r="K144" s="5">
        <f>10 / 86400</f>
        <v>1.1574074074074075E-4</v>
      </c>
      <c r="L144" s="5">
        <f>2925 / 86400</f>
        <v>3.3854166666666664E-2</v>
      </c>
    </row>
    <row r="145" spans="1:12" x14ac:dyDescent="0.25">
      <c r="A145" s="3">
        <v>45694.525231481486</v>
      </c>
      <c r="B145" t="s">
        <v>163</v>
      </c>
      <c r="C145" s="3">
        <v>45694.535509259258</v>
      </c>
      <c r="D145" t="s">
        <v>164</v>
      </c>
      <c r="E145" s="4">
        <v>3.4060000000000001</v>
      </c>
      <c r="F145" s="4">
        <v>512107.06300000002</v>
      </c>
      <c r="G145" s="4">
        <v>512110.46899999998</v>
      </c>
      <c r="H145" s="5">
        <f>261 / 86400</f>
        <v>3.0208333333333333E-3</v>
      </c>
      <c r="I145" t="s">
        <v>32</v>
      </c>
      <c r="J145" t="s">
        <v>52</v>
      </c>
      <c r="K145" s="5">
        <f>888 / 86400</f>
        <v>1.0277777777777778E-2</v>
      </c>
      <c r="L145" s="5">
        <f>998 / 86400</f>
        <v>1.1550925925925926E-2</v>
      </c>
    </row>
    <row r="146" spans="1:12" x14ac:dyDescent="0.25">
      <c r="A146" s="3">
        <v>45694.547060185185</v>
      </c>
      <c r="B146" t="s">
        <v>164</v>
      </c>
      <c r="C146" s="3">
        <v>45694.547627314816</v>
      </c>
      <c r="D146" t="s">
        <v>164</v>
      </c>
      <c r="E146" s="4">
        <v>0</v>
      </c>
      <c r="F146" s="4">
        <v>512110.46899999998</v>
      </c>
      <c r="G146" s="4">
        <v>512110.46899999998</v>
      </c>
      <c r="H146" s="5">
        <f>39 / 86400</f>
        <v>4.5138888888888887E-4</v>
      </c>
      <c r="I146" t="s">
        <v>23</v>
      </c>
      <c r="J146" t="s">
        <v>23</v>
      </c>
      <c r="K146" s="5">
        <f>48 / 86400</f>
        <v>5.5555555555555556E-4</v>
      </c>
      <c r="L146" s="5">
        <f>1182 / 86400</f>
        <v>1.3680555555555555E-2</v>
      </c>
    </row>
    <row r="147" spans="1:12" x14ac:dyDescent="0.25">
      <c r="A147" s="3">
        <v>45694.561307870375</v>
      </c>
      <c r="B147" t="s">
        <v>164</v>
      </c>
      <c r="C147" s="3">
        <v>45694.561840277776</v>
      </c>
      <c r="D147" t="s">
        <v>165</v>
      </c>
      <c r="E147" s="4">
        <v>1.7999999999999999E-2</v>
      </c>
      <c r="F147" s="4">
        <v>512110.46899999998</v>
      </c>
      <c r="G147" s="4">
        <v>512110.48700000002</v>
      </c>
      <c r="H147" s="5">
        <f>0 / 86400</f>
        <v>0</v>
      </c>
      <c r="I147" t="s">
        <v>82</v>
      </c>
      <c r="J147" t="s">
        <v>141</v>
      </c>
      <c r="K147" s="5">
        <f>45 / 86400</f>
        <v>5.2083333333333333E-4</v>
      </c>
      <c r="L147" s="5">
        <f>3000 / 86400</f>
        <v>3.4722222222222224E-2</v>
      </c>
    </row>
    <row r="148" spans="1:12" x14ac:dyDescent="0.25">
      <c r="A148" s="3">
        <v>45694.596562499995</v>
      </c>
      <c r="B148" t="s">
        <v>165</v>
      </c>
      <c r="C148" s="3">
        <v>45694.617418981477</v>
      </c>
      <c r="D148" t="s">
        <v>165</v>
      </c>
      <c r="E148" s="4">
        <v>0</v>
      </c>
      <c r="F148" s="4">
        <v>512110.48700000002</v>
      </c>
      <c r="G148" s="4">
        <v>512110.48700000002</v>
      </c>
      <c r="H148" s="5">
        <f>1799 / 86400</f>
        <v>2.0821759259259259E-2</v>
      </c>
      <c r="I148" t="s">
        <v>23</v>
      </c>
      <c r="J148" t="s">
        <v>23</v>
      </c>
      <c r="K148" s="5">
        <f>1801 / 86400</f>
        <v>2.0844907407407406E-2</v>
      </c>
      <c r="L148" s="5">
        <f>925 / 86400</f>
        <v>1.0706018518518519E-2</v>
      </c>
    </row>
    <row r="149" spans="1:12" x14ac:dyDescent="0.25">
      <c r="A149" s="3">
        <v>45694.628125000003</v>
      </c>
      <c r="B149" t="s">
        <v>165</v>
      </c>
      <c r="C149" s="3">
        <v>45694.628194444449</v>
      </c>
      <c r="D149" t="s">
        <v>165</v>
      </c>
      <c r="E149" s="4">
        <v>0</v>
      </c>
      <c r="F149" s="4">
        <v>512110.48700000002</v>
      </c>
      <c r="G149" s="4">
        <v>512110.48700000002</v>
      </c>
      <c r="H149" s="5">
        <f>0 / 86400</f>
        <v>0</v>
      </c>
      <c r="I149" t="s">
        <v>23</v>
      </c>
      <c r="J149" t="s">
        <v>23</v>
      </c>
      <c r="K149" s="5">
        <f>5 / 86400</f>
        <v>5.7870370370370373E-5</v>
      </c>
      <c r="L149" s="5">
        <f>716 / 86400</f>
        <v>8.2870370370370372E-3</v>
      </c>
    </row>
    <row r="150" spans="1:12" x14ac:dyDescent="0.25">
      <c r="A150" s="3">
        <v>45694.636481481481</v>
      </c>
      <c r="B150" t="s">
        <v>165</v>
      </c>
      <c r="C150" s="3">
        <v>45694.641562500001</v>
      </c>
      <c r="D150" t="s">
        <v>166</v>
      </c>
      <c r="E150" s="4">
        <v>0.56999999999999995</v>
      </c>
      <c r="F150" s="4">
        <v>512110.48700000002</v>
      </c>
      <c r="G150" s="4">
        <v>512111.05699999997</v>
      </c>
      <c r="H150" s="5">
        <f>159 / 86400</f>
        <v>1.8402777777777777E-3</v>
      </c>
      <c r="I150" t="s">
        <v>167</v>
      </c>
      <c r="J150" t="s">
        <v>105</v>
      </c>
      <c r="K150" s="5">
        <f>438 / 86400</f>
        <v>5.0694444444444441E-3</v>
      </c>
      <c r="L150" s="5">
        <f>182 / 86400</f>
        <v>2.1064814814814813E-3</v>
      </c>
    </row>
    <row r="151" spans="1:12" x14ac:dyDescent="0.25">
      <c r="A151" s="3">
        <v>45694.64366898148</v>
      </c>
      <c r="B151" t="s">
        <v>166</v>
      </c>
      <c r="C151" s="3">
        <v>45694.657314814816</v>
      </c>
      <c r="D151" t="s">
        <v>94</v>
      </c>
      <c r="E151" s="4">
        <v>0.112</v>
      </c>
      <c r="F151" s="4">
        <v>512111.05699999997</v>
      </c>
      <c r="G151" s="4">
        <v>512111.16899999999</v>
      </c>
      <c r="H151" s="5">
        <f>1079 / 86400</f>
        <v>1.2488425925925925E-2</v>
      </c>
      <c r="I151" t="s">
        <v>62</v>
      </c>
      <c r="J151" t="s">
        <v>23</v>
      </c>
      <c r="K151" s="5">
        <f>1179 / 86400</f>
        <v>1.3645833333333333E-2</v>
      </c>
      <c r="L151" s="5">
        <f>453 / 86400</f>
        <v>5.2430555555555555E-3</v>
      </c>
    </row>
    <row r="152" spans="1:12" x14ac:dyDescent="0.25">
      <c r="A152" s="3">
        <v>45694.662557870368</v>
      </c>
      <c r="B152" t="s">
        <v>94</v>
      </c>
      <c r="C152" s="3">
        <v>45694.670925925922</v>
      </c>
      <c r="D152" t="s">
        <v>168</v>
      </c>
      <c r="E152" s="4">
        <v>3.6110000000000002</v>
      </c>
      <c r="F152" s="4">
        <v>512111.16899999999</v>
      </c>
      <c r="G152" s="4">
        <v>512114.78</v>
      </c>
      <c r="H152" s="5">
        <f>20 / 86400</f>
        <v>2.3148148148148149E-4</v>
      </c>
      <c r="I152" t="s">
        <v>161</v>
      </c>
      <c r="J152" t="s">
        <v>30</v>
      </c>
      <c r="K152" s="5">
        <f>723 / 86400</f>
        <v>8.3680555555555557E-3</v>
      </c>
      <c r="L152" s="5">
        <f>506 / 86400</f>
        <v>5.8564814814814816E-3</v>
      </c>
    </row>
    <row r="153" spans="1:12" x14ac:dyDescent="0.25">
      <c r="A153" s="3">
        <v>45694.676782407405</v>
      </c>
      <c r="B153" t="s">
        <v>168</v>
      </c>
      <c r="C153" s="3">
        <v>45694.677071759259</v>
      </c>
      <c r="D153" t="s">
        <v>168</v>
      </c>
      <c r="E153" s="4">
        <v>8.9999999999999993E-3</v>
      </c>
      <c r="F153" s="4">
        <v>512114.78</v>
      </c>
      <c r="G153" s="4">
        <v>512114.78899999999</v>
      </c>
      <c r="H153" s="5">
        <f>0 / 86400</f>
        <v>0</v>
      </c>
      <c r="I153" t="s">
        <v>105</v>
      </c>
      <c r="J153" t="s">
        <v>141</v>
      </c>
      <c r="K153" s="5">
        <f>25 / 86400</f>
        <v>2.8935185185185184E-4</v>
      </c>
      <c r="L153" s="5">
        <f>63 / 86400</f>
        <v>7.291666666666667E-4</v>
      </c>
    </row>
    <row r="154" spans="1:12" x14ac:dyDescent="0.25">
      <c r="A154" s="3">
        <v>45694.677800925929</v>
      </c>
      <c r="B154" t="s">
        <v>168</v>
      </c>
      <c r="C154" s="3">
        <v>45694.677939814814</v>
      </c>
      <c r="D154" t="s">
        <v>168</v>
      </c>
      <c r="E154" s="4">
        <v>8.9999999999999993E-3</v>
      </c>
      <c r="F154" s="4">
        <v>512114.78899999999</v>
      </c>
      <c r="G154" s="4">
        <v>512114.79800000001</v>
      </c>
      <c r="H154" s="5">
        <f>0 / 86400</f>
        <v>0</v>
      </c>
      <c r="I154" t="s">
        <v>23</v>
      </c>
      <c r="J154" t="s">
        <v>151</v>
      </c>
      <c r="K154" s="5">
        <f>12 / 86400</f>
        <v>1.3888888888888889E-4</v>
      </c>
      <c r="L154" s="5">
        <f>1438 / 86400</f>
        <v>1.6643518518518519E-2</v>
      </c>
    </row>
    <row r="155" spans="1:12" x14ac:dyDescent="0.25">
      <c r="A155" s="3">
        <v>45694.69458333333</v>
      </c>
      <c r="B155" t="s">
        <v>168</v>
      </c>
      <c r="C155" s="3">
        <v>45694.694814814815</v>
      </c>
      <c r="D155" t="s">
        <v>168</v>
      </c>
      <c r="E155" s="4">
        <v>1.9E-2</v>
      </c>
      <c r="F155" s="4">
        <v>512114.79800000001</v>
      </c>
      <c r="G155" s="4">
        <v>512114.81699999998</v>
      </c>
      <c r="H155" s="5">
        <f>0 / 86400</f>
        <v>0</v>
      </c>
      <c r="I155" t="s">
        <v>22</v>
      </c>
      <c r="J155" t="s">
        <v>151</v>
      </c>
      <c r="K155" s="5">
        <f>20 / 86400</f>
        <v>2.3148148148148149E-4</v>
      </c>
      <c r="L155" s="5">
        <f>23 / 86400</f>
        <v>2.6620370370370372E-4</v>
      </c>
    </row>
    <row r="156" spans="1:12" x14ac:dyDescent="0.25">
      <c r="A156" s="3">
        <v>45694.695081018523</v>
      </c>
      <c r="B156" t="s">
        <v>168</v>
      </c>
      <c r="C156" s="3">
        <v>45694.695185185185</v>
      </c>
      <c r="D156" t="s">
        <v>168</v>
      </c>
      <c r="E156" s="4">
        <v>2E-3</v>
      </c>
      <c r="F156" s="4">
        <v>512114.81699999998</v>
      </c>
      <c r="G156" s="4">
        <v>512114.81900000002</v>
      </c>
      <c r="H156" s="5">
        <f>0 / 86400</f>
        <v>0</v>
      </c>
      <c r="I156" t="s">
        <v>23</v>
      </c>
      <c r="J156" t="s">
        <v>141</v>
      </c>
      <c r="K156" s="5">
        <f>8 / 86400</f>
        <v>9.2592592592592588E-5</v>
      </c>
      <c r="L156" s="5">
        <f>320 / 86400</f>
        <v>3.7037037037037038E-3</v>
      </c>
    </row>
    <row r="157" spans="1:12" x14ac:dyDescent="0.25">
      <c r="A157" s="3">
        <v>45694.698888888888</v>
      </c>
      <c r="B157" t="s">
        <v>168</v>
      </c>
      <c r="C157" s="3">
        <v>45694.704618055555</v>
      </c>
      <c r="D157" t="s">
        <v>168</v>
      </c>
      <c r="E157" s="4">
        <v>5.8999999999999997E-2</v>
      </c>
      <c r="F157" s="4">
        <v>512114.81900000002</v>
      </c>
      <c r="G157" s="4">
        <v>512114.87800000003</v>
      </c>
      <c r="H157" s="5">
        <f>420 / 86400</f>
        <v>4.8611111111111112E-3</v>
      </c>
      <c r="I157" t="s">
        <v>62</v>
      </c>
      <c r="J157" t="s">
        <v>23</v>
      </c>
      <c r="K157" s="5">
        <f>494 / 86400</f>
        <v>5.7175925925925927E-3</v>
      </c>
      <c r="L157" s="5">
        <f>953 / 86400</f>
        <v>1.1030092592592593E-2</v>
      </c>
    </row>
    <row r="158" spans="1:12" x14ac:dyDescent="0.25">
      <c r="A158" s="3">
        <v>45694.715648148151</v>
      </c>
      <c r="B158" t="s">
        <v>168</v>
      </c>
      <c r="C158" s="3">
        <v>45694.720335648148</v>
      </c>
      <c r="D158" t="s">
        <v>169</v>
      </c>
      <c r="E158" s="4">
        <v>1.4730000000000001</v>
      </c>
      <c r="F158" s="4">
        <v>512114.87800000003</v>
      </c>
      <c r="G158" s="4">
        <v>512116.35100000002</v>
      </c>
      <c r="H158" s="5">
        <f>20 / 86400</f>
        <v>2.3148148148148149E-4</v>
      </c>
      <c r="I158" t="s">
        <v>153</v>
      </c>
      <c r="J158" t="s">
        <v>46</v>
      </c>
      <c r="K158" s="5">
        <f>404 / 86400</f>
        <v>4.6759259259259263E-3</v>
      </c>
      <c r="L158" s="5">
        <f>3614 / 86400</f>
        <v>4.1828703703703701E-2</v>
      </c>
    </row>
    <row r="159" spans="1:12" x14ac:dyDescent="0.25">
      <c r="A159" s="3">
        <v>45694.762164351851</v>
      </c>
      <c r="B159" t="s">
        <v>169</v>
      </c>
      <c r="C159" s="3">
        <v>45694.775277777779</v>
      </c>
      <c r="D159" t="s">
        <v>31</v>
      </c>
      <c r="E159" s="4">
        <v>2.3759999999999999</v>
      </c>
      <c r="F159" s="4">
        <v>512116.35100000002</v>
      </c>
      <c r="G159" s="4">
        <v>512118.72700000001</v>
      </c>
      <c r="H159" s="5">
        <f>540 / 86400</f>
        <v>6.2500000000000003E-3</v>
      </c>
      <c r="I159" t="s">
        <v>61</v>
      </c>
      <c r="J159" t="s">
        <v>43</v>
      </c>
      <c r="K159" s="5">
        <f>1133 / 86400</f>
        <v>1.3113425925925926E-2</v>
      </c>
      <c r="L159" s="5">
        <f>124 / 86400</f>
        <v>1.4351851851851852E-3</v>
      </c>
    </row>
    <row r="160" spans="1:12" x14ac:dyDescent="0.25">
      <c r="A160" s="3">
        <v>45694.776712962965</v>
      </c>
      <c r="B160" t="s">
        <v>31</v>
      </c>
      <c r="C160" s="3">
        <v>45694.776944444442</v>
      </c>
      <c r="D160" t="s">
        <v>31</v>
      </c>
      <c r="E160" s="4">
        <v>3.0000000000000001E-3</v>
      </c>
      <c r="F160" s="4">
        <v>512118.72700000001</v>
      </c>
      <c r="G160" s="4">
        <v>512118.73</v>
      </c>
      <c r="H160" s="5">
        <f>0 / 86400</f>
        <v>0</v>
      </c>
      <c r="I160" t="s">
        <v>23</v>
      </c>
      <c r="J160" t="s">
        <v>141</v>
      </c>
      <c r="K160" s="5">
        <f>19 / 86400</f>
        <v>2.199074074074074E-4</v>
      </c>
      <c r="L160" s="5">
        <f>1678 / 86400</f>
        <v>1.9421296296296298E-2</v>
      </c>
    </row>
    <row r="161" spans="1:12" x14ac:dyDescent="0.25">
      <c r="A161" s="3">
        <v>45694.796365740738</v>
      </c>
      <c r="B161" t="s">
        <v>31</v>
      </c>
      <c r="C161" s="3">
        <v>45694.797638888893</v>
      </c>
      <c r="D161" t="s">
        <v>31</v>
      </c>
      <c r="E161" s="4">
        <v>1.0999999999999999E-2</v>
      </c>
      <c r="F161" s="4">
        <v>512118.73</v>
      </c>
      <c r="G161" s="4">
        <v>512118.74099999998</v>
      </c>
      <c r="H161" s="5">
        <f>99 / 86400</f>
        <v>1.1458333333333333E-3</v>
      </c>
      <c r="I161" t="s">
        <v>23</v>
      </c>
      <c r="J161" t="s">
        <v>23</v>
      </c>
      <c r="K161" s="5">
        <f>110 / 86400</f>
        <v>1.2731481481481483E-3</v>
      </c>
      <c r="L161" s="5">
        <f>17483 / 86400</f>
        <v>0.20234953703703704</v>
      </c>
    </row>
    <row r="162" spans="1:1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2" s="10" customFormat="1" ht="20.100000000000001" customHeight="1" x14ac:dyDescent="0.35">
      <c r="A164" s="15" t="s">
        <v>287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2" ht="30" x14ac:dyDescent="0.25">
      <c r="A166" s="2" t="s">
        <v>6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  <c r="G166" s="2" t="s">
        <v>12</v>
      </c>
      <c r="H166" s="2" t="s">
        <v>13</v>
      </c>
      <c r="I166" s="2" t="s">
        <v>14</v>
      </c>
      <c r="J166" s="2" t="s">
        <v>15</v>
      </c>
      <c r="K166" s="2" t="s">
        <v>16</v>
      </c>
      <c r="L166" s="2" t="s">
        <v>17</v>
      </c>
    </row>
    <row r="167" spans="1:12" x14ac:dyDescent="0.25">
      <c r="A167" s="3">
        <v>45694.213645833333</v>
      </c>
      <c r="B167" t="s">
        <v>28</v>
      </c>
      <c r="C167" s="3">
        <v>45694.440706018519</v>
      </c>
      <c r="D167" t="s">
        <v>48</v>
      </c>
      <c r="E167" s="4">
        <v>94.027000000000001</v>
      </c>
      <c r="F167" s="4">
        <v>91226.877999999997</v>
      </c>
      <c r="G167" s="4">
        <v>91320.904999999999</v>
      </c>
      <c r="H167" s="5">
        <f>5421 / 86400</f>
        <v>6.2743055555555552E-2</v>
      </c>
      <c r="I167" t="s">
        <v>98</v>
      </c>
      <c r="J167" t="s">
        <v>37</v>
      </c>
      <c r="K167" s="5">
        <f>19618 / 86400</f>
        <v>0.2270601851851852</v>
      </c>
      <c r="L167" s="5">
        <f>20856 / 86400</f>
        <v>0.24138888888888888</v>
      </c>
    </row>
    <row r="168" spans="1:12" x14ac:dyDescent="0.25">
      <c r="A168" s="3">
        <v>45694.468449074076</v>
      </c>
      <c r="B168" t="s">
        <v>48</v>
      </c>
      <c r="C168" s="3">
        <v>45694.473333333328</v>
      </c>
      <c r="D168" t="s">
        <v>136</v>
      </c>
      <c r="E168" s="4">
        <v>1.135</v>
      </c>
      <c r="F168" s="4">
        <v>91320.904999999999</v>
      </c>
      <c r="G168" s="4">
        <v>91322.04</v>
      </c>
      <c r="H168" s="5">
        <f>99 / 86400</f>
        <v>1.1458333333333333E-3</v>
      </c>
      <c r="I168" t="s">
        <v>161</v>
      </c>
      <c r="J168" t="s">
        <v>116</v>
      </c>
      <c r="K168" s="5">
        <f>422 / 86400</f>
        <v>4.8842592592592592E-3</v>
      </c>
      <c r="L168" s="5">
        <f>360 / 86400</f>
        <v>4.1666666666666666E-3</v>
      </c>
    </row>
    <row r="169" spans="1:12" x14ac:dyDescent="0.25">
      <c r="A169" s="3">
        <v>45694.477500000001</v>
      </c>
      <c r="B169" t="s">
        <v>136</v>
      </c>
      <c r="C169" s="3">
        <v>45694.483437499999</v>
      </c>
      <c r="D169" t="s">
        <v>133</v>
      </c>
      <c r="E169" s="4">
        <v>1.3140000000000001</v>
      </c>
      <c r="F169" s="4">
        <v>91322.04</v>
      </c>
      <c r="G169" s="4">
        <v>91323.354000000007</v>
      </c>
      <c r="H169" s="5">
        <f>60 / 86400</f>
        <v>6.9444444444444447E-4</v>
      </c>
      <c r="I169" t="s">
        <v>167</v>
      </c>
      <c r="J169" t="s">
        <v>62</v>
      </c>
      <c r="K169" s="5">
        <f>513 / 86400</f>
        <v>5.9375000000000001E-3</v>
      </c>
      <c r="L169" s="5">
        <f>1015 / 86400</f>
        <v>1.1747685185185186E-2</v>
      </c>
    </row>
    <row r="170" spans="1:12" x14ac:dyDescent="0.25">
      <c r="A170" s="3">
        <v>45694.49518518518</v>
      </c>
      <c r="B170" t="s">
        <v>133</v>
      </c>
      <c r="C170" s="3">
        <v>45694.61546296296</v>
      </c>
      <c r="D170" t="s">
        <v>170</v>
      </c>
      <c r="E170" s="4">
        <v>50.543999999999997</v>
      </c>
      <c r="F170" s="4">
        <v>91323.354000000007</v>
      </c>
      <c r="G170" s="4">
        <v>91373.898000000001</v>
      </c>
      <c r="H170" s="5">
        <f>3179 / 86400</f>
        <v>3.6793981481481483E-2</v>
      </c>
      <c r="I170" t="s">
        <v>33</v>
      </c>
      <c r="J170" t="s">
        <v>30</v>
      </c>
      <c r="K170" s="5">
        <f>10391 / 86400</f>
        <v>0.12026620370370371</v>
      </c>
      <c r="L170" s="5">
        <f>78 / 86400</f>
        <v>9.0277777777777774E-4</v>
      </c>
    </row>
    <row r="171" spans="1:12" x14ac:dyDescent="0.25">
      <c r="A171" s="3">
        <v>45694.616365740745</v>
      </c>
      <c r="B171" t="s">
        <v>170</v>
      </c>
      <c r="C171" s="3">
        <v>45694.616516203707</v>
      </c>
      <c r="D171" t="s">
        <v>170</v>
      </c>
      <c r="E171" s="4">
        <v>0.01</v>
      </c>
      <c r="F171" s="4">
        <v>91373.898000000001</v>
      </c>
      <c r="G171" s="4">
        <v>91373.907999999996</v>
      </c>
      <c r="H171" s="5">
        <f>0 / 86400</f>
        <v>0</v>
      </c>
      <c r="I171" t="s">
        <v>23</v>
      </c>
      <c r="J171" t="s">
        <v>151</v>
      </c>
      <c r="K171" s="5">
        <f>13 / 86400</f>
        <v>1.5046296296296297E-4</v>
      </c>
      <c r="L171" s="5">
        <f>1225 / 86400</f>
        <v>1.4178240740740741E-2</v>
      </c>
    </row>
    <row r="172" spans="1:12" x14ac:dyDescent="0.25">
      <c r="A172" s="3">
        <v>45694.630694444444</v>
      </c>
      <c r="B172" t="s">
        <v>170</v>
      </c>
      <c r="C172" s="3">
        <v>45694.740787037037</v>
      </c>
      <c r="D172" t="s">
        <v>171</v>
      </c>
      <c r="E172" s="4">
        <v>36.4</v>
      </c>
      <c r="F172" s="4">
        <v>91373.907999999996</v>
      </c>
      <c r="G172" s="4">
        <v>91410.308000000005</v>
      </c>
      <c r="H172" s="5">
        <f>2960 / 86400</f>
        <v>3.425925925925926E-2</v>
      </c>
      <c r="I172" t="s">
        <v>115</v>
      </c>
      <c r="J172" t="s">
        <v>52</v>
      </c>
      <c r="K172" s="5">
        <f>9512 / 86400</f>
        <v>0.11009259259259259</v>
      </c>
      <c r="L172" s="5">
        <f>431 / 86400</f>
        <v>4.9884259259259257E-3</v>
      </c>
    </row>
    <row r="173" spans="1:12" x14ac:dyDescent="0.25">
      <c r="A173" s="3">
        <v>45694.745775462958</v>
      </c>
      <c r="B173" t="s">
        <v>171</v>
      </c>
      <c r="C173" s="3">
        <v>45694.757233796292</v>
      </c>
      <c r="D173" t="s">
        <v>172</v>
      </c>
      <c r="E173" s="4">
        <v>5.3179999999999996</v>
      </c>
      <c r="F173" s="4">
        <v>91410.308000000005</v>
      </c>
      <c r="G173" s="4">
        <v>91415.626000000004</v>
      </c>
      <c r="H173" s="5">
        <f>219 / 86400</f>
        <v>2.5347222222222221E-3</v>
      </c>
      <c r="I173" t="s">
        <v>144</v>
      </c>
      <c r="J173" t="s">
        <v>20</v>
      </c>
      <c r="K173" s="5">
        <f>990 / 86400</f>
        <v>1.1458333333333333E-2</v>
      </c>
      <c r="L173" s="5">
        <f>2225 / 86400</f>
        <v>2.5752314814814815E-2</v>
      </c>
    </row>
    <row r="174" spans="1:12" x14ac:dyDescent="0.25">
      <c r="A174" s="3">
        <v>45694.782986111109</v>
      </c>
      <c r="B174" t="s">
        <v>172</v>
      </c>
      <c r="C174" s="3">
        <v>45694.792071759264</v>
      </c>
      <c r="D174" t="s">
        <v>173</v>
      </c>
      <c r="E174" s="4">
        <v>1.728</v>
      </c>
      <c r="F174" s="4">
        <v>91415.626000000004</v>
      </c>
      <c r="G174" s="4">
        <v>91417.354000000007</v>
      </c>
      <c r="H174" s="5">
        <f>120 / 86400</f>
        <v>1.3888888888888889E-3</v>
      </c>
      <c r="I174" t="s">
        <v>150</v>
      </c>
      <c r="J174" t="s">
        <v>43</v>
      </c>
      <c r="K174" s="5">
        <f>785 / 86400</f>
        <v>9.0856481481481483E-3</v>
      </c>
      <c r="L174" s="5">
        <f>1394 / 86400</f>
        <v>1.6134259259259258E-2</v>
      </c>
    </row>
    <row r="175" spans="1:12" x14ac:dyDescent="0.25">
      <c r="A175" s="3">
        <v>45694.808206018519</v>
      </c>
      <c r="B175" t="s">
        <v>173</v>
      </c>
      <c r="C175" s="3">
        <v>45694.832523148143</v>
      </c>
      <c r="D175" t="s">
        <v>28</v>
      </c>
      <c r="E175" s="4">
        <v>7.258</v>
      </c>
      <c r="F175" s="4">
        <v>91417.354000000007</v>
      </c>
      <c r="G175" s="4">
        <v>91424.611999999994</v>
      </c>
      <c r="H175" s="5">
        <f>559 / 86400</f>
        <v>6.4699074074074077E-3</v>
      </c>
      <c r="I175" t="s">
        <v>36</v>
      </c>
      <c r="J175" t="s">
        <v>113</v>
      </c>
      <c r="K175" s="5">
        <f>2101 / 86400</f>
        <v>2.431712962962963E-2</v>
      </c>
      <c r="L175" s="5">
        <f>1330 / 86400</f>
        <v>1.5393518518518518E-2</v>
      </c>
    </row>
    <row r="176" spans="1:12" x14ac:dyDescent="0.25">
      <c r="A176" s="3">
        <v>45694.847916666666</v>
      </c>
      <c r="B176" t="s">
        <v>28</v>
      </c>
      <c r="C176" s="3">
        <v>45694.850231481483</v>
      </c>
      <c r="D176" t="s">
        <v>28</v>
      </c>
      <c r="E176" s="4">
        <v>4.0000000000000001E-3</v>
      </c>
      <c r="F176" s="4">
        <v>91424.611999999994</v>
      </c>
      <c r="G176" s="4">
        <v>91424.615999999995</v>
      </c>
      <c r="H176" s="5">
        <f>179 / 86400</f>
        <v>2.0717592592592593E-3</v>
      </c>
      <c r="I176" t="s">
        <v>23</v>
      </c>
      <c r="J176" t="s">
        <v>23</v>
      </c>
      <c r="K176" s="5">
        <f>200 / 86400</f>
        <v>2.3148148148148147E-3</v>
      </c>
      <c r="L176" s="5">
        <f>12939 / 86400</f>
        <v>0.14975694444444446</v>
      </c>
    </row>
    <row r="177" spans="1:1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2" s="10" customFormat="1" ht="20.100000000000001" customHeight="1" x14ac:dyDescent="0.35">
      <c r="A179" s="15" t="s">
        <v>288</v>
      </c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2" ht="30" x14ac:dyDescent="0.25">
      <c r="A181" s="2" t="s">
        <v>6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11</v>
      </c>
      <c r="G181" s="2" t="s">
        <v>12</v>
      </c>
      <c r="H181" s="2" t="s">
        <v>13</v>
      </c>
      <c r="I181" s="2" t="s">
        <v>14</v>
      </c>
      <c r="J181" s="2" t="s">
        <v>15</v>
      </c>
      <c r="K181" s="2" t="s">
        <v>16</v>
      </c>
      <c r="L181" s="2" t="s">
        <v>17</v>
      </c>
    </row>
    <row r="182" spans="1:12" x14ac:dyDescent="0.25">
      <c r="A182" s="3">
        <v>45694.003252314811</v>
      </c>
      <c r="B182" t="s">
        <v>18</v>
      </c>
      <c r="C182" s="3">
        <v>45694.003287037034</v>
      </c>
      <c r="D182" t="s">
        <v>18</v>
      </c>
      <c r="E182" s="4">
        <v>0</v>
      </c>
      <c r="F182" s="4">
        <v>136188.47700000001</v>
      </c>
      <c r="G182" s="4">
        <v>136188.47700000001</v>
      </c>
      <c r="H182" s="5">
        <f>0 / 86400</f>
        <v>0</v>
      </c>
      <c r="I182" t="s">
        <v>23</v>
      </c>
      <c r="J182" t="s">
        <v>23</v>
      </c>
      <c r="K182" s="5">
        <f>3 / 86400</f>
        <v>3.4722222222222222E-5</v>
      </c>
      <c r="L182" s="5">
        <f>15305 / 86400</f>
        <v>0.1771412037037037</v>
      </c>
    </row>
    <row r="183" spans="1:12" x14ac:dyDescent="0.25">
      <c r="A183" s="3">
        <v>45694.177175925928</v>
      </c>
      <c r="B183" t="s">
        <v>18</v>
      </c>
      <c r="C183" s="3">
        <v>45694.265775462962</v>
      </c>
      <c r="D183" t="s">
        <v>132</v>
      </c>
      <c r="E183" s="4">
        <v>49.438000000000002</v>
      </c>
      <c r="F183" s="4">
        <v>136188.47700000001</v>
      </c>
      <c r="G183" s="4">
        <v>136237.91500000001</v>
      </c>
      <c r="H183" s="5">
        <f>1780 / 86400</f>
        <v>2.060185185185185E-2</v>
      </c>
      <c r="I183" t="s">
        <v>67</v>
      </c>
      <c r="J183" t="s">
        <v>86</v>
      </c>
      <c r="K183" s="5">
        <f>7655 / 86400</f>
        <v>8.8599537037037032E-2</v>
      </c>
      <c r="L183" s="5">
        <f>623 / 86400</f>
        <v>7.2106481481481483E-3</v>
      </c>
    </row>
    <row r="184" spans="1:12" x14ac:dyDescent="0.25">
      <c r="A184" s="3">
        <v>45694.272986111115</v>
      </c>
      <c r="B184" t="s">
        <v>132</v>
      </c>
      <c r="C184" s="3">
        <v>45694.274386574078</v>
      </c>
      <c r="D184" t="s">
        <v>133</v>
      </c>
      <c r="E184" s="4">
        <v>0.42099999999999999</v>
      </c>
      <c r="F184" s="4">
        <v>136237.91500000001</v>
      </c>
      <c r="G184" s="4">
        <v>136238.33600000001</v>
      </c>
      <c r="H184" s="5">
        <f>0 / 86400</f>
        <v>0</v>
      </c>
      <c r="I184" t="s">
        <v>174</v>
      </c>
      <c r="J184" t="s">
        <v>46</v>
      </c>
      <c r="K184" s="5">
        <f>121 / 86400</f>
        <v>1.4004629629629629E-3</v>
      </c>
      <c r="L184" s="5">
        <f>1220 / 86400</f>
        <v>1.412037037037037E-2</v>
      </c>
    </row>
    <row r="185" spans="1:12" x14ac:dyDescent="0.25">
      <c r="A185" s="3">
        <v>45694.288506944446</v>
      </c>
      <c r="B185" t="s">
        <v>133</v>
      </c>
      <c r="C185" s="3">
        <v>45694.444826388892</v>
      </c>
      <c r="D185" t="s">
        <v>136</v>
      </c>
      <c r="E185" s="4">
        <v>79.444000000000003</v>
      </c>
      <c r="F185" s="4">
        <v>136238.33600000001</v>
      </c>
      <c r="G185" s="4">
        <v>136317.78</v>
      </c>
      <c r="H185" s="5">
        <f>3539 / 86400</f>
        <v>4.0960648148148149E-2</v>
      </c>
      <c r="I185" t="s">
        <v>35</v>
      </c>
      <c r="J185" t="s">
        <v>85</v>
      </c>
      <c r="K185" s="5">
        <f>13505 / 86400</f>
        <v>0.15630787037037036</v>
      </c>
      <c r="L185" s="5">
        <f>327 / 86400</f>
        <v>3.7847222222222223E-3</v>
      </c>
    </row>
    <row r="186" spans="1:12" x14ac:dyDescent="0.25">
      <c r="A186" s="3">
        <v>45694.448611111111</v>
      </c>
      <c r="B186" t="s">
        <v>136</v>
      </c>
      <c r="C186" s="3">
        <v>45694.451388888891</v>
      </c>
      <c r="D186" t="s">
        <v>136</v>
      </c>
      <c r="E186" s="4">
        <v>0.12</v>
      </c>
      <c r="F186" s="4">
        <v>136317.78</v>
      </c>
      <c r="G186" s="4">
        <v>136317.9</v>
      </c>
      <c r="H186" s="5">
        <f>159 / 86400</f>
        <v>1.8402777777777777E-3</v>
      </c>
      <c r="I186" t="s">
        <v>43</v>
      </c>
      <c r="J186" t="s">
        <v>88</v>
      </c>
      <c r="K186" s="5">
        <f>240 / 86400</f>
        <v>2.7777777777777779E-3</v>
      </c>
      <c r="L186" s="5">
        <f>1580 / 86400</f>
        <v>1.8287037037037036E-2</v>
      </c>
    </row>
    <row r="187" spans="1:12" x14ac:dyDescent="0.25">
      <c r="A187" s="3">
        <v>45694.469675925924</v>
      </c>
      <c r="B187" t="s">
        <v>136</v>
      </c>
      <c r="C187" s="3">
        <v>45694.720300925925</v>
      </c>
      <c r="D187" t="s">
        <v>175</v>
      </c>
      <c r="E187" s="4">
        <v>108.801</v>
      </c>
      <c r="F187" s="4">
        <v>136317.9</v>
      </c>
      <c r="G187" s="4">
        <v>136426.701</v>
      </c>
      <c r="H187" s="5">
        <f>7359 / 86400</f>
        <v>8.5173611111111117E-2</v>
      </c>
      <c r="I187" t="s">
        <v>35</v>
      </c>
      <c r="J187" t="s">
        <v>30</v>
      </c>
      <c r="K187" s="5">
        <f>21654 / 86400</f>
        <v>0.25062499999999999</v>
      </c>
      <c r="L187" s="5">
        <f>330 / 86400</f>
        <v>3.8194444444444443E-3</v>
      </c>
    </row>
    <row r="188" spans="1:12" x14ac:dyDescent="0.25">
      <c r="A188" s="3">
        <v>45694.724120370374</v>
      </c>
      <c r="B188" t="s">
        <v>175</v>
      </c>
      <c r="C188" s="3">
        <v>45694.750439814816</v>
      </c>
      <c r="D188" t="s">
        <v>176</v>
      </c>
      <c r="E188" s="4">
        <v>7.7590000000000003</v>
      </c>
      <c r="F188" s="4">
        <v>136426.701</v>
      </c>
      <c r="G188" s="4">
        <v>136434.46</v>
      </c>
      <c r="H188" s="5">
        <f>802 / 86400</f>
        <v>9.2824074074074076E-3</v>
      </c>
      <c r="I188" t="s">
        <v>59</v>
      </c>
      <c r="J188" t="s">
        <v>113</v>
      </c>
      <c r="K188" s="5">
        <f>2274 / 86400</f>
        <v>2.6319444444444444E-2</v>
      </c>
      <c r="L188" s="5">
        <f>250 / 86400</f>
        <v>2.8935185185185184E-3</v>
      </c>
    </row>
    <row r="189" spans="1:12" x14ac:dyDescent="0.25">
      <c r="A189" s="3">
        <v>45694.753333333334</v>
      </c>
      <c r="B189" t="s">
        <v>176</v>
      </c>
      <c r="C189" s="3">
        <v>45694.757673611108</v>
      </c>
      <c r="D189" t="s">
        <v>18</v>
      </c>
      <c r="E189" s="4">
        <v>0.56599999999999995</v>
      </c>
      <c r="F189" s="4">
        <v>136434.46</v>
      </c>
      <c r="G189" s="4">
        <v>136435.02600000001</v>
      </c>
      <c r="H189" s="5">
        <f>159 / 86400</f>
        <v>1.8402777777777777E-3</v>
      </c>
      <c r="I189" t="s">
        <v>37</v>
      </c>
      <c r="J189" t="s">
        <v>105</v>
      </c>
      <c r="K189" s="5">
        <f>374 / 86400</f>
        <v>4.3287037037037035E-3</v>
      </c>
      <c r="L189" s="5">
        <f>20936 / 86400</f>
        <v>0.24231481481481482</v>
      </c>
    </row>
    <row r="190" spans="1:1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1:1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2" s="10" customFormat="1" ht="20.100000000000001" customHeight="1" x14ac:dyDescent="0.35">
      <c r="A192" s="15" t="s">
        <v>289</v>
      </c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2" ht="30" x14ac:dyDescent="0.25">
      <c r="A194" s="2" t="s">
        <v>6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11</v>
      </c>
      <c r="G194" s="2" t="s">
        <v>12</v>
      </c>
      <c r="H194" s="2" t="s">
        <v>13</v>
      </c>
      <c r="I194" s="2" t="s">
        <v>14</v>
      </c>
      <c r="J194" s="2" t="s">
        <v>15</v>
      </c>
      <c r="K194" s="2" t="s">
        <v>16</v>
      </c>
      <c r="L194" s="2" t="s">
        <v>17</v>
      </c>
    </row>
    <row r="195" spans="1:12" x14ac:dyDescent="0.25">
      <c r="A195" s="3">
        <v>45694.642928240741</v>
      </c>
      <c r="B195" t="s">
        <v>28</v>
      </c>
      <c r="C195" s="3">
        <v>45694.643518518518</v>
      </c>
      <c r="D195" t="s">
        <v>28</v>
      </c>
      <c r="E195" s="4">
        <v>3.0818585455417633E-2</v>
      </c>
      <c r="F195" s="4">
        <v>346602.45781565428</v>
      </c>
      <c r="G195" s="4">
        <v>346602.48863423971</v>
      </c>
      <c r="H195" s="5">
        <f t="shared" ref="H195:H204" si="0">0 / 86400</f>
        <v>0</v>
      </c>
      <c r="I195" t="s">
        <v>142</v>
      </c>
      <c r="J195" t="s">
        <v>88</v>
      </c>
      <c r="K195" s="5">
        <f>51 / 86400</f>
        <v>5.9027777777777778E-4</v>
      </c>
      <c r="L195" s="5">
        <f>55553 / 86400</f>
        <v>0.642974537037037</v>
      </c>
    </row>
    <row r="196" spans="1:12" x14ac:dyDescent="0.25">
      <c r="A196" s="3">
        <v>45694.643564814818</v>
      </c>
      <c r="B196" t="s">
        <v>28</v>
      </c>
      <c r="C196" s="3">
        <v>45694.645497685182</v>
      </c>
      <c r="D196" t="s">
        <v>177</v>
      </c>
      <c r="E196" s="4">
        <v>0.50476918137073512</v>
      </c>
      <c r="F196" s="4">
        <v>346602.491474921</v>
      </c>
      <c r="G196" s="4">
        <v>346602.99624410237</v>
      </c>
      <c r="H196" s="5">
        <f t="shared" si="0"/>
        <v>0</v>
      </c>
      <c r="I196" t="s">
        <v>86</v>
      </c>
      <c r="J196" t="s">
        <v>75</v>
      </c>
      <c r="K196" s="5">
        <f>167 / 86400</f>
        <v>1.9328703703703704E-3</v>
      </c>
      <c r="L196" s="5">
        <f>20 / 86400</f>
        <v>2.3148148148148149E-4</v>
      </c>
    </row>
    <row r="197" spans="1:12" x14ac:dyDescent="0.25">
      <c r="A197" s="3">
        <v>45694.645729166667</v>
      </c>
      <c r="B197" t="s">
        <v>177</v>
      </c>
      <c r="C197" s="3">
        <v>45694.647326388891</v>
      </c>
      <c r="D197" t="s">
        <v>178</v>
      </c>
      <c r="E197" s="4">
        <v>1.0289095889925957</v>
      </c>
      <c r="F197" s="4">
        <v>346603.20738991332</v>
      </c>
      <c r="G197" s="4">
        <v>346604.23629950231</v>
      </c>
      <c r="H197" s="5">
        <f t="shared" si="0"/>
        <v>0</v>
      </c>
      <c r="I197" t="s">
        <v>179</v>
      </c>
      <c r="J197" t="s">
        <v>140</v>
      </c>
      <c r="K197" s="5">
        <f>138 / 86400</f>
        <v>1.5972222222222223E-3</v>
      </c>
      <c r="L197" s="5">
        <f>20 / 86400</f>
        <v>2.3148148148148149E-4</v>
      </c>
    </row>
    <row r="198" spans="1:12" x14ac:dyDescent="0.25">
      <c r="A198" s="3">
        <v>45694.647557870368</v>
      </c>
      <c r="B198" t="s">
        <v>180</v>
      </c>
      <c r="C198" s="3">
        <v>45694.651608796295</v>
      </c>
      <c r="D198" t="s">
        <v>28</v>
      </c>
      <c r="E198" s="4">
        <v>1.5651988711953164</v>
      </c>
      <c r="F198" s="4">
        <v>346604.27641706262</v>
      </c>
      <c r="G198" s="4">
        <v>346605.84161593381</v>
      </c>
      <c r="H198" s="5">
        <f t="shared" si="0"/>
        <v>0</v>
      </c>
      <c r="I198" t="s">
        <v>181</v>
      </c>
      <c r="J198" t="s">
        <v>34</v>
      </c>
      <c r="K198" s="5">
        <f>350 / 86400</f>
        <v>4.0509259259259257E-3</v>
      </c>
      <c r="L198" s="5">
        <f>72 / 86400</f>
        <v>8.3333333333333339E-4</v>
      </c>
    </row>
    <row r="199" spans="1:12" x14ac:dyDescent="0.25">
      <c r="A199" s="3">
        <v>45694.652442129634</v>
      </c>
      <c r="B199" t="s">
        <v>28</v>
      </c>
      <c r="C199" s="3">
        <v>45694.652673611112</v>
      </c>
      <c r="D199" t="s">
        <v>28</v>
      </c>
      <c r="E199" s="4">
        <v>1.4148012638092041E-2</v>
      </c>
      <c r="F199" s="4">
        <v>346605.85183147719</v>
      </c>
      <c r="G199" s="4">
        <v>346605.86597948981</v>
      </c>
      <c r="H199" s="5">
        <f t="shared" si="0"/>
        <v>0</v>
      </c>
      <c r="I199" t="s">
        <v>142</v>
      </c>
      <c r="J199" t="s">
        <v>151</v>
      </c>
      <c r="K199" s="5">
        <f>20 / 86400</f>
        <v>2.3148148148148149E-4</v>
      </c>
      <c r="L199" s="5">
        <f>1896 / 86400</f>
        <v>2.1944444444444444E-2</v>
      </c>
    </row>
    <row r="200" spans="1:12" x14ac:dyDescent="0.25">
      <c r="A200" s="3">
        <v>45694.674618055556</v>
      </c>
      <c r="B200" t="s">
        <v>28</v>
      </c>
      <c r="C200" s="3">
        <v>45694.674849537041</v>
      </c>
      <c r="D200" t="s">
        <v>28</v>
      </c>
      <c r="E200" s="4">
        <v>4.5340993404388427E-3</v>
      </c>
      <c r="F200" s="4">
        <v>346605.93547968962</v>
      </c>
      <c r="G200" s="4">
        <v>346605.94001378893</v>
      </c>
      <c r="H200" s="5">
        <f t="shared" si="0"/>
        <v>0</v>
      </c>
      <c r="I200" t="s">
        <v>88</v>
      </c>
      <c r="J200" t="s">
        <v>141</v>
      </c>
      <c r="K200" s="5">
        <f>20 / 86400</f>
        <v>2.3148148148148149E-4</v>
      </c>
      <c r="L200" s="5">
        <f>1544 / 86400</f>
        <v>1.787037037037037E-2</v>
      </c>
    </row>
    <row r="201" spans="1:12" x14ac:dyDescent="0.25">
      <c r="A201" s="3">
        <v>45694.692719907413</v>
      </c>
      <c r="B201" t="s">
        <v>28</v>
      </c>
      <c r="C201" s="3">
        <v>45694.69295138889</v>
      </c>
      <c r="D201" t="s">
        <v>28</v>
      </c>
      <c r="E201" s="4">
        <v>3.7063239216804504E-3</v>
      </c>
      <c r="F201" s="4">
        <v>346605.97353956924</v>
      </c>
      <c r="G201" s="4">
        <v>346605.97724589315</v>
      </c>
      <c r="H201" s="5">
        <f t="shared" si="0"/>
        <v>0</v>
      </c>
      <c r="I201" t="s">
        <v>88</v>
      </c>
      <c r="J201" t="s">
        <v>141</v>
      </c>
      <c r="K201" s="5">
        <f>20 / 86400</f>
        <v>2.3148148148148149E-4</v>
      </c>
      <c r="L201" s="5">
        <f>200 / 86400</f>
        <v>2.3148148148148147E-3</v>
      </c>
    </row>
    <row r="202" spans="1:12" x14ac:dyDescent="0.25">
      <c r="A202" s="3">
        <v>45694.695266203707</v>
      </c>
      <c r="B202" t="s">
        <v>24</v>
      </c>
      <c r="C202" s="3">
        <v>45694.696967592594</v>
      </c>
      <c r="D202" t="s">
        <v>182</v>
      </c>
      <c r="E202" s="4">
        <v>0.83536846232414241</v>
      </c>
      <c r="F202" s="4">
        <v>346606.000380443</v>
      </c>
      <c r="G202" s="4">
        <v>346606.83574890532</v>
      </c>
      <c r="H202" s="5">
        <f t="shared" si="0"/>
        <v>0</v>
      </c>
      <c r="I202" t="s">
        <v>87</v>
      </c>
      <c r="J202" t="s">
        <v>27</v>
      </c>
      <c r="K202" s="5">
        <f>147 / 86400</f>
        <v>1.7013888888888888E-3</v>
      </c>
      <c r="L202" s="5">
        <f>160 / 86400</f>
        <v>1.8518518518518519E-3</v>
      </c>
    </row>
    <row r="203" spans="1:12" x14ac:dyDescent="0.25">
      <c r="A203" s="3">
        <v>45694.698819444442</v>
      </c>
      <c r="B203" t="s">
        <v>182</v>
      </c>
      <c r="C203" s="3">
        <v>45694.702326388884</v>
      </c>
      <c r="D203" t="s">
        <v>28</v>
      </c>
      <c r="E203" s="4">
        <v>1.8419524289369582</v>
      </c>
      <c r="F203" s="4">
        <v>346606.87871011742</v>
      </c>
      <c r="G203" s="4">
        <v>346608.72066254634</v>
      </c>
      <c r="H203" s="5">
        <f t="shared" si="0"/>
        <v>0</v>
      </c>
      <c r="I203" t="s">
        <v>36</v>
      </c>
      <c r="J203" t="s">
        <v>138</v>
      </c>
      <c r="K203" s="5">
        <f>303 / 86400</f>
        <v>3.5069444444444445E-3</v>
      </c>
      <c r="L203" s="5">
        <f>20 / 86400</f>
        <v>2.3148148148148149E-4</v>
      </c>
    </row>
    <row r="204" spans="1:12" x14ac:dyDescent="0.25">
      <c r="A204" s="3">
        <v>45694.702557870369</v>
      </c>
      <c r="B204" t="s">
        <v>28</v>
      </c>
      <c r="C204" s="3">
        <v>45694.702789351853</v>
      </c>
      <c r="D204" t="s">
        <v>28</v>
      </c>
      <c r="E204" s="4">
        <v>1.1948125779628754E-2</v>
      </c>
      <c r="F204" s="4">
        <v>346608.73976268811</v>
      </c>
      <c r="G204" s="4">
        <v>346608.7517108139</v>
      </c>
      <c r="H204" s="5">
        <f t="shared" si="0"/>
        <v>0</v>
      </c>
      <c r="I204" t="s">
        <v>142</v>
      </c>
      <c r="J204" t="s">
        <v>88</v>
      </c>
      <c r="K204" s="5">
        <f>20 / 86400</f>
        <v>2.3148148148148149E-4</v>
      </c>
      <c r="L204" s="5">
        <f>25678 / 86400</f>
        <v>0.29719907407407409</v>
      </c>
    </row>
    <row r="205" spans="1:1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2" s="10" customFormat="1" ht="20.100000000000001" customHeight="1" x14ac:dyDescent="0.35">
      <c r="A207" s="15" t="s">
        <v>290</v>
      </c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2" ht="30" x14ac:dyDescent="0.25">
      <c r="A209" s="2" t="s">
        <v>6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11</v>
      </c>
      <c r="G209" s="2" t="s">
        <v>12</v>
      </c>
      <c r="H209" s="2" t="s">
        <v>13</v>
      </c>
      <c r="I209" s="2" t="s">
        <v>14</v>
      </c>
      <c r="J209" s="2" t="s">
        <v>15</v>
      </c>
      <c r="K209" s="2" t="s">
        <v>16</v>
      </c>
      <c r="L209" s="2" t="s">
        <v>17</v>
      </c>
    </row>
    <row r="210" spans="1:12" x14ac:dyDescent="0.25">
      <c r="A210" s="3">
        <v>45694.17</v>
      </c>
      <c r="B210" t="s">
        <v>38</v>
      </c>
      <c r="C210" s="3">
        <v>45694.356099537035</v>
      </c>
      <c r="D210" t="s">
        <v>183</v>
      </c>
      <c r="E210" s="4">
        <v>82.561999999999998</v>
      </c>
      <c r="F210" s="4">
        <v>483300.79599999997</v>
      </c>
      <c r="G210" s="4">
        <v>483383.35800000001</v>
      </c>
      <c r="H210" s="5">
        <f>4461 / 86400</f>
        <v>5.1631944444444446E-2</v>
      </c>
      <c r="I210" t="s">
        <v>29</v>
      </c>
      <c r="J210" t="s">
        <v>30</v>
      </c>
      <c r="K210" s="5">
        <f>16078 / 86400</f>
        <v>0.18608796296296296</v>
      </c>
      <c r="L210" s="5">
        <f>15658 / 86400</f>
        <v>0.18122685185185186</v>
      </c>
    </row>
    <row r="211" spans="1:12" x14ac:dyDescent="0.25">
      <c r="A211" s="3">
        <v>45694.367326388892</v>
      </c>
      <c r="B211" t="s">
        <v>183</v>
      </c>
      <c r="C211" s="3">
        <v>45694.600636574076</v>
      </c>
      <c r="D211" t="s">
        <v>38</v>
      </c>
      <c r="E211" s="4">
        <v>92.748000000000005</v>
      </c>
      <c r="F211" s="4">
        <v>483383.35800000001</v>
      </c>
      <c r="G211" s="4">
        <v>483476.10600000003</v>
      </c>
      <c r="H211" s="5">
        <f>6379 / 86400</f>
        <v>7.3831018518518518E-2</v>
      </c>
      <c r="I211" t="s">
        <v>98</v>
      </c>
      <c r="J211" t="s">
        <v>37</v>
      </c>
      <c r="K211" s="5">
        <f>20158 / 86400</f>
        <v>0.23331018518518518</v>
      </c>
      <c r="L211" s="5">
        <f>34504 / 86400</f>
        <v>0.39935185185185185</v>
      </c>
    </row>
    <row r="212" spans="1:1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2" s="10" customFormat="1" ht="20.100000000000001" customHeight="1" x14ac:dyDescent="0.35">
      <c r="A214" s="15" t="s">
        <v>291</v>
      </c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2" ht="30" x14ac:dyDescent="0.25">
      <c r="A216" s="2" t="s">
        <v>6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11</v>
      </c>
      <c r="G216" s="2" t="s">
        <v>12</v>
      </c>
      <c r="H216" s="2" t="s">
        <v>13</v>
      </c>
      <c r="I216" s="2" t="s">
        <v>14</v>
      </c>
      <c r="J216" s="2" t="s">
        <v>15</v>
      </c>
      <c r="K216" s="2" t="s">
        <v>16</v>
      </c>
      <c r="L216" s="2" t="s">
        <v>17</v>
      </c>
    </row>
    <row r="217" spans="1:12" x14ac:dyDescent="0.25">
      <c r="A217" s="3">
        <v>45694.276446759264</v>
      </c>
      <c r="B217" t="s">
        <v>39</v>
      </c>
      <c r="C217" s="3">
        <v>45694.500925925924</v>
      </c>
      <c r="D217" t="s">
        <v>184</v>
      </c>
      <c r="E217" s="4">
        <v>97.173000000000002</v>
      </c>
      <c r="F217" s="4">
        <v>506922.39299999998</v>
      </c>
      <c r="G217" s="4">
        <v>507019.56599999999</v>
      </c>
      <c r="H217" s="5">
        <f>5860 / 86400</f>
        <v>6.7824074074074078E-2</v>
      </c>
      <c r="I217" t="s">
        <v>29</v>
      </c>
      <c r="J217" t="s">
        <v>30</v>
      </c>
      <c r="K217" s="5">
        <f>19395 / 86400</f>
        <v>0.22447916666666667</v>
      </c>
      <c r="L217" s="5">
        <f>25170 / 86400</f>
        <v>0.29131944444444446</v>
      </c>
    </row>
    <row r="218" spans="1:12" x14ac:dyDescent="0.25">
      <c r="A218" s="3">
        <v>45694.515798611115</v>
      </c>
      <c r="B218" t="s">
        <v>184</v>
      </c>
      <c r="C218" s="3">
        <v>45694.517187500001</v>
      </c>
      <c r="D218" t="s">
        <v>128</v>
      </c>
      <c r="E218" s="4">
        <v>0.42599999999999999</v>
      </c>
      <c r="F218" s="4">
        <v>507019.56599999999</v>
      </c>
      <c r="G218" s="4">
        <v>507019.99200000003</v>
      </c>
      <c r="H218" s="5">
        <f>20 / 86400</f>
        <v>2.3148148148148149E-4</v>
      </c>
      <c r="I218" t="s">
        <v>153</v>
      </c>
      <c r="J218" t="s">
        <v>46</v>
      </c>
      <c r="K218" s="5">
        <f>120 / 86400</f>
        <v>1.3888888888888889E-3</v>
      </c>
      <c r="L218" s="5">
        <f>1966 / 86400</f>
        <v>2.2754629629629628E-2</v>
      </c>
    </row>
    <row r="219" spans="1:12" x14ac:dyDescent="0.25">
      <c r="A219" s="3">
        <v>45694.539942129632</v>
      </c>
      <c r="B219" t="s">
        <v>128</v>
      </c>
      <c r="C219" s="3">
        <v>45694.770520833335</v>
      </c>
      <c r="D219" t="s">
        <v>136</v>
      </c>
      <c r="E219" s="4">
        <v>93.989000000000004</v>
      </c>
      <c r="F219" s="4">
        <v>507019.99200000003</v>
      </c>
      <c r="G219" s="4">
        <v>507113.98100000003</v>
      </c>
      <c r="H219" s="5">
        <f>6779 / 86400</f>
        <v>7.8460648148148154E-2</v>
      </c>
      <c r="I219" t="s">
        <v>76</v>
      </c>
      <c r="J219" t="s">
        <v>37</v>
      </c>
      <c r="K219" s="5">
        <f>19922 / 86400</f>
        <v>0.2305787037037037</v>
      </c>
      <c r="L219" s="5">
        <f>784 / 86400</f>
        <v>9.0740740740740747E-3</v>
      </c>
    </row>
    <row r="220" spans="1:12" x14ac:dyDescent="0.25">
      <c r="A220" s="3">
        <v>45694.779594907406</v>
      </c>
      <c r="B220" t="s">
        <v>136</v>
      </c>
      <c r="C220" s="3">
        <v>45694.790949074071</v>
      </c>
      <c r="D220" t="s">
        <v>40</v>
      </c>
      <c r="E220" s="4">
        <v>3.456</v>
      </c>
      <c r="F220" s="4">
        <v>507113.98100000003</v>
      </c>
      <c r="G220" s="4">
        <v>507117.43699999998</v>
      </c>
      <c r="H220" s="5">
        <f>119 / 86400</f>
        <v>1.3773148148148147E-3</v>
      </c>
      <c r="I220" t="s">
        <v>167</v>
      </c>
      <c r="J220" t="s">
        <v>46</v>
      </c>
      <c r="K220" s="5">
        <f>980 / 86400</f>
        <v>1.1342592592592593E-2</v>
      </c>
      <c r="L220" s="5">
        <f>18061 / 86400</f>
        <v>0.20903935185185185</v>
      </c>
    </row>
    <row r="221" spans="1:1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1:12" s="10" customFormat="1" ht="20.100000000000001" customHeight="1" x14ac:dyDescent="0.35">
      <c r="A223" s="15" t="s">
        <v>292</v>
      </c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2" ht="30" x14ac:dyDescent="0.25">
      <c r="A225" s="2" t="s">
        <v>6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11</v>
      </c>
      <c r="G225" s="2" t="s">
        <v>12</v>
      </c>
      <c r="H225" s="2" t="s">
        <v>13</v>
      </c>
      <c r="I225" s="2" t="s">
        <v>14</v>
      </c>
      <c r="J225" s="2" t="s">
        <v>15</v>
      </c>
      <c r="K225" s="2" t="s">
        <v>16</v>
      </c>
      <c r="L225" s="2" t="s">
        <v>17</v>
      </c>
    </row>
    <row r="226" spans="1:12" x14ac:dyDescent="0.25">
      <c r="A226" s="3">
        <v>45694.443784722222</v>
      </c>
      <c r="B226" t="s">
        <v>41</v>
      </c>
      <c r="C226" s="3">
        <v>45694.443912037037</v>
      </c>
      <c r="D226" t="s">
        <v>41</v>
      </c>
      <c r="E226" s="4">
        <v>0</v>
      </c>
      <c r="F226" s="4">
        <v>436500.70500000002</v>
      </c>
      <c r="G226" s="4">
        <v>436500.70500000002</v>
      </c>
      <c r="H226" s="5">
        <f>0 / 86400</f>
        <v>0</v>
      </c>
      <c r="I226" t="s">
        <v>23</v>
      </c>
      <c r="J226" t="s">
        <v>23</v>
      </c>
      <c r="K226" s="5">
        <f>10 / 86400</f>
        <v>1.1574074074074075E-4</v>
      </c>
      <c r="L226" s="5">
        <f>38344 / 86400</f>
        <v>0.4437962962962963</v>
      </c>
    </row>
    <row r="227" spans="1:12" x14ac:dyDescent="0.25">
      <c r="A227" s="3">
        <v>45694.443923611107</v>
      </c>
      <c r="B227" t="s">
        <v>41</v>
      </c>
      <c r="C227" s="3">
        <v>45694.44731481481</v>
      </c>
      <c r="D227" t="s">
        <v>136</v>
      </c>
      <c r="E227" s="4">
        <v>1.1339999999999999</v>
      </c>
      <c r="F227" s="4">
        <v>436500.70500000002</v>
      </c>
      <c r="G227" s="4">
        <v>436501.83899999998</v>
      </c>
      <c r="H227" s="5">
        <f>68 / 86400</f>
        <v>7.8703703703703705E-4</v>
      </c>
      <c r="I227" t="s">
        <v>45</v>
      </c>
      <c r="J227" t="s">
        <v>52</v>
      </c>
      <c r="K227" s="5">
        <f>293 / 86400</f>
        <v>3.3912037037037036E-3</v>
      </c>
      <c r="L227" s="5">
        <f>15 / 86400</f>
        <v>1.7361111111111112E-4</v>
      </c>
    </row>
    <row r="228" spans="1:12" x14ac:dyDescent="0.25">
      <c r="A228" s="3">
        <v>45694.447488425925</v>
      </c>
      <c r="B228" t="s">
        <v>136</v>
      </c>
      <c r="C228" s="3">
        <v>45694.447592592594</v>
      </c>
      <c r="D228" t="s">
        <v>136</v>
      </c>
      <c r="E228" s="4">
        <v>0</v>
      </c>
      <c r="F228" s="4">
        <v>436501.83899999998</v>
      </c>
      <c r="G228" s="4">
        <v>436501.83899999998</v>
      </c>
      <c r="H228" s="5">
        <f>0 / 86400</f>
        <v>0</v>
      </c>
      <c r="I228" t="s">
        <v>23</v>
      </c>
      <c r="J228" t="s">
        <v>23</v>
      </c>
      <c r="K228" s="5">
        <f>9 / 86400</f>
        <v>1.0416666666666667E-4</v>
      </c>
      <c r="L228" s="5">
        <f>17 / 86400</f>
        <v>1.9675925925925926E-4</v>
      </c>
    </row>
    <row r="229" spans="1:12" x14ac:dyDescent="0.25">
      <c r="A229" s="3">
        <v>45694.447789351849</v>
      </c>
      <c r="B229" t="s">
        <v>136</v>
      </c>
      <c r="C229" s="3">
        <v>45694.448483796295</v>
      </c>
      <c r="D229" t="s">
        <v>136</v>
      </c>
      <c r="E229" s="4">
        <v>1.0999999999999999E-2</v>
      </c>
      <c r="F229" s="4">
        <v>436501.83899999998</v>
      </c>
      <c r="G229" s="4">
        <v>436501.85</v>
      </c>
      <c r="H229" s="5">
        <f>39 / 86400</f>
        <v>4.5138888888888887E-4</v>
      </c>
      <c r="I229" t="s">
        <v>23</v>
      </c>
      <c r="J229" t="s">
        <v>141</v>
      </c>
      <c r="K229" s="5">
        <f>59 / 86400</f>
        <v>6.8287037037037036E-4</v>
      </c>
      <c r="L229" s="5">
        <f>7186 / 86400</f>
        <v>8.3171296296296299E-2</v>
      </c>
    </row>
    <row r="230" spans="1:12" x14ac:dyDescent="0.25">
      <c r="A230" s="3">
        <v>45694.531655092593</v>
      </c>
      <c r="B230" t="s">
        <v>136</v>
      </c>
      <c r="C230" s="3">
        <v>45694.535856481481</v>
      </c>
      <c r="D230" t="s">
        <v>41</v>
      </c>
      <c r="E230" s="4">
        <v>0.98599999999999999</v>
      </c>
      <c r="F230" s="4">
        <v>436501.85</v>
      </c>
      <c r="G230" s="4">
        <v>436502.83600000001</v>
      </c>
      <c r="H230" s="5">
        <f>154 / 86400</f>
        <v>1.7824074074074075E-3</v>
      </c>
      <c r="I230" t="s">
        <v>42</v>
      </c>
      <c r="J230" t="s">
        <v>116</v>
      </c>
      <c r="K230" s="5">
        <f>363 / 86400</f>
        <v>4.2013888888888891E-3</v>
      </c>
      <c r="L230" s="5">
        <f>24354 / 86400</f>
        <v>0.28187499999999999</v>
      </c>
    </row>
    <row r="231" spans="1:12" x14ac:dyDescent="0.25">
      <c r="A231" s="3">
        <v>45694.817731481482</v>
      </c>
      <c r="B231" t="s">
        <v>41</v>
      </c>
      <c r="C231" s="3">
        <v>45694.82</v>
      </c>
      <c r="D231" t="s">
        <v>41</v>
      </c>
      <c r="E231" s="4">
        <v>0</v>
      </c>
      <c r="F231" s="4">
        <v>436502.83600000001</v>
      </c>
      <c r="G231" s="4">
        <v>436502.83600000001</v>
      </c>
      <c r="H231" s="5">
        <f>179 / 86400</f>
        <v>2.0717592592592593E-3</v>
      </c>
      <c r="I231" t="s">
        <v>23</v>
      </c>
      <c r="J231" t="s">
        <v>23</v>
      </c>
      <c r="K231" s="5">
        <f>196 / 86400</f>
        <v>2.2685185185185187E-3</v>
      </c>
      <c r="L231" s="5">
        <f>202 / 86400</f>
        <v>2.3379629629629631E-3</v>
      </c>
    </row>
    <row r="232" spans="1:12" x14ac:dyDescent="0.25">
      <c r="A232" s="3">
        <v>45694.822337962964</v>
      </c>
      <c r="B232" t="s">
        <v>41</v>
      </c>
      <c r="C232" s="3">
        <v>45694.822581018518</v>
      </c>
      <c r="D232" t="s">
        <v>41</v>
      </c>
      <c r="E232" s="4">
        <v>0</v>
      </c>
      <c r="F232" s="4">
        <v>436502.83600000001</v>
      </c>
      <c r="G232" s="4">
        <v>436502.83600000001</v>
      </c>
      <c r="H232" s="5">
        <f>0 / 86400</f>
        <v>0</v>
      </c>
      <c r="I232" t="s">
        <v>23</v>
      </c>
      <c r="J232" t="s">
        <v>23</v>
      </c>
      <c r="K232" s="5">
        <f>20 / 86400</f>
        <v>2.3148148148148149E-4</v>
      </c>
      <c r="L232" s="5">
        <f>400 / 86400</f>
        <v>4.6296296296296294E-3</v>
      </c>
    </row>
    <row r="233" spans="1:12" x14ac:dyDescent="0.25">
      <c r="A233" s="3">
        <v>45694.827210648145</v>
      </c>
      <c r="B233" t="s">
        <v>41</v>
      </c>
      <c r="C233" s="3">
        <v>45694.827407407407</v>
      </c>
      <c r="D233" t="s">
        <v>41</v>
      </c>
      <c r="E233" s="4">
        <v>0</v>
      </c>
      <c r="F233" s="4">
        <v>436502.83600000001</v>
      </c>
      <c r="G233" s="4">
        <v>436502.83600000001</v>
      </c>
      <c r="H233" s="5">
        <f>0 / 86400</f>
        <v>0</v>
      </c>
      <c r="I233" t="s">
        <v>23</v>
      </c>
      <c r="J233" t="s">
        <v>23</v>
      </c>
      <c r="K233" s="5">
        <f>17 / 86400</f>
        <v>1.9675925925925926E-4</v>
      </c>
      <c r="L233" s="5">
        <f>14911 / 86400</f>
        <v>0.17258101851851851</v>
      </c>
    </row>
    <row r="234" spans="1:1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1:1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1:12" s="10" customFormat="1" ht="20.100000000000001" customHeight="1" x14ac:dyDescent="0.35">
      <c r="A236" s="15" t="s">
        <v>293</v>
      </c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1:12" ht="30" x14ac:dyDescent="0.25">
      <c r="A238" s="2" t="s">
        <v>6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11</v>
      </c>
      <c r="G238" s="2" t="s">
        <v>12</v>
      </c>
      <c r="H238" s="2" t="s">
        <v>13</v>
      </c>
      <c r="I238" s="2" t="s">
        <v>14</v>
      </c>
      <c r="J238" s="2" t="s">
        <v>15</v>
      </c>
      <c r="K238" s="2" t="s">
        <v>16</v>
      </c>
      <c r="L238" s="2" t="s">
        <v>17</v>
      </c>
    </row>
    <row r="239" spans="1:12" x14ac:dyDescent="0.25">
      <c r="A239" s="3">
        <v>45694.753067129626</v>
      </c>
      <c r="B239" t="s">
        <v>44</v>
      </c>
      <c r="C239" s="3">
        <v>45694.770694444444</v>
      </c>
      <c r="D239" t="s">
        <v>21</v>
      </c>
      <c r="E239" s="4">
        <v>5.5389999999999997</v>
      </c>
      <c r="F239" s="4">
        <v>52884.758000000002</v>
      </c>
      <c r="G239" s="4">
        <v>52890.296999999999</v>
      </c>
      <c r="H239" s="5">
        <f>219 / 86400</f>
        <v>2.5347222222222221E-3</v>
      </c>
      <c r="I239" t="s">
        <v>45</v>
      </c>
      <c r="J239" t="s">
        <v>46</v>
      </c>
      <c r="K239" s="5">
        <f>1523 / 86400</f>
        <v>1.7627314814814814E-2</v>
      </c>
      <c r="L239" s="5">
        <f>73506 / 86400</f>
        <v>0.85076388888888888</v>
      </c>
    </row>
    <row r="240" spans="1:12" x14ac:dyDescent="0.25">
      <c r="A240" s="3">
        <v>45694.868391203709</v>
      </c>
      <c r="B240" t="s">
        <v>21</v>
      </c>
      <c r="C240" s="3">
        <v>45694.868738425925</v>
      </c>
      <c r="D240" t="s">
        <v>21</v>
      </c>
      <c r="E240" s="4">
        <v>3.0000000000000001E-3</v>
      </c>
      <c r="F240" s="4">
        <v>52890.296999999999</v>
      </c>
      <c r="G240" s="4">
        <v>52890.3</v>
      </c>
      <c r="H240" s="5">
        <f>19 / 86400</f>
        <v>2.199074074074074E-4</v>
      </c>
      <c r="I240" t="s">
        <v>23</v>
      </c>
      <c r="J240" t="s">
        <v>23</v>
      </c>
      <c r="K240" s="5">
        <f>30 / 86400</f>
        <v>3.4722222222222224E-4</v>
      </c>
      <c r="L240" s="5">
        <f>11340 / 86400</f>
        <v>0.13125000000000001</v>
      </c>
    </row>
    <row r="241" spans="1:1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2" s="10" customFormat="1" ht="20.100000000000001" customHeight="1" x14ac:dyDescent="0.35">
      <c r="A243" s="15" t="s">
        <v>294</v>
      </c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1:12" ht="30" x14ac:dyDescent="0.25">
      <c r="A245" s="2" t="s">
        <v>6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  <c r="G245" s="2" t="s">
        <v>12</v>
      </c>
      <c r="H245" s="2" t="s">
        <v>13</v>
      </c>
      <c r="I245" s="2" t="s">
        <v>14</v>
      </c>
      <c r="J245" s="2" t="s">
        <v>15</v>
      </c>
      <c r="K245" s="2" t="s">
        <v>16</v>
      </c>
      <c r="L245" s="2" t="s">
        <v>17</v>
      </c>
    </row>
    <row r="246" spans="1:12" x14ac:dyDescent="0.25">
      <c r="A246" s="3">
        <v>45694.004016203704</v>
      </c>
      <c r="B246" t="s">
        <v>47</v>
      </c>
      <c r="C246" s="3">
        <v>45694.004108796296</v>
      </c>
      <c r="D246" t="s">
        <v>47</v>
      </c>
      <c r="E246" s="4">
        <v>0</v>
      </c>
      <c r="F246" s="4">
        <v>214562.02600000001</v>
      </c>
      <c r="G246" s="4">
        <v>214562.02600000001</v>
      </c>
      <c r="H246" s="5">
        <f>0 / 86400</f>
        <v>0</v>
      </c>
      <c r="I246" t="s">
        <v>23</v>
      </c>
      <c r="J246" t="s">
        <v>23</v>
      </c>
      <c r="K246" s="5">
        <f>7 / 86400</f>
        <v>8.1018518518518516E-5</v>
      </c>
      <c r="L246" s="5">
        <f>591 / 86400</f>
        <v>6.8402777777777776E-3</v>
      </c>
    </row>
    <row r="247" spans="1:12" x14ac:dyDescent="0.25">
      <c r="A247" s="3">
        <v>45694.006932870368</v>
      </c>
      <c r="B247" t="s">
        <v>47</v>
      </c>
      <c r="C247" s="3">
        <v>45694.009733796294</v>
      </c>
      <c r="D247" t="s">
        <v>48</v>
      </c>
      <c r="E247" s="4">
        <v>0.70699999999999996</v>
      </c>
      <c r="F247" s="4">
        <v>214562.02600000001</v>
      </c>
      <c r="G247" s="4">
        <v>214562.73300000001</v>
      </c>
      <c r="H247" s="5">
        <f>60 / 86400</f>
        <v>6.9444444444444447E-4</v>
      </c>
      <c r="I247" t="s">
        <v>156</v>
      </c>
      <c r="J247" t="s">
        <v>75</v>
      </c>
      <c r="K247" s="5">
        <f>241 / 86400</f>
        <v>2.7893518518518519E-3</v>
      </c>
      <c r="L247" s="5">
        <f>197 / 86400</f>
        <v>2.2800925925925927E-3</v>
      </c>
    </row>
    <row r="248" spans="1:12" x14ac:dyDescent="0.25">
      <c r="A248" s="3">
        <v>45694.012013888889</v>
      </c>
      <c r="B248" t="s">
        <v>48</v>
      </c>
      <c r="C248" s="3">
        <v>45694.012118055558</v>
      </c>
      <c r="D248" t="s">
        <v>48</v>
      </c>
      <c r="E248" s="4">
        <v>0</v>
      </c>
      <c r="F248" s="4">
        <v>214562.73300000001</v>
      </c>
      <c r="G248" s="4">
        <v>214562.73300000001</v>
      </c>
      <c r="H248" s="5">
        <f>0 / 86400</f>
        <v>0</v>
      </c>
      <c r="I248" t="s">
        <v>23</v>
      </c>
      <c r="J248" t="s">
        <v>23</v>
      </c>
      <c r="K248" s="5">
        <f>8 / 86400</f>
        <v>9.2592592592592588E-5</v>
      </c>
      <c r="L248" s="5">
        <f>16408 / 86400</f>
        <v>0.18990740740740741</v>
      </c>
    </row>
    <row r="249" spans="1:12" x14ac:dyDescent="0.25">
      <c r="A249" s="3">
        <v>45694.202025462961</v>
      </c>
      <c r="B249" t="s">
        <v>48</v>
      </c>
      <c r="C249" s="3">
        <v>45694.330428240741</v>
      </c>
      <c r="D249" t="s">
        <v>185</v>
      </c>
      <c r="E249" s="4">
        <v>52.930999999999997</v>
      </c>
      <c r="F249" s="4">
        <v>214562.73300000001</v>
      </c>
      <c r="G249" s="4">
        <v>214615.66399999999</v>
      </c>
      <c r="H249" s="5">
        <f>4098 / 86400</f>
        <v>4.7430555555555552E-2</v>
      </c>
      <c r="I249" t="s">
        <v>49</v>
      </c>
      <c r="J249" t="s">
        <v>37</v>
      </c>
      <c r="K249" s="5">
        <f>11094 / 86400</f>
        <v>0.12840277777777778</v>
      </c>
      <c r="L249" s="5">
        <f>8 / 86400</f>
        <v>9.2592592592592588E-5</v>
      </c>
    </row>
    <row r="250" spans="1:12" x14ac:dyDescent="0.25">
      <c r="A250" s="3">
        <v>45694.330520833333</v>
      </c>
      <c r="B250" t="s">
        <v>185</v>
      </c>
      <c r="C250" s="3">
        <v>45694.330543981487</v>
      </c>
      <c r="D250" t="s">
        <v>185</v>
      </c>
      <c r="E250" s="4">
        <v>0</v>
      </c>
      <c r="F250" s="4">
        <v>214615.66399999999</v>
      </c>
      <c r="G250" s="4">
        <v>214615.66399999999</v>
      </c>
      <c r="H250" s="5">
        <f>1 / 86400</f>
        <v>1.1574074074074073E-5</v>
      </c>
      <c r="I250" t="s">
        <v>23</v>
      </c>
      <c r="J250" t="s">
        <v>23</v>
      </c>
      <c r="K250" s="5">
        <f>2 / 86400</f>
        <v>2.3148148148148147E-5</v>
      </c>
      <c r="L250" s="5">
        <f>452 / 86400</f>
        <v>5.2314814814814811E-3</v>
      </c>
    </row>
    <row r="251" spans="1:12" x14ac:dyDescent="0.25">
      <c r="A251" s="3">
        <v>45694.335775462961</v>
      </c>
      <c r="B251" t="s">
        <v>186</v>
      </c>
      <c r="C251" s="3">
        <v>45694.335798611108</v>
      </c>
      <c r="D251" t="s">
        <v>186</v>
      </c>
      <c r="E251" s="4">
        <v>0</v>
      </c>
      <c r="F251" s="4">
        <v>214615.66399999999</v>
      </c>
      <c r="G251" s="4">
        <v>214615.66399999999</v>
      </c>
      <c r="H251" s="5">
        <f>0 / 86400</f>
        <v>0</v>
      </c>
      <c r="I251" t="s">
        <v>23</v>
      </c>
      <c r="J251" t="s">
        <v>23</v>
      </c>
      <c r="K251" s="5">
        <f>1 / 86400</f>
        <v>1.1574074074074073E-5</v>
      </c>
      <c r="L251" s="5">
        <f>8 / 86400</f>
        <v>9.2592592592592588E-5</v>
      </c>
    </row>
    <row r="252" spans="1:12" x14ac:dyDescent="0.25">
      <c r="A252" s="3">
        <v>45694.335891203707</v>
      </c>
      <c r="B252" t="s">
        <v>186</v>
      </c>
      <c r="C252" s="3">
        <v>45694.449456018519</v>
      </c>
      <c r="D252" t="s">
        <v>136</v>
      </c>
      <c r="E252" s="4">
        <v>49.685000000000002</v>
      </c>
      <c r="F252" s="4">
        <v>214615.66399999999</v>
      </c>
      <c r="G252" s="4">
        <v>214665.34899999999</v>
      </c>
      <c r="H252" s="5">
        <f>3030 / 86400</f>
        <v>3.5069444444444445E-2</v>
      </c>
      <c r="I252" t="s">
        <v>49</v>
      </c>
      <c r="J252" t="s">
        <v>30</v>
      </c>
      <c r="K252" s="5">
        <f>9812 / 86400</f>
        <v>0.11356481481481481</v>
      </c>
      <c r="L252" s="5">
        <f>653 / 86400</f>
        <v>7.5578703703703702E-3</v>
      </c>
    </row>
    <row r="253" spans="1:12" x14ac:dyDescent="0.25">
      <c r="A253" s="3">
        <v>45694.457013888888</v>
      </c>
      <c r="B253" t="s">
        <v>136</v>
      </c>
      <c r="C253" s="3">
        <v>45694.45994212963</v>
      </c>
      <c r="D253" t="s">
        <v>21</v>
      </c>
      <c r="E253" s="4">
        <v>0.39900000000000002</v>
      </c>
      <c r="F253" s="4">
        <v>214665.34899999999</v>
      </c>
      <c r="G253" s="4">
        <v>214665.74799999999</v>
      </c>
      <c r="H253" s="5">
        <f>120 / 86400</f>
        <v>1.3888888888888889E-3</v>
      </c>
      <c r="I253" t="s">
        <v>86</v>
      </c>
      <c r="J253" t="s">
        <v>142</v>
      </c>
      <c r="K253" s="5">
        <f>252 / 86400</f>
        <v>2.9166666666666668E-3</v>
      </c>
      <c r="L253" s="5">
        <f>1104 / 86400</f>
        <v>1.2777777777777779E-2</v>
      </c>
    </row>
    <row r="254" spans="1:12" x14ac:dyDescent="0.25">
      <c r="A254" s="3">
        <v>45694.472719907411</v>
      </c>
      <c r="B254" t="s">
        <v>21</v>
      </c>
      <c r="C254" s="3">
        <v>45694.486284722225</v>
      </c>
      <c r="D254" t="s">
        <v>21</v>
      </c>
      <c r="E254" s="4">
        <v>0.17899999999999999</v>
      </c>
      <c r="F254" s="4">
        <v>214665.74799999999</v>
      </c>
      <c r="G254" s="4">
        <v>214665.927</v>
      </c>
      <c r="H254" s="5">
        <f>1040 / 86400</f>
        <v>1.2037037037037037E-2</v>
      </c>
      <c r="I254" t="s">
        <v>113</v>
      </c>
      <c r="J254" t="s">
        <v>141</v>
      </c>
      <c r="K254" s="5">
        <f>1172 / 86400</f>
        <v>1.3564814814814814E-2</v>
      </c>
      <c r="L254" s="5">
        <f>2086 / 86400</f>
        <v>2.4143518518518519E-2</v>
      </c>
    </row>
    <row r="255" spans="1:12" x14ac:dyDescent="0.25">
      <c r="A255" s="3">
        <v>45694.510428240741</v>
      </c>
      <c r="B255" t="s">
        <v>21</v>
      </c>
      <c r="C255" s="3">
        <v>45694.751284722224</v>
      </c>
      <c r="D255" t="s">
        <v>136</v>
      </c>
      <c r="E255" s="4">
        <v>99.926000000000002</v>
      </c>
      <c r="F255" s="4">
        <v>214665.927</v>
      </c>
      <c r="G255" s="4">
        <v>214765.853</v>
      </c>
      <c r="H255" s="5">
        <f>6061 / 86400</f>
        <v>7.0150462962962956E-2</v>
      </c>
      <c r="I255" t="s">
        <v>33</v>
      </c>
      <c r="J255" t="s">
        <v>37</v>
      </c>
      <c r="K255" s="5">
        <f>20810 / 86400</f>
        <v>0.24085648148148148</v>
      </c>
      <c r="L255" s="5">
        <f>583 / 86400</f>
        <v>6.7476851851851856E-3</v>
      </c>
    </row>
    <row r="256" spans="1:12" x14ac:dyDescent="0.25">
      <c r="A256" s="3">
        <v>45694.758032407408</v>
      </c>
      <c r="B256" t="s">
        <v>136</v>
      </c>
      <c r="C256" s="3">
        <v>45694.76390046296</v>
      </c>
      <c r="D256" t="s">
        <v>48</v>
      </c>
      <c r="E256" s="4">
        <v>0.91100000000000003</v>
      </c>
      <c r="F256" s="4">
        <v>214765.853</v>
      </c>
      <c r="G256" s="4">
        <v>214766.764</v>
      </c>
      <c r="H256" s="5">
        <f>260 / 86400</f>
        <v>3.0092592592592593E-3</v>
      </c>
      <c r="I256" t="s">
        <v>140</v>
      </c>
      <c r="J256" t="s">
        <v>142</v>
      </c>
      <c r="K256" s="5">
        <f>507 / 86400</f>
        <v>5.8680555555555552E-3</v>
      </c>
      <c r="L256" s="5">
        <f>83 / 86400</f>
        <v>9.6064814814814819E-4</v>
      </c>
    </row>
    <row r="257" spans="1:12" x14ac:dyDescent="0.25">
      <c r="A257" s="3">
        <v>45694.764861111107</v>
      </c>
      <c r="B257" t="s">
        <v>48</v>
      </c>
      <c r="C257" s="3">
        <v>45694.76494212963</v>
      </c>
      <c r="D257" t="s">
        <v>48</v>
      </c>
      <c r="E257" s="4">
        <v>0</v>
      </c>
      <c r="F257" s="4">
        <v>214766.764</v>
      </c>
      <c r="G257" s="4">
        <v>214766.764</v>
      </c>
      <c r="H257" s="5">
        <f>0 / 86400</f>
        <v>0</v>
      </c>
      <c r="I257" t="s">
        <v>23</v>
      </c>
      <c r="J257" t="s">
        <v>23</v>
      </c>
      <c r="K257" s="5">
        <f>7 / 86400</f>
        <v>8.1018518518518516E-5</v>
      </c>
      <c r="L257" s="5">
        <f>311 / 86400</f>
        <v>3.5995370370370369E-3</v>
      </c>
    </row>
    <row r="258" spans="1:12" x14ac:dyDescent="0.25">
      <c r="A258" s="3">
        <v>45694.768541666665</v>
      </c>
      <c r="B258" t="s">
        <v>48</v>
      </c>
      <c r="C258" s="3">
        <v>45694.769050925926</v>
      </c>
      <c r="D258" t="s">
        <v>48</v>
      </c>
      <c r="E258" s="4">
        <v>1E-3</v>
      </c>
      <c r="F258" s="4">
        <v>214766.764</v>
      </c>
      <c r="G258" s="4">
        <v>214766.76500000001</v>
      </c>
      <c r="H258" s="5">
        <f>39 / 86400</f>
        <v>4.5138888888888887E-4</v>
      </c>
      <c r="I258" t="s">
        <v>23</v>
      </c>
      <c r="J258" t="s">
        <v>23</v>
      </c>
      <c r="K258" s="5">
        <f>43 / 86400</f>
        <v>4.9768518518518521E-4</v>
      </c>
      <c r="L258" s="5">
        <f>19953 / 86400</f>
        <v>0.23093749999999999</v>
      </c>
    </row>
    <row r="259" spans="1:1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1:1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2" s="10" customFormat="1" ht="20.100000000000001" customHeight="1" x14ac:dyDescent="0.35">
      <c r="A261" s="15" t="s">
        <v>295</v>
      </c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1:12" ht="30" x14ac:dyDescent="0.25">
      <c r="A263" s="2" t="s">
        <v>6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11</v>
      </c>
      <c r="G263" s="2" t="s">
        <v>12</v>
      </c>
      <c r="H263" s="2" t="s">
        <v>13</v>
      </c>
      <c r="I263" s="2" t="s">
        <v>14</v>
      </c>
      <c r="J263" s="2" t="s">
        <v>15</v>
      </c>
      <c r="K263" s="2" t="s">
        <v>16</v>
      </c>
      <c r="L263" s="2" t="s">
        <v>17</v>
      </c>
    </row>
    <row r="264" spans="1:12" x14ac:dyDescent="0.25">
      <c r="A264" s="3">
        <v>45694.273287037038</v>
      </c>
      <c r="B264" t="s">
        <v>50</v>
      </c>
      <c r="C264" s="3">
        <v>45694.280821759261</v>
      </c>
      <c r="D264" t="s">
        <v>143</v>
      </c>
      <c r="E264" s="4">
        <v>1.629</v>
      </c>
      <c r="F264" s="4">
        <v>523897.10499999998</v>
      </c>
      <c r="G264" s="4">
        <v>523898.734</v>
      </c>
      <c r="H264" s="5">
        <f>259 / 86400</f>
        <v>2.9976851851851853E-3</v>
      </c>
      <c r="I264" t="s">
        <v>156</v>
      </c>
      <c r="J264" t="s">
        <v>62</v>
      </c>
      <c r="K264" s="5">
        <f>650 / 86400</f>
        <v>7.5231481481481477E-3</v>
      </c>
      <c r="L264" s="5">
        <f>26787 / 86400</f>
        <v>0.31003472222222223</v>
      </c>
    </row>
    <row r="265" spans="1:12" x14ac:dyDescent="0.25">
      <c r="A265" s="3">
        <v>45694.317569444444</v>
      </c>
      <c r="B265" t="s">
        <v>143</v>
      </c>
      <c r="C265" s="3">
        <v>45694.401956018519</v>
      </c>
      <c r="D265" t="s">
        <v>187</v>
      </c>
      <c r="E265" s="4">
        <v>24.795999999999999</v>
      </c>
      <c r="F265" s="4">
        <v>523898.734</v>
      </c>
      <c r="G265" s="4">
        <v>523923.53</v>
      </c>
      <c r="H265" s="5">
        <f>4319 / 86400</f>
        <v>4.9988425925925929E-2</v>
      </c>
      <c r="I265" t="s">
        <v>107</v>
      </c>
      <c r="J265" t="s">
        <v>113</v>
      </c>
      <c r="K265" s="5">
        <f>7291 / 86400</f>
        <v>8.4386574074074072E-2</v>
      </c>
      <c r="L265" s="5">
        <f>974 / 86400</f>
        <v>1.1273148148148148E-2</v>
      </c>
    </row>
    <row r="266" spans="1:12" x14ac:dyDescent="0.25">
      <c r="A266" s="3">
        <v>45694.413229166668</v>
      </c>
      <c r="B266" t="s">
        <v>187</v>
      </c>
      <c r="C266" s="3">
        <v>45694.418333333335</v>
      </c>
      <c r="D266" t="s">
        <v>185</v>
      </c>
      <c r="E266" s="4">
        <v>0.33800000000000002</v>
      </c>
      <c r="F266" s="4">
        <v>523923.53</v>
      </c>
      <c r="G266" s="4">
        <v>523923.86800000002</v>
      </c>
      <c r="H266" s="5">
        <f>280 / 86400</f>
        <v>3.2407407407407406E-3</v>
      </c>
      <c r="I266" t="s">
        <v>113</v>
      </c>
      <c r="J266" t="s">
        <v>151</v>
      </c>
      <c r="K266" s="5">
        <f>441 / 86400</f>
        <v>5.1041666666666666E-3</v>
      </c>
      <c r="L266" s="5">
        <f>117 / 86400</f>
        <v>1.3541666666666667E-3</v>
      </c>
    </row>
    <row r="267" spans="1:12" x14ac:dyDescent="0.25">
      <c r="A267" s="3">
        <v>45694.419687500005</v>
      </c>
      <c r="B267" t="s">
        <v>185</v>
      </c>
      <c r="C267" s="3">
        <v>45694.420347222222</v>
      </c>
      <c r="D267" t="s">
        <v>185</v>
      </c>
      <c r="E267" s="4">
        <v>2.1000000000000001E-2</v>
      </c>
      <c r="F267" s="4">
        <v>523923.86800000002</v>
      </c>
      <c r="G267" s="4">
        <v>523923.88900000002</v>
      </c>
      <c r="H267" s="5">
        <f>40 / 86400</f>
        <v>4.6296296296296298E-4</v>
      </c>
      <c r="I267" t="s">
        <v>105</v>
      </c>
      <c r="J267" t="s">
        <v>141</v>
      </c>
      <c r="K267" s="5">
        <f>56 / 86400</f>
        <v>6.4814814814814813E-4</v>
      </c>
      <c r="L267" s="5">
        <f>253 / 86400</f>
        <v>2.9282407407407408E-3</v>
      </c>
    </row>
    <row r="268" spans="1:12" x14ac:dyDescent="0.25">
      <c r="A268" s="3">
        <v>45694.423275462963</v>
      </c>
      <c r="B268" t="s">
        <v>185</v>
      </c>
      <c r="C268" s="3">
        <v>45694.553587962961</v>
      </c>
      <c r="D268" t="s">
        <v>47</v>
      </c>
      <c r="E268" s="4">
        <v>54.478999999999999</v>
      </c>
      <c r="F268" s="4">
        <v>523923.88900000002</v>
      </c>
      <c r="G268" s="4">
        <v>523978.36800000002</v>
      </c>
      <c r="H268" s="5">
        <f>4199 / 86400</f>
        <v>4.8599537037037038E-2</v>
      </c>
      <c r="I268" t="s">
        <v>49</v>
      </c>
      <c r="J268" t="s">
        <v>37</v>
      </c>
      <c r="K268" s="5">
        <f>11259 / 86400</f>
        <v>0.1303125</v>
      </c>
      <c r="L268" s="5">
        <f>1492 / 86400</f>
        <v>1.726851851851852E-2</v>
      </c>
    </row>
    <row r="269" spans="1:12" x14ac:dyDescent="0.25">
      <c r="A269" s="3">
        <v>45694.570856481485</v>
      </c>
      <c r="B269" t="s">
        <v>47</v>
      </c>
      <c r="C269" s="3">
        <v>45694.572372685187</v>
      </c>
      <c r="D269" t="s">
        <v>136</v>
      </c>
      <c r="E269" s="4">
        <v>0.157</v>
      </c>
      <c r="F269" s="4">
        <v>523978.36800000002</v>
      </c>
      <c r="G269" s="4">
        <v>523978.52500000002</v>
      </c>
      <c r="H269" s="5">
        <f>40 / 86400</f>
        <v>4.6296296296296298E-4</v>
      </c>
      <c r="I269" t="s">
        <v>20</v>
      </c>
      <c r="J269" t="s">
        <v>82</v>
      </c>
      <c r="K269" s="5">
        <f>131 / 86400</f>
        <v>1.5162037037037036E-3</v>
      </c>
      <c r="L269" s="5">
        <f>432 / 86400</f>
        <v>5.0000000000000001E-3</v>
      </c>
    </row>
    <row r="270" spans="1:12" x14ac:dyDescent="0.25">
      <c r="A270" s="3">
        <v>45694.577372685184</v>
      </c>
      <c r="B270" t="s">
        <v>136</v>
      </c>
      <c r="C270" s="3">
        <v>45694.577777777777</v>
      </c>
      <c r="D270" t="s">
        <v>136</v>
      </c>
      <c r="E270" s="4">
        <v>1.4E-2</v>
      </c>
      <c r="F270" s="4">
        <v>523978.52500000002</v>
      </c>
      <c r="G270" s="4">
        <v>523978.53899999999</v>
      </c>
      <c r="H270" s="5">
        <f>19 / 86400</f>
        <v>2.199074074074074E-4</v>
      </c>
      <c r="I270" t="s">
        <v>105</v>
      </c>
      <c r="J270" t="s">
        <v>141</v>
      </c>
      <c r="K270" s="5">
        <f>35 / 86400</f>
        <v>4.0509259259259258E-4</v>
      </c>
      <c r="L270" s="5">
        <f>4555 / 86400</f>
        <v>5.271990740740741E-2</v>
      </c>
    </row>
    <row r="271" spans="1:12" x14ac:dyDescent="0.25">
      <c r="A271" s="3">
        <v>45694.630497685182</v>
      </c>
      <c r="B271" t="s">
        <v>136</v>
      </c>
      <c r="C271" s="3">
        <v>45694.637673611112</v>
      </c>
      <c r="D271" t="s">
        <v>183</v>
      </c>
      <c r="E271" s="4">
        <v>0.83</v>
      </c>
      <c r="F271" s="4">
        <v>523978.53899999999</v>
      </c>
      <c r="G271" s="4">
        <v>523979.36900000001</v>
      </c>
      <c r="H271" s="5">
        <f>399 / 86400</f>
        <v>4.6180555555555558E-3</v>
      </c>
      <c r="I271" t="s">
        <v>150</v>
      </c>
      <c r="J271" t="s">
        <v>105</v>
      </c>
      <c r="K271" s="5">
        <f>619 / 86400</f>
        <v>7.1643518518518514E-3</v>
      </c>
      <c r="L271" s="5">
        <f>473 / 86400</f>
        <v>5.4745370370370373E-3</v>
      </c>
    </row>
    <row r="272" spans="1:12" x14ac:dyDescent="0.25">
      <c r="A272" s="3">
        <v>45694.643148148149</v>
      </c>
      <c r="B272" t="s">
        <v>155</v>
      </c>
      <c r="C272" s="3">
        <v>45694.644004629634</v>
      </c>
      <c r="D272" t="s">
        <v>155</v>
      </c>
      <c r="E272" s="4">
        <v>6.0000000000000001E-3</v>
      </c>
      <c r="F272" s="4">
        <v>523979.36900000001</v>
      </c>
      <c r="G272" s="4">
        <v>523979.375</v>
      </c>
      <c r="H272" s="5">
        <f>60 / 86400</f>
        <v>6.9444444444444447E-4</v>
      </c>
      <c r="I272" t="s">
        <v>142</v>
      </c>
      <c r="J272" t="s">
        <v>23</v>
      </c>
      <c r="K272" s="5">
        <f>74 / 86400</f>
        <v>8.564814814814815E-4</v>
      </c>
      <c r="L272" s="5">
        <f>251 / 86400</f>
        <v>2.9050925925925928E-3</v>
      </c>
    </row>
    <row r="273" spans="1:12" x14ac:dyDescent="0.25">
      <c r="A273" s="3">
        <v>45694.646909722222</v>
      </c>
      <c r="B273" t="s">
        <v>155</v>
      </c>
      <c r="C273" s="3">
        <v>45694.865405092598</v>
      </c>
      <c r="D273" t="s">
        <v>50</v>
      </c>
      <c r="E273" s="4">
        <v>81.524000000000001</v>
      </c>
      <c r="F273" s="4">
        <v>523979.375</v>
      </c>
      <c r="G273" s="4">
        <v>524060.89899999998</v>
      </c>
      <c r="H273" s="5">
        <f>9339 / 86400</f>
        <v>0.10809027777777777</v>
      </c>
      <c r="I273" t="s">
        <v>26</v>
      </c>
      <c r="J273" t="s">
        <v>34</v>
      </c>
      <c r="K273" s="5">
        <f>18878 / 86400</f>
        <v>0.21849537037037037</v>
      </c>
      <c r="L273" s="5">
        <f>11628 / 86400</f>
        <v>0.13458333333333333</v>
      </c>
    </row>
    <row r="274" spans="1:1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1:1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2" s="10" customFormat="1" ht="20.100000000000001" customHeight="1" x14ac:dyDescent="0.35">
      <c r="A276" s="15" t="s">
        <v>296</v>
      </c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1:12" ht="30" x14ac:dyDescent="0.25">
      <c r="A278" s="2" t="s">
        <v>6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11</v>
      </c>
      <c r="G278" s="2" t="s">
        <v>12</v>
      </c>
      <c r="H278" s="2" t="s">
        <v>13</v>
      </c>
      <c r="I278" s="2" t="s">
        <v>14</v>
      </c>
      <c r="J278" s="2" t="s">
        <v>15</v>
      </c>
      <c r="K278" s="2" t="s">
        <v>16</v>
      </c>
      <c r="L278" s="2" t="s">
        <v>17</v>
      </c>
    </row>
    <row r="279" spans="1:12" x14ac:dyDescent="0.25">
      <c r="A279" s="3">
        <v>45694.236030092594</v>
      </c>
      <c r="B279" t="s">
        <v>28</v>
      </c>
      <c r="C279" s="3">
        <v>45694.310856481483</v>
      </c>
      <c r="D279" t="s">
        <v>188</v>
      </c>
      <c r="E279" s="4">
        <v>29.663</v>
      </c>
      <c r="F279" s="4">
        <v>11596.356</v>
      </c>
      <c r="G279" s="4">
        <v>11626.019</v>
      </c>
      <c r="H279" s="5">
        <f>2238 / 86400</f>
        <v>2.5902777777777778E-2</v>
      </c>
      <c r="I279" t="s">
        <v>35</v>
      </c>
      <c r="J279" t="s">
        <v>37</v>
      </c>
      <c r="K279" s="5">
        <f>6464 / 86400</f>
        <v>7.481481481481482E-2</v>
      </c>
      <c r="L279" s="5">
        <f>20435 / 86400</f>
        <v>0.23651620370370371</v>
      </c>
    </row>
    <row r="280" spans="1:12" x14ac:dyDescent="0.25">
      <c r="A280" s="3">
        <v>45694.311342592591</v>
      </c>
      <c r="B280" t="s">
        <v>188</v>
      </c>
      <c r="C280" s="3">
        <v>45694.318194444444</v>
      </c>
      <c r="D280" t="s">
        <v>189</v>
      </c>
      <c r="E280" s="4">
        <v>0.94499999999999995</v>
      </c>
      <c r="F280" s="4">
        <v>11626.019</v>
      </c>
      <c r="G280" s="4">
        <v>11626.964</v>
      </c>
      <c r="H280" s="5">
        <f>338 / 86400</f>
        <v>3.9120370370370368E-3</v>
      </c>
      <c r="I280" t="s">
        <v>190</v>
      </c>
      <c r="J280" t="s">
        <v>142</v>
      </c>
      <c r="K280" s="5">
        <f>592 / 86400</f>
        <v>6.851851851851852E-3</v>
      </c>
      <c r="L280" s="5">
        <f>64 / 86400</f>
        <v>7.407407407407407E-4</v>
      </c>
    </row>
    <row r="281" spans="1:12" x14ac:dyDescent="0.25">
      <c r="A281" s="3">
        <v>45694.318935185191</v>
      </c>
      <c r="B281" t="s">
        <v>189</v>
      </c>
      <c r="C281" s="3">
        <v>45694.36074074074</v>
      </c>
      <c r="D281" t="s">
        <v>189</v>
      </c>
      <c r="E281" s="4">
        <v>13.548999999999999</v>
      </c>
      <c r="F281" s="4">
        <v>11626.964</v>
      </c>
      <c r="G281" s="4">
        <v>11640.513000000001</v>
      </c>
      <c r="H281" s="5">
        <f>1579 / 86400</f>
        <v>1.8275462962962962E-2</v>
      </c>
      <c r="I281" t="s">
        <v>78</v>
      </c>
      <c r="J281" t="s">
        <v>52</v>
      </c>
      <c r="K281" s="5">
        <f>3611 / 86400</f>
        <v>4.1793981481481481E-2</v>
      </c>
      <c r="L281" s="5">
        <f>47 / 86400</f>
        <v>5.4398148148148144E-4</v>
      </c>
    </row>
    <row r="282" spans="1:12" x14ac:dyDescent="0.25">
      <c r="A282" s="3">
        <v>45694.361284722225</v>
      </c>
      <c r="B282" t="s">
        <v>189</v>
      </c>
      <c r="C282" s="3">
        <v>45694.41805555555</v>
      </c>
      <c r="D282" t="s">
        <v>191</v>
      </c>
      <c r="E282" s="4">
        <v>12.077999999999999</v>
      </c>
      <c r="F282" s="4">
        <v>11640.513000000001</v>
      </c>
      <c r="G282" s="4">
        <v>11652.591</v>
      </c>
      <c r="H282" s="5">
        <f>3118 / 86400</f>
        <v>3.6087962962962961E-2</v>
      </c>
      <c r="I282" t="s">
        <v>67</v>
      </c>
      <c r="J282" t="s">
        <v>62</v>
      </c>
      <c r="K282" s="5">
        <f>4905 / 86400</f>
        <v>5.6770833333333333E-2</v>
      </c>
      <c r="L282" s="5">
        <f>114 / 86400</f>
        <v>1.3194444444444445E-3</v>
      </c>
    </row>
    <row r="283" spans="1:12" x14ac:dyDescent="0.25">
      <c r="A283" s="3">
        <v>45694.419374999998</v>
      </c>
      <c r="B283" t="s">
        <v>185</v>
      </c>
      <c r="C283" s="3">
        <v>45694.49219907407</v>
      </c>
      <c r="D283" t="s">
        <v>83</v>
      </c>
      <c r="E283" s="4">
        <v>27.959</v>
      </c>
      <c r="F283" s="4">
        <v>11652.591</v>
      </c>
      <c r="G283" s="4">
        <v>11680.55</v>
      </c>
      <c r="H283" s="5">
        <f>2120 / 86400</f>
        <v>2.4537037037037038E-2</v>
      </c>
      <c r="I283" t="s">
        <v>192</v>
      </c>
      <c r="J283" t="s">
        <v>34</v>
      </c>
      <c r="K283" s="5">
        <f>6292 / 86400</f>
        <v>7.2824074074074069E-2</v>
      </c>
      <c r="L283" s="5">
        <f>243 / 86400</f>
        <v>2.8124999999999999E-3</v>
      </c>
    </row>
    <row r="284" spans="1:12" x14ac:dyDescent="0.25">
      <c r="A284" s="3">
        <v>45694.495011574079</v>
      </c>
      <c r="B284" t="s">
        <v>83</v>
      </c>
      <c r="C284" s="3">
        <v>45694.501550925925</v>
      </c>
      <c r="D284" t="s">
        <v>193</v>
      </c>
      <c r="E284" s="4">
        <v>1.7150000000000001</v>
      </c>
      <c r="F284" s="4">
        <v>11680.55</v>
      </c>
      <c r="G284" s="4">
        <v>11682.264999999999</v>
      </c>
      <c r="H284" s="5">
        <f>239 / 86400</f>
        <v>2.7662037037037039E-3</v>
      </c>
      <c r="I284" t="s">
        <v>102</v>
      </c>
      <c r="J284" t="s">
        <v>75</v>
      </c>
      <c r="K284" s="5">
        <f>564 / 86400</f>
        <v>6.5277777777777782E-3</v>
      </c>
      <c r="L284" s="5">
        <f>1708 / 86400</f>
        <v>1.9768518518518519E-2</v>
      </c>
    </row>
    <row r="285" spans="1:12" x14ac:dyDescent="0.25">
      <c r="A285" s="3">
        <v>45694.521319444444</v>
      </c>
      <c r="B285" t="s">
        <v>193</v>
      </c>
      <c r="C285" s="3">
        <v>45694.607615740737</v>
      </c>
      <c r="D285" t="s">
        <v>187</v>
      </c>
      <c r="E285" s="4">
        <v>31.007000000000001</v>
      </c>
      <c r="F285" s="4">
        <v>11682.264999999999</v>
      </c>
      <c r="G285" s="4">
        <v>11713.272000000001</v>
      </c>
      <c r="H285" s="5">
        <f>2719 / 86400</f>
        <v>3.1469907407407405E-2</v>
      </c>
      <c r="I285" t="s">
        <v>107</v>
      </c>
      <c r="J285" t="s">
        <v>51</v>
      </c>
      <c r="K285" s="5">
        <f>7456 / 86400</f>
        <v>8.6296296296296301E-2</v>
      </c>
      <c r="L285" s="5">
        <f>204 / 86400</f>
        <v>2.3611111111111111E-3</v>
      </c>
    </row>
    <row r="286" spans="1:12" x14ac:dyDescent="0.25">
      <c r="A286" s="3">
        <v>45694.609976851847</v>
      </c>
      <c r="B286" t="s">
        <v>187</v>
      </c>
      <c r="C286" s="3">
        <v>45694.610185185185</v>
      </c>
      <c r="D286" t="s">
        <v>187</v>
      </c>
      <c r="E286" s="4">
        <v>1.7999999999999999E-2</v>
      </c>
      <c r="F286" s="4">
        <v>11713.272000000001</v>
      </c>
      <c r="G286" s="4">
        <v>11713.29</v>
      </c>
      <c r="H286" s="5">
        <f>0 / 86400</f>
        <v>0</v>
      </c>
      <c r="I286" t="s">
        <v>105</v>
      </c>
      <c r="J286" t="s">
        <v>82</v>
      </c>
      <c r="K286" s="5">
        <f>18 / 86400</f>
        <v>2.0833333333333335E-4</v>
      </c>
      <c r="L286" s="5">
        <f>263 / 86400</f>
        <v>3.0439814814814813E-3</v>
      </c>
    </row>
    <row r="287" spans="1:12" x14ac:dyDescent="0.25">
      <c r="A287" s="3">
        <v>45694.613229166665</v>
      </c>
      <c r="B287" t="s">
        <v>194</v>
      </c>
      <c r="C287" s="3">
        <v>45694.762210648143</v>
      </c>
      <c r="D287" t="s">
        <v>24</v>
      </c>
      <c r="E287" s="4">
        <v>46.756999999999998</v>
      </c>
      <c r="F287" s="4">
        <v>11713.29</v>
      </c>
      <c r="G287" s="4">
        <v>11760.047</v>
      </c>
      <c r="H287" s="5">
        <f>5543 / 86400</f>
        <v>6.4155092592592597E-2</v>
      </c>
      <c r="I287" t="s">
        <v>195</v>
      </c>
      <c r="J287" t="s">
        <v>46</v>
      </c>
      <c r="K287" s="5">
        <f>12872 / 86400</f>
        <v>0.14898148148148149</v>
      </c>
      <c r="L287" s="5">
        <f>55 / 86400</f>
        <v>6.3657407407407413E-4</v>
      </c>
    </row>
    <row r="288" spans="1:12" x14ac:dyDescent="0.25">
      <c r="A288" s="3">
        <v>45694.76284722222</v>
      </c>
      <c r="B288" t="s">
        <v>24</v>
      </c>
      <c r="C288" s="3">
        <v>45694.76362268519</v>
      </c>
      <c r="D288" t="s">
        <v>24</v>
      </c>
      <c r="E288" s="4">
        <v>0.2</v>
      </c>
      <c r="F288" s="4">
        <v>11760.047</v>
      </c>
      <c r="G288" s="4">
        <v>11760.246999999999</v>
      </c>
      <c r="H288" s="5">
        <f>0 / 86400</f>
        <v>0</v>
      </c>
      <c r="I288" t="s">
        <v>20</v>
      </c>
      <c r="J288" t="s">
        <v>75</v>
      </c>
      <c r="K288" s="5">
        <f>66 / 86400</f>
        <v>7.6388888888888893E-4</v>
      </c>
      <c r="L288" s="5">
        <f>282 / 86400</f>
        <v>3.2638888888888891E-3</v>
      </c>
    </row>
    <row r="289" spans="1:12" x14ac:dyDescent="0.25">
      <c r="A289" s="3">
        <v>45694.766886574071</v>
      </c>
      <c r="B289" t="s">
        <v>24</v>
      </c>
      <c r="C289" s="3">
        <v>45694.769131944442</v>
      </c>
      <c r="D289" t="s">
        <v>28</v>
      </c>
      <c r="E289" s="4">
        <v>0.24199999999999999</v>
      </c>
      <c r="F289" s="4">
        <v>11760.246999999999</v>
      </c>
      <c r="G289" s="4">
        <v>11760.489</v>
      </c>
      <c r="H289" s="5">
        <f>80 / 86400</f>
        <v>9.2592592592592596E-4</v>
      </c>
      <c r="I289" t="s">
        <v>52</v>
      </c>
      <c r="J289" t="s">
        <v>105</v>
      </c>
      <c r="K289" s="5">
        <f>193 / 86400</f>
        <v>2.2337962962962962E-3</v>
      </c>
      <c r="L289" s="5">
        <f>19946 / 86400</f>
        <v>0.23085648148148147</v>
      </c>
    </row>
    <row r="290" spans="1:1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2" s="10" customFormat="1" ht="20.100000000000001" customHeight="1" x14ac:dyDescent="0.35">
      <c r="A292" s="15" t="s">
        <v>297</v>
      </c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2" ht="30" x14ac:dyDescent="0.25">
      <c r="A294" s="2" t="s">
        <v>6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11</v>
      </c>
      <c r="G294" s="2" t="s">
        <v>12</v>
      </c>
      <c r="H294" s="2" t="s">
        <v>13</v>
      </c>
      <c r="I294" s="2" t="s">
        <v>14</v>
      </c>
      <c r="J294" s="2" t="s">
        <v>15</v>
      </c>
      <c r="K294" s="2" t="s">
        <v>16</v>
      </c>
      <c r="L294" s="2" t="s">
        <v>17</v>
      </c>
    </row>
    <row r="295" spans="1:12" x14ac:dyDescent="0.25">
      <c r="A295" s="3">
        <v>45694.236134259263</v>
      </c>
      <c r="B295" t="s">
        <v>28</v>
      </c>
      <c r="C295" s="3">
        <v>45694.238993055551</v>
      </c>
      <c r="D295" t="s">
        <v>28</v>
      </c>
      <c r="E295" s="4">
        <v>0</v>
      </c>
      <c r="F295" s="4">
        <v>4553.4380000000001</v>
      </c>
      <c r="G295" s="4">
        <v>4553.4380000000001</v>
      </c>
      <c r="H295" s="5">
        <f>239 / 86400</f>
        <v>2.7662037037037039E-3</v>
      </c>
      <c r="I295" t="s">
        <v>23</v>
      </c>
      <c r="J295" t="s">
        <v>23</v>
      </c>
      <c r="K295" s="5">
        <f>246 / 86400</f>
        <v>2.8472222222222223E-3</v>
      </c>
      <c r="L295" s="5">
        <f>23467 / 86400</f>
        <v>0.27160879629629631</v>
      </c>
    </row>
    <row r="296" spans="1:12" x14ac:dyDescent="0.25">
      <c r="A296" s="3">
        <v>45694.274467592593</v>
      </c>
      <c r="B296" t="s">
        <v>28</v>
      </c>
      <c r="C296" s="3">
        <v>45694.514768518522</v>
      </c>
      <c r="D296" t="s">
        <v>136</v>
      </c>
      <c r="E296" s="4">
        <v>84.096999999999994</v>
      </c>
      <c r="F296" s="4">
        <v>4553.4380000000001</v>
      </c>
      <c r="G296" s="4">
        <v>4637.5349999999999</v>
      </c>
      <c r="H296" s="5">
        <f>8396 / 86400</f>
        <v>9.7175925925925929E-2</v>
      </c>
      <c r="I296" t="s">
        <v>196</v>
      </c>
      <c r="J296" t="s">
        <v>51</v>
      </c>
      <c r="K296" s="5">
        <f>20762 / 86400</f>
        <v>0.24030092592592592</v>
      </c>
      <c r="L296" s="5">
        <f>520 / 86400</f>
        <v>6.0185185185185185E-3</v>
      </c>
    </row>
    <row r="297" spans="1:12" x14ac:dyDescent="0.25">
      <c r="A297" s="3">
        <v>45694.520787037036</v>
      </c>
      <c r="B297" t="s">
        <v>136</v>
      </c>
      <c r="C297" s="3">
        <v>45694.52553240741</v>
      </c>
      <c r="D297" t="s">
        <v>133</v>
      </c>
      <c r="E297" s="4">
        <v>1.381</v>
      </c>
      <c r="F297" s="4">
        <v>4637.5349999999999</v>
      </c>
      <c r="G297" s="4">
        <v>4638.9160000000002</v>
      </c>
      <c r="H297" s="5">
        <f>79 / 86400</f>
        <v>9.1435185185185185E-4</v>
      </c>
      <c r="I297" t="s">
        <v>167</v>
      </c>
      <c r="J297" t="s">
        <v>113</v>
      </c>
      <c r="K297" s="5">
        <f>409 / 86400</f>
        <v>4.7337962962962967E-3</v>
      </c>
      <c r="L297" s="5">
        <f>1683 / 86400</f>
        <v>1.9479166666666665E-2</v>
      </c>
    </row>
    <row r="298" spans="1:12" x14ac:dyDescent="0.25">
      <c r="A298" s="3">
        <v>45694.545011574075</v>
      </c>
      <c r="B298" t="s">
        <v>133</v>
      </c>
      <c r="C298" s="3">
        <v>45694.547800925924</v>
      </c>
      <c r="D298" t="s">
        <v>183</v>
      </c>
      <c r="E298" s="4">
        <v>0.67</v>
      </c>
      <c r="F298" s="4">
        <v>4638.9160000000002</v>
      </c>
      <c r="G298" s="4">
        <v>4639.5860000000002</v>
      </c>
      <c r="H298" s="5">
        <f>40 / 86400</f>
        <v>4.6296296296296298E-4</v>
      </c>
      <c r="I298" t="s">
        <v>20</v>
      </c>
      <c r="J298" t="s">
        <v>116</v>
      </c>
      <c r="K298" s="5">
        <f>241 / 86400</f>
        <v>2.7893518518518519E-3</v>
      </c>
      <c r="L298" s="5">
        <f>4434 / 86400</f>
        <v>5.1319444444444445E-2</v>
      </c>
    </row>
    <row r="299" spans="1:12" x14ac:dyDescent="0.25">
      <c r="A299" s="3">
        <v>45694.599120370374</v>
      </c>
      <c r="B299" t="s">
        <v>183</v>
      </c>
      <c r="C299" s="3">
        <v>45694.895462962959</v>
      </c>
      <c r="D299" t="s">
        <v>24</v>
      </c>
      <c r="E299" s="4">
        <v>103.18300000000001</v>
      </c>
      <c r="F299" s="4">
        <v>4639.5860000000002</v>
      </c>
      <c r="G299" s="4">
        <v>4742.7690000000002</v>
      </c>
      <c r="H299" s="5">
        <f>11503 / 86400</f>
        <v>0.13313657407407409</v>
      </c>
      <c r="I299" t="s">
        <v>35</v>
      </c>
      <c r="J299" t="s">
        <v>51</v>
      </c>
      <c r="K299" s="5">
        <f>25604 / 86400</f>
        <v>0.2963425925925926</v>
      </c>
      <c r="L299" s="5">
        <f>316 / 86400</f>
        <v>3.6574074074074074E-3</v>
      </c>
    </row>
    <row r="300" spans="1:12" x14ac:dyDescent="0.25">
      <c r="A300" s="3">
        <v>45694.89912037037</v>
      </c>
      <c r="B300" t="s">
        <v>24</v>
      </c>
      <c r="C300" s="3">
        <v>45694.904456018514</v>
      </c>
      <c r="D300" t="s">
        <v>28</v>
      </c>
      <c r="E300" s="4">
        <v>0.47099999999999997</v>
      </c>
      <c r="F300" s="4">
        <v>4742.7690000000002</v>
      </c>
      <c r="G300" s="4">
        <v>4743.24</v>
      </c>
      <c r="H300" s="5">
        <f>260 / 86400</f>
        <v>3.0092592592592593E-3</v>
      </c>
      <c r="I300" t="s">
        <v>51</v>
      </c>
      <c r="J300" t="s">
        <v>82</v>
      </c>
      <c r="K300" s="5">
        <f>461 / 86400</f>
        <v>5.3356481481481484E-3</v>
      </c>
      <c r="L300" s="5">
        <f>8254 / 86400</f>
        <v>9.5532407407407413E-2</v>
      </c>
    </row>
    <row r="301" spans="1:1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1:12" s="10" customFormat="1" ht="20.100000000000001" customHeight="1" x14ac:dyDescent="0.35">
      <c r="A303" s="15" t="s">
        <v>298</v>
      </c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2" ht="30" x14ac:dyDescent="0.25">
      <c r="A305" s="2" t="s">
        <v>6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11</v>
      </c>
      <c r="G305" s="2" t="s">
        <v>12</v>
      </c>
      <c r="H305" s="2" t="s">
        <v>13</v>
      </c>
      <c r="I305" s="2" t="s">
        <v>14</v>
      </c>
      <c r="J305" s="2" t="s">
        <v>15</v>
      </c>
      <c r="K305" s="2" t="s">
        <v>16</v>
      </c>
      <c r="L305" s="2" t="s">
        <v>17</v>
      </c>
    </row>
    <row r="306" spans="1:12" x14ac:dyDescent="0.25">
      <c r="A306" s="3">
        <v>45694.206226851849</v>
      </c>
      <c r="B306" t="s">
        <v>38</v>
      </c>
      <c r="C306" s="3">
        <v>45694.392708333333</v>
      </c>
      <c r="D306" t="s">
        <v>128</v>
      </c>
      <c r="E306" s="4">
        <v>81.382000000000005</v>
      </c>
      <c r="F306" s="4">
        <v>385795.11300000001</v>
      </c>
      <c r="G306" s="4">
        <v>385876.495</v>
      </c>
      <c r="H306" s="5">
        <f>4959 / 86400</f>
        <v>5.7395833333333333E-2</v>
      </c>
      <c r="I306" t="s">
        <v>35</v>
      </c>
      <c r="J306" t="s">
        <v>30</v>
      </c>
      <c r="K306" s="5">
        <f>16111 / 86400</f>
        <v>0.1864699074074074</v>
      </c>
      <c r="L306" s="5">
        <f>20269 / 86400</f>
        <v>0.2345949074074074</v>
      </c>
    </row>
    <row r="307" spans="1:12" x14ac:dyDescent="0.25">
      <c r="A307" s="3">
        <v>45694.421076388884</v>
      </c>
      <c r="B307" t="s">
        <v>128</v>
      </c>
      <c r="C307" s="3">
        <v>45694.426018518519</v>
      </c>
      <c r="D307" t="s">
        <v>197</v>
      </c>
      <c r="E307" s="4">
        <v>1.2190000000000001</v>
      </c>
      <c r="F307" s="4">
        <v>385876.495</v>
      </c>
      <c r="G307" s="4">
        <v>385877.71399999998</v>
      </c>
      <c r="H307" s="5">
        <f>120 / 86400</f>
        <v>1.3888888888888889E-3</v>
      </c>
      <c r="I307" t="s">
        <v>167</v>
      </c>
      <c r="J307" t="s">
        <v>116</v>
      </c>
      <c r="K307" s="5">
        <f>427 / 86400</f>
        <v>4.9421296296296297E-3</v>
      </c>
      <c r="L307" s="5">
        <f>462 / 86400</f>
        <v>5.347222222222222E-3</v>
      </c>
    </row>
    <row r="308" spans="1:12" x14ac:dyDescent="0.25">
      <c r="A308" s="3">
        <v>45694.43136574074</v>
      </c>
      <c r="B308" t="s">
        <v>197</v>
      </c>
      <c r="C308" s="3">
        <v>45694.665891203702</v>
      </c>
      <c r="D308" t="s">
        <v>183</v>
      </c>
      <c r="E308" s="4">
        <v>100.669</v>
      </c>
      <c r="F308" s="4">
        <v>385877.71399999998</v>
      </c>
      <c r="G308" s="4">
        <v>385978.38299999997</v>
      </c>
      <c r="H308" s="5">
        <f>5860 / 86400</f>
        <v>6.7824074074074078E-2</v>
      </c>
      <c r="I308" t="s">
        <v>98</v>
      </c>
      <c r="J308" t="s">
        <v>30</v>
      </c>
      <c r="K308" s="5">
        <f>20262 / 86400</f>
        <v>0.23451388888888888</v>
      </c>
      <c r="L308" s="5">
        <f>506 / 86400</f>
        <v>5.8564814814814816E-3</v>
      </c>
    </row>
    <row r="309" spans="1:12" x14ac:dyDescent="0.25">
      <c r="A309" s="3">
        <v>45694.671747685185</v>
      </c>
      <c r="B309" t="s">
        <v>183</v>
      </c>
      <c r="C309" s="3">
        <v>45694.723634259259</v>
      </c>
      <c r="D309" t="s">
        <v>198</v>
      </c>
      <c r="E309" s="4">
        <v>24.890999999999998</v>
      </c>
      <c r="F309" s="4">
        <v>385978.38299999997</v>
      </c>
      <c r="G309" s="4">
        <v>386003.27399999998</v>
      </c>
      <c r="H309" s="5">
        <f>820 / 86400</f>
        <v>9.4907407407407406E-3</v>
      </c>
      <c r="I309" t="s">
        <v>122</v>
      </c>
      <c r="J309" t="s">
        <v>27</v>
      </c>
      <c r="K309" s="5">
        <f>4482 / 86400</f>
        <v>5.1874999999999998E-2</v>
      </c>
      <c r="L309" s="5">
        <f>594 / 86400</f>
        <v>6.875E-3</v>
      </c>
    </row>
    <row r="310" spans="1:12" x14ac:dyDescent="0.25">
      <c r="A310" s="3">
        <v>45694.730509259258</v>
      </c>
      <c r="B310" t="s">
        <v>193</v>
      </c>
      <c r="C310" s="3">
        <v>45694.735277777778</v>
      </c>
      <c r="D310" t="s">
        <v>38</v>
      </c>
      <c r="E310" s="4">
        <v>0.68300000000000005</v>
      </c>
      <c r="F310" s="4">
        <v>386003.27399999998</v>
      </c>
      <c r="G310" s="4">
        <v>386003.95699999999</v>
      </c>
      <c r="H310" s="5">
        <f>200 / 86400</f>
        <v>2.3148148148148147E-3</v>
      </c>
      <c r="I310" t="s">
        <v>45</v>
      </c>
      <c r="J310" t="s">
        <v>142</v>
      </c>
      <c r="K310" s="5">
        <f>412 / 86400</f>
        <v>4.7685185185185183E-3</v>
      </c>
      <c r="L310" s="5">
        <f>22871 / 86400</f>
        <v>0.26471064814814815</v>
      </c>
    </row>
    <row r="311" spans="1:1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1:12" s="10" customFormat="1" ht="20.100000000000001" customHeight="1" x14ac:dyDescent="0.35">
      <c r="A313" s="15" t="s">
        <v>299</v>
      </c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1:12" ht="30" x14ac:dyDescent="0.25">
      <c r="A315" s="2" t="s">
        <v>6</v>
      </c>
      <c r="B315" s="2" t="s">
        <v>7</v>
      </c>
      <c r="C315" s="2" t="s">
        <v>8</v>
      </c>
      <c r="D315" s="2" t="s">
        <v>9</v>
      </c>
      <c r="E315" s="2" t="s">
        <v>10</v>
      </c>
      <c r="F315" s="2" t="s">
        <v>11</v>
      </c>
      <c r="G315" s="2" t="s">
        <v>12</v>
      </c>
      <c r="H315" s="2" t="s">
        <v>13</v>
      </c>
      <c r="I315" s="2" t="s">
        <v>14</v>
      </c>
      <c r="J315" s="2" t="s">
        <v>15</v>
      </c>
      <c r="K315" s="2" t="s">
        <v>16</v>
      </c>
      <c r="L315" s="2" t="s">
        <v>17</v>
      </c>
    </row>
    <row r="316" spans="1:12" x14ac:dyDescent="0.25">
      <c r="A316" s="3">
        <v>45694.315914351857</v>
      </c>
      <c r="B316" t="s">
        <v>53</v>
      </c>
      <c r="C316" s="3">
        <v>45694.318564814814</v>
      </c>
      <c r="D316" t="s">
        <v>53</v>
      </c>
      <c r="E316" s="4">
        <v>0</v>
      </c>
      <c r="F316" s="4">
        <v>391500.24300000002</v>
      </c>
      <c r="G316" s="4">
        <v>391500.24300000002</v>
      </c>
      <c r="H316" s="5">
        <f>219 / 86400</f>
        <v>2.5347222222222221E-3</v>
      </c>
      <c r="I316" t="s">
        <v>23</v>
      </c>
      <c r="J316" t="s">
        <v>23</v>
      </c>
      <c r="K316" s="5">
        <f>228 / 86400</f>
        <v>2.638888888888889E-3</v>
      </c>
      <c r="L316" s="5">
        <f>29321 / 86400</f>
        <v>0.33936342592592594</v>
      </c>
    </row>
    <row r="317" spans="1:12" x14ac:dyDescent="0.25">
      <c r="A317" s="3">
        <v>45694.342013888891</v>
      </c>
      <c r="B317" t="s">
        <v>53</v>
      </c>
      <c r="C317" s="3">
        <v>45694.39262731481</v>
      </c>
      <c r="D317" t="s">
        <v>199</v>
      </c>
      <c r="E317" s="4">
        <v>29.510999999999999</v>
      </c>
      <c r="F317" s="4">
        <v>391500.24300000002</v>
      </c>
      <c r="G317" s="4">
        <v>391529.75400000002</v>
      </c>
      <c r="H317" s="5">
        <f>1399 / 86400</f>
        <v>1.6192129629629629E-2</v>
      </c>
      <c r="I317" t="s">
        <v>35</v>
      </c>
      <c r="J317" t="s">
        <v>153</v>
      </c>
      <c r="K317" s="5">
        <f>4372 / 86400</f>
        <v>5.0601851851851849E-2</v>
      </c>
      <c r="L317" s="5">
        <f>600 / 86400</f>
        <v>6.9444444444444441E-3</v>
      </c>
    </row>
    <row r="318" spans="1:12" x14ac:dyDescent="0.25">
      <c r="A318" s="3">
        <v>45694.399571759262</v>
      </c>
      <c r="B318" t="s">
        <v>199</v>
      </c>
      <c r="C318" s="3">
        <v>45694.400868055556</v>
      </c>
      <c r="D318" t="s">
        <v>199</v>
      </c>
      <c r="E318" s="4">
        <v>0.20100000000000001</v>
      </c>
      <c r="F318" s="4">
        <v>391529.75400000002</v>
      </c>
      <c r="G318" s="4">
        <v>391529.95500000002</v>
      </c>
      <c r="H318" s="5">
        <f>19 / 86400</f>
        <v>2.199074074074074E-4</v>
      </c>
      <c r="I318" t="s">
        <v>27</v>
      </c>
      <c r="J318" t="s">
        <v>22</v>
      </c>
      <c r="K318" s="5">
        <f>111 / 86400</f>
        <v>1.2847222222222223E-3</v>
      </c>
      <c r="L318" s="5">
        <f>482 / 86400</f>
        <v>5.5787037037037038E-3</v>
      </c>
    </row>
    <row r="319" spans="1:12" x14ac:dyDescent="0.25">
      <c r="A319" s="3">
        <v>45694.406446759254</v>
      </c>
      <c r="B319" t="s">
        <v>199</v>
      </c>
      <c r="C319" s="3">
        <v>45694.409791666665</v>
      </c>
      <c r="D319" t="s">
        <v>136</v>
      </c>
      <c r="E319" s="4">
        <v>0.254</v>
      </c>
      <c r="F319" s="4">
        <v>391529.95500000002</v>
      </c>
      <c r="G319" s="4">
        <v>391530.20899999997</v>
      </c>
      <c r="H319" s="5">
        <f>140 / 86400</f>
        <v>1.6203703703703703E-3</v>
      </c>
      <c r="I319" t="s">
        <v>62</v>
      </c>
      <c r="J319" t="s">
        <v>151</v>
      </c>
      <c r="K319" s="5">
        <f>289 / 86400</f>
        <v>3.3449074074074076E-3</v>
      </c>
      <c r="L319" s="5">
        <f>9694 / 86400</f>
        <v>0.11219907407407408</v>
      </c>
    </row>
    <row r="320" spans="1:12" x14ac:dyDescent="0.25">
      <c r="A320" s="3">
        <v>45694.521990740745</v>
      </c>
      <c r="B320" t="s">
        <v>136</v>
      </c>
      <c r="C320" s="3">
        <v>45694.526354166665</v>
      </c>
      <c r="D320" t="s">
        <v>128</v>
      </c>
      <c r="E320" s="4">
        <v>0.91600000000000004</v>
      </c>
      <c r="F320" s="4">
        <v>391530.20899999997</v>
      </c>
      <c r="G320" s="4">
        <v>391531.125</v>
      </c>
      <c r="H320" s="5">
        <f>159 / 86400</f>
        <v>1.8402777777777777E-3</v>
      </c>
      <c r="I320" t="s">
        <v>156</v>
      </c>
      <c r="J320" t="s">
        <v>62</v>
      </c>
      <c r="K320" s="5">
        <f>376 / 86400</f>
        <v>4.3518518518518515E-3</v>
      </c>
      <c r="L320" s="5">
        <f>1426 / 86400</f>
        <v>1.650462962962963E-2</v>
      </c>
    </row>
    <row r="321" spans="1:12" x14ac:dyDescent="0.25">
      <c r="A321" s="3">
        <v>45694.542858796296</v>
      </c>
      <c r="B321" t="s">
        <v>128</v>
      </c>
      <c r="C321" s="3">
        <v>45694.543240740742</v>
      </c>
      <c r="D321" t="s">
        <v>128</v>
      </c>
      <c r="E321" s="4">
        <v>2.4E-2</v>
      </c>
      <c r="F321" s="4">
        <v>391531.125</v>
      </c>
      <c r="G321" s="4">
        <v>391531.14899999998</v>
      </c>
      <c r="H321" s="5">
        <f>0 / 86400</f>
        <v>0</v>
      </c>
      <c r="I321" t="s">
        <v>142</v>
      </c>
      <c r="J321" t="s">
        <v>151</v>
      </c>
      <c r="K321" s="5">
        <f>32 / 86400</f>
        <v>3.7037037037037035E-4</v>
      </c>
      <c r="L321" s="5">
        <f>3023 / 86400</f>
        <v>3.4988425925925923E-2</v>
      </c>
    </row>
    <row r="322" spans="1:12" x14ac:dyDescent="0.25">
      <c r="A322" s="3">
        <v>45694.578229166669</v>
      </c>
      <c r="B322" t="s">
        <v>128</v>
      </c>
      <c r="C322" s="3">
        <v>45694.58112268518</v>
      </c>
      <c r="D322" t="s">
        <v>65</v>
      </c>
      <c r="E322" s="4">
        <v>0.94599999999999995</v>
      </c>
      <c r="F322" s="4">
        <v>391531.14899999998</v>
      </c>
      <c r="G322" s="4">
        <v>391532.09499999997</v>
      </c>
      <c r="H322" s="5">
        <f>19 / 86400</f>
        <v>2.199074074074074E-4</v>
      </c>
      <c r="I322" t="s">
        <v>156</v>
      </c>
      <c r="J322" t="s">
        <v>52</v>
      </c>
      <c r="K322" s="5">
        <f>249 / 86400</f>
        <v>2.8819444444444444E-3</v>
      </c>
      <c r="L322" s="5">
        <f>408 / 86400</f>
        <v>4.7222222222222223E-3</v>
      </c>
    </row>
    <row r="323" spans="1:12" x14ac:dyDescent="0.25">
      <c r="A323" s="3">
        <v>45694.585844907408</v>
      </c>
      <c r="B323" t="s">
        <v>136</v>
      </c>
      <c r="C323" s="3">
        <v>45694.590613425928</v>
      </c>
      <c r="D323" t="s">
        <v>133</v>
      </c>
      <c r="E323" s="4">
        <v>1.3089999999999999</v>
      </c>
      <c r="F323" s="4">
        <v>391532.09499999997</v>
      </c>
      <c r="G323" s="4">
        <v>391533.40399999998</v>
      </c>
      <c r="H323" s="5">
        <f>99 / 86400</f>
        <v>1.1458333333333333E-3</v>
      </c>
      <c r="I323" t="s">
        <v>156</v>
      </c>
      <c r="J323" t="s">
        <v>75</v>
      </c>
      <c r="K323" s="5">
        <f>411 / 86400</f>
        <v>4.7569444444444447E-3</v>
      </c>
      <c r="L323" s="5">
        <f>855 / 86400</f>
        <v>9.8958333333333329E-3</v>
      </c>
    </row>
    <row r="324" spans="1:12" x14ac:dyDescent="0.25">
      <c r="A324" s="3">
        <v>45694.60050925926</v>
      </c>
      <c r="B324" t="s">
        <v>133</v>
      </c>
      <c r="C324" s="3">
        <v>45694.606064814812</v>
      </c>
      <c r="D324" t="s">
        <v>47</v>
      </c>
      <c r="E324" s="4">
        <v>1.212</v>
      </c>
      <c r="F324" s="4">
        <v>391533.40399999998</v>
      </c>
      <c r="G324" s="4">
        <v>391534.61599999998</v>
      </c>
      <c r="H324" s="5">
        <f>239 / 86400</f>
        <v>2.7662037037037039E-3</v>
      </c>
      <c r="I324" t="s">
        <v>156</v>
      </c>
      <c r="J324" t="s">
        <v>62</v>
      </c>
      <c r="K324" s="5">
        <f>479 / 86400</f>
        <v>5.5439814814814813E-3</v>
      </c>
      <c r="L324" s="5">
        <f>298 / 86400</f>
        <v>3.449074074074074E-3</v>
      </c>
    </row>
    <row r="325" spans="1:12" x14ac:dyDescent="0.25">
      <c r="A325" s="3">
        <v>45694.609513888892</v>
      </c>
      <c r="B325" t="s">
        <v>47</v>
      </c>
      <c r="C325" s="3">
        <v>45694.737824074073</v>
      </c>
      <c r="D325" t="s">
        <v>200</v>
      </c>
      <c r="E325" s="4">
        <v>57.301000000000002</v>
      </c>
      <c r="F325" s="4">
        <v>391534.61599999998</v>
      </c>
      <c r="G325" s="4">
        <v>391591.91700000002</v>
      </c>
      <c r="H325" s="5">
        <f>3740 / 86400</f>
        <v>4.3287037037037034E-2</v>
      </c>
      <c r="I325" t="s">
        <v>54</v>
      </c>
      <c r="J325" t="s">
        <v>20</v>
      </c>
      <c r="K325" s="5">
        <f>11085 / 86400</f>
        <v>0.1282986111111111</v>
      </c>
      <c r="L325" s="5">
        <f>2750 / 86400</f>
        <v>3.1828703703703706E-2</v>
      </c>
    </row>
    <row r="326" spans="1:12" x14ac:dyDescent="0.25">
      <c r="A326" s="3">
        <v>45694.769652777773</v>
      </c>
      <c r="B326" t="s">
        <v>200</v>
      </c>
      <c r="C326" s="3">
        <v>45694.779837962968</v>
      </c>
      <c r="D326" t="s">
        <v>201</v>
      </c>
      <c r="E326" s="4">
        <v>6.1159999999999997</v>
      </c>
      <c r="F326" s="4">
        <v>391591.91700000002</v>
      </c>
      <c r="G326" s="4">
        <v>391598.033</v>
      </c>
      <c r="H326" s="5">
        <f>180 / 86400</f>
        <v>2.0833333333333333E-3</v>
      </c>
      <c r="I326" t="s">
        <v>202</v>
      </c>
      <c r="J326" t="s">
        <v>174</v>
      </c>
      <c r="K326" s="5">
        <f>880 / 86400</f>
        <v>1.0185185185185186E-2</v>
      </c>
      <c r="L326" s="5">
        <f>2846 / 86400</f>
        <v>3.2939814814814818E-2</v>
      </c>
    </row>
    <row r="327" spans="1:12" x14ac:dyDescent="0.25">
      <c r="A327" s="3">
        <v>45694.812777777777</v>
      </c>
      <c r="B327" t="s">
        <v>201</v>
      </c>
      <c r="C327" s="3">
        <v>45694.823078703703</v>
      </c>
      <c r="D327" t="s">
        <v>53</v>
      </c>
      <c r="E327" s="4">
        <v>2.9649999999999999</v>
      </c>
      <c r="F327" s="4">
        <v>391598.033</v>
      </c>
      <c r="G327" s="4">
        <v>391600.99800000002</v>
      </c>
      <c r="H327" s="5">
        <f>139 / 86400</f>
        <v>1.6087962962962963E-3</v>
      </c>
      <c r="I327" t="s">
        <v>81</v>
      </c>
      <c r="J327" t="s">
        <v>113</v>
      </c>
      <c r="K327" s="5">
        <f>889 / 86400</f>
        <v>1.0289351851851852E-2</v>
      </c>
      <c r="L327" s="5">
        <f>15285 / 86400</f>
        <v>0.17690972222222223</v>
      </c>
    </row>
    <row r="328" spans="1:1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1:1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1:12" s="10" customFormat="1" ht="20.100000000000001" customHeight="1" x14ac:dyDescent="0.35">
      <c r="A330" s="15" t="s">
        <v>300</v>
      </c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2" ht="30" x14ac:dyDescent="0.25">
      <c r="A332" s="2" t="s">
        <v>6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  <c r="G332" s="2" t="s">
        <v>12</v>
      </c>
      <c r="H332" s="2" t="s">
        <v>13</v>
      </c>
      <c r="I332" s="2" t="s">
        <v>14</v>
      </c>
      <c r="J332" s="2" t="s">
        <v>15</v>
      </c>
      <c r="K332" s="2" t="s">
        <v>16</v>
      </c>
      <c r="L332" s="2" t="s">
        <v>17</v>
      </c>
    </row>
    <row r="333" spans="1:12" x14ac:dyDescent="0.25">
      <c r="A333" s="3">
        <v>45694.147650462968</v>
      </c>
      <c r="B333" t="s">
        <v>55</v>
      </c>
      <c r="C333" s="3">
        <v>45694.150775462964</v>
      </c>
      <c r="D333" t="s">
        <v>182</v>
      </c>
      <c r="E333" s="4">
        <v>0.311</v>
      </c>
      <c r="F333" s="4">
        <v>521805.19799999997</v>
      </c>
      <c r="G333" s="4">
        <v>521805.50900000002</v>
      </c>
      <c r="H333" s="5">
        <f>159 / 86400</f>
        <v>1.8402777777777777E-3</v>
      </c>
      <c r="I333" t="s">
        <v>46</v>
      </c>
      <c r="J333" t="s">
        <v>82</v>
      </c>
      <c r="K333" s="5">
        <f>269 / 86400</f>
        <v>3.1134259259259257E-3</v>
      </c>
      <c r="L333" s="5">
        <f>12766 / 86400</f>
        <v>0.14775462962962962</v>
      </c>
    </row>
    <row r="334" spans="1:12" x14ac:dyDescent="0.25">
      <c r="A334" s="3">
        <v>45694.150879629626</v>
      </c>
      <c r="B334" t="s">
        <v>182</v>
      </c>
      <c r="C334" s="3">
        <v>45694.150914351849</v>
      </c>
      <c r="D334" t="s">
        <v>182</v>
      </c>
      <c r="E334" s="4">
        <v>0</v>
      </c>
      <c r="F334" s="4">
        <v>521805.50900000002</v>
      </c>
      <c r="G334" s="4">
        <v>521805.50900000002</v>
      </c>
      <c r="H334" s="5">
        <f>0 / 86400</f>
        <v>0</v>
      </c>
      <c r="I334" t="s">
        <v>23</v>
      </c>
      <c r="J334" t="s">
        <v>23</v>
      </c>
      <c r="K334" s="5">
        <f>2 / 86400</f>
        <v>2.3148148148148147E-5</v>
      </c>
      <c r="L334" s="5">
        <f>1517 / 86400</f>
        <v>1.755787037037037E-2</v>
      </c>
    </row>
    <row r="335" spans="1:12" x14ac:dyDescent="0.25">
      <c r="A335" s="3">
        <v>45694.168472222227</v>
      </c>
      <c r="B335" t="s">
        <v>182</v>
      </c>
      <c r="C335" s="3">
        <v>45694.171168981484</v>
      </c>
      <c r="D335" t="s">
        <v>55</v>
      </c>
      <c r="E335" s="4">
        <v>0.32400000000000001</v>
      </c>
      <c r="F335" s="4">
        <v>521805.50900000002</v>
      </c>
      <c r="G335" s="4">
        <v>521805.83299999998</v>
      </c>
      <c r="H335" s="5">
        <f>99 / 86400</f>
        <v>1.1458333333333333E-3</v>
      </c>
      <c r="I335" t="s">
        <v>113</v>
      </c>
      <c r="J335" t="s">
        <v>105</v>
      </c>
      <c r="K335" s="5">
        <f>233 / 86400</f>
        <v>2.6967592592592594E-3</v>
      </c>
      <c r="L335" s="5">
        <f>14845 / 86400</f>
        <v>0.17181712962962964</v>
      </c>
    </row>
    <row r="336" spans="1:12" x14ac:dyDescent="0.25">
      <c r="A336" s="3">
        <v>45694.342986111107</v>
      </c>
      <c r="B336" t="s">
        <v>55</v>
      </c>
      <c r="C336" s="3">
        <v>45694.431226851855</v>
      </c>
      <c r="D336" t="s">
        <v>187</v>
      </c>
      <c r="E336" s="4">
        <v>34.933999999999997</v>
      </c>
      <c r="F336" s="4">
        <v>521805.83299999998</v>
      </c>
      <c r="G336" s="4">
        <v>521840.76699999999</v>
      </c>
      <c r="H336" s="5">
        <f>2541 / 86400</f>
        <v>2.9409722222222223E-2</v>
      </c>
      <c r="I336" t="s">
        <v>56</v>
      </c>
      <c r="J336" t="s">
        <v>34</v>
      </c>
      <c r="K336" s="5">
        <f>7624 / 86400</f>
        <v>8.8240740740740745E-2</v>
      </c>
      <c r="L336" s="5">
        <f>88 / 86400</f>
        <v>1.0185185185185184E-3</v>
      </c>
    </row>
    <row r="337" spans="1:12" x14ac:dyDescent="0.25">
      <c r="A337" s="3">
        <v>45694.432245370372</v>
      </c>
      <c r="B337" t="s">
        <v>187</v>
      </c>
      <c r="C337" s="3">
        <v>45694.43273148148</v>
      </c>
      <c r="D337" t="s">
        <v>194</v>
      </c>
      <c r="E337" s="4">
        <v>4.7E-2</v>
      </c>
      <c r="F337" s="4">
        <v>521840.76699999999</v>
      </c>
      <c r="G337" s="4">
        <v>521840.81400000001</v>
      </c>
      <c r="H337" s="5">
        <f>20 / 86400</f>
        <v>2.3148148148148149E-4</v>
      </c>
      <c r="I337" t="s">
        <v>22</v>
      </c>
      <c r="J337" t="s">
        <v>82</v>
      </c>
      <c r="K337" s="5">
        <f>41 / 86400</f>
        <v>4.7453703703703704E-4</v>
      </c>
      <c r="L337" s="5">
        <f>137 / 86400</f>
        <v>1.5856481481481481E-3</v>
      </c>
    </row>
    <row r="338" spans="1:12" x14ac:dyDescent="0.25">
      <c r="A338" s="3">
        <v>45694.434317129635</v>
      </c>
      <c r="B338" t="s">
        <v>194</v>
      </c>
      <c r="C338" s="3">
        <v>45694.550543981481</v>
      </c>
      <c r="D338" t="s">
        <v>136</v>
      </c>
      <c r="E338" s="4">
        <v>49.404000000000003</v>
      </c>
      <c r="F338" s="4">
        <v>521840.81400000001</v>
      </c>
      <c r="G338" s="4">
        <v>521890.21799999999</v>
      </c>
      <c r="H338" s="5">
        <f>2919 / 86400</f>
        <v>3.3784722222222223E-2</v>
      </c>
      <c r="I338" t="s">
        <v>35</v>
      </c>
      <c r="J338" t="s">
        <v>30</v>
      </c>
      <c r="K338" s="5">
        <f>10041 / 86400</f>
        <v>0.11621527777777778</v>
      </c>
      <c r="L338" s="5">
        <f>130 / 86400</f>
        <v>1.5046296296296296E-3</v>
      </c>
    </row>
    <row r="339" spans="1:12" x14ac:dyDescent="0.25">
      <c r="A339" s="3">
        <v>45694.552048611113</v>
      </c>
      <c r="B339" t="s">
        <v>136</v>
      </c>
      <c r="C339" s="3">
        <v>45694.554641203707</v>
      </c>
      <c r="D339" t="s">
        <v>136</v>
      </c>
      <c r="E339" s="4">
        <v>0</v>
      </c>
      <c r="F339" s="4">
        <v>521890.21799999999</v>
      </c>
      <c r="G339" s="4">
        <v>521890.21799999999</v>
      </c>
      <c r="H339" s="5">
        <f>219 / 86400</f>
        <v>2.5347222222222221E-3</v>
      </c>
      <c r="I339" t="s">
        <v>23</v>
      </c>
      <c r="J339" t="s">
        <v>23</v>
      </c>
      <c r="K339" s="5">
        <f>223 / 86400</f>
        <v>2.5810185185185185E-3</v>
      </c>
      <c r="L339" s="5">
        <f>2253 / 86400</f>
        <v>2.6076388888888889E-2</v>
      </c>
    </row>
    <row r="340" spans="1:12" x14ac:dyDescent="0.25">
      <c r="A340" s="3">
        <v>45694.580717592587</v>
      </c>
      <c r="B340" t="s">
        <v>136</v>
      </c>
      <c r="C340" s="3">
        <v>45694.636284722219</v>
      </c>
      <c r="D340" t="s">
        <v>203</v>
      </c>
      <c r="E340" s="4">
        <v>27.396000000000001</v>
      </c>
      <c r="F340" s="4">
        <v>521890.21799999999</v>
      </c>
      <c r="G340" s="4">
        <v>521917.614</v>
      </c>
      <c r="H340" s="5">
        <f>1279 / 86400</f>
        <v>1.480324074074074E-2</v>
      </c>
      <c r="I340" t="s">
        <v>64</v>
      </c>
      <c r="J340" t="s">
        <v>85</v>
      </c>
      <c r="K340" s="5">
        <f>4801 / 86400</f>
        <v>5.5567129629629633E-2</v>
      </c>
      <c r="L340" s="5">
        <f>3776 / 86400</f>
        <v>4.3703703703703703E-2</v>
      </c>
    </row>
    <row r="341" spans="1:12" x14ac:dyDescent="0.25">
      <c r="A341" s="3">
        <v>45694.679988425924</v>
      </c>
      <c r="B341" t="s">
        <v>203</v>
      </c>
      <c r="C341" s="3">
        <v>45694.681284722217</v>
      </c>
      <c r="D341" t="s">
        <v>55</v>
      </c>
      <c r="E341" s="4">
        <v>0.124</v>
      </c>
      <c r="F341" s="4">
        <v>521917.614</v>
      </c>
      <c r="G341" s="4">
        <v>521917.73800000001</v>
      </c>
      <c r="H341" s="5">
        <f>79 / 86400</f>
        <v>9.1435185185185185E-4</v>
      </c>
      <c r="I341" t="s">
        <v>46</v>
      </c>
      <c r="J341" t="s">
        <v>82</v>
      </c>
      <c r="K341" s="5">
        <f>111 / 86400</f>
        <v>1.2847222222222223E-3</v>
      </c>
      <c r="L341" s="5">
        <f>261 / 86400</f>
        <v>3.0208333333333333E-3</v>
      </c>
    </row>
    <row r="342" spans="1:12" x14ac:dyDescent="0.25">
      <c r="A342" s="3">
        <v>45694.684305555551</v>
      </c>
      <c r="B342" t="s">
        <v>55</v>
      </c>
      <c r="C342" s="3">
        <v>45694.686238425929</v>
      </c>
      <c r="D342" t="s">
        <v>55</v>
      </c>
      <c r="E342" s="4">
        <v>0.28000000000000003</v>
      </c>
      <c r="F342" s="4">
        <v>521917.73800000001</v>
      </c>
      <c r="G342" s="4">
        <v>521918.01799999998</v>
      </c>
      <c r="H342" s="5">
        <f>40 / 86400</f>
        <v>4.6296296296296298E-4</v>
      </c>
      <c r="I342" t="s">
        <v>51</v>
      </c>
      <c r="J342" t="s">
        <v>142</v>
      </c>
      <c r="K342" s="5">
        <f>166 / 86400</f>
        <v>1.9212962962962964E-3</v>
      </c>
      <c r="L342" s="5">
        <f>27108 / 86400</f>
        <v>0.31374999999999997</v>
      </c>
    </row>
    <row r="343" spans="1:1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1:1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1:12" s="10" customFormat="1" ht="20.100000000000001" customHeight="1" x14ac:dyDescent="0.35">
      <c r="A345" s="15" t="s">
        <v>301</v>
      </c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2" ht="30" x14ac:dyDescent="0.25">
      <c r="A347" s="2" t="s">
        <v>6</v>
      </c>
      <c r="B347" s="2" t="s">
        <v>7</v>
      </c>
      <c r="C347" s="2" t="s">
        <v>8</v>
      </c>
      <c r="D347" s="2" t="s">
        <v>9</v>
      </c>
      <c r="E347" s="2" t="s">
        <v>10</v>
      </c>
      <c r="F347" s="2" t="s">
        <v>11</v>
      </c>
      <c r="G347" s="2" t="s">
        <v>12</v>
      </c>
      <c r="H347" s="2" t="s">
        <v>13</v>
      </c>
      <c r="I347" s="2" t="s">
        <v>14</v>
      </c>
      <c r="J347" s="2" t="s">
        <v>15</v>
      </c>
      <c r="K347" s="2" t="s">
        <v>16</v>
      </c>
      <c r="L347" s="2" t="s">
        <v>17</v>
      </c>
    </row>
    <row r="348" spans="1:12" x14ac:dyDescent="0.25">
      <c r="A348" s="3">
        <v>45694</v>
      </c>
      <c r="B348" t="s">
        <v>57</v>
      </c>
      <c r="C348" s="3">
        <v>45694.064155092594</v>
      </c>
      <c r="D348" t="s">
        <v>199</v>
      </c>
      <c r="E348" s="4">
        <v>40.494</v>
      </c>
      <c r="F348" s="4">
        <v>410606.011</v>
      </c>
      <c r="G348" s="4">
        <v>410646.505</v>
      </c>
      <c r="H348" s="5">
        <f>640 / 86400</f>
        <v>7.4074074074074077E-3</v>
      </c>
      <c r="I348" t="s">
        <v>195</v>
      </c>
      <c r="J348" t="s">
        <v>167</v>
      </c>
      <c r="K348" s="5">
        <f>5543 / 86400</f>
        <v>6.4155092592592597E-2</v>
      </c>
      <c r="L348" s="5">
        <f>1212 / 86400</f>
        <v>1.4027777777777778E-2</v>
      </c>
    </row>
    <row r="349" spans="1:12" x14ac:dyDescent="0.25">
      <c r="A349" s="3">
        <v>45694.078182870369</v>
      </c>
      <c r="B349" t="s">
        <v>199</v>
      </c>
      <c r="C349" s="3">
        <v>45694.087349537032</v>
      </c>
      <c r="D349" t="s">
        <v>58</v>
      </c>
      <c r="E349" s="4">
        <v>2.0270000000000001</v>
      </c>
      <c r="F349" s="4">
        <v>410646.505</v>
      </c>
      <c r="G349" s="4">
        <v>410648.53200000001</v>
      </c>
      <c r="H349" s="5">
        <f>119 / 86400</f>
        <v>1.3773148148148147E-3</v>
      </c>
      <c r="I349" t="s">
        <v>20</v>
      </c>
      <c r="J349" t="s">
        <v>62</v>
      </c>
      <c r="K349" s="5">
        <f>792 / 86400</f>
        <v>9.1666666666666667E-3</v>
      </c>
      <c r="L349" s="5">
        <f>33463 / 86400</f>
        <v>0.38730324074074074</v>
      </c>
    </row>
    <row r="350" spans="1:12" x14ac:dyDescent="0.25">
      <c r="A350" s="3">
        <v>45694.474652777775</v>
      </c>
      <c r="B350" t="s">
        <v>58</v>
      </c>
      <c r="C350" s="3">
        <v>45694.482662037037</v>
      </c>
      <c r="D350" t="s">
        <v>136</v>
      </c>
      <c r="E350" s="4">
        <v>2.1429999999999998</v>
      </c>
      <c r="F350" s="4">
        <v>410648.53200000001</v>
      </c>
      <c r="G350" s="4">
        <v>410650.67499999999</v>
      </c>
      <c r="H350" s="5">
        <f>219 / 86400</f>
        <v>2.5347222222222221E-3</v>
      </c>
      <c r="I350" t="s">
        <v>150</v>
      </c>
      <c r="J350" t="s">
        <v>75</v>
      </c>
      <c r="K350" s="5">
        <f>691 / 86400</f>
        <v>7.9976851851851858E-3</v>
      </c>
      <c r="L350" s="5">
        <f>421 / 86400</f>
        <v>4.8726851851851848E-3</v>
      </c>
    </row>
    <row r="351" spans="1:12" x14ac:dyDescent="0.25">
      <c r="A351" s="3">
        <v>45694.487534722226</v>
      </c>
      <c r="B351" t="s">
        <v>136</v>
      </c>
      <c r="C351" s="3">
        <v>45694.520787037036</v>
      </c>
      <c r="D351" t="s">
        <v>204</v>
      </c>
      <c r="E351" s="4">
        <v>7.4770000000000003</v>
      </c>
      <c r="F351" s="4">
        <v>410650.67499999999</v>
      </c>
      <c r="G351" s="4">
        <v>410658.152</v>
      </c>
      <c r="H351" s="5">
        <f>1559 / 86400</f>
        <v>1.804398148148148E-2</v>
      </c>
      <c r="I351" t="s">
        <v>32</v>
      </c>
      <c r="J351" t="s">
        <v>62</v>
      </c>
      <c r="K351" s="5">
        <f>2873 / 86400</f>
        <v>3.3252314814814818E-2</v>
      </c>
      <c r="L351" s="5">
        <f>34205 / 86400</f>
        <v>0.39589120370370373</v>
      </c>
    </row>
    <row r="352" spans="1:12" x14ac:dyDescent="0.25">
      <c r="A352" s="3">
        <v>45694.916678240741</v>
      </c>
      <c r="B352" t="s">
        <v>205</v>
      </c>
      <c r="C352" s="3">
        <v>45694.941550925927</v>
      </c>
      <c r="D352" t="s">
        <v>58</v>
      </c>
      <c r="E352" s="4">
        <v>10.349</v>
      </c>
      <c r="F352" s="4">
        <v>410658.152</v>
      </c>
      <c r="G352" s="4">
        <v>410668.50099999999</v>
      </c>
      <c r="H352" s="5">
        <f>258 / 86400</f>
        <v>2.9861111111111113E-3</v>
      </c>
      <c r="I352" t="s">
        <v>59</v>
      </c>
      <c r="J352" t="s">
        <v>37</v>
      </c>
      <c r="K352" s="5">
        <f>2148 / 86400</f>
        <v>2.4861111111111112E-2</v>
      </c>
      <c r="L352" s="5">
        <f>463 / 86400</f>
        <v>5.3587962962962964E-3</v>
      </c>
    </row>
    <row r="353" spans="1:12" x14ac:dyDescent="0.25">
      <c r="A353" s="3">
        <v>45694.946909722217</v>
      </c>
      <c r="B353" t="s">
        <v>58</v>
      </c>
      <c r="C353" s="3">
        <v>45694.949953703705</v>
      </c>
      <c r="D353" t="s">
        <v>58</v>
      </c>
      <c r="E353" s="4">
        <v>0.19</v>
      </c>
      <c r="F353" s="4">
        <v>410668.50099999999</v>
      </c>
      <c r="G353" s="4">
        <v>410668.69099999999</v>
      </c>
      <c r="H353" s="5">
        <f>140 / 86400</f>
        <v>1.6203703703703703E-3</v>
      </c>
      <c r="I353" t="s">
        <v>22</v>
      </c>
      <c r="J353" t="s">
        <v>151</v>
      </c>
      <c r="K353" s="5">
        <f>262 / 86400</f>
        <v>3.0324074074074073E-3</v>
      </c>
      <c r="L353" s="5">
        <f>4323 / 86400</f>
        <v>5.0034722222222223E-2</v>
      </c>
    </row>
    <row r="354" spans="1:1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1:1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1:12" s="10" customFormat="1" ht="20.100000000000001" customHeight="1" x14ac:dyDescent="0.35">
      <c r="A356" s="15" t="s">
        <v>302</v>
      </c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1:12" ht="30" x14ac:dyDescent="0.25">
      <c r="A358" s="2" t="s">
        <v>6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11</v>
      </c>
      <c r="G358" s="2" t="s">
        <v>12</v>
      </c>
      <c r="H358" s="2" t="s">
        <v>13</v>
      </c>
      <c r="I358" s="2" t="s">
        <v>14</v>
      </c>
      <c r="J358" s="2" t="s">
        <v>15</v>
      </c>
      <c r="K358" s="2" t="s">
        <v>16</v>
      </c>
      <c r="L358" s="2" t="s">
        <v>17</v>
      </c>
    </row>
    <row r="359" spans="1:12" x14ac:dyDescent="0.25">
      <c r="A359" s="3">
        <v>45694.396747685183</v>
      </c>
      <c r="B359" t="s">
        <v>60</v>
      </c>
      <c r="C359" s="3">
        <v>45694.398368055554</v>
      </c>
      <c r="D359" t="s">
        <v>206</v>
      </c>
      <c r="E359" s="4">
        <v>3.5000000000000003E-2</v>
      </c>
      <c r="F359" s="4">
        <v>401585.72200000001</v>
      </c>
      <c r="G359" s="4">
        <v>401585.75699999998</v>
      </c>
      <c r="H359" s="5">
        <f>99 / 86400</f>
        <v>1.1458333333333333E-3</v>
      </c>
      <c r="I359" t="s">
        <v>105</v>
      </c>
      <c r="J359" t="s">
        <v>141</v>
      </c>
      <c r="K359" s="5">
        <f>140 / 86400</f>
        <v>1.6203703703703703E-3</v>
      </c>
      <c r="L359" s="5">
        <f>34380 / 86400</f>
        <v>0.39791666666666664</v>
      </c>
    </row>
    <row r="360" spans="1:12" x14ac:dyDescent="0.25">
      <c r="A360" s="3">
        <v>45694.399537037039</v>
      </c>
      <c r="B360" t="s">
        <v>206</v>
      </c>
      <c r="C360" s="3">
        <v>45694.400937500002</v>
      </c>
      <c r="D360" t="s">
        <v>99</v>
      </c>
      <c r="E360" s="4">
        <v>0.28899999999999998</v>
      </c>
      <c r="F360" s="4">
        <v>401585.75699999998</v>
      </c>
      <c r="G360" s="4">
        <v>401586.04599999997</v>
      </c>
      <c r="H360" s="5">
        <f>0 / 86400</f>
        <v>0</v>
      </c>
      <c r="I360" t="s">
        <v>43</v>
      </c>
      <c r="J360" t="s">
        <v>62</v>
      </c>
      <c r="K360" s="5">
        <f>121 / 86400</f>
        <v>1.4004629629629629E-3</v>
      </c>
      <c r="L360" s="5">
        <f>1830 / 86400</f>
        <v>2.1180555555555557E-2</v>
      </c>
    </row>
    <row r="361" spans="1:12" x14ac:dyDescent="0.25">
      <c r="A361" s="3">
        <v>45694.422118055554</v>
      </c>
      <c r="B361" t="s">
        <v>99</v>
      </c>
      <c r="C361" s="3">
        <v>45694.42597222222</v>
      </c>
      <c r="D361" t="s">
        <v>136</v>
      </c>
      <c r="E361" s="4">
        <v>0.75700000000000001</v>
      </c>
      <c r="F361" s="4">
        <v>401586.04599999997</v>
      </c>
      <c r="G361" s="4">
        <v>401586.80300000001</v>
      </c>
      <c r="H361" s="5">
        <f>80 / 86400</f>
        <v>9.2592592592592596E-4</v>
      </c>
      <c r="I361" t="s">
        <v>61</v>
      </c>
      <c r="J361" t="s">
        <v>43</v>
      </c>
      <c r="K361" s="5">
        <f>333 / 86400</f>
        <v>3.8541666666666668E-3</v>
      </c>
      <c r="L361" s="5">
        <f>97 / 86400</f>
        <v>1.1226851851851851E-3</v>
      </c>
    </row>
    <row r="362" spans="1:12" x14ac:dyDescent="0.25">
      <c r="A362" s="3">
        <v>45694.427094907413</v>
      </c>
      <c r="B362" t="s">
        <v>136</v>
      </c>
      <c r="C362" s="3">
        <v>45694.427314814813</v>
      </c>
      <c r="D362" t="s">
        <v>136</v>
      </c>
      <c r="E362" s="4">
        <v>1.0999999999999999E-2</v>
      </c>
      <c r="F362" s="4">
        <v>401586.80300000001</v>
      </c>
      <c r="G362" s="4">
        <v>401586.81400000001</v>
      </c>
      <c r="H362" s="5">
        <f>0 / 86400</f>
        <v>0</v>
      </c>
      <c r="I362" t="s">
        <v>105</v>
      </c>
      <c r="J362" t="s">
        <v>88</v>
      </c>
      <c r="K362" s="5">
        <f>19 / 86400</f>
        <v>2.199074074074074E-4</v>
      </c>
      <c r="L362" s="5">
        <f>3249 / 86400</f>
        <v>3.7604166666666668E-2</v>
      </c>
    </row>
    <row r="363" spans="1:12" x14ac:dyDescent="0.25">
      <c r="A363" s="3">
        <v>45694.464918981481</v>
      </c>
      <c r="B363" t="s">
        <v>136</v>
      </c>
      <c r="C363" s="3">
        <v>45694.468703703707</v>
      </c>
      <c r="D363" t="s">
        <v>206</v>
      </c>
      <c r="E363" s="4">
        <v>1.214</v>
      </c>
      <c r="F363" s="4">
        <v>401586.81400000001</v>
      </c>
      <c r="G363" s="4">
        <v>401588.02799999999</v>
      </c>
      <c r="H363" s="5">
        <f>39 / 86400</f>
        <v>4.5138888888888887E-4</v>
      </c>
      <c r="I363" t="s">
        <v>45</v>
      </c>
      <c r="J363" t="s">
        <v>46</v>
      </c>
      <c r="K363" s="5">
        <f>326 / 86400</f>
        <v>3.7731481481481483E-3</v>
      </c>
      <c r="L363" s="5">
        <f>124 / 86400</f>
        <v>1.4351851851851852E-3</v>
      </c>
    </row>
    <row r="364" spans="1:12" x14ac:dyDescent="0.25">
      <c r="A364" s="3">
        <v>45694.470138888893</v>
      </c>
      <c r="B364" t="s">
        <v>206</v>
      </c>
      <c r="C364" s="3">
        <v>45694.470335648148</v>
      </c>
      <c r="D364" t="s">
        <v>60</v>
      </c>
      <c r="E364" s="4">
        <v>2.5000000000000001E-2</v>
      </c>
      <c r="F364" s="4">
        <v>401588.02799999999</v>
      </c>
      <c r="G364" s="4">
        <v>401588.05300000001</v>
      </c>
      <c r="H364" s="5">
        <f>0 / 86400</f>
        <v>0</v>
      </c>
      <c r="I364" t="s">
        <v>22</v>
      </c>
      <c r="J364" t="s">
        <v>142</v>
      </c>
      <c r="K364" s="5">
        <f>16 / 86400</f>
        <v>1.8518518518518518E-4</v>
      </c>
      <c r="L364" s="5">
        <f>45762 / 86400</f>
        <v>0.52965277777777775</v>
      </c>
    </row>
    <row r="365" spans="1:1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1:12" s="10" customFormat="1" ht="20.100000000000001" customHeight="1" x14ac:dyDescent="0.35">
      <c r="A367" s="15" t="s">
        <v>303</v>
      </c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1:12" ht="30" x14ac:dyDescent="0.25">
      <c r="A369" s="2" t="s">
        <v>6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11</v>
      </c>
      <c r="G369" s="2" t="s">
        <v>12</v>
      </c>
      <c r="H369" s="2" t="s">
        <v>13</v>
      </c>
      <c r="I369" s="2" t="s">
        <v>14</v>
      </c>
      <c r="J369" s="2" t="s">
        <v>15</v>
      </c>
      <c r="K369" s="2" t="s">
        <v>16</v>
      </c>
      <c r="L369" s="2" t="s">
        <v>17</v>
      </c>
    </row>
    <row r="370" spans="1:12" x14ac:dyDescent="0.25">
      <c r="A370" s="3">
        <v>45694.290868055556</v>
      </c>
      <c r="B370" t="s">
        <v>63</v>
      </c>
      <c r="C370" s="3">
        <v>45694.387442129635</v>
      </c>
      <c r="D370" t="s">
        <v>136</v>
      </c>
      <c r="E370" s="4">
        <v>46.015999999999998</v>
      </c>
      <c r="F370" s="4">
        <v>347431.66</v>
      </c>
      <c r="G370" s="4">
        <v>347477.67599999998</v>
      </c>
      <c r="H370" s="5">
        <f>1698 / 86400</f>
        <v>1.9652777777777779E-2</v>
      </c>
      <c r="I370" t="s">
        <v>64</v>
      </c>
      <c r="J370" t="s">
        <v>27</v>
      </c>
      <c r="K370" s="5">
        <f>8344 / 86400</f>
        <v>9.6574074074074076E-2</v>
      </c>
      <c r="L370" s="5">
        <f>25320 / 86400</f>
        <v>0.29305555555555557</v>
      </c>
    </row>
    <row r="371" spans="1:12" x14ac:dyDescent="0.25">
      <c r="A371" s="3">
        <v>45694.38962962963</v>
      </c>
      <c r="B371" t="s">
        <v>136</v>
      </c>
      <c r="C371" s="3">
        <v>45694.391168981485</v>
      </c>
      <c r="D371" t="s">
        <v>183</v>
      </c>
      <c r="E371" s="4">
        <v>0.59299999999999997</v>
      </c>
      <c r="F371" s="4">
        <v>347477.67599999998</v>
      </c>
      <c r="G371" s="4">
        <v>347478.26899999997</v>
      </c>
      <c r="H371" s="5">
        <f>20 / 86400</f>
        <v>2.3148148148148149E-4</v>
      </c>
      <c r="I371" t="s">
        <v>140</v>
      </c>
      <c r="J371" t="s">
        <v>34</v>
      </c>
      <c r="K371" s="5">
        <f>133 / 86400</f>
        <v>1.5393518518518519E-3</v>
      </c>
      <c r="L371" s="5">
        <f>6 / 86400</f>
        <v>6.9444444444444444E-5</v>
      </c>
    </row>
    <row r="372" spans="1:12" x14ac:dyDescent="0.25">
      <c r="A372" s="3">
        <v>45694.391238425931</v>
      </c>
      <c r="B372" t="s">
        <v>183</v>
      </c>
      <c r="C372" s="3">
        <v>45694.397256944445</v>
      </c>
      <c r="D372" t="s">
        <v>133</v>
      </c>
      <c r="E372" s="4">
        <v>0.71299999999999997</v>
      </c>
      <c r="F372" s="4">
        <v>347478.26899999997</v>
      </c>
      <c r="G372" s="4">
        <v>347478.98200000002</v>
      </c>
      <c r="H372" s="5">
        <f>284 / 86400</f>
        <v>3.2870370370370371E-3</v>
      </c>
      <c r="I372" t="s">
        <v>30</v>
      </c>
      <c r="J372" t="s">
        <v>105</v>
      </c>
      <c r="K372" s="5">
        <f>520 / 86400</f>
        <v>6.0185185185185185E-3</v>
      </c>
      <c r="L372" s="5">
        <f>5303 / 86400</f>
        <v>6.1377314814814815E-2</v>
      </c>
    </row>
    <row r="373" spans="1:12" x14ac:dyDescent="0.25">
      <c r="A373" s="3">
        <v>45694.458634259259</v>
      </c>
      <c r="B373" t="s">
        <v>133</v>
      </c>
      <c r="C373" s="3">
        <v>45694.648634259254</v>
      </c>
      <c r="D373" t="s">
        <v>118</v>
      </c>
      <c r="E373" s="4">
        <v>69.864000000000004</v>
      </c>
      <c r="F373" s="4">
        <v>347478.98200000002</v>
      </c>
      <c r="G373" s="4">
        <v>347548.84600000002</v>
      </c>
      <c r="H373" s="5">
        <f>5660 / 86400</f>
        <v>6.5509259259259253E-2</v>
      </c>
      <c r="I373" t="s">
        <v>207</v>
      </c>
      <c r="J373" t="s">
        <v>51</v>
      </c>
      <c r="K373" s="5">
        <f>16416 / 86400</f>
        <v>0.19</v>
      </c>
      <c r="L373" s="5">
        <f>727 / 86400</f>
        <v>8.4143518518518517E-3</v>
      </c>
    </row>
    <row r="374" spans="1:12" x14ac:dyDescent="0.25">
      <c r="A374" s="3">
        <v>45694.657048611116</v>
      </c>
      <c r="B374" t="s">
        <v>118</v>
      </c>
      <c r="C374" s="3">
        <v>45694.658958333333</v>
      </c>
      <c r="D374" t="s">
        <v>118</v>
      </c>
      <c r="E374" s="4">
        <v>0.13100000000000001</v>
      </c>
      <c r="F374" s="4">
        <v>347548.84600000002</v>
      </c>
      <c r="G374" s="4">
        <v>347548.97700000001</v>
      </c>
      <c r="H374" s="5">
        <f>40 / 86400</f>
        <v>4.6296296296296298E-4</v>
      </c>
      <c r="I374" t="s">
        <v>30</v>
      </c>
      <c r="J374" t="s">
        <v>151</v>
      </c>
      <c r="K374" s="5">
        <f>165 / 86400</f>
        <v>1.9097222222222222E-3</v>
      </c>
      <c r="L374" s="5">
        <f>1758 / 86400</f>
        <v>2.0347222222222221E-2</v>
      </c>
    </row>
    <row r="375" spans="1:12" x14ac:dyDescent="0.25">
      <c r="A375" s="3">
        <v>45694.679305555561</v>
      </c>
      <c r="B375" t="s">
        <v>118</v>
      </c>
      <c r="C375" s="3">
        <v>45694.690115740741</v>
      </c>
      <c r="D375" t="s">
        <v>63</v>
      </c>
      <c r="E375" s="4">
        <v>4.952</v>
      </c>
      <c r="F375" s="4">
        <v>347548.97700000001</v>
      </c>
      <c r="G375" s="4">
        <v>347553.929</v>
      </c>
      <c r="H375" s="5">
        <f>120 / 86400</f>
        <v>1.3888888888888889E-3</v>
      </c>
      <c r="I375" t="s">
        <v>208</v>
      </c>
      <c r="J375" t="s">
        <v>20</v>
      </c>
      <c r="K375" s="5">
        <f>933 / 86400</f>
        <v>1.0798611111111111E-2</v>
      </c>
      <c r="L375" s="5">
        <f>4 / 86400</f>
        <v>4.6296296296296294E-5</v>
      </c>
    </row>
    <row r="376" spans="1:12" x14ac:dyDescent="0.25">
      <c r="A376" s="3">
        <v>45694.690162037034</v>
      </c>
      <c r="B376" t="s">
        <v>63</v>
      </c>
      <c r="C376" s="3">
        <v>45694.690312499995</v>
      </c>
      <c r="D376" t="s">
        <v>63</v>
      </c>
      <c r="E376" s="4">
        <v>0</v>
      </c>
      <c r="F376" s="4">
        <v>347553.929</v>
      </c>
      <c r="G376" s="4">
        <v>347553.929</v>
      </c>
      <c r="H376" s="5">
        <f>11 / 86400</f>
        <v>1.273148148148148E-4</v>
      </c>
      <c r="I376" t="s">
        <v>23</v>
      </c>
      <c r="J376" t="s">
        <v>23</v>
      </c>
      <c r="K376" s="5">
        <f>13 / 86400</f>
        <v>1.5046296296296297E-4</v>
      </c>
      <c r="L376" s="5">
        <f>25231 / 86400</f>
        <v>0.29202546296296295</v>
      </c>
    </row>
    <row r="377" spans="1:12" x14ac:dyDescent="0.25">
      <c r="A377" s="3">
        <v>45694.982337962967</v>
      </c>
      <c r="B377" t="s">
        <v>63</v>
      </c>
      <c r="C377" s="3">
        <v>45694.983159722222</v>
      </c>
      <c r="D377" t="s">
        <v>63</v>
      </c>
      <c r="E377" s="4">
        <v>1E-3</v>
      </c>
      <c r="F377" s="4">
        <v>347553.929</v>
      </c>
      <c r="G377" s="4">
        <v>347553.93</v>
      </c>
      <c r="H377" s="5">
        <f>59 / 86400</f>
        <v>6.8287037037037036E-4</v>
      </c>
      <c r="I377" t="s">
        <v>23</v>
      </c>
      <c r="J377" t="s">
        <v>23</v>
      </c>
      <c r="K377" s="5">
        <f>70 / 86400</f>
        <v>8.1018518518518516E-4</v>
      </c>
      <c r="L377" s="5">
        <f>1454 / 86400</f>
        <v>1.6828703703703703E-2</v>
      </c>
    </row>
    <row r="378" spans="1:1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1:1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2" s="10" customFormat="1" ht="20.100000000000001" customHeight="1" x14ac:dyDescent="0.35">
      <c r="A380" s="15" t="s">
        <v>304</v>
      </c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2" ht="30" x14ac:dyDescent="0.25">
      <c r="A382" s="2" t="s">
        <v>6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  <c r="G382" s="2" t="s">
        <v>12</v>
      </c>
      <c r="H382" s="2" t="s">
        <v>13</v>
      </c>
      <c r="I382" s="2" t="s">
        <v>14</v>
      </c>
      <c r="J382" s="2" t="s">
        <v>15</v>
      </c>
      <c r="K382" s="2" t="s">
        <v>16</v>
      </c>
      <c r="L382" s="2" t="s">
        <v>17</v>
      </c>
    </row>
    <row r="383" spans="1:12" x14ac:dyDescent="0.25">
      <c r="A383" s="3">
        <v>45694.249490740738</v>
      </c>
      <c r="B383" t="s">
        <v>65</v>
      </c>
      <c r="C383" s="3">
        <v>45694.257974537039</v>
      </c>
      <c r="D383" t="s">
        <v>209</v>
      </c>
      <c r="E383" s="4">
        <v>0.75700000000000001</v>
      </c>
      <c r="F383" s="4">
        <v>39779.105000000003</v>
      </c>
      <c r="G383" s="4">
        <v>39779.862000000001</v>
      </c>
      <c r="H383" s="5">
        <f>479 / 86400</f>
        <v>5.5439814814814813E-3</v>
      </c>
      <c r="I383" t="s">
        <v>27</v>
      </c>
      <c r="J383" t="s">
        <v>82</v>
      </c>
      <c r="K383" s="5">
        <f>732 / 86400</f>
        <v>8.472222222222223E-3</v>
      </c>
      <c r="L383" s="5">
        <f>23546 / 86400</f>
        <v>0.27252314814814815</v>
      </c>
    </row>
    <row r="384" spans="1:12" x14ac:dyDescent="0.25">
      <c r="A384" s="3">
        <v>45694.281006944446</v>
      </c>
      <c r="B384" t="s">
        <v>209</v>
      </c>
      <c r="C384" s="3">
        <v>45694.284722222219</v>
      </c>
      <c r="D384" t="s">
        <v>209</v>
      </c>
      <c r="E384" s="4">
        <v>0</v>
      </c>
      <c r="F384" s="4">
        <v>39779.862000000001</v>
      </c>
      <c r="G384" s="4">
        <v>39779.862000000001</v>
      </c>
      <c r="H384" s="5">
        <f>319 / 86400</f>
        <v>3.6921296296296298E-3</v>
      </c>
      <c r="I384" t="s">
        <v>23</v>
      </c>
      <c r="J384" t="s">
        <v>23</v>
      </c>
      <c r="K384" s="5">
        <f>321 / 86400</f>
        <v>3.7152777777777778E-3</v>
      </c>
      <c r="L384" s="5">
        <f>195 / 86400</f>
        <v>2.2569444444444442E-3</v>
      </c>
    </row>
    <row r="385" spans="1:12" x14ac:dyDescent="0.25">
      <c r="A385" s="3">
        <v>45694.286979166667</v>
      </c>
      <c r="B385" t="s">
        <v>209</v>
      </c>
      <c r="C385" s="3">
        <v>45694.287361111114</v>
      </c>
      <c r="D385" t="s">
        <v>209</v>
      </c>
      <c r="E385" s="4">
        <v>0</v>
      </c>
      <c r="F385" s="4">
        <v>39779.862000000001</v>
      </c>
      <c r="G385" s="4">
        <v>39779.862000000001</v>
      </c>
      <c r="H385" s="5">
        <f>19 / 86400</f>
        <v>2.199074074074074E-4</v>
      </c>
      <c r="I385" t="s">
        <v>23</v>
      </c>
      <c r="J385" t="s">
        <v>23</v>
      </c>
      <c r="K385" s="5">
        <f>33 / 86400</f>
        <v>3.8194444444444446E-4</v>
      </c>
      <c r="L385" s="5">
        <f>211 / 86400</f>
        <v>2.4421296296296296E-3</v>
      </c>
    </row>
    <row r="386" spans="1:12" x14ac:dyDescent="0.25">
      <c r="A386" s="3">
        <v>45694.289803240739</v>
      </c>
      <c r="B386" t="s">
        <v>209</v>
      </c>
      <c r="C386" s="3">
        <v>45694.290231481486</v>
      </c>
      <c r="D386" t="s">
        <v>209</v>
      </c>
      <c r="E386" s="4">
        <v>0</v>
      </c>
      <c r="F386" s="4">
        <v>39779.862000000001</v>
      </c>
      <c r="G386" s="4">
        <v>39779.862000000001</v>
      </c>
      <c r="H386" s="5">
        <f>19 / 86400</f>
        <v>2.199074074074074E-4</v>
      </c>
      <c r="I386" t="s">
        <v>23</v>
      </c>
      <c r="J386" t="s">
        <v>23</v>
      </c>
      <c r="K386" s="5">
        <f>36 / 86400</f>
        <v>4.1666666666666669E-4</v>
      </c>
      <c r="L386" s="5">
        <f>44616 / 86400</f>
        <v>0.5163888888888889</v>
      </c>
    </row>
    <row r="387" spans="1:12" x14ac:dyDescent="0.25">
      <c r="A387" s="3">
        <v>45694.806620370371</v>
      </c>
      <c r="B387" t="s">
        <v>128</v>
      </c>
      <c r="C387" s="3">
        <v>45694.844259259262</v>
      </c>
      <c r="D387" t="s">
        <v>66</v>
      </c>
      <c r="E387" s="4">
        <v>16.827999999999999</v>
      </c>
      <c r="F387" s="4">
        <v>39779.862000000001</v>
      </c>
      <c r="G387" s="4">
        <v>39796.69</v>
      </c>
      <c r="H387" s="5">
        <f>579 / 86400</f>
        <v>6.7013888888888887E-3</v>
      </c>
      <c r="I387" t="s">
        <v>67</v>
      </c>
      <c r="J387" t="s">
        <v>20</v>
      </c>
      <c r="K387" s="5">
        <f>3252 / 86400</f>
        <v>3.7638888888888888E-2</v>
      </c>
      <c r="L387" s="5">
        <f>13455 / 86400</f>
        <v>0.15572916666666667</v>
      </c>
    </row>
    <row r="388" spans="1:1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1:12" s="10" customFormat="1" ht="20.100000000000001" customHeight="1" x14ac:dyDescent="0.35">
      <c r="A390" s="15" t="s">
        <v>305</v>
      </c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2" ht="30" x14ac:dyDescent="0.25">
      <c r="A392" s="2" t="s">
        <v>6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11</v>
      </c>
      <c r="G392" s="2" t="s">
        <v>12</v>
      </c>
      <c r="H392" s="2" t="s">
        <v>13</v>
      </c>
      <c r="I392" s="2" t="s">
        <v>14</v>
      </c>
      <c r="J392" s="2" t="s">
        <v>15</v>
      </c>
      <c r="K392" s="2" t="s">
        <v>16</v>
      </c>
      <c r="L392" s="2" t="s">
        <v>17</v>
      </c>
    </row>
    <row r="393" spans="1:12" x14ac:dyDescent="0.25">
      <c r="A393" s="3">
        <v>45694</v>
      </c>
      <c r="B393" t="s">
        <v>38</v>
      </c>
      <c r="C393" s="3">
        <v>45694.000439814816</v>
      </c>
      <c r="D393" t="s">
        <v>210</v>
      </c>
      <c r="E393" s="4">
        <v>2.1000000000000001E-2</v>
      </c>
      <c r="F393" s="4">
        <v>44521.684000000001</v>
      </c>
      <c r="G393" s="4">
        <v>44521.705000000002</v>
      </c>
      <c r="H393" s="5">
        <f>20 / 86400</f>
        <v>2.3148148148148149E-4</v>
      </c>
      <c r="I393" t="s">
        <v>62</v>
      </c>
      <c r="J393" t="s">
        <v>88</v>
      </c>
      <c r="K393" s="5">
        <f>38 / 86400</f>
        <v>4.3981481481481481E-4</v>
      </c>
      <c r="L393" s="5">
        <f>297 / 86400</f>
        <v>3.4375E-3</v>
      </c>
    </row>
    <row r="394" spans="1:12" x14ac:dyDescent="0.25">
      <c r="A394" s="3">
        <v>45694.003877314812</v>
      </c>
      <c r="B394" t="s">
        <v>210</v>
      </c>
      <c r="C394" s="3">
        <v>45694.004398148143</v>
      </c>
      <c r="D394" t="s">
        <v>38</v>
      </c>
      <c r="E394" s="4">
        <v>5.1999999999999998E-2</v>
      </c>
      <c r="F394" s="4">
        <v>44521.705000000002</v>
      </c>
      <c r="G394" s="4">
        <v>44521.756999999998</v>
      </c>
      <c r="H394" s="5">
        <f>20 / 86400</f>
        <v>2.3148148148148149E-4</v>
      </c>
      <c r="I394" t="s">
        <v>116</v>
      </c>
      <c r="J394" t="s">
        <v>82</v>
      </c>
      <c r="K394" s="5">
        <f>44 / 86400</f>
        <v>5.0925925925925921E-4</v>
      </c>
      <c r="L394" s="5">
        <f>570 / 86400</f>
        <v>6.5972222222222222E-3</v>
      </c>
    </row>
    <row r="395" spans="1:12" x14ac:dyDescent="0.25">
      <c r="A395" s="3">
        <v>45694.010995370365</v>
      </c>
      <c r="B395" t="s">
        <v>211</v>
      </c>
      <c r="C395" s="3">
        <v>45694.014398148152</v>
      </c>
      <c r="D395" t="s">
        <v>38</v>
      </c>
      <c r="E395" s="4">
        <v>1.34</v>
      </c>
      <c r="F395" s="4">
        <v>44521.756999999998</v>
      </c>
      <c r="G395" s="4">
        <v>44523.097000000002</v>
      </c>
      <c r="H395" s="5">
        <f>100 / 86400</f>
        <v>1.1574074074074073E-3</v>
      </c>
      <c r="I395" t="s">
        <v>59</v>
      </c>
      <c r="J395" t="s">
        <v>34</v>
      </c>
      <c r="K395" s="5">
        <f>294 / 86400</f>
        <v>3.4027777777777776E-3</v>
      </c>
      <c r="L395" s="5">
        <f>252 / 86400</f>
        <v>2.9166666666666668E-3</v>
      </c>
    </row>
    <row r="396" spans="1:12" x14ac:dyDescent="0.25">
      <c r="A396" s="3">
        <v>45694.017314814817</v>
      </c>
      <c r="B396" t="s">
        <v>38</v>
      </c>
      <c r="C396" s="3">
        <v>45694.017592592594</v>
      </c>
      <c r="D396" t="s">
        <v>38</v>
      </c>
      <c r="E396" s="4">
        <v>4.4999999999999998E-2</v>
      </c>
      <c r="F396" s="4">
        <v>44523.097000000002</v>
      </c>
      <c r="G396" s="4">
        <v>44523.142</v>
      </c>
      <c r="H396" s="5">
        <f>0 / 86400</f>
        <v>0</v>
      </c>
      <c r="I396" t="s">
        <v>46</v>
      </c>
      <c r="J396" t="s">
        <v>22</v>
      </c>
      <c r="K396" s="5">
        <f>24 / 86400</f>
        <v>2.7777777777777778E-4</v>
      </c>
      <c r="L396" s="5">
        <f>22969 / 86400</f>
        <v>0.2658449074074074</v>
      </c>
    </row>
    <row r="397" spans="1:12" x14ac:dyDescent="0.25">
      <c r="A397" s="3">
        <v>45694.283437499995</v>
      </c>
      <c r="B397" t="s">
        <v>38</v>
      </c>
      <c r="C397" s="3">
        <v>45694.495092592595</v>
      </c>
      <c r="D397" t="s">
        <v>136</v>
      </c>
      <c r="E397" s="4">
        <v>83.79</v>
      </c>
      <c r="F397" s="4">
        <v>44523.142</v>
      </c>
      <c r="G397" s="4">
        <v>44606.932000000001</v>
      </c>
      <c r="H397" s="5">
        <f>6218 / 86400</f>
        <v>7.1967592592592597E-2</v>
      </c>
      <c r="I397" t="s">
        <v>152</v>
      </c>
      <c r="J397" t="s">
        <v>34</v>
      </c>
      <c r="K397" s="5">
        <f>18287 / 86400</f>
        <v>0.2116550925925926</v>
      </c>
      <c r="L397" s="5">
        <f>3429 / 86400</f>
        <v>3.9687500000000001E-2</v>
      </c>
    </row>
    <row r="398" spans="1:12" x14ac:dyDescent="0.25">
      <c r="A398" s="3">
        <v>45694.534780092596</v>
      </c>
      <c r="B398" t="s">
        <v>136</v>
      </c>
      <c r="C398" s="3">
        <v>45694.552037037036</v>
      </c>
      <c r="D398" t="s">
        <v>212</v>
      </c>
      <c r="E398" s="4">
        <v>8.0150000000000006</v>
      </c>
      <c r="F398" s="4">
        <v>44606.932000000001</v>
      </c>
      <c r="G398" s="4">
        <v>44614.947</v>
      </c>
      <c r="H398" s="5">
        <f>340 / 86400</f>
        <v>3.9351851851851848E-3</v>
      </c>
      <c r="I398" t="s">
        <v>213</v>
      </c>
      <c r="J398" t="s">
        <v>20</v>
      </c>
      <c r="K398" s="5">
        <f>1490 / 86400</f>
        <v>1.7245370370370369E-2</v>
      </c>
      <c r="L398" s="5">
        <f>103 / 86400</f>
        <v>1.1921296296296296E-3</v>
      </c>
    </row>
    <row r="399" spans="1:12" x14ac:dyDescent="0.25">
      <c r="A399" s="3">
        <v>45694.553229166668</v>
      </c>
      <c r="B399" t="s">
        <v>212</v>
      </c>
      <c r="C399" s="3">
        <v>45694.553402777776</v>
      </c>
      <c r="D399" t="s">
        <v>212</v>
      </c>
      <c r="E399" s="4">
        <v>1.2E-2</v>
      </c>
      <c r="F399" s="4">
        <v>44614.947</v>
      </c>
      <c r="G399" s="4">
        <v>44614.959000000003</v>
      </c>
      <c r="H399" s="5">
        <f>0 / 86400</f>
        <v>0</v>
      </c>
      <c r="I399" t="s">
        <v>141</v>
      </c>
      <c r="J399" t="s">
        <v>151</v>
      </c>
      <c r="K399" s="5">
        <f>15 / 86400</f>
        <v>1.7361111111111112E-4</v>
      </c>
      <c r="L399" s="5">
        <f>1090 / 86400</f>
        <v>1.2615740740740742E-2</v>
      </c>
    </row>
    <row r="400" spans="1:12" x14ac:dyDescent="0.25">
      <c r="A400" s="3">
        <v>45694.566018518519</v>
      </c>
      <c r="B400" t="s">
        <v>212</v>
      </c>
      <c r="C400" s="3">
        <v>45694.717048611114</v>
      </c>
      <c r="D400" t="s">
        <v>38</v>
      </c>
      <c r="E400" s="4">
        <v>75.885999999999996</v>
      </c>
      <c r="F400" s="4">
        <v>44614.959000000003</v>
      </c>
      <c r="G400" s="4">
        <v>44690.845000000001</v>
      </c>
      <c r="H400" s="5">
        <f>3761 / 86400</f>
        <v>4.3530092592592592E-2</v>
      </c>
      <c r="I400" t="s">
        <v>92</v>
      </c>
      <c r="J400" t="s">
        <v>85</v>
      </c>
      <c r="K400" s="5">
        <f>13049 / 86400</f>
        <v>0.15103009259259259</v>
      </c>
      <c r="L400" s="5">
        <f>288 / 86400</f>
        <v>3.3333333333333335E-3</v>
      </c>
    </row>
    <row r="401" spans="1:12" x14ac:dyDescent="0.25">
      <c r="A401" s="3">
        <v>45694.72038194444</v>
      </c>
      <c r="B401" t="s">
        <v>38</v>
      </c>
      <c r="C401" s="3">
        <v>45694.722731481481</v>
      </c>
      <c r="D401" t="s">
        <v>143</v>
      </c>
      <c r="E401" s="4">
        <v>1.351</v>
      </c>
      <c r="F401" s="4">
        <v>44690.845000000001</v>
      </c>
      <c r="G401" s="4">
        <v>44692.196000000004</v>
      </c>
      <c r="H401" s="5">
        <f>40 / 86400</f>
        <v>4.6296296296296298E-4</v>
      </c>
      <c r="I401" t="s">
        <v>214</v>
      </c>
      <c r="J401" t="s">
        <v>153</v>
      </c>
      <c r="K401" s="5">
        <f>203 / 86400</f>
        <v>2.3495370370370371E-3</v>
      </c>
      <c r="L401" s="5">
        <f>331 / 86400</f>
        <v>3.8310185185185183E-3</v>
      </c>
    </row>
    <row r="402" spans="1:12" x14ac:dyDescent="0.25">
      <c r="A402" s="3">
        <v>45694.7265625</v>
      </c>
      <c r="B402" t="s">
        <v>143</v>
      </c>
      <c r="C402" s="3">
        <v>45694.849074074074</v>
      </c>
      <c r="D402" t="s">
        <v>215</v>
      </c>
      <c r="E402" s="4">
        <v>56.073</v>
      </c>
      <c r="F402" s="4">
        <v>44692.196000000004</v>
      </c>
      <c r="G402" s="4">
        <v>44748.269</v>
      </c>
      <c r="H402" s="5">
        <f>2620 / 86400</f>
        <v>3.0324074074074073E-2</v>
      </c>
      <c r="I402" t="s">
        <v>107</v>
      </c>
      <c r="J402" t="s">
        <v>20</v>
      </c>
      <c r="K402" s="5">
        <f>10584 / 86400</f>
        <v>0.1225</v>
      </c>
      <c r="L402" s="5">
        <f>20 / 86400</f>
        <v>2.3148148148148149E-4</v>
      </c>
    </row>
    <row r="403" spans="1:12" x14ac:dyDescent="0.25">
      <c r="A403" s="3">
        <v>45694.849305555559</v>
      </c>
      <c r="B403" t="s">
        <v>215</v>
      </c>
      <c r="C403" s="3">
        <v>45694.849895833337</v>
      </c>
      <c r="D403" t="s">
        <v>215</v>
      </c>
      <c r="E403" s="4">
        <v>0</v>
      </c>
      <c r="F403" s="4">
        <v>44748.269</v>
      </c>
      <c r="G403" s="4">
        <v>44748.269</v>
      </c>
      <c r="H403" s="5">
        <f>39 / 86400</f>
        <v>4.5138888888888887E-4</v>
      </c>
      <c r="I403" t="s">
        <v>23</v>
      </c>
      <c r="J403" t="s">
        <v>23</v>
      </c>
      <c r="K403" s="5">
        <f>51 / 86400</f>
        <v>5.9027777777777778E-4</v>
      </c>
      <c r="L403" s="5">
        <f>153 / 86400</f>
        <v>1.7708333333333332E-3</v>
      </c>
    </row>
    <row r="404" spans="1:12" x14ac:dyDescent="0.25">
      <c r="A404" s="3">
        <v>45694.851666666669</v>
      </c>
      <c r="B404" t="s">
        <v>215</v>
      </c>
      <c r="C404" s="3">
        <v>45694.99998842593</v>
      </c>
      <c r="D404" t="s">
        <v>68</v>
      </c>
      <c r="E404" s="4">
        <v>63.261000000000003</v>
      </c>
      <c r="F404" s="4">
        <v>44748.269</v>
      </c>
      <c r="G404" s="4">
        <v>44811.53</v>
      </c>
      <c r="H404" s="5">
        <f>4921 / 86400</f>
        <v>5.6956018518518517E-2</v>
      </c>
      <c r="I404" t="s">
        <v>69</v>
      </c>
      <c r="J404" t="s">
        <v>30</v>
      </c>
      <c r="K404" s="5">
        <f>12815 / 86400</f>
        <v>0.14832175925925925</v>
      </c>
      <c r="L404" s="5">
        <f>0 / 86400</f>
        <v>0</v>
      </c>
    </row>
    <row r="405" spans="1:1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1:1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2" s="10" customFormat="1" ht="20.100000000000001" customHeight="1" x14ac:dyDescent="0.35">
      <c r="A407" s="15" t="s">
        <v>306</v>
      </c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1:12" ht="30" x14ac:dyDescent="0.25">
      <c r="A409" s="2" t="s">
        <v>6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11</v>
      </c>
      <c r="G409" s="2" t="s">
        <v>12</v>
      </c>
      <c r="H409" s="2" t="s">
        <v>13</v>
      </c>
      <c r="I409" s="2" t="s">
        <v>14</v>
      </c>
      <c r="J409" s="2" t="s">
        <v>15</v>
      </c>
      <c r="K409" s="2" t="s">
        <v>16</v>
      </c>
      <c r="L409" s="2" t="s">
        <v>17</v>
      </c>
    </row>
    <row r="410" spans="1:12" x14ac:dyDescent="0.25">
      <c r="A410" s="3">
        <v>45694</v>
      </c>
      <c r="B410" t="s">
        <v>70</v>
      </c>
      <c r="C410" s="3">
        <v>45694.008391203708</v>
      </c>
      <c r="D410" t="s">
        <v>100</v>
      </c>
      <c r="E410" s="4">
        <v>3.6160000000596044</v>
      </c>
      <c r="F410" s="4">
        <v>525926.701</v>
      </c>
      <c r="G410" s="4">
        <v>525930.31700000004</v>
      </c>
      <c r="H410" s="5">
        <f>360 / 86400</f>
        <v>4.1666666666666666E-3</v>
      </c>
      <c r="I410" t="s">
        <v>152</v>
      </c>
      <c r="J410" t="s">
        <v>30</v>
      </c>
      <c r="K410" s="5">
        <f>725 / 86400</f>
        <v>8.3912037037037045E-3</v>
      </c>
      <c r="L410" s="5">
        <f>548 / 86400</f>
        <v>6.3425925925925924E-3</v>
      </c>
    </row>
    <row r="411" spans="1:12" x14ac:dyDescent="0.25">
      <c r="A411" s="3">
        <v>45694.014733796299</v>
      </c>
      <c r="B411" t="s">
        <v>100</v>
      </c>
      <c r="C411" s="3">
        <v>45694.072650462964</v>
      </c>
      <c r="D411" t="s">
        <v>83</v>
      </c>
      <c r="E411" s="4">
        <v>29.34399999988079</v>
      </c>
      <c r="F411" s="4">
        <v>525930.31700000004</v>
      </c>
      <c r="G411" s="4">
        <v>525959.66099999996</v>
      </c>
      <c r="H411" s="5">
        <f>1239 / 86400</f>
        <v>1.4340277777777778E-2</v>
      </c>
      <c r="I411" t="s">
        <v>152</v>
      </c>
      <c r="J411" t="s">
        <v>85</v>
      </c>
      <c r="K411" s="5">
        <f>5004 / 86400</f>
        <v>5.7916666666666665E-2</v>
      </c>
      <c r="L411" s="5">
        <f>609 / 86400</f>
        <v>7.0486111111111114E-3</v>
      </c>
    </row>
    <row r="412" spans="1:12" x14ac:dyDescent="0.25">
      <c r="A412" s="3">
        <v>45694.079699074078</v>
      </c>
      <c r="B412" t="s">
        <v>83</v>
      </c>
      <c r="C412" s="3">
        <v>45694.085891203707</v>
      </c>
      <c r="D412" t="s">
        <v>216</v>
      </c>
      <c r="E412" s="4">
        <v>2.9160000001192095</v>
      </c>
      <c r="F412" s="4">
        <v>525959.66099999996</v>
      </c>
      <c r="G412" s="4">
        <v>525962.57700000005</v>
      </c>
      <c r="H412" s="5">
        <f>20 / 86400</f>
        <v>2.3148148148148149E-4</v>
      </c>
      <c r="I412" t="s">
        <v>140</v>
      </c>
      <c r="J412" t="s">
        <v>27</v>
      </c>
      <c r="K412" s="5">
        <f>535 / 86400</f>
        <v>6.1921296296296299E-3</v>
      </c>
      <c r="L412" s="5">
        <f>1344 / 86400</f>
        <v>1.5555555555555555E-2</v>
      </c>
    </row>
    <row r="413" spans="1:12" x14ac:dyDescent="0.25">
      <c r="A413" s="3">
        <v>45694.101446759261</v>
      </c>
      <c r="B413" t="s">
        <v>216</v>
      </c>
      <c r="C413" s="3">
        <v>45694.116261574076</v>
      </c>
      <c r="D413" t="s">
        <v>143</v>
      </c>
      <c r="E413" s="4">
        <v>5.7409999999403958</v>
      </c>
      <c r="F413" s="4">
        <v>525962.57700000005</v>
      </c>
      <c r="G413" s="4">
        <v>525968.31799999997</v>
      </c>
      <c r="H413" s="5">
        <f>100 / 86400</f>
        <v>1.1574074074074073E-3</v>
      </c>
      <c r="I413" t="s">
        <v>42</v>
      </c>
      <c r="J413" t="s">
        <v>34</v>
      </c>
      <c r="K413" s="5">
        <f>1280 / 86400</f>
        <v>1.4814814814814815E-2</v>
      </c>
      <c r="L413" s="5">
        <f>583 / 86400</f>
        <v>6.7476851851851856E-3</v>
      </c>
    </row>
    <row r="414" spans="1:12" x14ac:dyDescent="0.25">
      <c r="A414" s="3">
        <v>45694.12300925926</v>
      </c>
      <c r="B414" t="s">
        <v>143</v>
      </c>
      <c r="C414" s="3">
        <v>45694.126296296294</v>
      </c>
      <c r="D414" t="s">
        <v>38</v>
      </c>
      <c r="E414" s="4">
        <v>1.069</v>
      </c>
      <c r="F414" s="4">
        <v>525968.31799999997</v>
      </c>
      <c r="G414" s="4">
        <v>525969.38699999999</v>
      </c>
      <c r="H414" s="5">
        <f>99 / 86400</f>
        <v>1.1458333333333333E-3</v>
      </c>
      <c r="I414" t="s">
        <v>174</v>
      </c>
      <c r="J414" t="s">
        <v>52</v>
      </c>
      <c r="K414" s="5">
        <f>283 / 86400</f>
        <v>3.2754629629629631E-3</v>
      </c>
      <c r="L414" s="5">
        <f>2359 / 86400</f>
        <v>2.7303240740740739E-2</v>
      </c>
    </row>
    <row r="415" spans="1:12" x14ac:dyDescent="0.25">
      <c r="A415" s="3">
        <v>45694.153599537036</v>
      </c>
      <c r="B415" t="s">
        <v>210</v>
      </c>
      <c r="C415" s="3">
        <v>45694.157048611116</v>
      </c>
      <c r="D415" t="s">
        <v>210</v>
      </c>
      <c r="E415" s="4">
        <v>0.84200000005960463</v>
      </c>
      <c r="F415" s="4">
        <v>525969.38699999999</v>
      </c>
      <c r="G415" s="4">
        <v>525970.22900000005</v>
      </c>
      <c r="H415" s="5">
        <f>60 / 86400</f>
        <v>6.9444444444444447E-4</v>
      </c>
      <c r="I415" t="s">
        <v>81</v>
      </c>
      <c r="J415" t="s">
        <v>116</v>
      </c>
      <c r="K415" s="5">
        <f>298 / 86400</f>
        <v>3.449074074074074E-3</v>
      </c>
      <c r="L415" s="5">
        <f>3690 / 86400</f>
        <v>4.2708333333333334E-2</v>
      </c>
    </row>
    <row r="416" spans="1:12" x14ac:dyDescent="0.25">
      <c r="A416" s="3">
        <v>45694.199756944443</v>
      </c>
      <c r="B416" t="s">
        <v>210</v>
      </c>
      <c r="C416" s="3">
        <v>45694.356863425928</v>
      </c>
      <c r="D416" t="s">
        <v>128</v>
      </c>
      <c r="E416" s="4">
        <v>83.443999999880788</v>
      </c>
      <c r="F416" s="4">
        <v>525970.22900000005</v>
      </c>
      <c r="G416" s="4">
        <v>526053.67299999995</v>
      </c>
      <c r="H416" s="5">
        <f>3359 / 86400</f>
        <v>3.8877314814814816E-2</v>
      </c>
      <c r="I416" t="s">
        <v>107</v>
      </c>
      <c r="J416" t="s">
        <v>138</v>
      </c>
      <c r="K416" s="5">
        <f>13574 / 86400</f>
        <v>0.15710648148148149</v>
      </c>
      <c r="L416" s="5">
        <f>1592 / 86400</f>
        <v>1.8425925925925925E-2</v>
      </c>
    </row>
    <row r="417" spans="1:12" x14ac:dyDescent="0.25">
      <c r="A417" s="3">
        <v>45694.375289351854</v>
      </c>
      <c r="B417" t="s">
        <v>128</v>
      </c>
      <c r="C417" s="3">
        <v>45694.380196759259</v>
      </c>
      <c r="D417" t="s">
        <v>133</v>
      </c>
      <c r="E417" s="4">
        <v>1.3080000000596046</v>
      </c>
      <c r="F417" s="4">
        <v>526053.67299999995</v>
      </c>
      <c r="G417" s="4">
        <v>526054.98100000003</v>
      </c>
      <c r="H417" s="5">
        <f>19 / 86400</f>
        <v>2.199074074074074E-4</v>
      </c>
      <c r="I417" t="s">
        <v>167</v>
      </c>
      <c r="J417" t="s">
        <v>75</v>
      </c>
      <c r="K417" s="5">
        <f>424 / 86400</f>
        <v>4.9074074074074072E-3</v>
      </c>
      <c r="L417" s="5">
        <f>1109 / 86400</f>
        <v>1.2835648148148148E-2</v>
      </c>
    </row>
    <row r="418" spans="1:12" x14ac:dyDescent="0.25">
      <c r="A418" s="3">
        <v>45694.393032407403</v>
      </c>
      <c r="B418" t="s">
        <v>133</v>
      </c>
      <c r="C418" s="3">
        <v>45694.489745370374</v>
      </c>
      <c r="D418" t="s">
        <v>71</v>
      </c>
      <c r="E418" s="4">
        <v>48.23</v>
      </c>
      <c r="F418" s="4">
        <v>526054.98100000003</v>
      </c>
      <c r="G418" s="4">
        <v>526103.21100000001</v>
      </c>
      <c r="H418" s="5">
        <f>2340 / 86400</f>
        <v>2.7083333333333334E-2</v>
      </c>
      <c r="I418" t="s">
        <v>146</v>
      </c>
      <c r="J418" t="s">
        <v>85</v>
      </c>
      <c r="K418" s="5">
        <f>8356 / 86400</f>
        <v>9.6712962962962959E-2</v>
      </c>
      <c r="L418" s="5">
        <f>72 / 86400</f>
        <v>8.3333333333333339E-4</v>
      </c>
    </row>
    <row r="419" spans="1:12" x14ac:dyDescent="0.25">
      <c r="A419" s="3">
        <v>45694.490578703699</v>
      </c>
      <c r="B419" t="s">
        <v>71</v>
      </c>
      <c r="C419" s="3">
        <v>45694.596597222218</v>
      </c>
      <c r="D419" t="s">
        <v>217</v>
      </c>
      <c r="E419" s="4">
        <v>46.764000000000003</v>
      </c>
      <c r="F419" s="4">
        <v>526103.21100000001</v>
      </c>
      <c r="G419" s="4">
        <v>526149.97499999998</v>
      </c>
      <c r="H419" s="5">
        <f>2781 / 86400</f>
        <v>3.2187500000000001E-2</v>
      </c>
      <c r="I419" t="s">
        <v>202</v>
      </c>
      <c r="J419" t="s">
        <v>30</v>
      </c>
      <c r="K419" s="5">
        <f>9159 / 86400</f>
        <v>0.10600694444444445</v>
      </c>
      <c r="L419" s="5">
        <f>123 / 86400</f>
        <v>1.4236111111111112E-3</v>
      </c>
    </row>
    <row r="420" spans="1:12" x14ac:dyDescent="0.25">
      <c r="A420" s="3">
        <v>45694.598020833335</v>
      </c>
      <c r="B420" t="s">
        <v>217</v>
      </c>
      <c r="C420" s="3">
        <v>45694.599606481483</v>
      </c>
      <c r="D420" t="s">
        <v>136</v>
      </c>
      <c r="E420" s="4">
        <v>0.71099999999999997</v>
      </c>
      <c r="F420" s="4">
        <v>526149.97499999998</v>
      </c>
      <c r="G420" s="4">
        <v>526150.68599999999</v>
      </c>
      <c r="H420" s="5">
        <f>0 / 86400</f>
        <v>0</v>
      </c>
      <c r="I420" t="s">
        <v>154</v>
      </c>
      <c r="J420" t="s">
        <v>20</v>
      </c>
      <c r="K420" s="5">
        <f>137 / 86400</f>
        <v>1.5856481481481481E-3</v>
      </c>
      <c r="L420" s="5">
        <f>550 / 86400</f>
        <v>6.3657407407407404E-3</v>
      </c>
    </row>
    <row r="421" spans="1:12" x14ac:dyDescent="0.25">
      <c r="A421" s="3">
        <v>45694.605972222227</v>
      </c>
      <c r="B421" t="s">
        <v>136</v>
      </c>
      <c r="C421" s="3">
        <v>45694.608587962968</v>
      </c>
      <c r="D421" t="s">
        <v>39</v>
      </c>
      <c r="E421" s="4">
        <v>1.0349999999999999</v>
      </c>
      <c r="F421" s="4">
        <v>526150.68599999999</v>
      </c>
      <c r="G421" s="4">
        <v>526151.72100000002</v>
      </c>
      <c r="H421" s="5">
        <f>0 / 86400</f>
        <v>0</v>
      </c>
      <c r="I421" t="s">
        <v>218</v>
      </c>
      <c r="J421" t="s">
        <v>34</v>
      </c>
      <c r="K421" s="5">
        <f>226 / 86400</f>
        <v>2.6157407407407405E-3</v>
      </c>
      <c r="L421" s="5">
        <f>474 / 86400</f>
        <v>5.4861111111111109E-3</v>
      </c>
    </row>
    <row r="422" spans="1:12" x14ac:dyDescent="0.25">
      <c r="A422" s="3">
        <v>45694.614074074074</v>
      </c>
      <c r="B422" t="s">
        <v>39</v>
      </c>
      <c r="C422" s="3">
        <v>45694.615358796298</v>
      </c>
      <c r="D422" t="s">
        <v>128</v>
      </c>
      <c r="E422" s="4">
        <v>8.5999999999999993E-2</v>
      </c>
      <c r="F422" s="4">
        <v>526151.72100000002</v>
      </c>
      <c r="G422" s="4">
        <v>526151.80700000003</v>
      </c>
      <c r="H422" s="5">
        <f>40 / 86400</f>
        <v>4.6296296296296298E-4</v>
      </c>
      <c r="I422" t="s">
        <v>62</v>
      </c>
      <c r="J422" t="s">
        <v>151</v>
      </c>
      <c r="K422" s="5">
        <f>110 / 86400</f>
        <v>1.2731481481481483E-3</v>
      </c>
      <c r="L422" s="5">
        <f>739 / 86400</f>
        <v>8.5532407407407415E-3</v>
      </c>
    </row>
    <row r="423" spans="1:12" x14ac:dyDescent="0.25">
      <c r="A423" s="3">
        <v>45694.623912037037</v>
      </c>
      <c r="B423" t="s">
        <v>128</v>
      </c>
      <c r="C423" s="3">
        <v>45694.625</v>
      </c>
      <c r="D423" t="s">
        <v>128</v>
      </c>
      <c r="E423" s="4">
        <v>3.5999999999999997E-2</v>
      </c>
      <c r="F423" s="4">
        <v>526151.80700000003</v>
      </c>
      <c r="G423" s="4">
        <v>526151.84299999999</v>
      </c>
      <c r="H423" s="5">
        <f>39 / 86400</f>
        <v>4.5138888888888887E-4</v>
      </c>
      <c r="I423" t="s">
        <v>22</v>
      </c>
      <c r="J423" t="s">
        <v>141</v>
      </c>
      <c r="K423" s="5">
        <f>93 / 86400</f>
        <v>1.0763888888888889E-3</v>
      </c>
      <c r="L423" s="5">
        <f>12 / 86400</f>
        <v>1.3888888888888889E-4</v>
      </c>
    </row>
    <row r="424" spans="1:12" x14ac:dyDescent="0.25">
      <c r="A424" s="3">
        <v>45694.625138888892</v>
      </c>
      <c r="B424" t="s">
        <v>128</v>
      </c>
      <c r="C424" s="3">
        <v>45694.638472222221</v>
      </c>
      <c r="D424" t="s">
        <v>128</v>
      </c>
      <c r="E424" s="4">
        <v>0</v>
      </c>
      <c r="F424" s="4">
        <v>526151.84299999999</v>
      </c>
      <c r="G424" s="4">
        <v>526151.84299999999</v>
      </c>
      <c r="H424" s="5">
        <f>1143 / 86400</f>
        <v>1.3229166666666667E-2</v>
      </c>
      <c r="I424" t="s">
        <v>23</v>
      </c>
      <c r="J424" t="s">
        <v>23</v>
      </c>
      <c r="K424" s="5">
        <f>1152 / 86400</f>
        <v>1.3333333333333334E-2</v>
      </c>
      <c r="L424" s="5">
        <f>115 / 86400</f>
        <v>1.3310185185185185E-3</v>
      </c>
    </row>
    <row r="425" spans="1:12" x14ac:dyDescent="0.25">
      <c r="A425" s="3">
        <v>45694.639803240745</v>
      </c>
      <c r="B425" t="s">
        <v>128</v>
      </c>
      <c r="C425" s="3">
        <v>45694.63994212963</v>
      </c>
      <c r="D425" t="s">
        <v>128</v>
      </c>
      <c r="E425" s="4">
        <v>0</v>
      </c>
      <c r="F425" s="4">
        <v>526151.84299999999</v>
      </c>
      <c r="G425" s="4">
        <v>526151.84299999999</v>
      </c>
      <c r="H425" s="5">
        <f>0 / 86400</f>
        <v>0</v>
      </c>
      <c r="I425" t="s">
        <v>23</v>
      </c>
      <c r="J425" t="s">
        <v>23</v>
      </c>
      <c r="K425" s="5">
        <f>12 / 86400</f>
        <v>1.3888888888888889E-4</v>
      </c>
      <c r="L425" s="5">
        <f>1740 / 86400</f>
        <v>2.013888888888889E-2</v>
      </c>
    </row>
    <row r="426" spans="1:12" x14ac:dyDescent="0.25">
      <c r="A426" s="3">
        <v>45694.660081018519</v>
      </c>
      <c r="B426" t="s">
        <v>128</v>
      </c>
      <c r="C426" s="3">
        <v>45694.661805555559</v>
      </c>
      <c r="D426" t="s">
        <v>209</v>
      </c>
      <c r="E426" s="4">
        <v>0.17699999999999999</v>
      </c>
      <c r="F426" s="4">
        <v>526151.84299999999</v>
      </c>
      <c r="G426" s="4">
        <v>526152.02</v>
      </c>
      <c r="H426" s="5">
        <f>59 / 86400</f>
        <v>6.8287037037037036E-4</v>
      </c>
      <c r="I426" t="s">
        <v>46</v>
      </c>
      <c r="J426" t="s">
        <v>82</v>
      </c>
      <c r="K426" s="5">
        <f>149 / 86400</f>
        <v>1.724537037037037E-3</v>
      </c>
      <c r="L426" s="5">
        <f>1155 / 86400</f>
        <v>1.3368055555555555E-2</v>
      </c>
    </row>
    <row r="427" spans="1:12" x14ac:dyDescent="0.25">
      <c r="A427" s="3">
        <v>45694.675173611111</v>
      </c>
      <c r="B427" t="s">
        <v>209</v>
      </c>
      <c r="C427" s="3">
        <v>45694.677881944444</v>
      </c>
      <c r="D427" t="s">
        <v>199</v>
      </c>
      <c r="E427" s="4">
        <v>0.66999999994039539</v>
      </c>
      <c r="F427" s="4">
        <v>526152.02</v>
      </c>
      <c r="G427" s="4">
        <v>526152.68999999994</v>
      </c>
      <c r="H427" s="5">
        <f>80 / 86400</f>
        <v>9.2592592592592596E-4</v>
      </c>
      <c r="I427" t="s">
        <v>159</v>
      </c>
      <c r="J427" t="s">
        <v>116</v>
      </c>
      <c r="K427" s="5">
        <f>233 / 86400</f>
        <v>2.6967592592592594E-3</v>
      </c>
      <c r="L427" s="5">
        <f>719 / 86400</f>
        <v>8.3217592592592596E-3</v>
      </c>
    </row>
    <row r="428" spans="1:12" x14ac:dyDescent="0.25">
      <c r="A428" s="3">
        <v>45694.686203703706</v>
      </c>
      <c r="B428" t="s">
        <v>199</v>
      </c>
      <c r="C428" s="3">
        <v>45694.686562499999</v>
      </c>
      <c r="D428" t="s">
        <v>199</v>
      </c>
      <c r="E428" s="4">
        <v>1.0000000596046448E-3</v>
      </c>
      <c r="F428" s="4">
        <v>526152.68999999994</v>
      </c>
      <c r="G428" s="4">
        <v>526152.69099999999</v>
      </c>
      <c r="H428" s="5">
        <f>19 / 86400</f>
        <v>2.199074074074074E-4</v>
      </c>
      <c r="I428" t="s">
        <v>23</v>
      </c>
      <c r="J428" t="s">
        <v>23</v>
      </c>
      <c r="K428" s="5">
        <f>30 / 86400</f>
        <v>3.4722222222222224E-4</v>
      </c>
      <c r="L428" s="5">
        <f>2129 / 86400</f>
        <v>2.4641203703703703E-2</v>
      </c>
    </row>
    <row r="429" spans="1:12" x14ac:dyDescent="0.25">
      <c r="A429" s="3">
        <v>45694.7112037037</v>
      </c>
      <c r="B429" t="s">
        <v>199</v>
      </c>
      <c r="C429" s="3">
        <v>45694.71125</v>
      </c>
      <c r="D429" t="s">
        <v>199</v>
      </c>
      <c r="E429" s="4">
        <v>0</v>
      </c>
      <c r="F429" s="4">
        <v>526152.69099999999</v>
      </c>
      <c r="G429" s="4">
        <v>526152.69099999999</v>
      </c>
      <c r="H429" s="5">
        <f>0 / 86400</f>
        <v>0</v>
      </c>
      <c r="I429" t="s">
        <v>23</v>
      </c>
      <c r="J429" t="s">
        <v>23</v>
      </c>
      <c r="K429" s="5">
        <f>3 / 86400</f>
        <v>3.4722222222222222E-5</v>
      </c>
      <c r="L429" s="5">
        <f>1181 / 86400</f>
        <v>1.3668981481481482E-2</v>
      </c>
    </row>
    <row r="430" spans="1:12" x14ac:dyDescent="0.25">
      <c r="A430" s="3">
        <v>45694.724918981483</v>
      </c>
      <c r="B430" t="s">
        <v>199</v>
      </c>
      <c r="C430" s="3">
        <v>45694.807314814811</v>
      </c>
      <c r="D430" t="s">
        <v>219</v>
      </c>
      <c r="E430" s="4">
        <v>39.020000000000003</v>
      </c>
      <c r="F430" s="4">
        <v>526152.69099999999</v>
      </c>
      <c r="G430" s="4">
        <v>526191.71100000001</v>
      </c>
      <c r="H430" s="5">
        <f>2081 / 86400</f>
        <v>2.4085648148148148E-2</v>
      </c>
      <c r="I430" t="s">
        <v>72</v>
      </c>
      <c r="J430" t="s">
        <v>27</v>
      </c>
      <c r="K430" s="5">
        <f>7119 / 86400</f>
        <v>8.2395833333333335E-2</v>
      </c>
      <c r="L430" s="5">
        <f>181 / 86400</f>
        <v>2.0949074074074073E-3</v>
      </c>
    </row>
    <row r="431" spans="1:12" x14ac:dyDescent="0.25">
      <c r="A431" s="3">
        <v>45694.80940972222</v>
      </c>
      <c r="B431" t="s">
        <v>219</v>
      </c>
      <c r="C431" s="3">
        <v>45694.8825462963</v>
      </c>
      <c r="D431" t="s">
        <v>215</v>
      </c>
      <c r="E431" s="4">
        <v>35.885999999940395</v>
      </c>
      <c r="F431" s="4">
        <v>526191.71100000001</v>
      </c>
      <c r="G431" s="4">
        <v>526227.59699999995</v>
      </c>
      <c r="H431" s="5">
        <f>1680 / 86400</f>
        <v>1.9444444444444445E-2</v>
      </c>
      <c r="I431" t="s">
        <v>64</v>
      </c>
      <c r="J431" t="s">
        <v>27</v>
      </c>
      <c r="K431" s="5">
        <f>6318 / 86400</f>
        <v>7.3124999999999996E-2</v>
      </c>
      <c r="L431" s="5">
        <f>1423 / 86400</f>
        <v>1.6469907407407409E-2</v>
      </c>
    </row>
    <row r="432" spans="1:12" x14ac:dyDescent="0.25">
      <c r="A432" s="3">
        <v>45694.899016203708</v>
      </c>
      <c r="B432" t="s">
        <v>215</v>
      </c>
      <c r="C432" s="3">
        <v>45694.940358796295</v>
      </c>
      <c r="D432" t="s">
        <v>164</v>
      </c>
      <c r="E432" s="4">
        <v>22.907</v>
      </c>
      <c r="F432" s="4">
        <v>526227.59699999995</v>
      </c>
      <c r="G432" s="4">
        <v>526250.50399999996</v>
      </c>
      <c r="H432" s="5">
        <f>1600 / 86400</f>
        <v>1.8518518518518517E-2</v>
      </c>
      <c r="I432" t="s">
        <v>33</v>
      </c>
      <c r="J432" t="s">
        <v>86</v>
      </c>
      <c r="K432" s="5">
        <f>3572 / 86400</f>
        <v>4.1342592592592591E-2</v>
      </c>
      <c r="L432" s="5">
        <f>30 / 86400</f>
        <v>3.4722222222222224E-4</v>
      </c>
    </row>
    <row r="433" spans="1:12" x14ac:dyDescent="0.25">
      <c r="A433" s="3">
        <v>45694.940706018519</v>
      </c>
      <c r="B433" t="s">
        <v>164</v>
      </c>
      <c r="C433" s="3">
        <v>45694.993645833332</v>
      </c>
      <c r="D433" t="s">
        <v>71</v>
      </c>
      <c r="E433" s="4">
        <v>20.233000000000001</v>
      </c>
      <c r="F433" s="4">
        <v>526250.50399999996</v>
      </c>
      <c r="G433" s="4">
        <v>526270.73699999996</v>
      </c>
      <c r="H433" s="5">
        <f>1673 / 86400</f>
        <v>1.9363425925925926E-2</v>
      </c>
      <c r="I433" t="s">
        <v>95</v>
      </c>
      <c r="J433" t="s">
        <v>34</v>
      </c>
      <c r="K433" s="5">
        <f>4574 / 86400</f>
        <v>5.2939814814814815E-2</v>
      </c>
      <c r="L433" s="5">
        <f>548 / 86400</f>
        <v>6.3425925925925924E-3</v>
      </c>
    </row>
    <row r="434" spans="1:1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1:1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1:12" s="10" customFormat="1" ht="20.100000000000001" customHeight="1" x14ac:dyDescent="0.35">
      <c r="A436" s="15" t="s">
        <v>307</v>
      </c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1:12" ht="30" x14ac:dyDescent="0.25">
      <c r="A438" s="2" t="s">
        <v>6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  <c r="G438" s="2" t="s">
        <v>12</v>
      </c>
      <c r="H438" s="2" t="s">
        <v>13</v>
      </c>
      <c r="I438" s="2" t="s">
        <v>14</v>
      </c>
      <c r="J438" s="2" t="s">
        <v>15</v>
      </c>
      <c r="K438" s="2" t="s">
        <v>16</v>
      </c>
      <c r="L438" s="2" t="s">
        <v>17</v>
      </c>
    </row>
    <row r="439" spans="1:12" x14ac:dyDescent="0.25">
      <c r="A439" s="3">
        <v>45694.28126157407</v>
      </c>
      <c r="B439" t="s">
        <v>38</v>
      </c>
      <c r="C439" s="3">
        <v>45694.329247685186</v>
      </c>
      <c r="D439" t="s">
        <v>133</v>
      </c>
      <c r="E439" s="4">
        <v>27.77</v>
      </c>
      <c r="F439" s="4">
        <v>566536.72100000002</v>
      </c>
      <c r="G439" s="4">
        <v>566564.49100000004</v>
      </c>
      <c r="H439" s="5">
        <f>820 / 86400</f>
        <v>9.4907407407407406E-3</v>
      </c>
      <c r="I439" t="s">
        <v>98</v>
      </c>
      <c r="J439" t="s">
        <v>153</v>
      </c>
      <c r="K439" s="5">
        <f>4146 / 86400</f>
        <v>4.7986111111111111E-2</v>
      </c>
      <c r="L439" s="5">
        <f>24647 / 86400</f>
        <v>0.2852662037037037</v>
      </c>
    </row>
    <row r="440" spans="1:12" x14ac:dyDescent="0.25">
      <c r="A440" s="3">
        <v>45694.333252314813</v>
      </c>
      <c r="B440" t="s">
        <v>133</v>
      </c>
      <c r="C440" s="3">
        <v>45694.417048611111</v>
      </c>
      <c r="D440" t="s">
        <v>220</v>
      </c>
      <c r="E440" s="4">
        <v>40.243000000000002</v>
      </c>
      <c r="F440" s="4">
        <v>566564.49100000004</v>
      </c>
      <c r="G440" s="4">
        <v>566604.73400000005</v>
      </c>
      <c r="H440" s="5">
        <f>2139 / 86400</f>
        <v>2.4756944444444446E-2</v>
      </c>
      <c r="I440" t="s">
        <v>78</v>
      </c>
      <c r="J440" t="s">
        <v>27</v>
      </c>
      <c r="K440" s="5">
        <f>7240 / 86400</f>
        <v>8.3796296296296299E-2</v>
      </c>
      <c r="L440" s="5">
        <f>2431 / 86400</f>
        <v>2.8136574074074074E-2</v>
      </c>
    </row>
    <row r="441" spans="1:12" x14ac:dyDescent="0.25">
      <c r="A441" s="3">
        <v>45694.445185185185</v>
      </c>
      <c r="B441" t="s">
        <v>220</v>
      </c>
      <c r="C441" s="3">
        <v>45694.526597222226</v>
      </c>
      <c r="D441" t="s">
        <v>215</v>
      </c>
      <c r="E441" s="4">
        <v>35.012999999999998</v>
      </c>
      <c r="F441" s="4">
        <v>566604.73400000005</v>
      </c>
      <c r="G441" s="4">
        <v>566639.74699999997</v>
      </c>
      <c r="H441" s="5">
        <f>2079 / 86400</f>
        <v>2.4062500000000001E-2</v>
      </c>
      <c r="I441" t="s">
        <v>127</v>
      </c>
      <c r="J441" t="s">
        <v>30</v>
      </c>
      <c r="K441" s="5">
        <f>7033 / 86400</f>
        <v>8.1400462962962966E-2</v>
      </c>
      <c r="L441" s="5">
        <f>81 / 86400</f>
        <v>9.3749999999999997E-4</v>
      </c>
    </row>
    <row r="442" spans="1:12" x14ac:dyDescent="0.25">
      <c r="A442" s="3">
        <v>45694.52753472222</v>
      </c>
      <c r="B442" t="s">
        <v>215</v>
      </c>
      <c r="C442" s="3">
        <v>45694.58357638889</v>
      </c>
      <c r="D442" t="s">
        <v>221</v>
      </c>
      <c r="E442" s="4">
        <v>30.279</v>
      </c>
      <c r="F442" s="4">
        <v>566639.74699999997</v>
      </c>
      <c r="G442" s="4">
        <v>566670.02599999995</v>
      </c>
      <c r="H442" s="5">
        <f>1401 / 86400</f>
        <v>1.6215277777777776E-2</v>
      </c>
      <c r="I442" t="s">
        <v>72</v>
      </c>
      <c r="J442" t="s">
        <v>86</v>
      </c>
      <c r="K442" s="5">
        <f>4842 / 86400</f>
        <v>5.6041666666666663E-2</v>
      </c>
      <c r="L442" s="5">
        <f>1557 / 86400</f>
        <v>1.8020833333333333E-2</v>
      </c>
    </row>
    <row r="443" spans="1:12" x14ac:dyDescent="0.25">
      <c r="A443" s="3">
        <v>45694.601597222223</v>
      </c>
      <c r="B443" t="s">
        <v>221</v>
      </c>
      <c r="C443" s="3">
        <v>45694.602164351847</v>
      </c>
      <c r="D443" t="s">
        <v>221</v>
      </c>
      <c r="E443" s="4">
        <v>6.5000000000000002E-2</v>
      </c>
      <c r="F443" s="4">
        <v>566670.02599999995</v>
      </c>
      <c r="G443" s="4">
        <v>566670.09100000001</v>
      </c>
      <c r="H443" s="5">
        <f>19 / 86400</f>
        <v>2.199074074074074E-4</v>
      </c>
      <c r="I443" t="s">
        <v>105</v>
      </c>
      <c r="J443" t="s">
        <v>105</v>
      </c>
      <c r="K443" s="5">
        <f>48 / 86400</f>
        <v>5.5555555555555556E-4</v>
      </c>
      <c r="L443" s="5">
        <f>669 / 86400</f>
        <v>7.743055555555556E-3</v>
      </c>
    </row>
    <row r="444" spans="1:12" x14ac:dyDescent="0.25">
      <c r="A444" s="3">
        <v>45694.609907407408</v>
      </c>
      <c r="B444" t="s">
        <v>221</v>
      </c>
      <c r="C444" s="3">
        <v>45694.610659722224</v>
      </c>
      <c r="D444" t="s">
        <v>221</v>
      </c>
      <c r="E444" s="4">
        <v>0.35799999999999998</v>
      </c>
      <c r="F444" s="4">
        <v>566670.09100000001</v>
      </c>
      <c r="G444" s="4">
        <v>566670.44900000002</v>
      </c>
      <c r="H444" s="5">
        <f>0 / 86400</f>
        <v>0</v>
      </c>
      <c r="I444" t="s">
        <v>174</v>
      </c>
      <c r="J444" t="s">
        <v>27</v>
      </c>
      <c r="K444" s="5">
        <f>64 / 86400</f>
        <v>7.407407407407407E-4</v>
      </c>
      <c r="L444" s="5">
        <f>78 / 86400</f>
        <v>9.0277777777777774E-4</v>
      </c>
    </row>
    <row r="445" spans="1:12" x14ac:dyDescent="0.25">
      <c r="A445" s="3">
        <v>45694.611562499995</v>
      </c>
      <c r="B445" t="s">
        <v>221</v>
      </c>
      <c r="C445" s="3">
        <v>45694.74695601852</v>
      </c>
      <c r="D445" t="s">
        <v>83</v>
      </c>
      <c r="E445" s="4">
        <v>53.304000000000002</v>
      </c>
      <c r="F445" s="4">
        <v>566670.44900000002</v>
      </c>
      <c r="G445" s="4">
        <v>566723.75300000003</v>
      </c>
      <c r="H445" s="5">
        <f>3880 / 86400</f>
        <v>4.490740740740741E-2</v>
      </c>
      <c r="I445" t="s">
        <v>222</v>
      </c>
      <c r="J445" t="s">
        <v>34</v>
      </c>
      <c r="K445" s="5">
        <f>11698 / 86400</f>
        <v>0.13539351851851852</v>
      </c>
      <c r="L445" s="5">
        <f>442 / 86400</f>
        <v>5.115740740740741E-3</v>
      </c>
    </row>
    <row r="446" spans="1:12" x14ac:dyDescent="0.25">
      <c r="A446" s="3">
        <v>45694.752071759256</v>
      </c>
      <c r="B446" t="s">
        <v>83</v>
      </c>
      <c r="C446" s="3">
        <v>45694.758460648147</v>
      </c>
      <c r="D446" t="s">
        <v>38</v>
      </c>
      <c r="E446" s="4">
        <v>2.4020000000000001</v>
      </c>
      <c r="F446" s="4">
        <v>566723.75300000003</v>
      </c>
      <c r="G446" s="4">
        <v>566726.15500000003</v>
      </c>
      <c r="H446" s="5">
        <f>120 / 86400</f>
        <v>1.3888888888888889E-3</v>
      </c>
      <c r="I446" t="s">
        <v>208</v>
      </c>
      <c r="J446" t="s">
        <v>34</v>
      </c>
      <c r="K446" s="5">
        <f>551 / 86400</f>
        <v>6.3773148148148148E-3</v>
      </c>
      <c r="L446" s="5">
        <f>20868 / 86400</f>
        <v>0.24152777777777779</v>
      </c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1:12" s="10" customFormat="1" ht="20.100000000000001" customHeight="1" x14ac:dyDescent="0.35">
      <c r="A449" s="15" t="s">
        <v>308</v>
      </c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2" ht="30" x14ac:dyDescent="0.25">
      <c r="A451" s="2" t="s">
        <v>6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11</v>
      </c>
      <c r="G451" s="2" t="s">
        <v>12</v>
      </c>
      <c r="H451" s="2" t="s">
        <v>13</v>
      </c>
      <c r="I451" s="2" t="s">
        <v>14</v>
      </c>
      <c r="J451" s="2" t="s">
        <v>15</v>
      </c>
      <c r="K451" s="2" t="s">
        <v>16</v>
      </c>
      <c r="L451" s="2" t="s">
        <v>17</v>
      </c>
    </row>
    <row r="452" spans="1:12" x14ac:dyDescent="0.25">
      <c r="A452" s="3">
        <v>45694.612789351857</v>
      </c>
      <c r="B452" t="s">
        <v>73</v>
      </c>
      <c r="C452" s="3">
        <v>45694.61787037037</v>
      </c>
      <c r="D452" t="s">
        <v>223</v>
      </c>
      <c r="E452" s="4">
        <v>2.496</v>
      </c>
      <c r="F452" s="4">
        <v>434378.16700000002</v>
      </c>
      <c r="G452" s="4">
        <v>434380.663</v>
      </c>
      <c r="H452" s="5">
        <f>79 / 86400</f>
        <v>9.1435185185185185E-4</v>
      </c>
      <c r="I452" t="s">
        <v>208</v>
      </c>
      <c r="J452" t="s">
        <v>85</v>
      </c>
      <c r="K452" s="5">
        <f>438 / 86400</f>
        <v>5.0694444444444441E-3</v>
      </c>
      <c r="L452" s="5">
        <f>53773 / 86400</f>
        <v>0.62237268518518518</v>
      </c>
    </row>
    <row r="453" spans="1:12" x14ac:dyDescent="0.25">
      <c r="A453" s="3">
        <v>45694.627453703702</v>
      </c>
      <c r="B453" t="s">
        <v>223</v>
      </c>
      <c r="C453" s="3">
        <v>45694.657986111109</v>
      </c>
      <c r="D453" t="s">
        <v>94</v>
      </c>
      <c r="E453" s="4">
        <v>9.5559999999999992</v>
      </c>
      <c r="F453" s="4">
        <v>434380.663</v>
      </c>
      <c r="G453" s="4">
        <v>434390.21899999998</v>
      </c>
      <c r="H453" s="5">
        <f>480 / 86400</f>
        <v>5.5555555555555558E-3</v>
      </c>
      <c r="I453" t="s">
        <v>45</v>
      </c>
      <c r="J453" t="s">
        <v>46</v>
      </c>
      <c r="K453" s="5">
        <f>2637 / 86400</f>
        <v>3.0520833333333334E-2</v>
      </c>
      <c r="L453" s="5">
        <f>1018 / 86400</f>
        <v>1.1782407407407408E-2</v>
      </c>
    </row>
    <row r="454" spans="1:12" x14ac:dyDescent="0.25">
      <c r="A454" s="3">
        <v>45694.669768518521</v>
      </c>
      <c r="B454" t="s">
        <v>94</v>
      </c>
      <c r="C454" s="3">
        <v>45694.670578703706</v>
      </c>
      <c r="D454" t="s">
        <v>224</v>
      </c>
      <c r="E454" s="4">
        <v>8.4000000000000005E-2</v>
      </c>
      <c r="F454" s="4">
        <v>434390.21899999998</v>
      </c>
      <c r="G454" s="4">
        <v>434390.30300000001</v>
      </c>
      <c r="H454" s="5">
        <f>0 / 86400</f>
        <v>0</v>
      </c>
      <c r="I454" t="s">
        <v>75</v>
      </c>
      <c r="J454" t="s">
        <v>82</v>
      </c>
      <c r="K454" s="5">
        <f>69 / 86400</f>
        <v>7.9861111111111116E-4</v>
      </c>
      <c r="L454" s="5">
        <f>563 / 86400</f>
        <v>6.5162037037037037E-3</v>
      </c>
    </row>
    <row r="455" spans="1:12" x14ac:dyDescent="0.25">
      <c r="A455" s="3">
        <v>45694.677094907413</v>
      </c>
      <c r="B455" t="s">
        <v>224</v>
      </c>
      <c r="C455" s="3">
        <v>45694.686898148153</v>
      </c>
      <c r="D455" t="s">
        <v>94</v>
      </c>
      <c r="E455" s="4">
        <v>0.46600000000000003</v>
      </c>
      <c r="F455" s="4">
        <v>434390.30300000001</v>
      </c>
      <c r="G455" s="4">
        <v>434390.76899999997</v>
      </c>
      <c r="H455" s="5">
        <f>560 / 86400</f>
        <v>6.4814814814814813E-3</v>
      </c>
      <c r="I455" t="s">
        <v>43</v>
      </c>
      <c r="J455" t="s">
        <v>88</v>
      </c>
      <c r="K455" s="5">
        <f>847 / 86400</f>
        <v>9.8032407407407408E-3</v>
      </c>
      <c r="L455" s="5">
        <f>2703 / 86400</f>
        <v>3.1284722222222221E-2</v>
      </c>
    </row>
    <row r="456" spans="1:12" x14ac:dyDescent="0.25">
      <c r="A456" s="3">
        <v>45694.718182870369</v>
      </c>
      <c r="B456" t="s">
        <v>94</v>
      </c>
      <c r="C456" s="3">
        <v>45694.735752314809</v>
      </c>
      <c r="D456" t="s">
        <v>225</v>
      </c>
      <c r="E456" s="4">
        <v>4.407</v>
      </c>
      <c r="F456" s="4">
        <v>434390.76899999997</v>
      </c>
      <c r="G456" s="4">
        <v>434395.17599999998</v>
      </c>
      <c r="H456" s="5">
        <f>206 / 86400</f>
        <v>2.3842592592592591E-3</v>
      </c>
      <c r="I456" t="s">
        <v>138</v>
      </c>
      <c r="J456" t="s">
        <v>116</v>
      </c>
      <c r="K456" s="5">
        <f>1518 / 86400</f>
        <v>1.7569444444444443E-2</v>
      </c>
      <c r="L456" s="5">
        <f>68 / 86400</f>
        <v>7.8703703703703705E-4</v>
      </c>
    </row>
    <row r="457" spans="1:12" x14ac:dyDescent="0.25">
      <c r="A457" s="3">
        <v>45694.736539351856</v>
      </c>
      <c r="B457" t="s">
        <v>225</v>
      </c>
      <c r="C457" s="3">
        <v>45694.7581712963</v>
      </c>
      <c r="D457" t="s">
        <v>226</v>
      </c>
      <c r="E457" s="4">
        <v>6.0250000000000004</v>
      </c>
      <c r="F457" s="4">
        <v>434395.17599999998</v>
      </c>
      <c r="G457" s="4">
        <v>434401.201</v>
      </c>
      <c r="H457" s="5">
        <f>520 / 86400</f>
        <v>6.0185185185185185E-3</v>
      </c>
      <c r="I457" t="s">
        <v>159</v>
      </c>
      <c r="J457" t="s">
        <v>113</v>
      </c>
      <c r="K457" s="5">
        <f>1868 / 86400</f>
        <v>2.162037037037037E-2</v>
      </c>
      <c r="L457" s="5">
        <f>502 / 86400</f>
        <v>5.8101851851851856E-3</v>
      </c>
    </row>
    <row r="458" spans="1:12" x14ac:dyDescent="0.25">
      <c r="A458" s="3">
        <v>45694.763981481483</v>
      </c>
      <c r="B458" t="s">
        <v>226</v>
      </c>
      <c r="C458" s="3">
        <v>45694.76966435185</v>
      </c>
      <c r="D458" t="s">
        <v>227</v>
      </c>
      <c r="E458" s="4">
        <v>0.9</v>
      </c>
      <c r="F458" s="4">
        <v>434401.201</v>
      </c>
      <c r="G458" s="4">
        <v>434402.10100000002</v>
      </c>
      <c r="H458" s="5">
        <f>80 / 86400</f>
        <v>9.2592592592592596E-4</v>
      </c>
      <c r="I458" t="s">
        <v>113</v>
      </c>
      <c r="J458" t="s">
        <v>22</v>
      </c>
      <c r="K458" s="5">
        <f>490 / 86400</f>
        <v>5.6712962962962967E-3</v>
      </c>
      <c r="L458" s="5">
        <f>3801 / 86400</f>
        <v>4.3993055555555556E-2</v>
      </c>
    </row>
    <row r="459" spans="1:12" x14ac:dyDescent="0.25">
      <c r="A459" s="3">
        <v>45694.813657407409</v>
      </c>
      <c r="B459" t="s">
        <v>227</v>
      </c>
      <c r="C459" s="3">
        <v>45694.845671296294</v>
      </c>
      <c r="D459" t="s">
        <v>223</v>
      </c>
      <c r="E459" s="4">
        <v>9.9610000000000003</v>
      </c>
      <c r="F459" s="4">
        <v>434402.10100000002</v>
      </c>
      <c r="G459" s="4">
        <v>434412.06199999998</v>
      </c>
      <c r="H459" s="5">
        <f>559 / 86400</f>
        <v>6.4699074074074077E-3</v>
      </c>
      <c r="I459" t="s">
        <v>61</v>
      </c>
      <c r="J459" t="s">
        <v>46</v>
      </c>
      <c r="K459" s="5">
        <f>2766 / 86400</f>
        <v>3.201388888888889E-2</v>
      </c>
      <c r="L459" s="5">
        <f>4534 / 86400</f>
        <v>5.2476851851851851E-2</v>
      </c>
    </row>
    <row r="460" spans="1:12" x14ac:dyDescent="0.25">
      <c r="A460" s="3">
        <v>45694.898148148146</v>
      </c>
      <c r="B460" t="s">
        <v>223</v>
      </c>
      <c r="C460" s="3">
        <v>45694.907048611116</v>
      </c>
      <c r="D460" t="s">
        <v>74</v>
      </c>
      <c r="E460" s="4">
        <v>2.52</v>
      </c>
      <c r="F460" s="4">
        <v>434412.06199999998</v>
      </c>
      <c r="G460" s="4">
        <v>434414.58199999999</v>
      </c>
      <c r="H460" s="5">
        <f>279 / 86400</f>
        <v>3.2291666666666666E-3</v>
      </c>
      <c r="I460" t="s">
        <v>181</v>
      </c>
      <c r="J460" t="s">
        <v>113</v>
      </c>
      <c r="K460" s="5">
        <f>769 / 86400</f>
        <v>8.9004629629629625E-3</v>
      </c>
      <c r="L460" s="5">
        <f>8030 / 86400</f>
        <v>9.2939814814814808E-2</v>
      </c>
    </row>
    <row r="461" spans="1:1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2" s="10" customFormat="1" ht="20.100000000000001" customHeight="1" x14ac:dyDescent="0.35">
      <c r="A463" s="15" t="s">
        <v>309</v>
      </c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2" ht="30" x14ac:dyDescent="0.25">
      <c r="A465" s="2" t="s">
        <v>6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11</v>
      </c>
      <c r="G465" s="2" t="s">
        <v>12</v>
      </c>
      <c r="H465" s="2" t="s">
        <v>13</v>
      </c>
      <c r="I465" s="2" t="s">
        <v>14</v>
      </c>
      <c r="J465" s="2" t="s">
        <v>15</v>
      </c>
      <c r="K465" s="2" t="s">
        <v>16</v>
      </c>
      <c r="L465" s="2" t="s">
        <v>17</v>
      </c>
    </row>
    <row r="466" spans="1:12" x14ac:dyDescent="0.25">
      <c r="A466" s="3">
        <v>45694.34684027778</v>
      </c>
      <c r="B466" t="s">
        <v>48</v>
      </c>
      <c r="C466" s="3">
        <v>45694.349756944444</v>
      </c>
      <c r="D466" t="s">
        <v>39</v>
      </c>
      <c r="E466" s="4">
        <v>0.26600000000000001</v>
      </c>
      <c r="F466" s="4">
        <v>513987.50599999999</v>
      </c>
      <c r="G466" s="4">
        <v>513987.772</v>
      </c>
      <c r="H466" s="5">
        <f>90 / 86400</f>
        <v>1.0416666666666667E-3</v>
      </c>
      <c r="I466" t="s">
        <v>116</v>
      </c>
      <c r="J466" t="s">
        <v>82</v>
      </c>
      <c r="K466" s="5">
        <f>252 / 86400</f>
        <v>2.9166666666666668E-3</v>
      </c>
      <c r="L466" s="5">
        <f>32494 / 86400</f>
        <v>0.37608796296296299</v>
      </c>
    </row>
    <row r="467" spans="1:12" x14ac:dyDescent="0.25">
      <c r="A467" s="3">
        <v>45694.379004629634</v>
      </c>
      <c r="B467" t="s">
        <v>39</v>
      </c>
      <c r="C467" s="3">
        <v>45694.380370370374</v>
      </c>
      <c r="D467" t="s">
        <v>39</v>
      </c>
      <c r="E467" s="4">
        <v>1.0999999999999999E-2</v>
      </c>
      <c r="F467" s="4">
        <v>513987.772</v>
      </c>
      <c r="G467" s="4">
        <v>513987.783</v>
      </c>
      <c r="H467" s="5">
        <f>60 / 86400</f>
        <v>6.9444444444444447E-4</v>
      </c>
      <c r="I467" t="s">
        <v>141</v>
      </c>
      <c r="J467" t="s">
        <v>23</v>
      </c>
      <c r="K467" s="5">
        <f>118 / 86400</f>
        <v>1.3657407407407407E-3</v>
      </c>
      <c r="L467" s="5">
        <f>1649 / 86400</f>
        <v>1.9085648148148147E-2</v>
      </c>
    </row>
    <row r="468" spans="1:12" x14ac:dyDescent="0.25">
      <c r="A468" s="3">
        <v>45694.399456018524</v>
      </c>
      <c r="B468" t="s">
        <v>39</v>
      </c>
      <c r="C468" s="3">
        <v>45694.475717592592</v>
      </c>
      <c r="D468" t="s">
        <v>128</v>
      </c>
      <c r="E468" s="4">
        <v>0.3</v>
      </c>
      <c r="F468" s="4">
        <v>513987.783</v>
      </c>
      <c r="G468" s="4">
        <v>513988.08299999998</v>
      </c>
      <c r="H468" s="5">
        <f>6406 / 86400</f>
        <v>7.4143518518518525E-2</v>
      </c>
      <c r="I468" t="s">
        <v>62</v>
      </c>
      <c r="J468" t="s">
        <v>23</v>
      </c>
      <c r="K468" s="5">
        <f>6589 / 86400</f>
        <v>7.6261574074074079E-2</v>
      </c>
      <c r="L468" s="5">
        <f>307 / 86400</f>
        <v>3.5532407407407409E-3</v>
      </c>
    </row>
    <row r="469" spans="1:12" x14ac:dyDescent="0.25">
      <c r="A469" s="3">
        <v>45694.479270833333</v>
      </c>
      <c r="B469" t="s">
        <v>128</v>
      </c>
      <c r="C469" s="3">
        <v>45694.610972222217</v>
      </c>
      <c r="D469" t="s">
        <v>187</v>
      </c>
      <c r="E469" s="4">
        <v>51.582000000000001</v>
      </c>
      <c r="F469" s="4">
        <v>513988.08299999998</v>
      </c>
      <c r="G469" s="4">
        <v>514039.66499999998</v>
      </c>
      <c r="H469" s="5">
        <f>4050 / 86400</f>
        <v>4.6875E-2</v>
      </c>
      <c r="I469" t="s">
        <v>76</v>
      </c>
      <c r="J469" t="s">
        <v>34</v>
      </c>
      <c r="K469" s="5">
        <f>11379 / 86400</f>
        <v>0.13170138888888888</v>
      </c>
      <c r="L469" s="5">
        <f>591 / 86400</f>
        <v>6.8402777777777776E-3</v>
      </c>
    </row>
    <row r="470" spans="1:12" x14ac:dyDescent="0.25">
      <c r="A470" s="3">
        <v>45694.617812500001</v>
      </c>
      <c r="B470" t="s">
        <v>187</v>
      </c>
      <c r="C470" s="3">
        <v>45694.760706018518</v>
      </c>
      <c r="D470" t="s">
        <v>155</v>
      </c>
      <c r="E470" s="4">
        <v>50.18</v>
      </c>
      <c r="F470" s="4">
        <v>514039.66499999998</v>
      </c>
      <c r="G470" s="4">
        <v>514089.84499999997</v>
      </c>
      <c r="H470" s="5">
        <f>3901 / 86400</f>
        <v>4.5150462962962962E-2</v>
      </c>
      <c r="I470" t="s">
        <v>35</v>
      </c>
      <c r="J470" t="s">
        <v>51</v>
      </c>
      <c r="K470" s="5">
        <f>12346 / 86400</f>
        <v>0.14289351851851853</v>
      </c>
      <c r="L470" s="5">
        <f>651 / 86400</f>
        <v>7.5347222222222222E-3</v>
      </c>
    </row>
    <row r="471" spans="1:12" x14ac:dyDescent="0.25">
      <c r="A471" s="3">
        <v>45694.768240740741</v>
      </c>
      <c r="B471" t="s">
        <v>155</v>
      </c>
      <c r="C471" s="3">
        <v>45694.785578703704</v>
      </c>
      <c r="D471" t="s">
        <v>228</v>
      </c>
      <c r="E471" s="4">
        <v>6.5960000000000001</v>
      </c>
      <c r="F471" s="4">
        <v>514089.84499999997</v>
      </c>
      <c r="G471" s="4">
        <v>514096.44099999999</v>
      </c>
      <c r="H471" s="5">
        <f>510 / 86400</f>
        <v>5.9027777777777776E-3</v>
      </c>
      <c r="I471" t="s">
        <v>229</v>
      </c>
      <c r="J471" t="s">
        <v>34</v>
      </c>
      <c r="K471" s="5">
        <f>1498 / 86400</f>
        <v>1.7337962962962961E-2</v>
      </c>
      <c r="L471" s="5">
        <f>29 / 86400</f>
        <v>3.3564814814814812E-4</v>
      </c>
    </row>
    <row r="472" spans="1:12" x14ac:dyDescent="0.25">
      <c r="A472" s="3">
        <v>45694.785914351851</v>
      </c>
      <c r="B472" t="s">
        <v>228</v>
      </c>
      <c r="C472" s="3">
        <v>45694.92260416667</v>
      </c>
      <c r="D472" t="s">
        <v>136</v>
      </c>
      <c r="E472" s="4">
        <v>72.855000000000004</v>
      </c>
      <c r="F472" s="4">
        <v>514096.80599999998</v>
      </c>
      <c r="G472" s="4">
        <v>514169.66100000002</v>
      </c>
      <c r="H472" s="5">
        <f>2974 / 86400</f>
        <v>3.4421296296296297E-2</v>
      </c>
      <c r="I472" t="s">
        <v>35</v>
      </c>
      <c r="J472" t="s">
        <v>138</v>
      </c>
      <c r="K472" s="5">
        <f>11810 / 86400</f>
        <v>0.13668981481481482</v>
      </c>
      <c r="L472" s="5">
        <f>417 / 86400</f>
        <v>4.8263888888888887E-3</v>
      </c>
    </row>
    <row r="473" spans="1:12" x14ac:dyDescent="0.25">
      <c r="A473" s="3">
        <v>45694.927430555559</v>
      </c>
      <c r="B473" t="s">
        <v>136</v>
      </c>
      <c r="C473" s="3">
        <v>45694.933263888888</v>
      </c>
      <c r="D473" t="s">
        <v>48</v>
      </c>
      <c r="E473" s="4">
        <v>1.1719999999999999</v>
      </c>
      <c r="F473" s="4">
        <v>514169.66100000002</v>
      </c>
      <c r="G473" s="4">
        <v>514170.83299999998</v>
      </c>
      <c r="H473" s="5">
        <f>150 / 86400</f>
        <v>1.736111111111111E-3</v>
      </c>
      <c r="I473" t="s">
        <v>230</v>
      </c>
      <c r="J473" t="s">
        <v>43</v>
      </c>
      <c r="K473" s="5">
        <f>504 / 86400</f>
        <v>5.8333333333333336E-3</v>
      </c>
      <c r="L473" s="5">
        <f>5765 / 86400</f>
        <v>6.6724537037037041E-2</v>
      </c>
    </row>
    <row r="474" spans="1:1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2" s="10" customFormat="1" ht="20.100000000000001" customHeight="1" x14ac:dyDescent="0.35">
      <c r="A476" s="15" t="s">
        <v>310</v>
      </c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2" ht="30" x14ac:dyDescent="0.25">
      <c r="A478" s="2" t="s">
        <v>6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11</v>
      </c>
      <c r="G478" s="2" t="s">
        <v>12</v>
      </c>
      <c r="H478" s="2" t="s">
        <v>13</v>
      </c>
      <c r="I478" s="2" t="s">
        <v>14</v>
      </c>
      <c r="J478" s="2" t="s">
        <v>15</v>
      </c>
      <c r="K478" s="2" t="s">
        <v>16</v>
      </c>
      <c r="L478" s="2" t="s">
        <v>17</v>
      </c>
    </row>
    <row r="479" spans="1:12" x14ac:dyDescent="0.25">
      <c r="A479" s="3">
        <v>45694</v>
      </c>
      <c r="B479" t="s">
        <v>77</v>
      </c>
      <c r="C479" s="3">
        <v>45694.779212962967</v>
      </c>
      <c r="D479" t="s">
        <v>77</v>
      </c>
      <c r="E479" s="4">
        <v>206.661</v>
      </c>
      <c r="F479" s="4">
        <v>504181.67</v>
      </c>
      <c r="G479" s="4">
        <v>504388.33100000001</v>
      </c>
      <c r="H479" s="5">
        <f>38833 / 86400</f>
        <v>0.44945601851851852</v>
      </c>
      <c r="I479" t="s">
        <v>78</v>
      </c>
      <c r="J479" t="s">
        <v>75</v>
      </c>
      <c r="K479" s="5">
        <f>67324 / 86400</f>
        <v>0.77921296296296294</v>
      </c>
      <c r="L479" s="5">
        <f>19075 / 86400</f>
        <v>0.22077546296296297</v>
      </c>
    </row>
    <row r="480" spans="1:1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1:12" s="10" customFormat="1" ht="20.100000000000001" customHeight="1" x14ac:dyDescent="0.35">
      <c r="A482" s="15" t="s">
        <v>311</v>
      </c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2" ht="30" x14ac:dyDescent="0.25">
      <c r="A484" s="2" t="s">
        <v>6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  <c r="G484" s="2" t="s">
        <v>12</v>
      </c>
      <c r="H484" s="2" t="s">
        <v>13</v>
      </c>
      <c r="I484" s="2" t="s">
        <v>14</v>
      </c>
      <c r="J484" s="2" t="s">
        <v>15</v>
      </c>
      <c r="K484" s="2" t="s">
        <v>16</v>
      </c>
      <c r="L484" s="2" t="s">
        <v>17</v>
      </c>
    </row>
    <row r="485" spans="1:12" x14ac:dyDescent="0.25">
      <c r="A485" s="3">
        <v>45694.229062500002</v>
      </c>
      <c r="B485" t="s">
        <v>79</v>
      </c>
      <c r="C485" s="3">
        <v>45694.232048611113</v>
      </c>
      <c r="D485" t="s">
        <v>231</v>
      </c>
      <c r="E485" s="4">
        <v>0.10299999999999999</v>
      </c>
      <c r="F485" s="4">
        <v>350988.84</v>
      </c>
      <c r="G485" s="4">
        <v>350988.94300000003</v>
      </c>
      <c r="H485" s="5">
        <f>180 / 86400</f>
        <v>2.0833333333333333E-3</v>
      </c>
      <c r="I485" t="s">
        <v>22</v>
      </c>
      <c r="J485" t="s">
        <v>141</v>
      </c>
      <c r="K485" s="5">
        <f>258 / 86400</f>
        <v>2.9861111111111113E-3</v>
      </c>
      <c r="L485" s="5">
        <f>19836 / 86400</f>
        <v>0.22958333333333333</v>
      </c>
    </row>
    <row r="486" spans="1:12" x14ac:dyDescent="0.25">
      <c r="A486" s="3">
        <v>45694.232569444444</v>
      </c>
      <c r="B486" t="s">
        <v>231</v>
      </c>
      <c r="C486" s="3">
        <v>45694.24287037037</v>
      </c>
      <c r="D486" t="s">
        <v>232</v>
      </c>
      <c r="E486" s="4">
        <v>5.0069999999999997</v>
      </c>
      <c r="F486" s="4">
        <v>350988.94300000003</v>
      </c>
      <c r="G486" s="4">
        <v>350993.95</v>
      </c>
      <c r="H486" s="5">
        <f>59 / 86400</f>
        <v>6.8287037037037036E-4</v>
      </c>
      <c r="I486" t="s">
        <v>42</v>
      </c>
      <c r="J486" t="s">
        <v>27</v>
      </c>
      <c r="K486" s="5">
        <f>890 / 86400</f>
        <v>1.0300925925925925E-2</v>
      </c>
      <c r="L486" s="5">
        <f>88 / 86400</f>
        <v>1.0185185185185184E-3</v>
      </c>
    </row>
    <row r="487" spans="1:12" x14ac:dyDescent="0.25">
      <c r="A487" s="3">
        <v>45694.243888888886</v>
      </c>
      <c r="B487" t="s">
        <v>232</v>
      </c>
      <c r="C487" s="3">
        <v>45694.353310185186</v>
      </c>
      <c r="D487" t="s">
        <v>233</v>
      </c>
      <c r="E487" s="4">
        <v>50.29</v>
      </c>
      <c r="F487" s="4">
        <v>350993.95</v>
      </c>
      <c r="G487" s="4">
        <v>351044.24</v>
      </c>
      <c r="H487" s="5">
        <f>2459 / 86400</f>
        <v>2.8460648148148148E-2</v>
      </c>
      <c r="I487" t="s">
        <v>78</v>
      </c>
      <c r="J487" t="s">
        <v>20</v>
      </c>
      <c r="K487" s="5">
        <f>9454 / 86400</f>
        <v>0.10942129629629629</v>
      </c>
      <c r="L487" s="5">
        <f>202 / 86400</f>
        <v>2.3379629629629631E-3</v>
      </c>
    </row>
    <row r="488" spans="1:12" x14ac:dyDescent="0.25">
      <c r="A488" s="3">
        <v>45694.35564814815</v>
      </c>
      <c r="B488" t="s">
        <v>233</v>
      </c>
      <c r="C488" s="3">
        <v>45694.461678240739</v>
      </c>
      <c r="D488" t="s">
        <v>234</v>
      </c>
      <c r="E488" s="4">
        <v>46.667999999999999</v>
      </c>
      <c r="F488" s="4">
        <v>351044.24</v>
      </c>
      <c r="G488" s="4">
        <v>351090.908</v>
      </c>
      <c r="H488" s="5">
        <f>2760 / 86400</f>
        <v>3.1944444444444442E-2</v>
      </c>
      <c r="I488" t="s">
        <v>29</v>
      </c>
      <c r="J488" t="s">
        <v>30</v>
      </c>
      <c r="K488" s="5">
        <f>9161 / 86400</f>
        <v>0.10603009259259259</v>
      </c>
      <c r="L488" s="5">
        <f>18 / 86400</f>
        <v>2.0833333333333335E-4</v>
      </c>
    </row>
    <row r="489" spans="1:12" x14ac:dyDescent="0.25">
      <c r="A489" s="3">
        <v>45694.461886574078</v>
      </c>
      <c r="B489" t="s">
        <v>235</v>
      </c>
      <c r="C489" s="3">
        <v>45694.469537037032</v>
      </c>
      <c r="D489" t="s">
        <v>217</v>
      </c>
      <c r="E489" s="4">
        <v>3.6880000000000002</v>
      </c>
      <c r="F489" s="4">
        <v>351090.908</v>
      </c>
      <c r="G489" s="4">
        <v>351094.59600000002</v>
      </c>
      <c r="H489" s="5">
        <f>120 / 86400</f>
        <v>1.3888888888888889E-3</v>
      </c>
      <c r="I489" t="s">
        <v>59</v>
      </c>
      <c r="J489" t="s">
        <v>27</v>
      </c>
      <c r="K489" s="5">
        <f>660 / 86400</f>
        <v>7.6388888888888886E-3</v>
      </c>
      <c r="L489" s="5">
        <f>896 / 86400</f>
        <v>1.037037037037037E-2</v>
      </c>
    </row>
    <row r="490" spans="1:12" x14ac:dyDescent="0.25">
      <c r="A490" s="3">
        <v>45694.479907407411</v>
      </c>
      <c r="B490" t="s">
        <v>217</v>
      </c>
      <c r="C490" s="3">
        <v>45694.481956018513</v>
      </c>
      <c r="D490" t="s">
        <v>136</v>
      </c>
      <c r="E490" s="4">
        <v>0.73699999999999999</v>
      </c>
      <c r="F490" s="4">
        <v>351094.59600000002</v>
      </c>
      <c r="G490" s="4">
        <v>351095.33299999998</v>
      </c>
      <c r="H490" s="5">
        <f>0 / 86400</f>
        <v>0</v>
      </c>
      <c r="I490" t="s">
        <v>159</v>
      </c>
      <c r="J490" t="s">
        <v>51</v>
      </c>
      <c r="K490" s="5">
        <f>176 / 86400</f>
        <v>2.0370370370370369E-3</v>
      </c>
      <c r="L490" s="5">
        <f>537 / 86400</f>
        <v>6.2152777777777779E-3</v>
      </c>
    </row>
    <row r="491" spans="1:12" x14ac:dyDescent="0.25">
      <c r="A491" s="3">
        <v>45694.488171296296</v>
      </c>
      <c r="B491" t="s">
        <v>136</v>
      </c>
      <c r="C491" s="3">
        <v>45694.489548611113</v>
      </c>
      <c r="D491" t="s">
        <v>199</v>
      </c>
      <c r="E491" s="4">
        <v>0.122</v>
      </c>
      <c r="F491" s="4">
        <v>351095.33299999998</v>
      </c>
      <c r="G491" s="4">
        <v>351095.45500000002</v>
      </c>
      <c r="H491" s="5">
        <f>20 / 86400</f>
        <v>2.3148148148148149E-4</v>
      </c>
      <c r="I491" t="s">
        <v>22</v>
      </c>
      <c r="J491" t="s">
        <v>82</v>
      </c>
      <c r="K491" s="5">
        <f>119 / 86400</f>
        <v>1.3773148148148147E-3</v>
      </c>
      <c r="L491" s="5">
        <f>4665 / 86400</f>
        <v>5.3993055555555558E-2</v>
      </c>
    </row>
    <row r="492" spans="1:12" x14ac:dyDescent="0.25">
      <c r="A492" s="3">
        <v>45694.543541666666</v>
      </c>
      <c r="B492" t="s">
        <v>199</v>
      </c>
      <c r="C492" s="3">
        <v>45694.646122685182</v>
      </c>
      <c r="D492" t="s">
        <v>236</v>
      </c>
      <c r="E492" s="4">
        <v>47.280999999999999</v>
      </c>
      <c r="F492" s="4">
        <v>351095.45500000002</v>
      </c>
      <c r="G492" s="4">
        <v>351142.73599999998</v>
      </c>
      <c r="H492" s="5">
        <f>2659 / 86400</f>
        <v>3.0775462962962963E-2</v>
      </c>
      <c r="I492" t="s">
        <v>152</v>
      </c>
      <c r="J492" t="s">
        <v>20</v>
      </c>
      <c r="K492" s="5">
        <f>8863 / 86400</f>
        <v>0.10258101851851852</v>
      </c>
      <c r="L492" s="5">
        <f>1746 / 86400</f>
        <v>2.0208333333333332E-2</v>
      </c>
    </row>
    <row r="493" spans="1:12" x14ac:dyDescent="0.25">
      <c r="A493" s="3">
        <v>45694.666331018518</v>
      </c>
      <c r="B493" t="s">
        <v>236</v>
      </c>
      <c r="C493" s="3">
        <v>45694.777418981481</v>
      </c>
      <c r="D493" t="s">
        <v>237</v>
      </c>
      <c r="E493" s="4">
        <v>43.311999999999998</v>
      </c>
      <c r="F493" s="4">
        <v>351142.73599999998</v>
      </c>
      <c r="G493" s="4">
        <v>351186.04800000001</v>
      </c>
      <c r="H493" s="5">
        <f>2779 / 86400</f>
        <v>3.2164351851851854E-2</v>
      </c>
      <c r="I493" t="s">
        <v>122</v>
      </c>
      <c r="J493" t="s">
        <v>34</v>
      </c>
      <c r="K493" s="5">
        <f>9598 / 86400</f>
        <v>0.11108796296296296</v>
      </c>
      <c r="L493" s="5">
        <f>848 / 86400</f>
        <v>9.8148148148148144E-3</v>
      </c>
    </row>
    <row r="494" spans="1:12" x14ac:dyDescent="0.25">
      <c r="A494" s="3">
        <v>45694.787233796298</v>
      </c>
      <c r="B494" t="s">
        <v>237</v>
      </c>
      <c r="C494" s="3">
        <v>45694.789849537032</v>
      </c>
      <c r="D494" t="s">
        <v>238</v>
      </c>
      <c r="E494" s="4">
        <v>0.84199999999999997</v>
      </c>
      <c r="F494" s="4">
        <v>351186.04800000001</v>
      </c>
      <c r="G494" s="4">
        <v>351186.89</v>
      </c>
      <c r="H494" s="5">
        <f>20 / 86400</f>
        <v>2.3148148148148149E-4</v>
      </c>
      <c r="I494" t="s">
        <v>37</v>
      </c>
      <c r="J494" t="s">
        <v>46</v>
      </c>
      <c r="K494" s="5">
        <f>226 / 86400</f>
        <v>2.6157407407407405E-3</v>
      </c>
      <c r="L494" s="5">
        <f>4649 / 86400</f>
        <v>5.3807870370370367E-2</v>
      </c>
    </row>
    <row r="495" spans="1:12" x14ac:dyDescent="0.25">
      <c r="A495" s="3">
        <v>45694.843657407408</v>
      </c>
      <c r="B495" t="s">
        <v>238</v>
      </c>
      <c r="C495" s="3">
        <v>45694.844884259262</v>
      </c>
      <c r="D495" t="s">
        <v>238</v>
      </c>
      <c r="E495" s="4">
        <v>0</v>
      </c>
      <c r="F495" s="4">
        <v>351186.89</v>
      </c>
      <c r="G495" s="4">
        <v>351186.89</v>
      </c>
      <c r="H495" s="5">
        <f>99 / 86400</f>
        <v>1.1458333333333333E-3</v>
      </c>
      <c r="I495" t="s">
        <v>23</v>
      </c>
      <c r="J495" t="s">
        <v>23</v>
      </c>
      <c r="K495" s="5">
        <f>105 / 86400</f>
        <v>1.2152777777777778E-3</v>
      </c>
      <c r="L495" s="5">
        <f>194 / 86400</f>
        <v>2.2453703703703702E-3</v>
      </c>
    </row>
    <row r="496" spans="1:12" x14ac:dyDescent="0.25">
      <c r="A496" s="3">
        <v>45694.847129629634</v>
      </c>
      <c r="B496" t="s">
        <v>238</v>
      </c>
      <c r="C496" s="3">
        <v>45694.864583333328</v>
      </c>
      <c r="D496" t="s">
        <v>239</v>
      </c>
      <c r="E496" s="4">
        <v>4.9260000000000002</v>
      </c>
      <c r="F496" s="4">
        <v>351186.89</v>
      </c>
      <c r="G496" s="4">
        <v>351191.81599999999</v>
      </c>
      <c r="H496" s="5">
        <f>159 / 86400</f>
        <v>1.8402777777777777E-3</v>
      </c>
      <c r="I496" t="s">
        <v>85</v>
      </c>
      <c r="J496" t="s">
        <v>113</v>
      </c>
      <c r="K496" s="5">
        <f>1507 / 86400</f>
        <v>1.744212962962963E-2</v>
      </c>
      <c r="L496" s="5">
        <f>129 / 86400</f>
        <v>1.4930555555555556E-3</v>
      </c>
    </row>
    <row r="497" spans="1:12" x14ac:dyDescent="0.25">
      <c r="A497" s="3">
        <v>45694.866076388891</v>
      </c>
      <c r="B497" t="s">
        <v>239</v>
      </c>
      <c r="C497" s="3">
        <v>45694.872337962966</v>
      </c>
      <c r="D497" t="s">
        <v>239</v>
      </c>
      <c r="E497" s="4">
        <v>0.57699999999999996</v>
      </c>
      <c r="F497" s="4">
        <v>351191.81599999999</v>
      </c>
      <c r="G497" s="4">
        <v>351192.39299999998</v>
      </c>
      <c r="H497" s="5">
        <f>240 / 86400</f>
        <v>2.7777777777777779E-3</v>
      </c>
      <c r="I497" t="s">
        <v>51</v>
      </c>
      <c r="J497" t="s">
        <v>82</v>
      </c>
      <c r="K497" s="5">
        <f>540 / 86400</f>
        <v>6.2500000000000003E-3</v>
      </c>
      <c r="L497" s="5">
        <f>1783 / 86400</f>
        <v>2.0636574074074075E-2</v>
      </c>
    </row>
    <row r="498" spans="1:12" x14ac:dyDescent="0.25">
      <c r="A498" s="3">
        <v>45694.892974537041</v>
      </c>
      <c r="B498" t="s">
        <v>239</v>
      </c>
      <c r="C498" s="3">
        <v>45694.894756944443</v>
      </c>
      <c r="D498" t="s">
        <v>48</v>
      </c>
      <c r="E498" s="4">
        <v>0.36399999999999999</v>
      </c>
      <c r="F498" s="4">
        <v>351192.39299999998</v>
      </c>
      <c r="G498" s="4">
        <v>351192.75699999998</v>
      </c>
      <c r="H498" s="5">
        <f>0 / 86400</f>
        <v>0</v>
      </c>
      <c r="I498" t="s">
        <v>52</v>
      </c>
      <c r="J498" t="s">
        <v>62</v>
      </c>
      <c r="K498" s="5">
        <f>154 / 86400</f>
        <v>1.7824074074074075E-3</v>
      </c>
      <c r="L498" s="5">
        <f>753 / 86400</f>
        <v>8.7152777777777784E-3</v>
      </c>
    </row>
    <row r="499" spans="1:12" x14ac:dyDescent="0.25">
      <c r="A499" s="3">
        <v>45694.90347222222</v>
      </c>
      <c r="B499" t="s">
        <v>48</v>
      </c>
      <c r="C499" s="3">
        <v>45694.903599537036</v>
      </c>
      <c r="D499" t="s">
        <v>48</v>
      </c>
      <c r="E499" s="4">
        <v>2E-3</v>
      </c>
      <c r="F499" s="4">
        <v>351192.75699999998</v>
      </c>
      <c r="G499" s="4">
        <v>351192.75900000002</v>
      </c>
      <c r="H499" s="5">
        <f>0 / 86400</f>
        <v>0</v>
      </c>
      <c r="I499" t="s">
        <v>23</v>
      </c>
      <c r="J499" t="s">
        <v>141</v>
      </c>
      <c r="K499" s="5">
        <f>10 / 86400</f>
        <v>1.1574074074074075E-4</v>
      </c>
      <c r="L499" s="5">
        <f>2177 / 86400</f>
        <v>2.5196759259259259E-2</v>
      </c>
    </row>
    <row r="500" spans="1:12" x14ac:dyDescent="0.25">
      <c r="A500" s="3">
        <v>45694.928796296299</v>
      </c>
      <c r="B500" t="s">
        <v>48</v>
      </c>
      <c r="C500" s="3">
        <v>45694.939513888894</v>
      </c>
      <c r="D500" t="s">
        <v>240</v>
      </c>
      <c r="E500" s="4">
        <v>3.734</v>
      </c>
      <c r="F500" s="4">
        <v>351192.75900000002</v>
      </c>
      <c r="G500" s="4">
        <v>351196.49300000002</v>
      </c>
      <c r="H500" s="5">
        <f>119 / 86400</f>
        <v>1.3773148148148147E-3</v>
      </c>
      <c r="I500" t="s">
        <v>42</v>
      </c>
      <c r="J500" t="s">
        <v>51</v>
      </c>
      <c r="K500" s="5">
        <f>925 / 86400</f>
        <v>1.0706018518518519E-2</v>
      </c>
      <c r="L500" s="5">
        <f>239 / 86400</f>
        <v>2.7662037037037039E-3</v>
      </c>
    </row>
    <row r="501" spans="1:12" x14ac:dyDescent="0.25">
      <c r="A501" s="3">
        <v>45694.942280092597</v>
      </c>
      <c r="B501" t="s">
        <v>240</v>
      </c>
      <c r="C501" s="3">
        <v>45694.956828703704</v>
      </c>
      <c r="D501" t="s">
        <v>79</v>
      </c>
      <c r="E501" s="4">
        <v>6.093</v>
      </c>
      <c r="F501" s="4">
        <v>351196.49300000002</v>
      </c>
      <c r="G501" s="4">
        <v>351202.58600000001</v>
      </c>
      <c r="H501" s="5">
        <f>160 / 86400</f>
        <v>1.8518518518518519E-3</v>
      </c>
      <c r="I501" t="s">
        <v>229</v>
      </c>
      <c r="J501" t="s">
        <v>37</v>
      </c>
      <c r="K501" s="5">
        <f>1257 / 86400</f>
        <v>1.4548611111111111E-2</v>
      </c>
      <c r="L501" s="5">
        <f>3729 / 86400</f>
        <v>4.3159722222222224E-2</v>
      </c>
    </row>
    <row r="502" spans="1:1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2" s="10" customFormat="1" ht="20.100000000000001" customHeight="1" x14ac:dyDescent="0.35">
      <c r="A504" s="15" t="s">
        <v>312</v>
      </c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2" ht="30" x14ac:dyDescent="0.25">
      <c r="A506" s="2" t="s">
        <v>6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11</v>
      </c>
      <c r="G506" s="2" t="s">
        <v>12</v>
      </c>
      <c r="H506" s="2" t="s">
        <v>13</v>
      </c>
      <c r="I506" s="2" t="s">
        <v>14</v>
      </c>
      <c r="J506" s="2" t="s">
        <v>15</v>
      </c>
      <c r="K506" s="2" t="s">
        <v>16</v>
      </c>
      <c r="L506" s="2" t="s">
        <v>17</v>
      </c>
    </row>
    <row r="507" spans="1:12" x14ac:dyDescent="0.25">
      <c r="A507" s="3">
        <v>45694.221157407403</v>
      </c>
      <c r="B507" t="s">
        <v>80</v>
      </c>
      <c r="C507" s="3">
        <v>45694.221504629633</v>
      </c>
      <c r="D507" t="s">
        <v>80</v>
      </c>
      <c r="E507" s="4">
        <v>0</v>
      </c>
      <c r="F507" s="4">
        <v>409908.23200000002</v>
      </c>
      <c r="G507" s="4">
        <v>409908.23200000002</v>
      </c>
      <c r="H507" s="5">
        <f>19 / 86400</f>
        <v>2.199074074074074E-4</v>
      </c>
      <c r="I507" t="s">
        <v>23</v>
      </c>
      <c r="J507" t="s">
        <v>23</v>
      </c>
      <c r="K507" s="5">
        <f>30 / 86400</f>
        <v>3.4722222222222224E-4</v>
      </c>
      <c r="L507" s="5">
        <f>19155 / 86400</f>
        <v>0.22170138888888888</v>
      </c>
    </row>
    <row r="508" spans="1:12" x14ac:dyDescent="0.25">
      <c r="A508" s="3">
        <v>45694.222048611111</v>
      </c>
      <c r="B508" t="s">
        <v>80</v>
      </c>
      <c r="C508" s="3">
        <v>45694.429456018523</v>
      </c>
      <c r="D508" t="s">
        <v>136</v>
      </c>
      <c r="E508" s="4">
        <v>88.625</v>
      </c>
      <c r="F508" s="4">
        <v>409908.23200000002</v>
      </c>
      <c r="G508" s="4">
        <v>409996.85700000002</v>
      </c>
      <c r="H508" s="5">
        <f>5320 / 86400</f>
        <v>6.1574074074074073E-2</v>
      </c>
      <c r="I508" t="s">
        <v>35</v>
      </c>
      <c r="J508" t="s">
        <v>30</v>
      </c>
      <c r="K508" s="5">
        <f>17920 / 86400</f>
        <v>0.2074074074074074</v>
      </c>
      <c r="L508" s="5">
        <f>546 / 86400</f>
        <v>6.3194444444444444E-3</v>
      </c>
    </row>
    <row r="509" spans="1:12" x14ac:dyDescent="0.25">
      <c r="A509" s="3">
        <v>45694.43577546296</v>
      </c>
      <c r="B509" t="s">
        <v>136</v>
      </c>
      <c r="C509" s="3">
        <v>45694.437881944439</v>
      </c>
      <c r="D509" t="s">
        <v>183</v>
      </c>
      <c r="E509" s="4">
        <v>0.63600000000000001</v>
      </c>
      <c r="F509" s="4">
        <v>409996.85700000002</v>
      </c>
      <c r="G509" s="4">
        <v>409997.49300000002</v>
      </c>
      <c r="H509" s="5">
        <f>40 / 86400</f>
        <v>4.6296296296296298E-4</v>
      </c>
      <c r="I509" t="s">
        <v>174</v>
      </c>
      <c r="J509" t="s">
        <v>46</v>
      </c>
      <c r="K509" s="5">
        <f>181 / 86400</f>
        <v>2.0949074074074073E-3</v>
      </c>
      <c r="L509" s="5">
        <f>2358 / 86400</f>
        <v>2.7291666666666665E-2</v>
      </c>
    </row>
    <row r="510" spans="1:12" x14ac:dyDescent="0.25">
      <c r="A510" s="3">
        <v>45694.465173611112</v>
      </c>
      <c r="B510" t="s">
        <v>183</v>
      </c>
      <c r="C510" s="3">
        <v>45694.468101851853</v>
      </c>
      <c r="D510" t="s">
        <v>133</v>
      </c>
      <c r="E510" s="4">
        <v>0.73199999999999998</v>
      </c>
      <c r="F510" s="4">
        <v>409997.49300000002</v>
      </c>
      <c r="G510" s="4">
        <v>409998.22499999998</v>
      </c>
      <c r="H510" s="5">
        <f>39 / 86400</f>
        <v>4.5138888888888887E-4</v>
      </c>
      <c r="I510" t="s">
        <v>153</v>
      </c>
      <c r="J510" t="s">
        <v>116</v>
      </c>
      <c r="K510" s="5">
        <f>253 / 86400</f>
        <v>2.9282407407407408E-3</v>
      </c>
      <c r="L510" s="5">
        <f>1546 / 86400</f>
        <v>1.7893518518518517E-2</v>
      </c>
    </row>
    <row r="511" spans="1:12" x14ac:dyDescent="0.25">
      <c r="A511" s="3">
        <v>45694.485995370371</v>
      </c>
      <c r="B511" t="s">
        <v>133</v>
      </c>
      <c r="C511" s="3">
        <v>45694.708148148144</v>
      </c>
      <c r="D511" t="s">
        <v>241</v>
      </c>
      <c r="E511" s="4">
        <v>90.674000000000007</v>
      </c>
      <c r="F511" s="4">
        <v>409998.22499999998</v>
      </c>
      <c r="G511" s="4">
        <v>410088.89899999998</v>
      </c>
      <c r="H511" s="5">
        <f>6441 / 86400</f>
        <v>7.4548611111111107E-2</v>
      </c>
      <c r="I511" t="s">
        <v>29</v>
      </c>
      <c r="J511" t="s">
        <v>37</v>
      </c>
      <c r="K511" s="5">
        <f>19193 / 86400</f>
        <v>0.22214120370370372</v>
      </c>
      <c r="L511" s="5">
        <f>83 / 86400</f>
        <v>9.6064814814814819E-4</v>
      </c>
    </row>
    <row r="512" spans="1:12" x14ac:dyDescent="0.25">
      <c r="A512" s="3">
        <v>45694.709108796298</v>
      </c>
      <c r="B512" t="s">
        <v>241</v>
      </c>
      <c r="C512" s="3">
        <v>45694.760092592594</v>
      </c>
      <c r="D512" t="s">
        <v>157</v>
      </c>
      <c r="E512" s="4">
        <v>21.138000000000002</v>
      </c>
      <c r="F512" s="4">
        <v>410088.89899999998</v>
      </c>
      <c r="G512" s="4">
        <v>410110.03700000001</v>
      </c>
      <c r="H512" s="5">
        <f>1679 / 86400</f>
        <v>1.9432870370370371E-2</v>
      </c>
      <c r="I512" t="s">
        <v>222</v>
      </c>
      <c r="J512" t="s">
        <v>37</v>
      </c>
      <c r="K512" s="5">
        <f>4405 / 86400</f>
        <v>5.0983796296296298E-2</v>
      </c>
      <c r="L512" s="5">
        <f>597 / 86400</f>
        <v>6.9097222222222225E-3</v>
      </c>
    </row>
    <row r="513" spans="1:12" x14ac:dyDescent="0.25">
      <c r="A513" s="3">
        <v>45694.767002314809</v>
      </c>
      <c r="B513" t="s">
        <v>157</v>
      </c>
      <c r="C513" s="3">
        <v>45694.771944444445</v>
      </c>
      <c r="D513" t="s">
        <v>80</v>
      </c>
      <c r="E513" s="4">
        <v>0.81499999999999995</v>
      </c>
      <c r="F513" s="4">
        <v>410110.03700000001</v>
      </c>
      <c r="G513" s="4">
        <v>410110.85200000001</v>
      </c>
      <c r="H513" s="5">
        <f>141 / 86400</f>
        <v>1.6319444444444445E-3</v>
      </c>
      <c r="I513" t="s">
        <v>20</v>
      </c>
      <c r="J513" t="s">
        <v>22</v>
      </c>
      <c r="K513" s="5">
        <f>427 / 86400</f>
        <v>4.9421296296296297E-3</v>
      </c>
      <c r="L513" s="5">
        <f>19703 / 86400</f>
        <v>0.22804398148148147</v>
      </c>
    </row>
    <row r="514" spans="1:1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1:1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1:12" s="10" customFormat="1" ht="20.100000000000001" customHeight="1" x14ac:dyDescent="0.35">
      <c r="A516" s="15" t="s">
        <v>313</v>
      </c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1:12" ht="30" x14ac:dyDescent="0.25">
      <c r="A518" s="2" t="s">
        <v>6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  <c r="G518" s="2" t="s">
        <v>12</v>
      </c>
      <c r="H518" s="2" t="s">
        <v>13</v>
      </c>
      <c r="I518" s="2" t="s">
        <v>14</v>
      </c>
      <c r="J518" s="2" t="s">
        <v>15</v>
      </c>
      <c r="K518" s="2" t="s">
        <v>16</v>
      </c>
      <c r="L518" s="2" t="s">
        <v>17</v>
      </c>
    </row>
    <row r="519" spans="1:12" x14ac:dyDescent="0.25">
      <c r="A519" s="3">
        <v>45694.43240740741</v>
      </c>
      <c r="B519" t="s">
        <v>28</v>
      </c>
      <c r="C519" s="3">
        <v>45694.44809027778</v>
      </c>
      <c r="D519" t="s">
        <v>28</v>
      </c>
      <c r="E519" s="4">
        <v>4.7939999999999996</v>
      </c>
      <c r="F519" s="4">
        <v>440763.09</v>
      </c>
      <c r="G519" s="4">
        <v>440767.88400000002</v>
      </c>
      <c r="H519" s="5">
        <f>279 / 86400</f>
        <v>3.2291666666666666E-3</v>
      </c>
      <c r="I519" t="s">
        <v>230</v>
      </c>
      <c r="J519" t="s">
        <v>46</v>
      </c>
      <c r="K519" s="5">
        <f>1355 / 86400</f>
        <v>1.5682870370370371E-2</v>
      </c>
      <c r="L519" s="5">
        <f>37503 / 86400</f>
        <v>0.43406250000000002</v>
      </c>
    </row>
    <row r="520" spans="1:12" x14ac:dyDescent="0.25">
      <c r="A520" s="3">
        <v>45694.449745370366</v>
      </c>
      <c r="B520" t="s">
        <v>28</v>
      </c>
      <c r="C520" s="3">
        <v>45694.45113425926</v>
      </c>
      <c r="D520" t="s">
        <v>24</v>
      </c>
      <c r="E520" s="4">
        <v>0.21199999999999999</v>
      </c>
      <c r="F520" s="4">
        <v>440767.88400000002</v>
      </c>
      <c r="G520" s="4">
        <v>440768.09600000002</v>
      </c>
      <c r="H520" s="5">
        <f>0 / 86400</f>
        <v>0</v>
      </c>
      <c r="I520" t="s">
        <v>75</v>
      </c>
      <c r="J520" t="s">
        <v>142</v>
      </c>
      <c r="K520" s="5">
        <f>120 / 86400</f>
        <v>1.3888888888888889E-3</v>
      </c>
      <c r="L520" s="5">
        <f>3941 / 86400</f>
        <v>4.5613425925925925E-2</v>
      </c>
    </row>
    <row r="521" spans="1:12" x14ac:dyDescent="0.25">
      <c r="A521" s="3">
        <v>45694.496747685189</v>
      </c>
      <c r="B521" t="s">
        <v>24</v>
      </c>
      <c r="C521" s="3">
        <v>45694.497928240744</v>
      </c>
      <c r="D521" t="s">
        <v>28</v>
      </c>
      <c r="E521" s="4">
        <v>0.121</v>
      </c>
      <c r="F521" s="4">
        <v>440768.09600000002</v>
      </c>
      <c r="G521" s="4">
        <v>440768.217</v>
      </c>
      <c r="H521" s="5">
        <f>20 / 86400</f>
        <v>2.3148148148148149E-4</v>
      </c>
      <c r="I521" t="s">
        <v>116</v>
      </c>
      <c r="J521" t="s">
        <v>82</v>
      </c>
      <c r="K521" s="5">
        <f>102 / 86400</f>
        <v>1.1805555555555556E-3</v>
      </c>
      <c r="L521" s="5">
        <f>1521 / 86400</f>
        <v>1.7604166666666667E-2</v>
      </c>
    </row>
    <row r="522" spans="1:12" x14ac:dyDescent="0.25">
      <c r="A522" s="3">
        <v>45694.515532407408</v>
      </c>
      <c r="B522" t="s">
        <v>28</v>
      </c>
      <c r="C522" s="3">
        <v>45694.530775462961</v>
      </c>
      <c r="D522" t="s">
        <v>24</v>
      </c>
      <c r="E522" s="4">
        <v>0.35699999999999998</v>
      </c>
      <c r="F522" s="4">
        <v>440768.217</v>
      </c>
      <c r="G522" s="4">
        <v>440768.57400000002</v>
      </c>
      <c r="H522" s="5">
        <f>1059 / 86400</f>
        <v>1.2256944444444445E-2</v>
      </c>
      <c r="I522" t="s">
        <v>34</v>
      </c>
      <c r="J522" t="s">
        <v>141</v>
      </c>
      <c r="K522" s="5">
        <f>1316 / 86400</f>
        <v>1.5231481481481481E-2</v>
      </c>
      <c r="L522" s="5">
        <f>326 / 86400</f>
        <v>3.7731481481481483E-3</v>
      </c>
    </row>
    <row r="523" spans="1:12" x14ac:dyDescent="0.25">
      <c r="A523" s="3">
        <v>45694.534548611111</v>
      </c>
      <c r="B523" t="s">
        <v>24</v>
      </c>
      <c r="C523" s="3">
        <v>45694.54288194445</v>
      </c>
      <c r="D523" t="s">
        <v>28</v>
      </c>
      <c r="E523" s="4">
        <v>3.6749999999999998</v>
      </c>
      <c r="F523" s="4">
        <v>440768.57400000002</v>
      </c>
      <c r="G523" s="4">
        <v>440772.24900000001</v>
      </c>
      <c r="H523" s="5">
        <f>40 / 86400</f>
        <v>4.6296296296296298E-4</v>
      </c>
      <c r="I523" t="s">
        <v>81</v>
      </c>
      <c r="J523" t="s">
        <v>30</v>
      </c>
      <c r="K523" s="5">
        <f>720 / 86400</f>
        <v>8.3333333333333332E-3</v>
      </c>
      <c r="L523" s="5">
        <f>370 / 86400</f>
        <v>4.2824074074074075E-3</v>
      </c>
    </row>
    <row r="524" spans="1:12" x14ac:dyDescent="0.25">
      <c r="A524" s="3">
        <v>45694.547164351854</v>
      </c>
      <c r="B524" t="s">
        <v>28</v>
      </c>
      <c r="C524" s="3">
        <v>45694.549930555557</v>
      </c>
      <c r="D524" t="s">
        <v>242</v>
      </c>
      <c r="E524" s="4">
        <v>0.72099999999999997</v>
      </c>
      <c r="F524" s="4">
        <v>440772.24900000001</v>
      </c>
      <c r="G524" s="4">
        <v>440772.97</v>
      </c>
      <c r="H524" s="5">
        <f>60 / 86400</f>
        <v>6.9444444444444447E-4</v>
      </c>
      <c r="I524" t="s">
        <v>167</v>
      </c>
      <c r="J524" t="s">
        <v>75</v>
      </c>
      <c r="K524" s="5">
        <f>238 / 86400</f>
        <v>2.7546296296296294E-3</v>
      </c>
      <c r="L524" s="5">
        <f>1176 / 86400</f>
        <v>1.361111111111111E-2</v>
      </c>
    </row>
    <row r="525" spans="1:12" x14ac:dyDescent="0.25">
      <c r="A525" s="3">
        <v>45694.563541666663</v>
      </c>
      <c r="B525" t="s">
        <v>157</v>
      </c>
      <c r="C525" s="3">
        <v>45694.572465277779</v>
      </c>
      <c r="D525" t="s">
        <v>28</v>
      </c>
      <c r="E525" s="4">
        <v>2.0739999999999998</v>
      </c>
      <c r="F525" s="4">
        <v>440772.97</v>
      </c>
      <c r="G525" s="4">
        <v>440775.04399999999</v>
      </c>
      <c r="H525" s="5">
        <f>200 / 86400</f>
        <v>2.3148148148148147E-3</v>
      </c>
      <c r="I525" t="s">
        <v>174</v>
      </c>
      <c r="J525" t="s">
        <v>116</v>
      </c>
      <c r="K525" s="5">
        <f>771 / 86400</f>
        <v>8.9236111111111113E-3</v>
      </c>
      <c r="L525" s="5">
        <f>4275 / 86400</f>
        <v>4.9479166666666664E-2</v>
      </c>
    </row>
    <row r="526" spans="1:12" x14ac:dyDescent="0.25">
      <c r="A526" s="3">
        <v>45694.621944444443</v>
      </c>
      <c r="B526" t="s">
        <v>28</v>
      </c>
      <c r="C526" s="3">
        <v>45694.689432870371</v>
      </c>
      <c r="D526" t="s">
        <v>28</v>
      </c>
      <c r="E526" s="4">
        <v>0.04</v>
      </c>
      <c r="F526" s="4">
        <v>440775.04399999999</v>
      </c>
      <c r="G526" s="4">
        <v>440775.08399999997</v>
      </c>
      <c r="H526" s="5">
        <f>5779 / 86400</f>
        <v>6.6886574074074071E-2</v>
      </c>
      <c r="I526" t="s">
        <v>88</v>
      </c>
      <c r="J526" t="s">
        <v>23</v>
      </c>
      <c r="K526" s="5">
        <f>5831 / 86400</f>
        <v>6.7488425925925924E-2</v>
      </c>
      <c r="L526" s="5">
        <f>407 / 86400</f>
        <v>4.7106481481481478E-3</v>
      </c>
    </row>
    <row r="527" spans="1:12" x14ac:dyDescent="0.25">
      <c r="A527" s="3">
        <v>45694.694143518514</v>
      </c>
      <c r="B527" t="s">
        <v>28</v>
      </c>
      <c r="C527" s="3">
        <v>45694.694988425923</v>
      </c>
      <c r="D527" t="s">
        <v>28</v>
      </c>
      <c r="E527" s="4">
        <v>3.7999999999999999E-2</v>
      </c>
      <c r="F527" s="4">
        <v>440775.08399999997</v>
      </c>
      <c r="G527" s="4">
        <v>440775.12199999997</v>
      </c>
      <c r="H527" s="5">
        <f>0 / 86400</f>
        <v>0</v>
      </c>
      <c r="I527" t="s">
        <v>22</v>
      </c>
      <c r="J527" t="s">
        <v>88</v>
      </c>
      <c r="K527" s="5">
        <f>73 / 86400</f>
        <v>8.4490740740740739E-4</v>
      </c>
      <c r="L527" s="5">
        <f>26352 / 86400</f>
        <v>0.30499999999999999</v>
      </c>
    </row>
    <row r="528" spans="1:1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1:12" s="10" customFormat="1" ht="20.100000000000001" customHeight="1" x14ac:dyDescent="0.35">
      <c r="A530" s="15" t="s">
        <v>314</v>
      </c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1:12" ht="30" x14ac:dyDescent="0.25">
      <c r="A532" s="2" t="s">
        <v>6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  <c r="G532" s="2" t="s">
        <v>12</v>
      </c>
      <c r="H532" s="2" t="s">
        <v>13</v>
      </c>
      <c r="I532" s="2" t="s">
        <v>14</v>
      </c>
      <c r="J532" s="2" t="s">
        <v>15</v>
      </c>
      <c r="K532" s="2" t="s">
        <v>16</v>
      </c>
      <c r="L532" s="2" t="s">
        <v>17</v>
      </c>
    </row>
    <row r="533" spans="1:12" x14ac:dyDescent="0.25">
      <c r="A533" s="3">
        <v>45694.284594907411</v>
      </c>
      <c r="B533" t="s">
        <v>39</v>
      </c>
      <c r="C533" s="3">
        <v>45694.289236111115</v>
      </c>
      <c r="D533" t="s">
        <v>243</v>
      </c>
      <c r="E533" s="4">
        <v>0.81799999999999995</v>
      </c>
      <c r="F533" s="4">
        <v>473024.24400000001</v>
      </c>
      <c r="G533" s="4">
        <v>473025.06199999998</v>
      </c>
      <c r="H533" s="5">
        <f>239 / 86400</f>
        <v>2.7662037037037039E-3</v>
      </c>
      <c r="I533" t="s">
        <v>159</v>
      </c>
      <c r="J533" t="s">
        <v>22</v>
      </c>
      <c r="K533" s="5">
        <f>401 / 86400</f>
        <v>4.6412037037037038E-3</v>
      </c>
      <c r="L533" s="5">
        <f>24724 / 86400</f>
        <v>0.28615740740740742</v>
      </c>
    </row>
    <row r="534" spans="1:12" x14ac:dyDescent="0.25">
      <c r="A534" s="3">
        <v>45694.290798611109</v>
      </c>
      <c r="B534" t="s">
        <v>243</v>
      </c>
      <c r="C534" s="3">
        <v>45694.407789351855</v>
      </c>
      <c r="D534" t="s">
        <v>187</v>
      </c>
      <c r="E534" s="4">
        <v>50.682000000000002</v>
      </c>
      <c r="F534" s="4">
        <v>473025.06199999998</v>
      </c>
      <c r="G534" s="4">
        <v>473075.74400000001</v>
      </c>
      <c r="H534" s="5">
        <f>3361 / 86400</f>
        <v>3.8900462962962963E-2</v>
      </c>
      <c r="I534" t="s">
        <v>69</v>
      </c>
      <c r="J534" t="s">
        <v>30</v>
      </c>
      <c r="K534" s="5">
        <f>10108 / 86400</f>
        <v>0.11699074074074074</v>
      </c>
      <c r="L534" s="5">
        <f>61 / 86400</f>
        <v>7.0601851851851847E-4</v>
      </c>
    </row>
    <row r="535" spans="1:12" x14ac:dyDescent="0.25">
      <c r="A535" s="3">
        <v>45694.408495370371</v>
      </c>
      <c r="B535" t="s">
        <v>187</v>
      </c>
      <c r="C535" s="3">
        <v>45694.531388888892</v>
      </c>
      <c r="D535" t="s">
        <v>133</v>
      </c>
      <c r="E535" s="4">
        <v>50.76</v>
      </c>
      <c r="F535" s="4">
        <v>473075.74400000001</v>
      </c>
      <c r="G535" s="4">
        <v>473126.50400000002</v>
      </c>
      <c r="H535" s="5">
        <f>3343 / 86400</f>
        <v>3.8692129629629632E-2</v>
      </c>
      <c r="I535" t="s">
        <v>29</v>
      </c>
      <c r="J535" t="s">
        <v>37</v>
      </c>
      <c r="K535" s="5">
        <f>10617 / 86400</f>
        <v>0.12288194444444445</v>
      </c>
      <c r="L535" s="5">
        <f>168 / 86400</f>
        <v>1.9444444444444444E-3</v>
      </c>
    </row>
    <row r="536" spans="1:12" x14ac:dyDescent="0.25">
      <c r="A536" s="3">
        <v>45694.533333333333</v>
      </c>
      <c r="B536" t="s">
        <v>133</v>
      </c>
      <c r="C536" s="3">
        <v>45694.536168981482</v>
      </c>
      <c r="D536" t="s">
        <v>136</v>
      </c>
      <c r="E536" s="4">
        <v>1.3149999999999999</v>
      </c>
      <c r="F536" s="4">
        <v>473126.50400000002</v>
      </c>
      <c r="G536" s="4">
        <v>473127.81900000002</v>
      </c>
      <c r="H536" s="5">
        <f>0 / 86400</f>
        <v>0</v>
      </c>
      <c r="I536" t="s">
        <v>42</v>
      </c>
      <c r="J536" t="s">
        <v>20</v>
      </c>
      <c r="K536" s="5">
        <f>245 / 86400</f>
        <v>2.8356481481481483E-3</v>
      </c>
      <c r="L536" s="5">
        <f>521 / 86400</f>
        <v>6.030092592592593E-3</v>
      </c>
    </row>
    <row r="537" spans="1:12" x14ac:dyDescent="0.25">
      <c r="A537" s="3">
        <v>45694.542199074072</v>
      </c>
      <c r="B537" t="s">
        <v>136</v>
      </c>
      <c r="C537" s="3">
        <v>45694.54277777778</v>
      </c>
      <c r="D537" t="s">
        <v>199</v>
      </c>
      <c r="E537" s="4">
        <v>2.9000000000000001E-2</v>
      </c>
      <c r="F537" s="4">
        <v>473127.81900000002</v>
      </c>
      <c r="G537" s="4">
        <v>473127.848</v>
      </c>
      <c r="H537" s="5">
        <f>20 / 86400</f>
        <v>2.3148148148148149E-4</v>
      </c>
      <c r="I537" t="s">
        <v>22</v>
      </c>
      <c r="J537" t="s">
        <v>88</v>
      </c>
      <c r="K537" s="5">
        <f>50 / 86400</f>
        <v>5.7870370370370367E-4</v>
      </c>
      <c r="L537" s="5">
        <f>155 / 86400</f>
        <v>1.7939814814814815E-3</v>
      </c>
    </row>
    <row r="538" spans="1:12" x14ac:dyDescent="0.25">
      <c r="A538" s="3">
        <v>45694.544571759259</v>
      </c>
      <c r="B538" t="s">
        <v>199</v>
      </c>
      <c r="C538" s="3">
        <v>45694.54614583333</v>
      </c>
      <c r="D538" t="s">
        <v>244</v>
      </c>
      <c r="E538" s="4">
        <v>0.22800000000000001</v>
      </c>
      <c r="F538" s="4">
        <v>473127.848</v>
      </c>
      <c r="G538" s="4">
        <v>473128.076</v>
      </c>
      <c r="H538" s="5">
        <f>59 / 86400</f>
        <v>6.8287037037037036E-4</v>
      </c>
      <c r="I538" t="s">
        <v>174</v>
      </c>
      <c r="J538" t="s">
        <v>142</v>
      </c>
      <c r="K538" s="5">
        <f>135 / 86400</f>
        <v>1.5625000000000001E-3</v>
      </c>
      <c r="L538" s="5">
        <f>610 / 86400</f>
        <v>7.060185185185185E-3</v>
      </c>
    </row>
    <row r="539" spans="1:12" x14ac:dyDescent="0.25">
      <c r="A539" s="3">
        <v>45694.553206018521</v>
      </c>
      <c r="B539" t="s">
        <v>244</v>
      </c>
      <c r="C539" s="3">
        <v>45694.5546875</v>
      </c>
      <c r="D539" t="s">
        <v>244</v>
      </c>
      <c r="E539" s="4">
        <v>2.1000000000000001E-2</v>
      </c>
      <c r="F539" s="4">
        <v>473128.076</v>
      </c>
      <c r="G539" s="4">
        <v>473128.09700000001</v>
      </c>
      <c r="H539" s="5">
        <f>99 / 86400</f>
        <v>1.1458333333333333E-3</v>
      </c>
      <c r="I539" t="s">
        <v>142</v>
      </c>
      <c r="J539" t="s">
        <v>141</v>
      </c>
      <c r="K539" s="5">
        <f>127 / 86400</f>
        <v>1.4699074074074074E-3</v>
      </c>
      <c r="L539" s="5">
        <f>11591 / 86400</f>
        <v>0.13415509259259259</v>
      </c>
    </row>
    <row r="540" spans="1:12" x14ac:dyDescent="0.25">
      <c r="A540" s="3">
        <v>45694.688842592594</v>
      </c>
      <c r="B540" t="s">
        <v>244</v>
      </c>
      <c r="C540" s="3">
        <v>45694.688958333332</v>
      </c>
      <c r="D540" t="s">
        <v>244</v>
      </c>
      <c r="E540" s="4">
        <v>0</v>
      </c>
      <c r="F540" s="4">
        <v>473128.09700000001</v>
      </c>
      <c r="G540" s="4">
        <v>473128.09700000001</v>
      </c>
      <c r="H540" s="5">
        <f>0 / 86400</f>
        <v>0</v>
      </c>
      <c r="I540" t="s">
        <v>23</v>
      </c>
      <c r="J540" t="s">
        <v>23</v>
      </c>
      <c r="K540" s="5">
        <f>10 / 86400</f>
        <v>1.1574074074074075E-4</v>
      </c>
      <c r="L540" s="5">
        <f>390 / 86400</f>
        <v>4.5138888888888885E-3</v>
      </c>
    </row>
    <row r="541" spans="1:12" x14ac:dyDescent="0.25">
      <c r="A541" s="3">
        <v>45694.693472222221</v>
      </c>
      <c r="B541" t="s">
        <v>244</v>
      </c>
      <c r="C541" s="3">
        <v>45694.816331018519</v>
      </c>
      <c r="D541" t="s">
        <v>187</v>
      </c>
      <c r="E541" s="4">
        <v>49.374000000000002</v>
      </c>
      <c r="F541" s="4">
        <v>473128.09700000001</v>
      </c>
      <c r="G541" s="4">
        <v>473177.47100000002</v>
      </c>
      <c r="H541" s="5">
        <f>3459 / 86400</f>
        <v>4.0034722222222222E-2</v>
      </c>
      <c r="I541" t="s">
        <v>33</v>
      </c>
      <c r="J541" t="s">
        <v>37</v>
      </c>
      <c r="K541" s="5">
        <f>10615 / 86400</f>
        <v>0.1228587962962963</v>
      </c>
      <c r="L541" s="5">
        <f>54 / 86400</f>
        <v>6.2500000000000001E-4</v>
      </c>
    </row>
    <row r="542" spans="1:12" x14ac:dyDescent="0.25">
      <c r="A542" s="3">
        <v>45694.81695601852</v>
      </c>
      <c r="B542" t="s">
        <v>187</v>
      </c>
      <c r="C542" s="3">
        <v>45694.937465277777</v>
      </c>
      <c r="D542" t="s">
        <v>237</v>
      </c>
      <c r="E542" s="4">
        <v>46.74</v>
      </c>
      <c r="F542" s="4">
        <v>473177.47100000002</v>
      </c>
      <c r="G542" s="4">
        <v>473224.21100000001</v>
      </c>
      <c r="H542" s="5">
        <f>3799 / 86400</f>
        <v>4.3969907407407409E-2</v>
      </c>
      <c r="I542" t="s">
        <v>127</v>
      </c>
      <c r="J542" t="s">
        <v>34</v>
      </c>
      <c r="K542" s="5">
        <f>10411 / 86400</f>
        <v>0.12049768518518518</v>
      </c>
      <c r="L542" s="5">
        <f>471 / 86400</f>
        <v>5.4513888888888893E-3</v>
      </c>
    </row>
    <row r="543" spans="1:12" x14ac:dyDescent="0.25">
      <c r="A543" s="3">
        <v>45694.942916666667</v>
      </c>
      <c r="B543" t="s">
        <v>237</v>
      </c>
      <c r="C543" s="3">
        <v>45694.946122685185</v>
      </c>
      <c r="D543" t="s">
        <v>79</v>
      </c>
      <c r="E543" s="4">
        <v>0.83499999999999996</v>
      </c>
      <c r="F543" s="4">
        <v>473224.21100000001</v>
      </c>
      <c r="G543" s="4">
        <v>473225.04599999997</v>
      </c>
      <c r="H543" s="5">
        <f>40 / 86400</f>
        <v>4.6296296296296298E-4</v>
      </c>
      <c r="I543" t="s">
        <v>150</v>
      </c>
      <c r="J543" t="s">
        <v>75</v>
      </c>
      <c r="K543" s="5">
        <f>276 / 86400</f>
        <v>3.1944444444444446E-3</v>
      </c>
      <c r="L543" s="5">
        <f>4654 / 86400</f>
        <v>5.3865740740740742E-2</v>
      </c>
    </row>
    <row r="544" spans="1:1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2" s="10" customFormat="1" ht="20.100000000000001" customHeight="1" x14ac:dyDescent="0.35">
      <c r="A546" s="15" t="s">
        <v>315</v>
      </c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1:12" ht="30" x14ac:dyDescent="0.25">
      <c r="A548" s="2" t="s">
        <v>6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11</v>
      </c>
      <c r="G548" s="2" t="s">
        <v>12</v>
      </c>
      <c r="H548" s="2" t="s">
        <v>13</v>
      </c>
      <c r="I548" s="2" t="s">
        <v>14</v>
      </c>
      <c r="J548" s="2" t="s">
        <v>15</v>
      </c>
      <c r="K548" s="2" t="s">
        <v>16</v>
      </c>
      <c r="L548" s="2" t="s">
        <v>17</v>
      </c>
    </row>
    <row r="549" spans="1:12" x14ac:dyDescent="0.25">
      <c r="A549" s="3">
        <v>45694.292025462964</v>
      </c>
      <c r="B549" t="s">
        <v>77</v>
      </c>
      <c r="C549" s="3">
        <v>45694.357187500005</v>
      </c>
      <c r="D549" t="s">
        <v>133</v>
      </c>
      <c r="E549" s="4">
        <v>25.623999999999999</v>
      </c>
      <c r="F549" s="4">
        <v>412192.96500000003</v>
      </c>
      <c r="G549" s="4">
        <v>412218.58899999998</v>
      </c>
      <c r="H549" s="5">
        <f>2300 / 86400</f>
        <v>2.6620370370370371E-2</v>
      </c>
      <c r="I549" t="s">
        <v>202</v>
      </c>
      <c r="J549" t="s">
        <v>34</v>
      </c>
      <c r="K549" s="5">
        <f>5630 / 86400</f>
        <v>6.5162037037037032E-2</v>
      </c>
      <c r="L549" s="5">
        <f>26329 / 86400</f>
        <v>0.30473379629629632</v>
      </c>
    </row>
    <row r="550" spans="1:12" x14ac:dyDescent="0.25">
      <c r="A550" s="3">
        <v>45694.369895833333</v>
      </c>
      <c r="B550" t="s">
        <v>133</v>
      </c>
      <c r="C550" s="3">
        <v>45694.374872685185</v>
      </c>
      <c r="D550" t="s">
        <v>155</v>
      </c>
      <c r="E550" s="4">
        <v>0.79</v>
      </c>
      <c r="F550" s="4">
        <v>412218.58899999998</v>
      </c>
      <c r="G550" s="4">
        <v>412219.37900000002</v>
      </c>
      <c r="H550" s="5">
        <f>200 / 86400</f>
        <v>2.3148148148148147E-3</v>
      </c>
      <c r="I550" t="s">
        <v>153</v>
      </c>
      <c r="J550" t="s">
        <v>22</v>
      </c>
      <c r="K550" s="5">
        <f>429 / 86400</f>
        <v>4.9652777777777777E-3</v>
      </c>
      <c r="L550" s="5">
        <f>184 / 86400</f>
        <v>2.1296296296296298E-3</v>
      </c>
    </row>
    <row r="551" spans="1:12" x14ac:dyDescent="0.25">
      <c r="A551" s="3">
        <v>45694.37700231481</v>
      </c>
      <c r="B551" t="s">
        <v>155</v>
      </c>
      <c r="C551" s="3">
        <v>45694.421180555553</v>
      </c>
      <c r="D551" t="s">
        <v>77</v>
      </c>
      <c r="E551" s="4">
        <v>23.829000000000001</v>
      </c>
      <c r="F551" s="4">
        <v>412219.37900000002</v>
      </c>
      <c r="G551" s="4">
        <v>412243.20799999998</v>
      </c>
      <c r="H551" s="5">
        <f>1220 / 86400</f>
        <v>1.412037037037037E-2</v>
      </c>
      <c r="I551" t="s">
        <v>207</v>
      </c>
      <c r="J551" t="s">
        <v>138</v>
      </c>
      <c r="K551" s="5">
        <f>3816 / 86400</f>
        <v>4.4166666666666667E-2</v>
      </c>
      <c r="L551" s="5">
        <f>37 / 86400</f>
        <v>4.2824074074074075E-4</v>
      </c>
    </row>
    <row r="552" spans="1:12" x14ac:dyDescent="0.25">
      <c r="A552" s="3">
        <v>45694.4216087963</v>
      </c>
      <c r="B552" t="s">
        <v>77</v>
      </c>
      <c r="C552" s="3">
        <v>45694.421828703707</v>
      </c>
      <c r="D552" t="s">
        <v>77</v>
      </c>
      <c r="E552" s="4">
        <v>1.4E-2</v>
      </c>
      <c r="F552" s="4">
        <v>412243.20799999998</v>
      </c>
      <c r="G552" s="4">
        <v>412243.22200000001</v>
      </c>
      <c r="H552" s="5">
        <f>0 / 86400</f>
        <v>0</v>
      </c>
      <c r="I552" t="s">
        <v>142</v>
      </c>
      <c r="J552" t="s">
        <v>151</v>
      </c>
      <c r="K552" s="5">
        <f>18 / 86400</f>
        <v>2.0833333333333335E-4</v>
      </c>
      <c r="L552" s="5">
        <f>17230 / 86400</f>
        <v>0.19942129629629629</v>
      </c>
    </row>
    <row r="553" spans="1:12" x14ac:dyDescent="0.25">
      <c r="A553" s="3">
        <v>45694.621249999997</v>
      </c>
      <c r="B553" t="s">
        <v>77</v>
      </c>
      <c r="C553" s="3">
        <v>45694.625891203701</v>
      </c>
      <c r="D553" t="s">
        <v>83</v>
      </c>
      <c r="E553" s="4">
        <v>1.07</v>
      </c>
      <c r="F553" s="4">
        <v>412243.22200000001</v>
      </c>
      <c r="G553" s="4">
        <v>412244.29200000002</v>
      </c>
      <c r="H553" s="5">
        <f>99 / 86400</f>
        <v>1.1458333333333333E-3</v>
      </c>
      <c r="I553" t="s">
        <v>208</v>
      </c>
      <c r="J553" t="s">
        <v>116</v>
      </c>
      <c r="K553" s="5">
        <f>401 / 86400</f>
        <v>4.6412037037037038E-3</v>
      </c>
      <c r="L553" s="5">
        <f>242 / 86400</f>
        <v>2.8009259259259259E-3</v>
      </c>
    </row>
    <row r="554" spans="1:12" x14ac:dyDescent="0.25">
      <c r="A554" s="3">
        <v>45694.628692129627</v>
      </c>
      <c r="B554" t="s">
        <v>83</v>
      </c>
      <c r="C554" s="3">
        <v>45694.632013888884</v>
      </c>
      <c r="D554" t="s">
        <v>83</v>
      </c>
      <c r="E554" s="4">
        <v>1.27</v>
      </c>
      <c r="F554" s="4">
        <v>412244.29200000002</v>
      </c>
      <c r="G554" s="4">
        <v>412245.56199999998</v>
      </c>
      <c r="H554" s="5">
        <f>80 / 86400</f>
        <v>9.2592592592592596E-4</v>
      </c>
      <c r="I554" t="s">
        <v>179</v>
      </c>
      <c r="J554" t="s">
        <v>34</v>
      </c>
      <c r="K554" s="5">
        <f>286 / 86400</f>
        <v>3.3101851851851851E-3</v>
      </c>
      <c r="L554" s="5">
        <f>203 / 86400</f>
        <v>2.3495370370370371E-3</v>
      </c>
    </row>
    <row r="555" spans="1:12" x14ac:dyDescent="0.25">
      <c r="A555" s="3">
        <v>45694.634363425925</v>
      </c>
      <c r="B555" t="s">
        <v>83</v>
      </c>
      <c r="C555" s="3">
        <v>45694.957013888888</v>
      </c>
      <c r="D555" t="s">
        <v>83</v>
      </c>
      <c r="E555" s="4">
        <v>149.42599999999999</v>
      </c>
      <c r="F555" s="4">
        <v>412245.56199999998</v>
      </c>
      <c r="G555" s="4">
        <v>412394.98800000001</v>
      </c>
      <c r="H555" s="5">
        <f>9020 / 86400</f>
        <v>0.10439814814814814</v>
      </c>
      <c r="I555" t="s">
        <v>72</v>
      </c>
      <c r="J555" t="s">
        <v>20</v>
      </c>
      <c r="K555" s="5">
        <f>27877 / 86400</f>
        <v>0.32265046296296296</v>
      </c>
      <c r="L555" s="5">
        <f>457 / 86400</f>
        <v>5.2893518518518515E-3</v>
      </c>
    </row>
    <row r="556" spans="1:12" x14ac:dyDescent="0.25">
      <c r="A556" s="3">
        <v>45694.96230324074</v>
      </c>
      <c r="B556" t="s">
        <v>83</v>
      </c>
      <c r="C556" s="3">
        <v>45694.96298611111</v>
      </c>
      <c r="D556" t="s">
        <v>83</v>
      </c>
      <c r="E556" s="4">
        <v>6.4000000000000001E-2</v>
      </c>
      <c r="F556" s="4">
        <v>412394.98800000001</v>
      </c>
      <c r="G556" s="4">
        <v>412395.05200000003</v>
      </c>
      <c r="H556" s="5">
        <f>0 / 86400</f>
        <v>0</v>
      </c>
      <c r="I556" t="s">
        <v>116</v>
      </c>
      <c r="J556" t="s">
        <v>82</v>
      </c>
      <c r="K556" s="5">
        <f>59 / 86400</f>
        <v>6.8287037037037036E-4</v>
      </c>
      <c r="L556" s="5">
        <f>277 / 86400</f>
        <v>3.2060185185185186E-3</v>
      </c>
    </row>
    <row r="557" spans="1:12" x14ac:dyDescent="0.25">
      <c r="A557" s="3">
        <v>45694.966192129628</v>
      </c>
      <c r="B557" t="s">
        <v>83</v>
      </c>
      <c r="C557" s="3">
        <v>45694.968819444446</v>
      </c>
      <c r="D557" t="s">
        <v>245</v>
      </c>
      <c r="E557" s="4">
        <v>0.98699999999999999</v>
      </c>
      <c r="F557" s="4">
        <v>412395.05200000003</v>
      </c>
      <c r="G557" s="4">
        <v>412396.03899999999</v>
      </c>
      <c r="H557" s="5">
        <f>20 / 86400</f>
        <v>2.3148148148148149E-4</v>
      </c>
      <c r="I557" t="s">
        <v>61</v>
      </c>
      <c r="J557" t="s">
        <v>34</v>
      </c>
      <c r="K557" s="5">
        <f>227 / 86400</f>
        <v>2.627314814814815E-3</v>
      </c>
      <c r="L557" s="5">
        <f>755 / 86400</f>
        <v>8.7384259259259255E-3</v>
      </c>
    </row>
    <row r="558" spans="1:12" x14ac:dyDescent="0.25">
      <c r="A558" s="3">
        <v>45694.97755787037</v>
      </c>
      <c r="B558" t="s">
        <v>245</v>
      </c>
      <c r="C558" s="3">
        <v>45694.981157407412</v>
      </c>
      <c r="D558" t="s">
        <v>77</v>
      </c>
      <c r="E558" s="4">
        <v>0.9</v>
      </c>
      <c r="F558" s="4">
        <v>412396.03899999999</v>
      </c>
      <c r="G558" s="4">
        <v>412396.93900000001</v>
      </c>
      <c r="H558" s="5">
        <f>40 / 86400</f>
        <v>4.6296296296296298E-4</v>
      </c>
      <c r="I558" t="s">
        <v>86</v>
      </c>
      <c r="J558" t="s">
        <v>116</v>
      </c>
      <c r="K558" s="5">
        <f>311 / 86400</f>
        <v>3.5995370370370369E-3</v>
      </c>
      <c r="L558" s="5">
        <f>219 / 86400</f>
        <v>2.5347222222222221E-3</v>
      </c>
    </row>
    <row r="559" spans="1:12" x14ac:dyDescent="0.25">
      <c r="A559" s="3">
        <v>45694.98369212963</v>
      </c>
      <c r="B559" t="s">
        <v>77</v>
      </c>
      <c r="C559" s="3">
        <v>45694.984039351853</v>
      </c>
      <c r="D559" t="s">
        <v>77</v>
      </c>
      <c r="E559" s="4">
        <v>7.8E-2</v>
      </c>
      <c r="F559" s="4">
        <v>412396.93900000001</v>
      </c>
      <c r="G559" s="4">
        <v>412397.01699999999</v>
      </c>
      <c r="H559" s="5">
        <f>0 / 86400</f>
        <v>0</v>
      </c>
      <c r="I559" t="s">
        <v>113</v>
      </c>
      <c r="J559" t="s">
        <v>116</v>
      </c>
      <c r="K559" s="5">
        <f>29 / 86400</f>
        <v>3.3564814814814812E-4</v>
      </c>
      <c r="L559" s="5">
        <f>1378 / 86400</f>
        <v>1.5949074074074074E-2</v>
      </c>
    </row>
    <row r="560" spans="1:1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1:1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1:12" s="10" customFormat="1" ht="20.100000000000001" customHeight="1" x14ac:dyDescent="0.35">
      <c r="A562" s="15" t="s">
        <v>316</v>
      </c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2" ht="30" x14ac:dyDescent="0.25">
      <c r="A564" s="2" t="s">
        <v>6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11</v>
      </c>
      <c r="G564" s="2" t="s">
        <v>12</v>
      </c>
      <c r="H564" s="2" t="s">
        <v>13</v>
      </c>
      <c r="I564" s="2" t="s">
        <v>14</v>
      </c>
      <c r="J564" s="2" t="s">
        <v>15</v>
      </c>
      <c r="K564" s="2" t="s">
        <v>16</v>
      </c>
      <c r="L564" s="2" t="s">
        <v>17</v>
      </c>
    </row>
    <row r="565" spans="1:12" x14ac:dyDescent="0.25">
      <c r="A565" s="3">
        <v>45694.002500000002</v>
      </c>
      <c r="B565" t="s">
        <v>83</v>
      </c>
      <c r="C565" s="3">
        <v>45694.002835648149</v>
      </c>
      <c r="D565" t="s">
        <v>83</v>
      </c>
      <c r="E565" s="4">
        <v>4.7E-2</v>
      </c>
      <c r="F565" s="4">
        <v>326532.179</v>
      </c>
      <c r="G565" s="4">
        <v>326532.22600000002</v>
      </c>
      <c r="H565" s="5">
        <f>0 / 86400</f>
        <v>0</v>
      </c>
      <c r="I565" t="s">
        <v>113</v>
      </c>
      <c r="J565" t="s">
        <v>142</v>
      </c>
      <c r="K565" s="5">
        <f>29 / 86400</f>
        <v>3.3564814814814812E-4</v>
      </c>
      <c r="L565" s="5">
        <f>1395 / 86400</f>
        <v>1.6145833333333335E-2</v>
      </c>
    </row>
    <row r="566" spans="1:12" x14ac:dyDescent="0.25">
      <c r="A566" s="3">
        <v>45694.016481481478</v>
      </c>
      <c r="B566" t="s">
        <v>83</v>
      </c>
      <c r="C566" s="3">
        <v>45694.01971064815</v>
      </c>
      <c r="D566" t="s">
        <v>28</v>
      </c>
      <c r="E566" s="4">
        <v>1.962</v>
      </c>
      <c r="F566" s="4">
        <v>326532.22600000002</v>
      </c>
      <c r="G566" s="4">
        <v>326534.18800000002</v>
      </c>
      <c r="H566" s="5">
        <f>20 / 86400</f>
        <v>2.3148148148148149E-4</v>
      </c>
      <c r="I566" t="s">
        <v>36</v>
      </c>
      <c r="J566" t="s">
        <v>174</v>
      </c>
      <c r="K566" s="5">
        <f>279 / 86400</f>
        <v>3.2291666666666666E-3</v>
      </c>
      <c r="L566" s="5">
        <f>11907 / 86400</f>
        <v>0.1378125</v>
      </c>
    </row>
    <row r="567" spans="1:12" x14ac:dyDescent="0.25">
      <c r="A567" s="3">
        <v>45694.157523148147</v>
      </c>
      <c r="B567" t="s">
        <v>28</v>
      </c>
      <c r="C567" s="3">
        <v>45694.158888888887</v>
      </c>
      <c r="D567" t="s">
        <v>28</v>
      </c>
      <c r="E567" s="4">
        <v>3.5999999999999997E-2</v>
      </c>
      <c r="F567" s="4">
        <v>326534.18800000002</v>
      </c>
      <c r="G567" s="4">
        <v>326534.22399999999</v>
      </c>
      <c r="H567" s="5">
        <f>59 / 86400</f>
        <v>6.8287037037037036E-4</v>
      </c>
      <c r="I567" t="s">
        <v>105</v>
      </c>
      <c r="J567" t="s">
        <v>141</v>
      </c>
      <c r="K567" s="5">
        <f>118 / 86400</f>
        <v>1.3657407407407407E-3</v>
      </c>
      <c r="L567" s="5">
        <f>1596 / 86400</f>
        <v>1.8472222222222223E-2</v>
      </c>
    </row>
    <row r="568" spans="1:12" x14ac:dyDescent="0.25">
      <c r="A568" s="3">
        <v>45694.177361111113</v>
      </c>
      <c r="B568" t="s">
        <v>28</v>
      </c>
      <c r="C568" s="3">
        <v>45694.320937500001</v>
      </c>
      <c r="D568" t="s">
        <v>128</v>
      </c>
      <c r="E568" s="4">
        <v>81.956999999999994</v>
      </c>
      <c r="F568" s="4">
        <v>326534.22399999999</v>
      </c>
      <c r="G568" s="4">
        <v>326616.18099999998</v>
      </c>
      <c r="H568" s="5">
        <f>2120 / 86400</f>
        <v>2.4537037037037038E-2</v>
      </c>
      <c r="I568" t="s">
        <v>29</v>
      </c>
      <c r="J568" t="s">
        <v>153</v>
      </c>
      <c r="K568" s="5">
        <f>12404 / 86400</f>
        <v>0.14356481481481481</v>
      </c>
      <c r="L568" s="5">
        <f>3180 / 86400</f>
        <v>3.6805555555555557E-2</v>
      </c>
    </row>
    <row r="569" spans="1:12" x14ac:dyDescent="0.25">
      <c r="A569" s="3">
        <v>45694.35774305556</v>
      </c>
      <c r="B569" t="s">
        <v>209</v>
      </c>
      <c r="C569" s="3">
        <v>45694.359930555554</v>
      </c>
      <c r="D569" t="s">
        <v>136</v>
      </c>
      <c r="E569" s="4">
        <v>0.748</v>
      </c>
      <c r="F569" s="4">
        <v>326616.18099999998</v>
      </c>
      <c r="G569" s="4">
        <v>326616.929</v>
      </c>
      <c r="H569" s="5">
        <f>40 / 86400</f>
        <v>4.6296296296296298E-4</v>
      </c>
      <c r="I569" t="s">
        <v>174</v>
      </c>
      <c r="J569" t="s">
        <v>52</v>
      </c>
      <c r="K569" s="5">
        <f>189 / 86400</f>
        <v>2.1875000000000002E-3</v>
      </c>
      <c r="L569" s="5">
        <f>2 / 86400</f>
        <v>2.3148148148148147E-5</v>
      </c>
    </row>
    <row r="570" spans="1:12" x14ac:dyDescent="0.25">
      <c r="A570" s="3">
        <v>45694.359953703708</v>
      </c>
      <c r="B570" t="s">
        <v>136</v>
      </c>
      <c r="C570" s="3">
        <v>45694.360127314816</v>
      </c>
      <c r="D570" t="s">
        <v>136</v>
      </c>
      <c r="E570" s="4">
        <v>0</v>
      </c>
      <c r="F570" s="4">
        <v>326616.929</v>
      </c>
      <c r="G570" s="4">
        <v>326616.929</v>
      </c>
      <c r="H570" s="5">
        <f>8 / 86400</f>
        <v>9.2592592592592588E-5</v>
      </c>
      <c r="I570" t="s">
        <v>23</v>
      </c>
      <c r="J570" t="s">
        <v>23</v>
      </c>
      <c r="K570" s="5">
        <f>15 / 86400</f>
        <v>1.7361111111111112E-4</v>
      </c>
      <c r="L570" s="5">
        <f>1527 / 86400</f>
        <v>1.7673611111111112E-2</v>
      </c>
    </row>
    <row r="571" spans="1:12" x14ac:dyDescent="0.25">
      <c r="A571" s="3">
        <v>45694.377800925926</v>
      </c>
      <c r="B571" t="s">
        <v>136</v>
      </c>
      <c r="C571" s="3">
        <v>45694.377916666665</v>
      </c>
      <c r="D571" t="s">
        <v>136</v>
      </c>
      <c r="E571" s="4">
        <v>0</v>
      </c>
      <c r="F571" s="4">
        <v>326616.929</v>
      </c>
      <c r="G571" s="4">
        <v>326616.929</v>
      </c>
      <c r="H571" s="5">
        <f>0 / 86400</f>
        <v>0</v>
      </c>
      <c r="I571" t="s">
        <v>23</v>
      </c>
      <c r="J571" t="s">
        <v>23</v>
      </c>
      <c r="K571" s="5">
        <f>10 / 86400</f>
        <v>1.1574074074074075E-4</v>
      </c>
      <c r="L571" s="5">
        <f>211 / 86400</f>
        <v>2.4421296296296296E-3</v>
      </c>
    </row>
    <row r="572" spans="1:12" x14ac:dyDescent="0.25">
      <c r="A572" s="3">
        <v>45694.380358796298</v>
      </c>
      <c r="B572" t="s">
        <v>136</v>
      </c>
      <c r="C572" s="3">
        <v>45694.385891203703</v>
      </c>
      <c r="D572" t="s">
        <v>133</v>
      </c>
      <c r="E572" s="4">
        <v>1.371</v>
      </c>
      <c r="F572" s="4">
        <v>326616.929</v>
      </c>
      <c r="G572" s="4">
        <v>326618.3</v>
      </c>
      <c r="H572" s="5">
        <f>99 / 86400</f>
        <v>1.1458333333333333E-3</v>
      </c>
      <c r="I572" t="s">
        <v>85</v>
      </c>
      <c r="J572" t="s">
        <v>116</v>
      </c>
      <c r="K572" s="5">
        <f>478 / 86400</f>
        <v>5.5324074074074078E-3</v>
      </c>
      <c r="L572" s="5">
        <f>2503 / 86400</f>
        <v>2.8969907407407406E-2</v>
      </c>
    </row>
    <row r="573" spans="1:12" x14ac:dyDescent="0.25">
      <c r="A573" s="3">
        <v>45694.414861111116</v>
      </c>
      <c r="B573" t="s">
        <v>133</v>
      </c>
      <c r="C573" s="3">
        <v>45694.520173611112</v>
      </c>
      <c r="D573" t="s">
        <v>246</v>
      </c>
      <c r="E573" s="4">
        <v>51.07</v>
      </c>
      <c r="F573" s="4">
        <v>326618.3</v>
      </c>
      <c r="G573" s="4">
        <v>326669.37</v>
      </c>
      <c r="H573" s="5">
        <f>2261 / 86400</f>
        <v>2.6168981481481481E-2</v>
      </c>
      <c r="I573" t="s">
        <v>84</v>
      </c>
      <c r="J573" t="s">
        <v>27</v>
      </c>
      <c r="K573" s="5">
        <f>9099 / 86400</f>
        <v>0.1053125</v>
      </c>
      <c r="L573" s="5">
        <f>935 / 86400</f>
        <v>1.0821759259259258E-2</v>
      </c>
    </row>
    <row r="574" spans="1:12" x14ac:dyDescent="0.25">
      <c r="A574" s="3">
        <v>45694.530995370369</v>
      </c>
      <c r="B574" t="s">
        <v>246</v>
      </c>
      <c r="C574" s="3">
        <v>45694.702361111107</v>
      </c>
      <c r="D574" t="s">
        <v>24</v>
      </c>
      <c r="E574" s="4">
        <v>77.082999999999998</v>
      </c>
      <c r="F574" s="4">
        <v>326669.37</v>
      </c>
      <c r="G574" s="4">
        <v>326746.45299999998</v>
      </c>
      <c r="H574" s="5">
        <f>3560 / 86400</f>
        <v>4.1203703703703701E-2</v>
      </c>
      <c r="I574" t="s">
        <v>127</v>
      </c>
      <c r="J574" t="s">
        <v>20</v>
      </c>
      <c r="K574" s="5">
        <f>14806 / 86400</f>
        <v>0.17136574074074074</v>
      </c>
      <c r="L574" s="5">
        <f>354 / 86400</f>
        <v>4.0972222222222226E-3</v>
      </c>
    </row>
    <row r="575" spans="1:12" x14ac:dyDescent="0.25">
      <c r="A575" s="3">
        <v>45694.706458333334</v>
      </c>
      <c r="B575" t="s">
        <v>24</v>
      </c>
      <c r="C575" s="3">
        <v>45694.708287037036</v>
      </c>
      <c r="D575" t="s">
        <v>28</v>
      </c>
      <c r="E575" s="4">
        <v>0.48799999999999999</v>
      </c>
      <c r="F575" s="4">
        <v>326746.45299999998</v>
      </c>
      <c r="G575" s="4">
        <v>326746.94099999999</v>
      </c>
      <c r="H575" s="5">
        <f>40 / 86400</f>
        <v>4.6296296296296298E-4</v>
      </c>
      <c r="I575" t="s">
        <v>85</v>
      </c>
      <c r="J575" t="s">
        <v>75</v>
      </c>
      <c r="K575" s="5">
        <f>158 / 86400</f>
        <v>1.8287037037037037E-3</v>
      </c>
      <c r="L575" s="5">
        <f>1284 / 86400</f>
        <v>1.4861111111111111E-2</v>
      </c>
    </row>
    <row r="576" spans="1:12" x14ac:dyDescent="0.25">
      <c r="A576" s="3">
        <v>45694.723148148143</v>
      </c>
      <c r="B576" t="s">
        <v>28</v>
      </c>
      <c r="C576" s="3">
        <v>45694.723217592589</v>
      </c>
      <c r="D576" t="s">
        <v>28</v>
      </c>
      <c r="E576" s="4">
        <v>0</v>
      </c>
      <c r="F576" s="4">
        <v>326746.94099999999</v>
      </c>
      <c r="G576" s="4">
        <v>326746.94099999999</v>
      </c>
      <c r="H576" s="5">
        <f>0 / 86400</f>
        <v>0</v>
      </c>
      <c r="I576" t="s">
        <v>23</v>
      </c>
      <c r="J576" t="s">
        <v>23</v>
      </c>
      <c r="K576" s="5">
        <f>6 / 86400</f>
        <v>6.9444444444444444E-5</v>
      </c>
      <c r="L576" s="5">
        <f>1 / 86400</f>
        <v>1.1574074074074073E-5</v>
      </c>
    </row>
    <row r="577" spans="1:12" x14ac:dyDescent="0.25">
      <c r="A577" s="3">
        <v>45694.723229166666</v>
      </c>
      <c r="B577" t="s">
        <v>28</v>
      </c>
      <c r="C577" s="3">
        <v>45694.724398148144</v>
      </c>
      <c r="D577" t="s">
        <v>28</v>
      </c>
      <c r="E577" s="4">
        <v>3.5999999999999997E-2</v>
      </c>
      <c r="F577" s="4">
        <v>326746.94099999999</v>
      </c>
      <c r="G577" s="4">
        <v>326746.97700000001</v>
      </c>
      <c r="H577" s="5">
        <f>33 / 86400</f>
        <v>3.8194444444444446E-4</v>
      </c>
      <c r="I577" t="s">
        <v>142</v>
      </c>
      <c r="J577" t="s">
        <v>141</v>
      </c>
      <c r="K577" s="5">
        <f>101 / 86400</f>
        <v>1.1689814814814816E-3</v>
      </c>
      <c r="L577" s="5">
        <f>23811 / 86400</f>
        <v>0.27559027777777778</v>
      </c>
    </row>
    <row r="578" spans="1:1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1:1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1:12" s="10" customFormat="1" ht="20.100000000000001" customHeight="1" x14ac:dyDescent="0.35">
      <c r="A580" s="15" t="s">
        <v>317</v>
      </c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1:12" ht="30" x14ac:dyDescent="0.25">
      <c r="A582" s="2" t="s">
        <v>6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11</v>
      </c>
      <c r="G582" s="2" t="s">
        <v>12</v>
      </c>
      <c r="H582" s="2" t="s">
        <v>13</v>
      </c>
      <c r="I582" s="2" t="s">
        <v>14</v>
      </c>
      <c r="J582" s="2" t="s">
        <v>15</v>
      </c>
      <c r="K582" s="2" t="s">
        <v>16</v>
      </c>
      <c r="L582" s="2" t="s">
        <v>17</v>
      </c>
    </row>
    <row r="583" spans="1:12" x14ac:dyDescent="0.25">
      <c r="A583" s="3">
        <v>45694</v>
      </c>
      <c r="B583" t="s">
        <v>28</v>
      </c>
      <c r="C583" s="3">
        <v>45694.538344907407</v>
      </c>
      <c r="D583" t="s">
        <v>28</v>
      </c>
      <c r="E583" s="4">
        <v>1.0009999999999999</v>
      </c>
      <c r="F583" s="4">
        <v>359563.10399999999</v>
      </c>
      <c r="G583" s="4">
        <v>359564.10499999998</v>
      </c>
      <c r="H583" s="5">
        <f>46160 / 86400</f>
        <v>0.53425925925925921</v>
      </c>
      <c r="I583" t="s">
        <v>51</v>
      </c>
      <c r="J583" t="s">
        <v>23</v>
      </c>
      <c r="K583" s="5">
        <f>46513 / 86400</f>
        <v>0.53834490740740737</v>
      </c>
      <c r="L583" s="5">
        <f>148 / 86400</f>
        <v>1.712962962962963E-3</v>
      </c>
    </row>
    <row r="584" spans="1:12" x14ac:dyDescent="0.25">
      <c r="A584" s="3">
        <v>45694.54005787037</v>
      </c>
      <c r="B584" t="s">
        <v>28</v>
      </c>
      <c r="C584" s="3">
        <v>45694.542245370365</v>
      </c>
      <c r="D584" t="s">
        <v>28</v>
      </c>
      <c r="E584" s="4">
        <v>0</v>
      </c>
      <c r="F584" s="4">
        <v>359564.10499999998</v>
      </c>
      <c r="G584" s="4">
        <v>359564.10499999998</v>
      </c>
      <c r="H584" s="5">
        <f>179 / 86400</f>
        <v>2.0717592592592593E-3</v>
      </c>
      <c r="I584" t="s">
        <v>23</v>
      </c>
      <c r="J584" t="s">
        <v>23</v>
      </c>
      <c r="K584" s="5">
        <f>189 / 86400</f>
        <v>2.1875000000000002E-3</v>
      </c>
      <c r="L584" s="5">
        <f>1817 / 86400</f>
        <v>2.1030092592592593E-2</v>
      </c>
    </row>
    <row r="585" spans="1:12" x14ac:dyDescent="0.25">
      <c r="A585" s="3">
        <v>45694.563275462962</v>
      </c>
      <c r="B585" t="s">
        <v>28</v>
      </c>
      <c r="C585" s="3">
        <v>45694.563819444447</v>
      </c>
      <c r="D585" t="s">
        <v>28</v>
      </c>
      <c r="E585" s="4">
        <v>0</v>
      </c>
      <c r="F585" s="4">
        <v>359564.10499999998</v>
      </c>
      <c r="G585" s="4">
        <v>359564.10499999998</v>
      </c>
      <c r="H585" s="5">
        <f>39 / 86400</f>
        <v>4.5138888888888887E-4</v>
      </c>
      <c r="I585" t="s">
        <v>23</v>
      </c>
      <c r="J585" t="s">
        <v>23</v>
      </c>
      <c r="K585" s="5">
        <f>47 / 86400</f>
        <v>5.4398148148148144E-4</v>
      </c>
      <c r="L585" s="5">
        <f>90 / 86400</f>
        <v>1.0416666666666667E-3</v>
      </c>
    </row>
    <row r="586" spans="1:12" x14ac:dyDescent="0.25">
      <c r="A586" s="3">
        <v>45694.56486111111</v>
      </c>
      <c r="B586" t="s">
        <v>28</v>
      </c>
      <c r="C586" s="3">
        <v>45694.99998842593</v>
      </c>
      <c r="D586" t="s">
        <v>28</v>
      </c>
      <c r="E586" s="4">
        <v>4.59</v>
      </c>
      <c r="F586" s="4">
        <v>359564.10499999998</v>
      </c>
      <c r="G586" s="4">
        <v>359568.69500000001</v>
      </c>
      <c r="H586" s="5">
        <f>36259 / 86400</f>
        <v>0.41966435185185186</v>
      </c>
      <c r="I586" t="s">
        <v>86</v>
      </c>
      <c r="J586" t="s">
        <v>23</v>
      </c>
      <c r="K586" s="5">
        <f>37595 / 86400</f>
        <v>0.43512731481481481</v>
      </c>
      <c r="L586" s="5">
        <f>0 / 86400</f>
        <v>0</v>
      </c>
    </row>
    <row r="587" spans="1:1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1:1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2" s="10" customFormat="1" ht="20.100000000000001" customHeight="1" x14ac:dyDescent="0.35">
      <c r="A589" s="15" t="s">
        <v>318</v>
      </c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1:12" ht="30" x14ac:dyDescent="0.25">
      <c r="A591" s="2" t="s">
        <v>6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11</v>
      </c>
      <c r="G591" s="2" t="s">
        <v>12</v>
      </c>
      <c r="H591" s="2" t="s">
        <v>13</v>
      </c>
      <c r="I591" s="2" t="s">
        <v>14</v>
      </c>
      <c r="J591" s="2" t="s">
        <v>15</v>
      </c>
      <c r="K591" s="2" t="s">
        <v>16</v>
      </c>
      <c r="L591" s="2" t="s">
        <v>17</v>
      </c>
    </row>
    <row r="592" spans="1:12" x14ac:dyDescent="0.25">
      <c r="A592" s="3">
        <v>45694.658032407402</v>
      </c>
      <c r="B592" t="s">
        <v>65</v>
      </c>
      <c r="C592" s="3">
        <v>45694.665902777779</v>
      </c>
      <c r="D592" t="s">
        <v>199</v>
      </c>
      <c r="E592" s="4">
        <v>1.6539999999999999</v>
      </c>
      <c r="F592" s="4">
        <v>80817.004000000001</v>
      </c>
      <c r="G592" s="4">
        <v>80818.657999999996</v>
      </c>
      <c r="H592" s="5">
        <f>240 / 86400</f>
        <v>2.7777777777777779E-3</v>
      </c>
      <c r="I592" t="s">
        <v>42</v>
      </c>
      <c r="J592" t="s">
        <v>62</v>
      </c>
      <c r="K592" s="5">
        <f>679 / 86400</f>
        <v>7.858796296296296E-3</v>
      </c>
      <c r="L592" s="5">
        <f>57717 / 86400</f>
        <v>0.66802083333333329</v>
      </c>
    </row>
    <row r="593" spans="1:12" x14ac:dyDescent="0.25">
      <c r="A593" s="3">
        <v>45694.675891203704</v>
      </c>
      <c r="B593" t="s">
        <v>199</v>
      </c>
      <c r="C593" s="3">
        <v>45694.678032407406</v>
      </c>
      <c r="D593" t="s">
        <v>199</v>
      </c>
      <c r="E593" s="4">
        <v>9.7000000000000003E-2</v>
      </c>
      <c r="F593" s="4">
        <v>80818.657999999996</v>
      </c>
      <c r="G593" s="4">
        <v>80818.755000000005</v>
      </c>
      <c r="H593" s="5">
        <f>159 / 86400</f>
        <v>1.8402777777777777E-3</v>
      </c>
      <c r="I593" t="s">
        <v>37</v>
      </c>
      <c r="J593" t="s">
        <v>88</v>
      </c>
      <c r="K593" s="5">
        <f>184 / 86400</f>
        <v>2.1296296296296298E-3</v>
      </c>
      <c r="L593" s="5">
        <f>760 / 86400</f>
        <v>8.7962962962962968E-3</v>
      </c>
    </row>
    <row r="594" spans="1:12" x14ac:dyDescent="0.25">
      <c r="A594" s="3">
        <v>45694.686828703707</v>
      </c>
      <c r="B594" t="s">
        <v>199</v>
      </c>
      <c r="C594" s="3">
        <v>45694.688784722224</v>
      </c>
      <c r="D594" t="s">
        <v>244</v>
      </c>
      <c r="E594" s="4">
        <v>0.626</v>
      </c>
      <c r="F594" s="4">
        <v>80818.755000000005</v>
      </c>
      <c r="G594" s="4">
        <v>80819.380999999994</v>
      </c>
      <c r="H594" s="5">
        <f>40 / 86400</f>
        <v>4.6296296296296298E-4</v>
      </c>
      <c r="I594" t="s">
        <v>230</v>
      </c>
      <c r="J594" t="s">
        <v>46</v>
      </c>
      <c r="K594" s="5">
        <f>168 / 86400</f>
        <v>1.9444444444444444E-3</v>
      </c>
      <c r="L594" s="5">
        <f>219 / 86400</f>
        <v>2.5347222222222221E-3</v>
      </c>
    </row>
    <row r="595" spans="1:12" x14ac:dyDescent="0.25">
      <c r="A595" s="3">
        <v>45694.69131944445</v>
      </c>
      <c r="B595" t="s">
        <v>247</v>
      </c>
      <c r="C595" s="3">
        <v>45694.691469907411</v>
      </c>
      <c r="D595" t="s">
        <v>247</v>
      </c>
      <c r="E595" s="4">
        <v>0</v>
      </c>
      <c r="F595" s="4">
        <v>80819.380999999994</v>
      </c>
      <c r="G595" s="4">
        <v>80819.380999999994</v>
      </c>
      <c r="H595" s="5">
        <f>0 / 86400</f>
        <v>0</v>
      </c>
      <c r="I595" t="s">
        <v>23</v>
      </c>
      <c r="J595" t="s">
        <v>23</v>
      </c>
      <c r="K595" s="5">
        <f>12 / 86400</f>
        <v>1.3888888888888889E-4</v>
      </c>
      <c r="L595" s="5">
        <f>111 / 86400</f>
        <v>1.2847222222222223E-3</v>
      </c>
    </row>
    <row r="596" spans="1:12" x14ac:dyDescent="0.25">
      <c r="A596" s="3">
        <v>45694.692754629628</v>
      </c>
      <c r="B596" t="s">
        <v>244</v>
      </c>
      <c r="C596" s="3">
        <v>45694.698912037042</v>
      </c>
      <c r="D596" t="s">
        <v>65</v>
      </c>
      <c r="E596" s="4">
        <v>1.177</v>
      </c>
      <c r="F596" s="4">
        <v>80819.380999999994</v>
      </c>
      <c r="G596" s="4">
        <v>80820.558000000005</v>
      </c>
      <c r="H596" s="5">
        <f>240 / 86400</f>
        <v>2.7777777777777779E-3</v>
      </c>
      <c r="I596" t="s">
        <v>87</v>
      </c>
      <c r="J596" t="s">
        <v>43</v>
      </c>
      <c r="K596" s="5">
        <f>531 / 86400</f>
        <v>6.145833333333333E-3</v>
      </c>
      <c r="L596" s="5">
        <f>892 / 86400</f>
        <v>1.0324074074074074E-2</v>
      </c>
    </row>
    <row r="597" spans="1:12" x14ac:dyDescent="0.25">
      <c r="A597" s="3">
        <v>45694.709236111114</v>
      </c>
      <c r="B597" t="s">
        <v>65</v>
      </c>
      <c r="C597" s="3">
        <v>45694.718449074076</v>
      </c>
      <c r="D597" t="s">
        <v>65</v>
      </c>
      <c r="E597" s="4">
        <v>4.1000000000000002E-2</v>
      </c>
      <c r="F597" s="4">
        <v>80820.558000000005</v>
      </c>
      <c r="G597" s="4">
        <v>80820.599000000002</v>
      </c>
      <c r="H597" s="5">
        <f>699 / 86400</f>
        <v>8.0902777777777778E-3</v>
      </c>
      <c r="I597" t="s">
        <v>105</v>
      </c>
      <c r="J597" t="s">
        <v>23</v>
      </c>
      <c r="K597" s="5">
        <f>796 / 86400</f>
        <v>9.2129629629629627E-3</v>
      </c>
      <c r="L597" s="5">
        <f>25 / 86400</f>
        <v>2.8935185185185184E-4</v>
      </c>
    </row>
    <row r="598" spans="1:12" x14ac:dyDescent="0.25">
      <c r="A598" s="3">
        <v>45694.71873842593</v>
      </c>
      <c r="B598" t="s">
        <v>65</v>
      </c>
      <c r="C598" s="3">
        <v>45694.718773148154</v>
      </c>
      <c r="D598" t="s">
        <v>65</v>
      </c>
      <c r="E598" s="4">
        <v>0</v>
      </c>
      <c r="F598" s="4">
        <v>80820.599000000002</v>
      </c>
      <c r="G598" s="4">
        <v>80820.599000000002</v>
      </c>
      <c r="H598" s="5">
        <f>0 / 86400</f>
        <v>0</v>
      </c>
      <c r="I598" t="s">
        <v>23</v>
      </c>
      <c r="J598" t="s">
        <v>23</v>
      </c>
      <c r="K598" s="5">
        <f>3 / 86400</f>
        <v>3.4722222222222222E-5</v>
      </c>
      <c r="L598" s="5">
        <f>4 / 86400</f>
        <v>4.6296296296296294E-5</v>
      </c>
    </row>
    <row r="599" spans="1:12" x14ac:dyDescent="0.25">
      <c r="A599" s="3">
        <v>45694.718819444446</v>
      </c>
      <c r="B599" t="s">
        <v>65</v>
      </c>
      <c r="C599" s="3">
        <v>45694.718923611115</v>
      </c>
      <c r="D599" t="s">
        <v>65</v>
      </c>
      <c r="E599" s="4">
        <v>0</v>
      </c>
      <c r="F599" s="4">
        <v>80820.599000000002</v>
      </c>
      <c r="G599" s="4">
        <v>80820.599000000002</v>
      </c>
      <c r="H599" s="5">
        <f>0 / 86400</f>
        <v>0</v>
      </c>
      <c r="I599" t="s">
        <v>23</v>
      </c>
      <c r="J599" t="s">
        <v>23</v>
      </c>
      <c r="K599" s="5">
        <f>9 / 86400</f>
        <v>1.0416666666666667E-4</v>
      </c>
      <c r="L599" s="5">
        <f>407 / 86400</f>
        <v>4.7106481481481478E-3</v>
      </c>
    </row>
    <row r="600" spans="1:12" x14ac:dyDescent="0.25">
      <c r="A600" s="3">
        <v>45694.723634259259</v>
      </c>
      <c r="B600" t="s">
        <v>65</v>
      </c>
      <c r="C600" s="3">
        <v>45694.723923611113</v>
      </c>
      <c r="D600" t="s">
        <v>65</v>
      </c>
      <c r="E600" s="4">
        <v>0</v>
      </c>
      <c r="F600" s="4">
        <v>80820.599000000002</v>
      </c>
      <c r="G600" s="4">
        <v>80820.599000000002</v>
      </c>
      <c r="H600" s="5">
        <f>19 / 86400</f>
        <v>2.199074074074074E-4</v>
      </c>
      <c r="I600" t="s">
        <v>23</v>
      </c>
      <c r="J600" t="s">
        <v>23</v>
      </c>
      <c r="K600" s="5">
        <f>25 / 86400</f>
        <v>2.8935185185185184E-4</v>
      </c>
      <c r="L600" s="5">
        <f>18 / 86400</f>
        <v>2.0833333333333335E-4</v>
      </c>
    </row>
    <row r="601" spans="1:12" x14ac:dyDescent="0.25">
      <c r="A601" s="3">
        <v>45694.724131944444</v>
      </c>
      <c r="B601" t="s">
        <v>65</v>
      </c>
      <c r="C601" s="3">
        <v>45694.724988425922</v>
      </c>
      <c r="D601" t="s">
        <v>65</v>
      </c>
      <c r="E601" s="4">
        <v>0</v>
      </c>
      <c r="F601" s="4">
        <v>80820.599000000002</v>
      </c>
      <c r="G601" s="4">
        <v>80820.599000000002</v>
      </c>
      <c r="H601" s="5">
        <f>59 / 86400</f>
        <v>6.8287037037037036E-4</v>
      </c>
      <c r="I601" t="s">
        <v>23</v>
      </c>
      <c r="J601" t="s">
        <v>23</v>
      </c>
      <c r="K601" s="5">
        <f>74 / 86400</f>
        <v>8.564814814814815E-4</v>
      </c>
      <c r="L601" s="5">
        <f>320 / 86400</f>
        <v>3.7037037037037038E-3</v>
      </c>
    </row>
    <row r="602" spans="1:12" x14ac:dyDescent="0.25">
      <c r="A602" s="3">
        <v>45694.728692129633</v>
      </c>
      <c r="B602" t="s">
        <v>65</v>
      </c>
      <c r="C602" s="3">
        <v>45694.732905092591</v>
      </c>
      <c r="D602" t="s">
        <v>65</v>
      </c>
      <c r="E602" s="4">
        <v>0</v>
      </c>
      <c r="F602" s="4">
        <v>80820.599000000002</v>
      </c>
      <c r="G602" s="4">
        <v>80820.599000000002</v>
      </c>
      <c r="H602" s="5">
        <f>359 / 86400</f>
        <v>4.1550925925925922E-3</v>
      </c>
      <c r="I602" t="s">
        <v>23</v>
      </c>
      <c r="J602" t="s">
        <v>23</v>
      </c>
      <c r="K602" s="5">
        <f>364 / 86400</f>
        <v>4.2129629629629626E-3</v>
      </c>
      <c r="L602" s="5">
        <f>61 / 86400</f>
        <v>7.0601851851851847E-4</v>
      </c>
    </row>
    <row r="603" spans="1:12" x14ac:dyDescent="0.25">
      <c r="A603" s="3">
        <v>45694.733611111107</v>
      </c>
      <c r="B603" t="s">
        <v>65</v>
      </c>
      <c r="C603" s="3">
        <v>45694.738333333335</v>
      </c>
      <c r="D603" t="s">
        <v>65</v>
      </c>
      <c r="E603" s="4">
        <v>0</v>
      </c>
      <c r="F603" s="4">
        <v>80820.599000000002</v>
      </c>
      <c r="G603" s="4">
        <v>80820.599000000002</v>
      </c>
      <c r="H603" s="5">
        <f>399 / 86400</f>
        <v>4.6180555555555558E-3</v>
      </c>
      <c r="I603" t="s">
        <v>23</v>
      </c>
      <c r="J603" t="s">
        <v>23</v>
      </c>
      <c r="K603" s="5">
        <f>407 / 86400</f>
        <v>4.7106481481481478E-3</v>
      </c>
      <c r="L603" s="5">
        <f>33 / 86400</f>
        <v>3.8194444444444446E-4</v>
      </c>
    </row>
    <row r="604" spans="1:12" x14ac:dyDescent="0.25">
      <c r="A604" s="3">
        <v>45694.738715277781</v>
      </c>
      <c r="B604" t="s">
        <v>65</v>
      </c>
      <c r="C604" s="3">
        <v>45694.751261574071</v>
      </c>
      <c r="D604" t="s">
        <v>65</v>
      </c>
      <c r="E604" s="4">
        <v>0</v>
      </c>
      <c r="F604" s="4">
        <v>80820.599000000002</v>
      </c>
      <c r="G604" s="4">
        <v>80820.599000000002</v>
      </c>
      <c r="H604" s="5">
        <f>1079 / 86400</f>
        <v>1.2488425925925925E-2</v>
      </c>
      <c r="I604" t="s">
        <v>23</v>
      </c>
      <c r="J604" t="s">
        <v>23</v>
      </c>
      <c r="K604" s="5">
        <f>1084 / 86400</f>
        <v>1.2546296296296297E-2</v>
      </c>
      <c r="L604" s="5">
        <f>894 / 86400</f>
        <v>1.0347222222222223E-2</v>
      </c>
    </row>
    <row r="605" spans="1:12" x14ac:dyDescent="0.25">
      <c r="A605" s="3">
        <v>45694.761608796296</v>
      </c>
      <c r="B605" t="s">
        <v>65</v>
      </c>
      <c r="C605" s="3">
        <v>45694.762002314819</v>
      </c>
      <c r="D605" t="s">
        <v>65</v>
      </c>
      <c r="E605" s="4">
        <v>0</v>
      </c>
      <c r="F605" s="4">
        <v>80820.599000000002</v>
      </c>
      <c r="G605" s="4">
        <v>80820.599000000002</v>
      </c>
      <c r="H605" s="5">
        <f>19 / 86400</f>
        <v>2.199074074074074E-4</v>
      </c>
      <c r="I605" t="s">
        <v>23</v>
      </c>
      <c r="J605" t="s">
        <v>23</v>
      </c>
      <c r="K605" s="5">
        <f>34 / 86400</f>
        <v>3.9351851851851852E-4</v>
      </c>
      <c r="L605" s="5">
        <f>3 / 86400</f>
        <v>3.4722222222222222E-5</v>
      </c>
    </row>
    <row r="606" spans="1:12" x14ac:dyDescent="0.25">
      <c r="A606" s="3">
        <v>45694.762037037042</v>
      </c>
      <c r="B606" t="s">
        <v>65</v>
      </c>
      <c r="C606" s="3">
        <v>45694.762129629627</v>
      </c>
      <c r="D606" t="s">
        <v>65</v>
      </c>
      <c r="E606" s="4">
        <v>0</v>
      </c>
      <c r="F606" s="4">
        <v>80820.599000000002</v>
      </c>
      <c r="G606" s="4">
        <v>80820.599000000002</v>
      </c>
      <c r="H606" s="5">
        <f>2 / 86400</f>
        <v>2.3148148148148147E-5</v>
      </c>
      <c r="I606" t="s">
        <v>23</v>
      </c>
      <c r="J606" t="s">
        <v>23</v>
      </c>
      <c r="K606" s="5">
        <f>8 / 86400</f>
        <v>9.2592592592592588E-5</v>
      </c>
      <c r="L606" s="5">
        <f>3 / 86400</f>
        <v>3.4722222222222222E-5</v>
      </c>
    </row>
    <row r="607" spans="1:12" x14ac:dyDescent="0.25">
      <c r="A607" s="3">
        <v>45694.762164351851</v>
      </c>
      <c r="B607" t="s">
        <v>65</v>
      </c>
      <c r="C607" s="3">
        <v>45694.762245370366</v>
      </c>
      <c r="D607" t="s">
        <v>65</v>
      </c>
      <c r="E607" s="4">
        <v>0</v>
      </c>
      <c r="F607" s="4">
        <v>80820.599000000002</v>
      </c>
      <c r="G607" s="4">
        <v>80820.599000000002</v>
      </c>
      <c r="H607" s="5">
        <f>0 / 86400</f>
        <v>0</v>
      </c>
      <c r="I607" t="s">
        <v>23</v>
      </c>
      <c r="J607" t="s">
        <v>23</v>
      </c>
      <c r="K607" s="5">
        <f>7 / 86400</f>
        <v>8.1018518518518516E-5</v>
      </c>
      <c r="L607" s="5">
        <f>2818 / 86400</f>
        <v>3.2615740740740744E-2</v>
      </c>
    </row>
    <row r="608" spans="1:12" x14ac:dyDescent="0.25">
      <c r="A608" s="3">
        <v>45694.794861111106</v>
      </c>
      <c r="B608" t="s">
        <v>65</v>
      </c>
      <c r="C608" s="3">
        <v>45694.809282407412</v>
      </c>
      <c r="D608" t="s">
        <v>65</v>
      </c>
      <c r="E608" s="4">
        <v>0</v>
      </c>
      <c r="F608" s="4">
        <v>80820.599000000002</v>
      </c>
      <c r="G608" s="4">
        <v>80820.599000000002</v>
      </c>
      <c r="H608" s="5">
        <f>1240 / 86400</f>
        <v>1.4351851851851852E-2</v>
      </c>
      <c r="I608" t="s">
        <v>23</v>
      </c>
      <c r="J608" t="s">
        <v>23</v>
      </c>
      <c r="K608" s="5">
        <f>1246 / 86400</f>
        <v>1.4421296296296297E-2</v>
      </c>
      <c r="L608" s="5">
        <f>451 / 86400</f>
        <v>5.2199074074074075E-3</v>
      </c>
    </row>
    <row r="609" spans="1:12" x14ac:dyDescent="0.25">
      <c r="A609" s="3">
        <v>45694.81450231481</v>
      </c>
      <c r="B609" t="s">
        <v>65</v>
      </c>
      <c r="C609" s="3">
        <v>45694.81459490741</v>
      </c>
      <c r="D609" t="s">
        <v>65</v>
      </c>
      <c r="E609" s="4">
        <v>0</v>
      </c>
      <c r="F609" s="4">
        <v>80820.599000000002</v>
      </c>
      <c r="G609" s="4">
        <v>80820.599000000002</v>
      </c>
      <c r="H609" s="5">
        <f>0 / 86400</f>
        <v>0</v>
      </c>
      <c r="I609" t="s">
        <v>23</v>
      </c>
      <c r="J609" t="s">
        <v>23</v>
      </c>
      <c r="K609" s="5">
        <f>8 / 86400</f>
        <v>9.2592592592592588E-5</v>
      </c>
      <c r="L609" s="5">
        <f>6 / 86400</f>
        <v>6.9444444444444444E-5</v>
      </c>
    </row>
    <row r="610" spans="1:12" x14ac:dyDescent="0.25">
      <c r="A610" s="3">
        <v>45694.814664351856</v>
      </c>
      <c r="B610" t="s">
        <v>65</v>
      </c>
      <c r="C610" s="3">
        <v>45694.814756944441</v>
      </c>
      <c r="D610" t="s">
        <v>65</v>
      </c>
      <c r="E610" s="4">
        <v>0</v>
      </c>
      <c r="F610" s="4">
        <v>80820.599000000002</v>
      </c>
      <c r="G610" s="4">
        <v>80820.599000000002</v>
      </c>
      <c r="H610" s="5">
        <f>5 / 86400</f>
        <v>5.7870370370370373E-5</v>
      </c>
      <c r="I610" t="s">
        <v>23</v>
      </c>
      <c r="J610" t="s">
        <v>23</v>
      </c>
      <c r="K610" s="5">
        <f>8 / 86400</f>
        <v>9.2592592592592588E-5</v>
      </c>
      <c r="L610" s="5">
        <f>1 / 86400</f>
        <v>1.1574074074074073E-5</v>
      </c>
    </row>
    <row r="611" spans="1:12" x14ac:dyDescent="0.25">
      <c r="A611" s="3">
        <v>45694.814768518518</v>
      </c>
      <c r="B611" t="s">
        <v>65</v>
      </c>
      <c r="C611" s="3">
        <v>45694.814803240741</v>
      </c>
      <c r="D611" t="s">
        <v>65</v>
      </c>
      <c r="E611" s="4">
        <v>0</v>
      </c>
      <c r="F611" s="4">
        <v>80820.599000000002</v>
      </c>
      <c r="G611" s="4">
        <v>80820.599000000002</v>
      </c>
      <c r="H611" s="5">
        <f>0 / 86400</f>
        <v>0</v>
      </c>
      <c r="I611" t="s">
        <v>23</v>
      </c>
      <c r="J611" t="s">
        <v>23</v>
      </c>
      <c r="K611" s="5">
        <f>3 / 86400</f>
        <v>3.4722222222222222E-5</v>
      </c>
      <c r="L611" s="5">
        <f>2 / 86400</f>
        <v>2.3148148148148147E-5</v>
      </c>
    </row>
    <row r="612" spans="1:12" x14ac:dyDescent="0.25">
      <c r="A612" s="3">
        <v>45694.814826388887</v>
      </c>
      <c r="B612" t="s">
        <v>65</v>
      </c>
      <c r="C612" s="3">
        <v>45694.815034722225</v>
      </c>
      <c r="D612" t="s">
        <v>65</v>
      </c>
      <c r="E612" s="4">
        <v>0</v>
      </c>
      <c r="F612" s="4">
        <v>80820.599000000002</v>
      </c>
      <c r="G612" s="4">
        <v>80820.599000000002</v>
      </c>
      <c r="H612" s="5">
        <f>11 / 86400</f>
        <v>1.273148148148148E-4</v>
      </c>
      <c r="I612" t="s">
        <v>23</v>
      </c>
      <c r="J612" t="s">
        <v>23</v>
      </c>
      <c r="K612" s="5">
        <f>18 / 86400</f>
        <v>2.0833333333333335E-4</v>
      </c>
      <c r="L612" s="5">
        <f>3 / 86400</f>
        <v>3.4722222222222222E-5</v>
      </c>
    </row>
    <row r="613" spans="1:12" x14ac:dyDescent="0.25">
      <c r="A613" s="3">
        <v>45694.815069444448</v>
      </c>
      <c r="B613" t="s">
        <v>65</v>
      </c>
      <c r="C613" s="3">
        <v>45694.81549768518</v>
      </c>
      <c r="D613" t="s">
        <v>65</v>
      </c>
      <c r="E613" s="4">
        <v>0</v>
      </c>
      <c r="F613" s="4">
        <v>80820.599000000002</v>
      </c>
      <c r="G613" s="4">
        <v>80820.599000000002</v>
      </c>
      <c r="H613" s="5">
        <f>30 / 86400</f>
        <v>3.4722222222222224E-4</v>
      </c>
      <c r="I613" t="s">
        <v>23</v>
      </c>
      <c r="J613" t="s">
        <v>23</v>
      </c>
      <c r="K613" s="5">
        <f>37 / 86400</f>
        <v>4.2824074074074075E-4</v>
      </c>
      <c r="L613" s="5">
        <f>6267 / 86400</f>
        <v>7.2534722222222223E-2</v>
      </c>
    </row>
    <row r="614" spans="1:12" x14ac:dyDescent="0.25">
      <c r="A614" s="3">
        <v>45694.888032407413</v>
      </c>
      <c r="B614" t="s">
        <v>65</v>
      </c>
      <c r="C614" s="3">
        <v>45694.914618055554</v>
      </c>
      <c r="D614" t="s">
        <v>65</v>
      </c>
      <c r="E614" s="4">
        <v>0.17699999999999999</v>
      </c>
      <c r="F614" s="4">
        <v>80820.599000000002</v>
      </c>
      <c r="G614" s="4">
        <v>80820.775999999998</v>
      </c>
      <c r="H614" s="5">
        <f>2179 / 86400</f>
        <v>2.5219907407407406E-2</v>
      </c>
      <c r="I614" t="s">
        <v>43</v>
      </c>
      <c r="J614" t="s">
        <v>23</v>
      </c>
      <c r="K614" s="5">
        <f>2296 / 86400</f>
        <v>2.6574074074074073E-2</v>
      </c>
      <c r="L614" s="5">
        <f>158 / 86400</f>
        <v>1.8287037037037037E-3</v>
      </c>
    </row>
    <row r="615" spans="1:12" x14ac:dyDescent="0.25">
      <c r="A615" s="3">
        <v>45694.916446759264</v>
      </c>
      <c r="B615" t="s">
        <v>65</v>
      </c>
      <c r="C615" s="3">
        <v>45694.917222222226</v>
      </c>
      <c r="D615" t="s">
        <v>65</v>
      </c>
      <c r="E615" s="4">
        <v>1.4E-2</v>
      </c>
      <c r="F615" s="4">
        <v>80820.775999999998</v>
      </c>
      <c r="G615" s="4">
        <v>80820.789999999994</v>
      </c>
      <c r="H615" s="5">
        <f>0 / 86400</f>
        <v>0</v>
      </c>
      <c r="I615" t="s">
        <v>141</v>
      </c>
      <c r="J615" t="s">
        <v>141</v>
      </c>
      <c r="K615" s="5">
        <f>67 / 86400</f>
        <v>7.7546296296296293E-4</v>
      </c>
      <c r="L615" s="5">
        <f>7151 / 86400</f>
        <v>8.2766203703703703E-2</v>
      </c>
    </row>
    <row r="616" spans="1:1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1:1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1:12" s="10" customFormat="1" ht="20.100000000000001" customHeight="1" x14ac:dyDescent="0.35">
      <c r="A618" s="15" t="s">
        <v>319</v>
      </c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1:12" ht="30" x14ac:dyDescent="0.25">
      <c r="A620" s="2" t="s">
        <v>6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11</v>
      </c>
      <c r="G620" s="2" t="s">
        <v>12</v>
      </c>
      <c r="H620" s="2" t="s">
        <v>13</v>
      </c>
      <c r="I620" s="2" t="s">
        <v>14</v>
      </c>
      <c r="J620" s="2" t="s">
        <v>15</v>
      </c>
      <c r="K620" s="2" t="s">
        <v>16</v>
      </c>
      <c r="L620" s="2" t="s">
        <v>17</v>
      </c>
    </row>
    <row r="621" spans="1:12" x14ac:dyDescent="0.25">
      <c r="A621" s="3">
        <v>45694.321273148147</v>
      </c>
      <c r="B621" t="s">
        <v>28</v>
      </c>
      <c r="C621" s="3">
        <v>45694.327349537038</v>
      </c>
      <c r="D621" t="s">
        <v>157</v>
      </c>
      <c r="E621" s="4">
        <v>1.6259999999999999</v>
      </c>
      <c r="F621" s="4">
        <v>468244.15399999998</v>
      </c>
      <c r="G621" s="4">
        <v>468245.78</v>
      </c>
      <c r="H621" s="5">
        <f>139 / 86400</f>
        <v>1.6087962962962963E-3</v>
      </c>
      <c r="I621" t="s">
        <v>161</v>
      </c>
      <c r="J621" t="s">
        <v>75</v>
      </c>
      <c r="K621" s="5">
        <f>525 / 86400</f>
        <v>6.076388888888889E-3</v>
      </c>
      <c r="L621" s="5">
        <f>28010 / 86400</f>
        <v>0.32418981481481479</v>
      </c>
    </row>
    <row r="622" spans="1:12" x14ac:dyDescent="0.25">
      <c r="A622" s="3">
        <v>45694.330266203702</v>
      </c>
      <c r="B622" t="s">
        <v>157</v>
      </c>
      <c r="C622" s="3">
        <v>45694.331099537041</v>
      </c>
      <c r="D622" t="s">
        <v>28</v>
      </c>
      <c r="E622" s="4">
        <v>2.3E-2</v>
      </c>
      <c r="F622" s="4">
        <v>468245.78</v>
      </c>
      <c r="G622" s="4">
        <v>468245.80300000001</v>
      </c>
      <c r="H622" s="5">
        <f>20 / 86400</f>
        <v>2.3148148148148149E-4</v>
      </c>
      <c r="I622" t="s">
        <v>105</v>
      </c>
      <c r="J622" t="s">
        <v>141</v>
      </c>
      <c r="K622" s="5">
        <f>72 / 86400</f>
        <v>8.3333333333333339E-4</v>
      </c>
      <c r="L622" s="5">
        <f>403 / 86400</f>
        <v>4.6643518518518518E-3</v>
      </c>
    </row>
    <row r="623" spans="1:12" x14ac:dyDescent="0.25">
      <c r="A623" s="3">
        <v>45694.335763888885</v>
      </c>
      <c r="B623" t="s">
        <v>28</v>
      </c>
      <c r="C623" s="3">
        <v>45694.336319444439</v>
      </c>
      <c r="D623" t="s">
        <v>28</v>
      </c>
      <c r="E623" s="4">
        <v>0.01</v>
      </c>
      <c r="F623" s="4">
        <v>468245.80300000001</v>
      </c>
      <c r="G623" s="4">
        <v>468245.81300000002</v>
      </c>
      <c r="H623" s="5">
        <f>39 / 86400</f>
        <v>4.5138888888888887E-4</v>
      </c>
      <c r="I623" t="s">
        <v>23</v>
      </c>
      <c r="J623" t="s">
        <v>141</v>
      </c>
      <c r="K623" s="5">
        <f>48 / 86400</f>
        <v>5.5555555555555556E-4</v>
      </c>
      <c r="L623" s="5">
        <f>11228 / 86400</f>
        <v>0.12995370370370371</v>
      </c>
    </row>
    <row r="624" spans="1:12" x14ac:dyDescent="0.25">
      <c r="A624" s="3">
        <v>45694.466273148151</v>
      </c>
      <c r="B624" t="s">
        <v>157</v>
      </c>
      <c r="C624" s="3">
        <v>45694.469537037032</v>
      </c>
      <c r="D624" t="s">
        <v>157</v>
      </c>
      <c r="E624" s="4">
        <v>0.72899999999999998</v>
      </c>
      <c r="F624" s="4">
        <v>468245.81300000002</v>
      </c>
      <c r="G624" s="4">
        <v>468246.54200000002</v>
      </c>
      <c r="H624" s="5">
        <f>39 / 86400</f>
        <v>4.5138888888888887E-4</v>
      </c>
      <c r="I624" t="s">
        <v>85</v>
      </c>
      <c r="J624" t="s">
        <v>62</v>
      </c>
      <c r="K624" s="5">
        <f>281 / 86400</f>
        <v>3.2523148148148147E-3</v>
      </c>
      <c r="L624" s="5">
        <f>141 / 86400</f>
        <v>1.6319444444444445E-3</v>
      </c>
    </row>
    <row r="625" spans="1:12" x14ac:dyDescent="0.25">
      <c r="A625" s="3">
        <v>45694.471168981487</v>
      </c>
      <c r="B625" t="s">
        <v>157</v>
      </c>
      <c r="C625" s="3">
        <v>45694.476875</v>
      </c>
      <c r="D625" t="s">
        <v>28</v>
      </c>
      <c r="E625" s="4">
        <v>2.5030000000000001</v>
      </c>
      <c r="F625" s="4">
        <v>468246.54200000002</v>
      </c>
      <c r="G625" s="4">
        <v>468249.04499999998</v>
      </c>
      <c r="H625" s="5">
        <f>20 / 86400</f>
        <v>2.3148148148148149E-4</v>
      </c>
      <c r="I625" t="s">
        <v>248</v>
      </c>
      <c r="J625" t="s">
        <v>30</v>
      </c>
      <c r="K625" s="5">
        <f>492 / 86400</f>
        <v>5.6944444444444447E-3</v>
      </c>
      <c r="L625" s="5">
        <f>15021 / 86400</f>
        <v>0.17385416666666667</v>
      </c>
    </row>
    <row r="626" spans="1:12" x14ac:dyDescent="0.25">
      <c r="A626" s="3">
        <v>45694.650729166664</v>
      </c>
      <c r="B626" t="s">
        <v>28</v>
      </c>
      <c r="C626" s="3">
        <v>45694.662037037036</v>
      </c>
      <c r="D626" t="s">
        <v>249</v>
      </c>
      <c r="E626" s="4">
        <v>4.2089999999999996</v>
      </c>
      <c r="F626" s="4">
        <v>468249.04499999998</v>
      </c>
      <c r="G626" s="4">
        <v>468253.25400000002</v>
      </c>
      <c r="H626" s="5">
        <f>140 / 86400</f>
        <v>1.6203703703703703E-3</v>
      </c>
      <c r="I626" t="s">
        <v>229</v>
      </c>
      <c r="J626" t="s">
        <v>34</v>
      </c>
      <c r="K626" s="5">
        <f>976 / 86400</f>
        <v>1.1296296296296296E-2</v>
      </c>
      <c r="L626" s="5">
        <f>19080 / 86400</f>
        <v>0.22083333333333333</v>
      </c>
    </row>
    <row r="627" spans="1:12" x14ac:dyDescent="0.25">
      <c r="A627" s="3">
        <v>45694.882870370369</v>
      </c>
      <c r="B627" t="s">
        <v>249</v>
      </c>
      <c r="C627" s="3">
        <v>45694.916481481487</v>
      </c>
      <c r="D627" t="s">
        <v>250</v>
      </c>
      <c r="E627" s="4">
        <v>23.143999999999998</v>
      </c>
      <c r="F627" s="4">
        <v>468253.25400000002</v>
      </c>
      <c r="G627" s="4">
        <v>468276.39799999999</v>
      </c>
      <c r="H627" s="5">
        <f>639 / 86400</f>
        <v>7.3958333333333333E-3</v>
      </c>
      <c r="I627" t="s">
        <v>49</v>
      </c>
      <c r="J627" t="s">
        <v>150</v>
      </c>
      <c r="K627" s="5">
        <f>2904 / 86400</f>
        <v>3.3611111111111112E-2</v>
      </c>
      <c r="L627" s="5">
        <f>763 / 86400</f>
        <v>8.8310185185185193E-3</v>
      </c>
    </row>
    <row r="628" spans="1:12" x14ac:dyDescent="0.25">
      <c r="A628" s="3">
        <v>45694.925312499996</v>
      </c>
      <c r="B628" t="s">
        <v>251</v>
      </c>
      <c r="C628" s="3">
        <v>45694.930011574077</v>
      </c>
      <c r="D628" t="s">
        <v>39</v>
      </c>
      <c r="E628" s="4">
        <v>1.292</v>
      </c>
      <c r="F628" s="4">
        <v>468276.39799999999</v>
      </c>
      <c r="G628" s="4">
        <v>468277.69</v>
      </c>
      <c r="H628" s="5">
        <f>80 / 86400</f>
        <v>9.2592592592592596E-4</v>
      </c>
      <c r="I628" t="s">
        <v>156</v>
      </c>
      <c r="J628" t="s">
        <v>75</v>
      </c>
      <c r="K628" s="5">
        <f>406 / 86400</f>
        <v>4.6990740740740743E-3</v>
      </c>
      <c r="L628" s="5">
        <f>6046 / 86400</f>
        <v>6.9976851851851846E-2</v>
      </c>
    </row>
    <row r="629" spans="1:1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1:12" s="10" customFormat="1" ht="20.100000000000001" customHeight="1" x14ac:dyDescent="0.35">
      <c r="A631" s="15" t="s">
        <v>320</v>
      </c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1:12" ht="30" x14ac:dyDescent="0.25">
      <c r="A633" s="2" t="s">
        <v>6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11</v>
      </c>
      <c r="G633" s="2" t="s">
        <v>12</v>
      </c>
      <c r="H633" s="2" t="s">
        <v>13</v>
      </c>
      <c r="I633" s="2" t="s">
        <v>14</v>
      </c>
      <c r="J633" s="2" t="s">
        <v>15</v>
      </c>
      <c r="K633" s="2" t="s">
        <v>16</v>
      </c>
      <c r="L633" s="2" t="s">
        <v>17</v>
      </c>
    </row>
    <row r="634" spans="1:12" x14ac:dyDescent="0.25">
      <c r="A634" s="3">
        <v>45694.637002314819</v>
      </c>
      <c r="B634" t="s">
        <v>89</v>
      </c>
      <c r="C634" s="3">
        <v>45694.640972222223</v>
      </c>
      <c r="D634" t="s">
        <v>136</v>
      </c>
      <c r="E634" s="4">
        <v>0.76400000000000001</v>
      </c>
      <c r="F634" s="4">
        <v>427564.59899999999</v>
      </c>
      <c r="G634" s="4">
        <v>427565.36300000001</v>
      </c>
      <c r="H634" s="5">
        <f>139 / 86400</f>
        <v>1.6087962962962963E-3</v>
      </c>
      <c r="I634" t="s">
        <v>81</v>
      </c>
      <c r="J634" t="s">
        <v>43</v>
      </c>
      <c r="K634" s="5">
        <f>343 / 86400</f>
        <v>3.9699074074074072E-3</v>
      </c>
      <c r="L634" s="5">
        <f>55190 / 86400</f>
        <v>0.63877314814814812</v>
      </c>
    </row>
    <row r="635" spans="1:12" x14ac:dyDescent="0.25">
      <c r="A635" s="3">
        <v>45694.642743055556</v>
      </c>
      <c r="B635" t="s">
        <v>136</v>
      </c>
      <c r="C635" s="3">
        <v>45694.645034722227</v>
      </c>
      <c r="D635" t="s">
        <v>183</v>
      </c>
      <c r="E635" s="4">
        <v>0.79400000000000004</v>
      </c>
      <c r="F635" s="4">
        <v>427565.36300000001</v>
      </c>
      <c r="G635" s="4">
        <v>427566.15700000001</v>
      </c>
      <c r="H635" s="5">
        <f>0 / 86400</f>
        <v>0</v>
      </c>
      <c r="I635" t="s">
        <v>159</v>
      </c>
      <c r="J635" t="s">
        <v>51</v>
      </c>
      <c r="K635" s="5">
        <f>197 / 86400</f>
        <v>2.2800925925925927E-3</v>
      </c>
      <c r="L635" s="5">
        <f>192 / 86400</f>
        <v>2.2222222222222222E-3</v>
      </c>
    </row>
    <row r="636" spans="1:12" x14ac:dyDescent="0.25">
      <c r="A636" s="3">
        <v>45694.647256944445</v>
      </c>
      <c r="B636" t="s">
        <v>183</v>
      </c>
      <c r="C636" s="3">
        <v>45694.648611111115</v>
      </c>
      <c r="D636" t="s">
        <v>155</v>
      </c>
      <c r="E636" s="4">
        <v>2.7E-2</v>
      </c>
      <c r="F636" s="4">
        <v>427566.15700000001</v>
      </c>
      <c r="G636" s="4">
        <v>427566.18400000001</v>
      </c>
      <c r="H636" s="5">
        <f>99 / 86400</f>
        <v>1.1458333333333333E-3</v>
      </c>
      <c r="I636" t="s">
        <v>142</v>
      </c>
      <c r="J636" t="s">
        <v>141</v>
      </c>
      <c r="K636" s="5">
        <f>117 / 86400</f>
        <v>1.3541666666666667E-3</v>
      </c>
      <c r="L636" s="5">
        <f>209 / 86400</f>
        <v>2.4189814814814816E-3</v>
      </c>
    </row>
    <row r="637" spans="1:12" x14ac:dyDescent="0.25">
      <c r="A637" s="3">
        <v>45694.651030092587</v>
      </c>
      <c r="B637" t="s">
        <v>155</v>
      </c>
      <c r="C637" s="3">
        <v>45694.769131944442</v>
      </c>
      <c r="D637" t="s">
        <v>252</v>
      </c>
      <c r="E637" s="4">
        <v>47.433999999999997</v>
      </c>
      <c r="F637" s="4">
        <v>427566.18400000001</v>
      </c>
      <c r="G637" s="4">
        <v>427613.61800000002</v>
      </c>
      <c r="H637" s="5">
        <f>3780 / 86400</f>
        <v>4.3749999999999997E-2</v>
      </c>
      <c r="I637" t="s">
        <v>91</v>
      </c>
      <c r="J637" t="s">
        <v>37</v>
      </c>
      <c r="K637" s="5">
        <f>10204 / 86400</f>
        <v>0.11810185185185185</v>
      </c>
      <c r="L637" s="5">
        <f>167 / 86400</f>
        <v>1.9328703703703704E-3</v>
      </c>
    </row>
    <row r="638" spans="1:12" x14ac:dyDescent="0.25">
      <c r="A638" s="3">
        <v>45694.771064814813</v>
      </c>
      <c r="B638" t="s">
        <v>252</v>
      </c>
      <c r="C638" s="3">
        <v>45694.771365740744</v>
      </c>
      <c r="D638" t="s">
        <v>253</v>
      </c>
      <c r="E638" s="4">
        <v>4.8000000000000001E-2</v>
      </c>
      <c r="F638" s="4">
        <v>427613.61800000002</v>
      </c>
      <c r="G638" s="4">
        <v>427613.66600000003</v>
      </c>
      <c r="H638" s="5">
        <f>0 / 86400</f>
        <v>0</v>
      </c>
      <c r="I638" t="s">
        <v>82</v>
      </c>
      <c r="J638" t="s">
        <v>22</v>
      </c>
      <c r="K638" s="5">
        <f>26 / 86400</f>
        <v>3.0092592592592595E-4</v>
      </c>
      <c r="L638" s="5">
        <f>77 / 86400</f>
        <v>8.9120370370370373E-4</v>
      </c>
    </row>
    <row r="639" spans="1:12" x14ac:dyDescent="0.25">
      <c r="A639" s="3">
        <v>45694.772256944445</v>
      </c>
      <c r="B639" t="s">
        <v>253</v>
      </c>
      <c r="C639" s="3">
        <v>45694.908877314811</v>
      </c>
      <c r="D639" t="s">
        <v>136</v>
      </c>
      <c r="E639" s="4">
        <v>53.201999999999998</v>
      </c>
      <c r="F639" s="4">
        <v>427613.66600000003</v>
      </c>
      <c r="G639" s="4">
        <v>427666.86800000002</v>
      </c>
      <c r="H639" s="5">
        <f>4459 / 86400</f>
        <v>5.1608796296296298E-2</v>
      </c>
      <c r="I639" t="s">
        <v>207</v>
      </c>
      <c r="J639" t="s">
        <v>34</v>
      </c>
      <c r="K639" s="5">
        <f>11804 / 86400</f>
        <v>0.13662037037037036</v>
      </c>
      <c r="L639" s="5">
        <f>368 / 86400</f>
        <v>4.2592592592592595E-3</v>
      </c>
    </row>
    <row r="640" spans="1:12" x14ac:dyDescent="0.25">
      <c r="A640" s="3">
        <v>45694.913136574076</v>
      </c>
      <c r="B640" t="s">
        <v>136</v>
      </c>
      <c r="C640" s="3">
        <v>45694.91574074074</v>
      </c>
      <c r="D640" t="s">
        <v>155</v>
      </c>
      <c r="E640" s="4">
        <v>0.84299999999999997</v>
      </c>
      <c r="F640" s="4">
        <v>427666.86800000002</v>
      </c>
      <c r="G640" s="4">
        <v>427667.71100000001</v>
      </c>
      <c r="H640" s="5">
        <f>60 / 86400</f>
        <v>6.9444444444444447E-4</v>
      </c>
      <c r="I640" t="s">
        <v>190</v>
      </c>
      <c r="J640" t="s">
        <v>52</v>
      </c>
      <c r="K640" s="5">
        <f>224 / 86400</f>
        <v>2.5925925925925925E-3</v>
      </c>
      <c r="L640" s="5">
        <f>86 / 86400</f>
        <v>9.9537037037037042E-4</v>
      </c>
    </row>
    <row r="641" spans="1:12" x14ac:dyDescent="0.25">
      <c r="A641" s="3">
        <v>45694.91673611111</v>
      </c>
      <c r="B641" t="s">
        <v>155</v>
      </c>
      <c r="C641" s="3">
        <v>45694.941400462965</v>
      </c>
      <c r="D641" t="s">
        <v>254</v>
      </c>
      <c r="E641" s="4">
        <v>15.789</v>
      </c>
      <c r="F641" s="4">
        <v>427667.71100000001</v>
      </c>
      <c r="G641" s="4">
        <v>427683.5</v>
      </c>
      <c r="H641" s="5">
        <f>299 / 86400</f>
        <v>3.460648148148148E-3</v>
      </c>
      <c r="I641" t="s">
        <v>144</v>
      </c>
      <c r="J641" t="s">
        <v>140</v>
      </c>
      <c r="K641" s="5">
        <f>2130 / 86400</f>
        <v>2.4652777777777777E-2</v>
      </c>
      <c r="L641" s="5">
        <f>2496 / 86400</f>
        <v>2.8888888888888888E-2</v>
      </c>
    </row>
    <row r="642" spans="1:12" x14ac:dyDescent="0.25">
      <c r="A642" s="3">
        <v>45694.970289351855</v>
      </c>
      <c r="B642" t="s">
        <v>38</v>
      </c>
      <c r="C642" s="3">
        <v>45694.973263888889</v>
      </c>
      <c r="D642" t="s">
        <v>255</v>
      </c>
      <c r="E642" s="4">
        <v>1.1739999999999999</v>
      </c>
      <c r="F642" s="4">
        <v>427683.5</v>
      </c>
      <c r="G642" s="4">
        <v>427684.674</v>
      </c>
      <c r="H642" s="5">
        <f>79 / 86400</f>
        <v>9.1435185185185185E-4</v>
      </c>
      <c r="I642" t="s">
        <v>154</v>
      </c>
      <c r="J642" t="s">
        <v>34</v>
      </c>
      <c r="K642" s="5">
        <f>257 / 86400</f>
        <v>2.9745370370370373E-3</v>
      </c>
      <c r="L642" s="5">
        <f>230 / 86400</f>
        <v>2.662037037037037E-3</v>
      </c>
    </row>
    <row r="643" spans="1:12" x14ac:dyDescent="0.25">
      <c r="A643" s="3">
        <v>45694.97592592593</v>
      </c>
      <c r="B643" t="s">
        <v>255</v>
      </c>
      <c r="C643" s="3">
        <v>45694.981944444444</v>
      </c>
      <c r="D643" t="s">
        <v>90</v>
      </c>
      <c r="E643" s="4">
        <v>1.5529999999999999</v>
      </c>
      <c r="F643" s="4">
        <v>427684.674</v>
      </c>
      <c r="G643" s="4">
        <v>427686.22700000001</v>
      </c>
      <c r="H643" s="5">
        <f>399 / 86400</f>
        <v>4.6180555555555558E-3</v>
      </c>
      <c r="I643" t="s">
        <v>174</v>
      </c>
      <c r="J643" t="s">
        <v>75</v>
      </c>
      <c r="K643" s="5">
        <f>520 / 86400</f>
        <v>6.0185185185185185E-3</v>
      </c>
      <c r="L643" s="5">
        <f>1559 / 86400</f>
        <v>1.804398148148148E-2</v>
      </c>
    </row>
    <row r="644" spans="1:1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1:1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1:12" s="10" customFormat="1" ht="20.100000000000001" customHeight="1" x14ac:dyDescent="0.35">
      <c r="A646" s="15" t="s">
        <v>321</v>
      </c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1:12" ht="30" x14ac:dyDescent="0.25">
      <c r="A648" s="2" t="s">
        <v>6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  <c r="G648" s="2" t="s">
        <v>12</v>
      </c>
      <c r="H648" s="2" t="s">
        <v>13</v>
      </c>
      <c r="I648" s="2" t="s">
        <v>14</v>
      </c>
      <c r="J648" s="2" t="s">
        <v>15</v>
      </c>
      <c r="K648" s="2" t="s">
        <v>16</v>
      </c>
      <c r="L648" s="2" t="s">
        <v>17</v>
      </c>
    </row>
    <row r="649" spans="1:12" x14ac:dyDescent="0.25">
      <c r="A649" s="3">
        <v>45694.250381944439</v>
      </c>
      <c r="B649" t="s">
        <v>28</v>
      </c>
      <c r="C649" s="3">
        <v>45694.373807870375</v>
      </c>
      <c r="D649" t="s">
        <v>189</v>
      </c>
      <c r="E649" s="4">
        <v>40.743000000000002</v>
      </c>
      <c r="F649" s="4">
        <v>574305.21</v>
      </c>
      <c r="G649" s="4">
        <v>574345.95299999998</v>
      </c>
      <c r="H649" s="5">
        <f>4100 / 86400</f>
        <v>4.7453703703703706E-2</v>
      </c>
      <c r="I649" t="s">
        <v>92</v>
      </c>
      <c r="J649" t="s">
        <v>52</v>
      </c>
      <c r="K649" s="5">
        <f>10664 / 86400</f>
        <v>0.12342592592592593</v>
      </c>
      <c r="L649" s="5">
        <f>21756 / 86400</f>
        <v>0.25180555555555556</v>
      </c>
    </row>
    <row r="650" spans="1:12" x14ac:dyDescent="0.25">
      <c r="A650" s="3">
        <v>45694.375231481477</v>
      </c>
      <c r="B650" t="s">
        <v>189</v>
      </c>
      <c r="C650" s="3">
        <v>45694.376585648148</v>
      </c>
      <c r="D650" t="s">
        <v>189</v>
      </c>
      <c r="E650" s="4">
        <v>6.0000000000000001E-3</v>
      </c>
      <c r="F650" s="4">
        <v>574345.95299999998</v>
      </c>
      <c r="G650" s="4">
        <v>574345.95900000003</v>
      </c>
      <c r="H650" s="5">
        <f>99 / 86400</f>
        <v>1.1458333333333333E-3</v>
      </c>
      <c r="I650" t="s">
        <v>23</v>
      </c>
      <c r="J650" t="s">
        <v>23</v>
      </c>
      <c r="K650" s="5">
        <f>116 / 86400</f>
        <v>1.3425925925925925E-3</v>
      </c>
      <c r="L650" s="5">
        <f>118 / 86400</f>
        <v>1.3657407407407407E-3</v>
      </c>
    </row>
    <row r="651" spans="1:12" x14ac:dyDescent="0.25">
      <c r="A651" s="3">
        <v>45694.377951388888</v>
      </c>
      <c r="B651" t="s">
        <v>189</v>
      </c>
      <c r="C651" s="3">
        <v>45694.378229166672</v>
      </c>
      <c r="D651" t="s">
        <v>189</v>
      </c>
      <c r="E651" s="4">
        <v>1.2999999999999999E-2</v>
      </c>
      <c r="F651" s="4">
        <v>574345.95900000003</v>
      </c>
      <c r="G651" s="4">
        <v>574345.97199999995</v>
      </c>
      <c r="H651" s="5">
        <f>19 / 86400</f>
        <v>2.199074074074074E-4</v>
      </c>
      <c r="I651" t="s">
        <v>23</v>
      </c>
      <c r="J651" t="s">
        <v>88</v>
      </c>
      <c r="K651" s="5">
        <f>23 / 86400</f>
        <v>2.6620370370370372E-4</v>
      </c>
      <c r="L651" s="5">
        <f>140 / 86400</f>
        <v>1.6203703703703703E-3</v>
      </c>
    </row>
    <row r="652" spans="1:12" x14ac:dyDescent="0.25">
      <c r="A652" s="3">
        <v>45694.379849537036</v>
      </c>
      <c r="B652" t="s">
        <v>189</v>
      </c>
      <c r="C652" s="3">
        <v>45694.38076388889</v>
      </c>
      <c r="D652" t="s">
        <v>189</v>
      </c>
      <c r="E652" s="4">
        <v>0</v>
      </c>
      <c r="F652" s="4">
        <v>574345.97199999995</v>
      </c>
      <c r="G652" s="4">
        <v>574345.97199999995</v>
      </c>
      <c r="H652" s="5">
        <f>59 / 86400</f>
        <v>6.8287037037037036E-4</v>
      </c>
      <c r="I652" t="s">
        <v>23</v>
      </c>
      <c r="J652" t="s">
        <v>23</v>
      </c>
      <c r="K652" s="5">
        <f>78 / 86400</f>
        <v>9.0277777777777774E-4</v>
      </c>
      <c r="L652" s="5">
        <f>104 / 86400</f>
        <v>1.2037037037037038E-3</v>
      </c>
    </row>
    <row r="653" spans="1:12" x14ac:dyDescent="0.25">
      <c r="A653" s="3">
        <v>45694.381967592592</v>
      </c>
      <c r="B653" t="s">
        <v>189</v>
      </c>
      <c r="C653" s="3">
        <v>45694.429282407407</v>
      </c>
      <c r="D653" t="s">
        <v>189</v>
      </c>
      <c r="E653" s="4">
        <v>12.394</v>
      </c>
      <c r="F653" s="4">
        <v>574345.97199999995</v>
      </c>
      <c r="G653" s="4">
        <v>574358.36600000004</v>
      </c>
      <c r="H653" s="5">
        <f>1858 / 86400</f>
        <v>2.150462962962963E-2</v>
      </c>
      <c r="I653" t="s">
        <v>127</v>
      </c>
      <c r="J653" t="s">
        <v>75</v>
      </c>
      <c r="K653" s="5">
        <f>4087 / 86400</f>
        <v>4.7303240740740743E-2</v>
      </c>
      <c r="L653" s="5">
        <f>152 / 86400</f>
        <v>1.7592592592592592E-3</v>
      </c>
    </row>
    <row r="654" spans="1:12" x14ac:dyDescent="0.25">
      <c r="A654" s="3">
        <v>45694.43104166667</v>
      </c>
      <c r="B654" t="s">
        <v>189</v>
      </c>
      <c r="C654" s="3">
        <v>45694.431307870371</v>
      </c>
      <c r="D654" t="s">
        <v>189</v>
      </c>
      <c r="E654" s="4">
        <v>6.0000000000000001E-3</v>
      </c>
      <c r="F654" s="4">
        <v>574358.36600000004</v>
      </c>
      <c r="G654" s="4">
        <v>574358.37199999997</v>
      </c>
      <c r="H654" s="5">
        <f>19 / 86400</f>
        <v>2.199074074074074E-4</v>
      </c>
      <c r="I654" t="s">
        <v>23</v>
      </c>
      <c r="J654" t="s">
        <v>141</v>
      </c>
      <c r="K654" s="5">
        <f>22 / 86400</f>
        <v>2.5462962962962961E-4</v>
      </c>
      <c r="L654" s="5">
        <f>160 / 86400</f>
        <v>1.8518518518518519E-3</v>
      </c>
    </row>
    <row r="655" spans="1:12" x14ac:dyDescent="0.25">
      <c r="A655" s="3">
        <v>45694.433159722219</v>
      </c>
      <c r="B655" t="s">
        <v>189</v>
      </c>
      <c r="C655" s="3">
        <v>45694.433981481481</v>
      </c>
      <c r="D655" t="s">
        <v>189</v>
      </c>
      <c r="E655" s="4">
        <v>8.0000000000000002E-3</v>
      </c>
      <c r="F655" s="4">
        <v>574358.37199999997</v>
      </c>
      <c r="G655" s="4">
        <v>574358.38</v>
      </c>
      <c r="H655" s="5">
        <f>59 / 86400</f>
        <v>6.8287037037037036E-4</v>
      </c>
      <c r="I655" t="s">
        <v>23</v>
      </c>
      <c r="J655" t="s">
        <v>23</v>
      </c>
      <c r="K655" s="5">
        <f>71 / 86400</f>
        <v>8.2175925925925927E-4</v>
      </c>
      <c r="L655" s="5">
        <f>110 / 86400</f>
        <v>1.2731481481481483E-3</v>
      </c>
    </row>
    <row r="656" spans="1:12" x14ac:dyDescent="0.25">
      <c r="A656" s="3">
        <v>45694.435254629629</v>
      </c>
      <c r="B656" t="s">
        <v>189</v>
      </c>
      <c r="C656" s="3">
        <v>45694.436689814815</v>
      </c>
      <c r="D656" t="s">
        <v>189</v>
      </c>
      <c r="E656" s="4">
        <v>1.2999999999999999E-2</v>
      </c>
      <c r="F656" s="4">
        <v>574358.38</v>
      </c>
      <c r="G656" s="4">
        <v>574358.39300000004</v>
      </c>
      <c r="H656" s="5">
        <f>119 / 86400</f>
        <v>1.3773148148148147E-3</v>
      </c>
      <c r="I656" t="s">
        <v>23</v>
      </c>
      <c r="J656" t="s">
        <v>23</v>
      </c>
      <c r="K656" s="5">
        <f>124 / 86400</f>
        <v>1.4351851851851852E-3</v>
      </c>
      <c r="L656" s="5">
        <f>84 / 86400</f>
        <v>9.7222222222222219E-4</v>
      </c>
    </row>
    <row r="657" spans="1:12" x14ac:dyDescent="0.25">
      <c r="A657" s="3">
        <v>45694.437662037039</v>
      </c>
      <c r="B657" t="s">
        <v>189</v>
      </c>
      <c r="C657" s="3">
        <v>45694.490243055552</v>
      </c>
      <c r="D657" t="s">
        <v>189</v>
      </c>
      <c r="E657" s="4">
        <v>11.977</v>
      </c>
      <c r="F657" s="4">
        <v>574358.39300000004</v>
      </c>
      <c r="G657" s="4">
        <v>574370.37</v>
      </c>
      <c r="H657" s="5">
        <f>2799 / 86400</f>
        <v>3.2395833333333332E-2</v>
      </c>
      <c r="I657" t="s">
        <v>56</v>
      </c>
      <c r="J657" t="s">
        <v>62</v>
      </c>
      <c r="K657" s="5">
        <f>4542 / 86400</f>
        <v>5.2569444444444446E-2</v>
      </c>
      <c r="L657" s="5">
        <f>58 / 86400</f>
        <v>6.7129629629629625E-4</v>
      </c>
    </row>
    <row r="658" spans="1:12" x14ac:dyDescent="0.25">
      <c r="A658" s="3">
        <v>45694.490914351853</v>
      </c>
      <c r="B658" t="s">
        <v>189</v>
      </c>
      <c r="C658" s="3">
        <v>45694.504409722227</v>
      </c>
      <c r="D658" t="s">
        <v>189</v>
      </c>
      <c r="E658" s="4">
        <v>0.01</v>
      </c>
      <c r="F658" s="4">
        <v>574370.37</v>
      </c>
      <c r="G658" s="4">
        <v>574370.38</v>
      </c>
      <c r="H658" s="5">
        <f>1139 / 86400</f>
        <v>1.3182870370370371E-2</v>
      </c>
      <c r="I658" t="s">
        <v>141</v>
      </c>
      <c r="J658" t="s">
        <v>23</v>
      </c>
      <c r="K658" s="5">
        <f>1165 / 86400</f>
        <v>1.3483796296296296E-2</v>
      </c>
      <c r="L658" s="5">
        <f>86 / 86400</f>
        <v>9.9537037037037042E-4</v>
      </c>
    </row>
    <row r="659" spans="1:12" x14ac:dyDescent="0.25">
      <c r="A659" s="3">
        <v>45694.505405092597</v>
      </c>
      <c r="B659" t="s">
        <v>189</v>
      </c>
      <c r="C659" s="3">
        <v>45694.511261574073</v>
      </c>
      <c r="D659" t="s">
        <v>189</v>
      </c>
      <c r="E659" s="4">
        <v>8.9999999999999993E-3</v>
      </c>
      <c r="F659" s="4">
        <v>574370.38</v>
      </c>
      <c r="G659" s="4">
        <v>574370.38899999997</v>
      </c>
      <c r="H659" s="5">
        <f>499 / 86400</f>
        <v>5.7754629629629631E-3</v>
      </c>
      <c r="I659" t="s">
        <v>23</v>
      </c>
      <c r="J659" t="s">
        <v>23</v>
      </c>
      <c r="K659" s="5">
        <f>505 / 86400</f>
        <v>5.8449074074074072E-3</v>
      </c>
      <c r="L659" s="5">
        <f>209 / 86400</f>
        <v>2.4189814814814816E-3</v>
      </c>
    </row>
    <row r="660" spans="1:12" x14ac:dyDescent="0.25">
      <c r="A660" s="3">
        <v>45694.513680555552</v>
      </c>
      <c r="B660" t="s">
        <v>189</v>
      </c>
      <c r="C660" s="3">
        <v>45694.520370370374</v>
      </c>
      <c r="D660" t="s">
        <v>189</v>
      </c>
      <c r="E660" s="4">
        <v>4.0000000000000001E-3</v>
      </c>
      <c r="F660" s="4">
        <v>574370.38899999997</v>
      </c>
      <c r="G660" s="4">
        <v>574370.39300000004</v>
      </c>
      <c r="H660" s="5">
        <f>540 / 86400</f>
        <v>6.2500000000000003E-3</v>
      </c>
      <c r="I660" t="s">
        <v>141</v>
      </c>
      <c r="J660" t="s">
        <v>23</v>
      </c>
      <c r="K660" s="5">
        <f>577 / 86400</f>
        <v>6.6782407407407407E-3</v>
      </c>
      <c r="L660" s="5">
        <f>80 / 86400</f>
        <v>9.2592592592592596E-4</v>
      </c>
    </row>
    <row r="661" spans="1:12" x14ac:dyDescent="0.25">
      <c r="A661" s="3">
        <v>45694.521296296298</v>
      </c>
      <c r="B661" t="s">
        <v>189</v>
      </c>
      <c r="C661" s="3">
        <v>45694.551805555559</v>
      </c>
      <c r="D661" t="s">
        <v>256</v>
      </c>
      <c r="E661" s="4">
        <v>5.9059999999999997</v>
      </c>
      <c r="F661" s="4">
        <v>574370.39300000004</v>
      </c>
      <c r="G661" s="4">
        <v>574376.299</v>
      </c>
      <c r="H661" s="5">
        <f>1839 / 86400</f>
        <v>2.1284722222222222E-2</v>
      </c>
      <c r="I661" t="s">
        <v>127</v>
      </c>
      <c r="J661" t="s">
        <v>43</v>
      </c>
      <c r="K661" s="5">
        <f>2635 / 86400</f>
        <v>3.0497685185185187E-2</v>
      </c>
      <c r="L661" s="5">
        <f>4376 / 86400</f>
        <v>5.064814814814815E-2</v>
      </c>
    </row>
    <row r="662" spans="1:12" x14ac:dyDescent="0.25">
      <c r="A662" s="3">
        <v>45694.602453703701</v>
      </c>
      <c r="B662" t="s">
        <v>257</v>
      </c>
      <c r="C662" s="3">
        <v>45694.884293981479</v>
      </c>
      <c r="D662" t="s">
        <v>258</v>
      </c>
      <c r="E662" s="4">
        <v>73.028000000000006</v>
      </c>
      <c r="F662" s="4">
        <v>574376.299</v>
      </c>
      <c r="G662" s="4">
        <v>574449.32700000005</v>
      </c>
      <c r="H662" s="5">
        <f>11424 / 86400</f>
        <v>0.13222222222222221</v>
      </c>
      <c r="I662" t="s">
        <v>146</v>
      </c>
      <c r="J662" t="s">
        <v>75</v>
      </c>
      <c r="K662" s="5">
        <f>24351 / 86400</f>
        <v>0.28184027777777776</v>
      </c>
      <c r="L662" s="5">
        <f>92 / 86400</f>
        <v>1.0648148148148149E-3</v>
      </c>
    </row>
    <row r="663" spans="1:12" x14ac:dyDescent="0.25">
      <c r="A663" s="3">
        <v>45694.885358796295</v>
      </c>
      <c r="B663" t="s">
        <v>258</v>
      </c>
      <c r="C663" s="3">
        <v>45694.886238425926</v>
      </c>
      <c r="D663" t="s">
        <v>258</v>
      </c>
      <c r="E663" s="4">
        <v>0.17699999999999999</v>
      </c>
      <c r="F663" s="4">
        <v>574449.32700000005</v>
      </c>
      <c r="G663" s="4">
        <v>574449.50399999996</v>
      </c>
      <c r="H663" s="5">
        <f>20 / 86400</f>
        <v>2.3148148148148149E-4</v>
      </c>
      <c r="I663" t="s">
        <v>51</v>
      </c>
      <c r="J663" t="s">
        <v>43</v>
      </c>
      <c r="K663" s="5">
        <f>76 / 86400</f>
        <v>8.7962962962962962E-4</v>
      </c>
      <c r="L663" s="5">
        <f>1280 / 86400</f>
        <v>1.4814814814814815E-2</v>
      </c>
    </row>
    <row r="664" spans="1:12" x14ac:dyDescent="0.25">
      <c r="A664" s="3">
        <v>45694.901053240741</v>
      </c>
      <c r="B664" t="s">
        <v>258</v>
      </c>
      <c r="C664" s="3">
        <v>45694.903761574074</v>
      </c>
      <c r="D664" t="s">
        <v>28</v>
      </c>
      <c r="E664" s="4">
        <v>0.63800000000000001</v>
      </c>
      <c r="F664" s="4">
        <v>574449.50399999996</v>
      </c>
      <c r="G664" s="4">
        <v>574450.14199999999</v>
      </c>
      <c r="H664" s="5">
        <f>80 / 86400</f>
        <v>9.2592592592592596E-4</v>
      </c>
      <c r="I664" t="s">
        <v>154</v>
      </c>
      <c r="J664" t="s">
        <v>116</v>
      </c>
      <c r="K664" s="5">
        <f>234 / 86400</f>
        <v>2.7083333333333334E-3</v>
      </c>
      <c r="L664" s="5">
        <f>8314 / 86400</f>
        <v>9.6226851851851855E-2</v>
      </c>
    </row>
    <row r="665" spans="1:1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1:1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1:12" s="10" customFormat="1" ht="20.100000000000001" customHeight="1" x14ac:dyDescent="0.35">
      <c r="A667" s="15" t="s">
        <v>322</v>
      </c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1:12" ht="30" x14ac:dyDescent="0.25">
      <c r="A669" s="2" t="s">
        <v>6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11</v>
      </c>
      <c r="G669" s="2" t="s">
        <v>12</v>
      </c>
      <c r="H669" s="2" t="s">
        <v>13</v>
      </c>
      <c r="I669" s="2" t="s">
        <v>14</v>
      </c>
      <c r="J669" s="2" t="s">
        <v>15</v>
      </c>
      <c r="K669" s="2" t="s">
        <v>16</v>
      </c>
      <c r="L669" s="2" t="s">
        <v>17</v>
      </c>
    </row>
    <row r="670" spans="1:12" x14ac:dyDescent="0.25">
      <c r="A670" s="3">
        <v>45694.266412037032</v>
      </c>
      <c r="B670" t="s">
        <v>93</v>
      </c>
      <c r="C670" s="3">
        <v>45694.559525462959</v>
      </c>
      <c r="D670" t="s">
        <v>48</v>
      </c>
      <c r="E670" s="4">
        <v>134.16800000000001</v>
      </c>
      <c r="F670" s="4">
        <v>415692.13699999999</v>
      </c>
      <c r="G670" s="4">
        <v>415826.30499999999</v>
      </c>
      <c r="H670" s="5">
        <f>7239 / 86400</f>
        <v>8.3784722222222219E-2</v>
      </c>
      <c r="I670" t="s">
        <v>95</v>
      </c>
      <c r="J670" t="s">
        <v>20</v>
      </c>
      <c r="K670" s="5">
        <f>25325 / 86400</f>
        <v>0.29311342592592593</v>
      </c>
      <c r="L670" s="5">
        <f>25473 / 86400</f>
        <v>0.2948263888888889</v>
      </c>
    </row>
    <row r="671" spans="1:12" x14ac:dyDescent="0.25">
      <c r="A671" s="3">
        <v>45694.58793981481</v>
      </c>
      <c r="B671" t="s">
        <v>48</v>
      </c>
      <c r="C671" s="3">
        <v>45694.589895833335</v>
      </c>
      <c r="D671" t="s">
        <v>47</v>
      </c>
      <c r="E671" s="4">
        <v>0.67900000000000005</v>
      </c>
      <c r="F671" s="4">
        <v>415826.30499999999</v>
      </c>
      <c r="G671" s="4">
        <v>415826.984</v>
      </c>
      <c r="H671" s="5">
        <f>0 / 86400</f>
        <v>0</v>
      </c>
      <c r="I671" t="s">
        <v>195</v>
      </c>
      <c r="J671" t="s">
        <v>52</v>
      </c>
      <c r="K671" s="5">
        <f>169 / 86400</f>
        <v>1.9560185185185184E-3</v>
      </c>
      <c r="L671" s="5">
        <f>250 / 86400</f>
        <v>2.8935185185185184E-3</v>
      </c>
    </row>
    <row r="672" spans="1:12" x14ac:dyDescent="0.25">
      <c r="A672" s="3">
        <v>45694.592789351853</v>
      </c>
      <c r="B672" t="s">
        <v>47</v>
      </c>
      <c r="C672" s="3">
        <v>45694.593831018516</v>
      </c>
      <c r="D672" t="s">
        <v>136</v>
      </c>
      <c r="E672" s="4">
        <v>0.246</v>
      </c>
      <c r="F672" s="4">
        <v>415826.984</v>
      </c>
      <c r="G672" s="4">
        <v>415827.23</v>
      </c>
      <c r="H672" s="5">
        <f>0 / 86400</f>
        <v>0</v>
      </c>
      <c r="I672" t="s">
        <v>153</v>
      </c>
      <c r="J672" t="s">
        <v>116</v>
      </c>
      <c r="K672" s="5">
        <f>89 / 86400</f>
        <v>1.0300925925925926E-3</v>
      </c>
      <c r="L672" s="5">
        <f>271 / 86400</f>
        <v>3.1365740740740742E-3</v>
      </c>
    </row>
    <row r="673" spans="1:12" x14ac:dyDescent="0.25">
      <c r="A673" s="3">
        <v>45694.596967592588</v>
      </c>
      <c r="B673" t="s">
        <v>136</v>
      </c>
      <c r="C673" s="3">
        <v>45694.597546296296</v>
      </c>
      <c r="D673" t="s">
        <v>136</v>
      </c>
      <c r="E673" s="4">
        <v>2.4E-2</v>
      </c>
      <c r="F673" s="4">
        <v>415827.23</v>
      </c>
      <c r="G673" s="4">
        <v>415827.25400000002</v>
      </c>
      <c r="H673" s="5">
        <f>20 / 86400</f>
        <v>2.3148148148148149E-4</v>
      </c>
      <c r="I673" t="s">
        <v>22</v>
      </c>
      <c r="J673" t="s">
        <v>88</v>
      </c>
      <c r="K673" s="5">
        <f>50 / 86400</f>
        <v>5.7870370370370367E-4</v>
      </c>
      <c r="L673" s="5">
        <f>553 / 86400</f>
        <v>6.4004629629629628E-3</v>
      </c>
    </row>
    <row r="674" spans="1:12" x14ac:dyDescent="0.25">
      <c r="A674" s="3">
        <v>45694.603946759264</v>
      </c>
      <c r="B674" t="s">
        <v>136</v>
      </c>
      <c r="C674" s="3">
        <v>45694.605567129634</v>
      </c>
      <c r="D674" t="s">
        <v>136</v>
      </c>
      <c r="E674" s="4">
        <v>2.9000000000000001E-2</v>
      </c>
      <c r="F674" s="4">
        <v>415827.25400000002</v>
      </c>
      <c r="G674" s="4">
        <v>415827.283</v>
      </c>
      <c r="H674" s="5">
        <f>99 / 86400</f>
        <v>1.1458333333333333E-3</v>
      </c>
      <c r="I674" t="s">
        <v>88</v>
      </c>
      <c r="J674" t="s">
        <v>141</v>
      </c>
      <c r="K674" s="5">
        <f>140 / 86400</f>
        <v>1.6203703703703703E-3</v>
      </c>
      <c r="L674" s="5">
        <f>1583 / 86400</f>
        <v>1.832175925925926E-2</v>
      </c>
    </row>
    <row r="675" spans="1:12" x14ac:dyDescent="0.25">
      <c r="A675" s="3">
        <v>45694.623888888891</v>
      </c>
      <c r="B675" t="s">
        <v>136</v>
      </c>
      <c r="C675" s="3">
        <v>45694.624976851846</v>
      </c>
      <c r="D675" t="s">
        <v>136</v>
      </c>
      <c r="E675" s="4">
        <v>9.5000000000000001E-2</v>
      </c>
      <c r="F675" s="4">
        <v>415827.283</v>
      </c>
      <c r="G675" s="4">
        <v>415827.37800000003</v>
      </c>
      <c r="H675" s="5">
        <f>20 / 86400</f>
        <v>2.3148148148148149E-4</v>
      </c>
      <c r="I675" t="s">
        <v>43</v>
      </c>
      <c r="J675" t="s">
        <v>82</v>
      </c>
      <c r="K675" s="5">
        <f>94 / 86400</f>
        <v>1.0879629629629629E-3</v>
      </c>
      <c r="L675" s="5">
        <f>879 / 86400</f>
        <v>1.0173611111111111E-2</v>
      </c>
    </row>
    <row r="676" spans="1:12" x14ac:dyDescent="0.25">
      <c r="A676" s="3">
        <v>45694.635150462964</v>
      </c>
      <c r="B676" t="s">
        <v>199</v>
      </c>
      <c r="C676" s="3">
        <v>45694.841319444444</v>
      </c>
      <c r="D676" t="s">
        <v>259</v>
      </c>
      <c r="E676" s="4">
        <v>70.866</v>
      </c>
      <c r="F676" s="4">
        <v>415827.37800000003</v>
      </c>
      <c r="G676" s="4">
        <v>415898.24400000001</v>
      </c>
      <c r="H676" s="5">
        <f>6500 / 86400</f>
        <v>7.5231481481481483E-2</v>
      </c>
      <c r="I676" t="s">
        <v>260</v>
      </c>
      <c r="J676" t="s">
        <v>52</v>
      </c>
      <c r="K676" s="5">
        <f>17813 / 86400</f>
        <v>0.20616898148148149</v>
      </c>
      <c r="L676" s="5">
        <f>5 / 86400</f>
        <v>5.7870370370370373E-5</v>
      </c>
    </row>
    <row r="677" spans="1:12" x14ac:dyDescent="0.25">
      <c r="A677" s="3">
        <v>45694.841377314813</v>
      </c>
      <c r="B677" t="s">
        <v>259</v>
      </c>
      <c r="C677" s="3">
        <v>45694.853749999995</v>
      </c>
      <c r="D677" t="s">
        <v>94</v>
      </c>
      <c r="E677" s="4">
        <v>0.63200000000000001</v>
      </c>
      <c r="F677" s="4">
        <v>415898.24400000001</v>
      </c>
      <c r="G677" s="4">
        <v>415898.87599999999</v>
      </c>
      <c r="H677" s="5">
        <f>823 / 86400</f>
        <v>9.525462962962963E-3</v>
      </c>
      <c r="I677" t="s">
        <v>51</v>
      </c>
      <c r="J677" t="s">
        <v>88</v>
      </c>
      <c r="K677" s="5">
        <f>1069 / 86400</f>
        <v>1.2372685185185184E-2</v>
      </c>
      <c r="L677" s="5">
        <f>12635 / 86400</f>
        <v>0.14623842592592592</v>
      </c>
    </row>
    <row r="678" spans="1:1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1:1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1:12" s="10" customFormat="1" ht="20.100000000000001" customHeight="1" x14ac:dyDescent="0.35">
      <c r="A680" s="15" t="s">
        <v>323</v>
      </c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1:12" ht="30" x14ac:dyDescent="0.25">
      <c r="A682" s="2" t="s">
        <v>6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11</v>
      </c>
      <c r="G682" s="2" t="s">
        <v>12</v>
      </c>
      <c r="H682" s="2" t="s">
        <v>13</v>
      </c>
      <c r="I682" s="2" t="s">
        <v>14</v>
      </c>
      <c r="J682" s="2" t="s">
        <v>15</v>
      </c>
      <c r="K682" s="2" t="s">
        <v>16</v>
      </c>
      <c r="L682" s="2" t="s">
        <v>17</v>
      </c>
    </row>
    <row r="683" spans="1:12" x14ac:dyDescent="0.25">
      <c r="A683" s="3">
        <v>45694.021990740745</v>
      </c>
      <c r="B683" t="s">
        <v>96</v>
      </c>
      <c r="C683" s="3">
        <v>45694.028831018513</v>
      </c>
      <c r="D683" t="s">
        <v>261</v>
      </c>
      <c r="E683" s="4">
        <v>2.4689999999999999</v>
      </c>
      <c r="F683" s="4">
        <v>399627.67599999998</v>
      </c>
      <c r="G683" s="4">
        <v>399630.14500000002</v>
      </c>
      <c r="H683" s="5">
        <f>79 / 86400</f>
        <v>9.1435185185185185E-4</v>
      </c>
      <c r="I683" t="s">
        <v>150</v>
      </c>
      <c r="J683" t="s">
        <v>51</v>
      </c>
      <c r="K683" s="5">
        <f>590 / 86400</f>
        <v>6.828703703703704E-3</v>
      </c>
      <c r="L683" s="5">
        <f>13921 / 86400</f>
        <v>0.16112268518518519</v>
      </c>
    </row>
    <row r="684" spans="1:12" x14ac:dyDescent="0.25">
      <c r="A684" s="3">
        <v>45694.167962962965</v>
      </c>
      <c r="B684" t="s">
        <v>261</v>
      </c>
      <c r="C684" s="3">
        <v>45694.197962962964</v>
      </c>
      <c r="D684" t="s">
        <v>262</v>
      </c>
      <c r="E684" s="4">
        <v>14.023999999999999</v>
      </c>
      <c r="F684" s="4">
        <v>399630.14500000002</v>
      </c>
      <c r="G684" s="4">
        <v>399644.16899999999</v>
      </c>
      <c r="H684" s="5">
        <f>819 / 86400</f>
        <v>9.479166666666667E-3</v>
      </c>
      <c r="I684" t="s">
        <v>36</v>
      </c>
      <c r="J684" t="s">
        <v>20</v>
      </c>
      <c r="K684" s="5">
        <f>2592 / 86400</f>
        <v>0.03</v>
      </c>
      <c r="L684" s="5">
        <f>6108 / 86400</f>
        <v>7.0694444444444449E-2</v>
      </c>
    </row>
    <row r="685" spans="1:12" x14ac:dyDescent="0.25">
      <c r="A685" s="3">
        <v>45694.268657407403</v>
      </c>
      <c r="B685" t="s">
        <v>262</v>
      </c>
      <c r="C685" s="3">
        <v>45694.278611111113</v>
      </c>
      <c r="D685" t="s">
        <v>263</v>
      </c>
      <c r="E685" s="4">
        <v>4.577</v>
      </c>
      <c r="F685" s="4">
        <v>399644.16899999999</v>
      </c>
      <c r="G685" s="4">
        <v>399648.74599999998</v>
      </c>
      <c r="H685" s="5">
        <f>80 / 86400</f>
        <v>9.2592592592592596E-4</v>
      </c>
      <c r="I685" t="s">
        <v>181</v>
      </c>
      <c r="J685" t="s">
        <v>20</v>
      </c>
      <c r="K685" s="5">
        <f>860 / 86400</f>
        <v>9.9537037037037042E-3</v>
      </c>
      <c r="L685" s="5">
        <f>459 / 86400</f>
        <v>5.3125000000000004E-3</v>
      </c>
    </row>
    <row r="686" spans="1:12" x14ac:dyDescent="0.25">
      <c r="A686" s="3">
        <v>45694.28392361111</v>
      </c>
      <c r="B686" t="s">
        <v>263</v>
      </c>
      <c r="C686" s="3">
        <v>45694.297210648147</v>
      </c>
      <c r="D686" t="s">
        <v>261</v>
      </c>
      <c r="E686" s="4">
        <v>9.2569999999999997</v>
      </c>
      <c r="F686" s="4">
        <v>399648.74599999998</v>
      </c>
      <c r="G686" s="4">
        <v>399658.00300000003</v>
      </c>
      <c r="H686" s="5">
        <f>20 / 86400</f>
        <v>2.3148148148148149E-4</v>
      </c>
      <c r="I686" t="s">
        <v>61</v>
      </c>
      <c r="J686" t="s">
        <v>150</v>
      </c>
      <c r="K686" s="5">
        <f>1148 / 86400</f>
        <v>1.3287037037037036E-2</v>
      </c>
      <c r="L686" s="5">
        <f>2423 / 86400</f>
        <v>2.8043981481481482E-2</v>
      </c>
    </row>
    <row r="687" spans="1:12" x14ac:dyDescent="0.25">
      <c r="A687" s="3">
        <v>45694.325254629628</v>
      </c>
      <c r="B687" t="s">
        <v>261</v>
      </c>
      <c r="C687" s="3">
        <v>45694.326689814814</v>
      </c>
      <c r="D687" t="s">
        <v>264</v>
      </c>
      <c r="E687" s="4">
        <v>0.67</v>
      </c>
      <c r="F687" s="4">
        <v>399658.00300000003</v>
      </c>
      <c r="G687" s="4">
        <v>399658.67300000001</v>
      </c>
      <c r="H687" s="5">
        <f>0 / 86400</f>
        <v>0</v>
      </c>
      <c r="I687" t="s">
        <v>81</v>
      </c>
      <c r="J687" t="s">
        <v>27</v>
      </c>
      <c r="K687" s="5">
        <f>123 / 86400</f>
        <v>1.4236111111111112E-3</v>
      </c>
      <c r="L687" s="5">
        <f>235 / 86400</f>
        <v>2.7199074074074074E-3</v>
      </c>
    </row>
    <row r="688" spans="1:12" x14ac:dyDescent="0.25">
      <c r="A688" s="3">
        <v>45694.329409722224</v>
      </c>
      <c r="B688" t="s">
        <v>264</v>
      </c>
      <c r="C688" s="3">
        <v>45694.331863425927</v>
      </c>
      <c r="D688" t="s">
        <v>261</v>
      </c>
      <c r="E688" s="4">
        <v>0.68</v>
      </c>
      <c r="F688" s="4">
        <v>399658.67300000001</v>
      </c>
      <c r="G688" s="4">
        <v>399659.353</v>
      </c>
      <c r="H688" s="5">
        <f>60 / 86400</f>
        <v>6.9444444444444447E-4</v>
      </c>
      <c r="I688" t="s">
        <v>87</v>
      </c>
      <c r="J688" t="s">
        <v>113</v>
      </c>
      <c r="K688" s="5">
        <f>212 / 86400</f>
        <v>2.4537037037037036E-3</v>
      </c>
      <c r="L688" s="5">
        <f>5088 / 86400</f>
        <v>5.8888888888888886E-2</v>
      </c>
    </row>
    <row r="689" spans="1:12" x14ac:dyDescent="0.25">
      <c r="A689" s="3">
        <v>45694.390752314815</v>
      </c>
      <c r="B689" t="s">
        <v>261</v>
      </c>
      <c r="C689" s="3">
        <v>45694.410081018519</v>
      </c>
      <c r="D689" t="s">
        <v>262</v>
      </c>
      <c r="E689" s="4">
        <v>13.509</v>
      </c>
      <c r="F689" s="4">
        <v>399659.353</v>
      </c>
      <c r="G689" s="4">
        <v>399672.86200000002</v>
      </c>
      <c r="H689" s="5">
        <f>140 / 86400</f>
        <v>1.6203703703703703E-3</v>
      </c>
      <c r="I689" t="s">
        <v>36</v>
      </c>
      <c r="J689" t="s">
        <v>150</v>
      </c>
      <c r="K689" s="5">
        <f>1670 / 86400</f>
        <v>1.9328703703703702E-2</v>
      </c>
      <c r="L689" s="5">
        <f>406 / 86400</f>
        <v>4.6990740740740743E-3</v>
      </c>
    </row>
    <row r="690" spans="1:12" x14ac:dyDescent="0.25">
      <c r="A690" s="3">
        <v>45694.414780092593</v>
      </c>
      <c r="B690" t="s">
        <v>262</v>
      </c>
      <c r="C690" s="3">
        <v>45694.419502314813</v>
      </c>
      <c r="D690" t="s">
        <v>265</v>
      </c>
      <c r="E690" s="4">
        <v>0.71</v>
      </c>
      <c r="F690" s="4">
        <v>399672.86200000002</v>
      </c>
      <c r="G690" s="4">
        <v>399673.57199999999</v>
      </c>
      <c r="H690" s="5">
        <f>140 / 86400</f>
        <v>1.6203703703703703E-3</v>
      </c>
      <c r="I690" t="s">
        <v>27</v>
      </c>
      <c r="J690" t="s">
        <v>142</v>
      </c>
      <c r="K690" s="5">
        <f>408 / 86400</f>
        <v>4.7222222222222223E-3</v>
      </c>
      <c r="L690" s="5">
        <f>7632 / 86400</f>
        <v>8.8333333333333333E-2</v>
      </c>
    </row>
    <row r="691" spans="1:12" x14ac:dyDescent="0.25">
      <c r="A691" s="3">
        <v>45694.507835648154</v>
      </c>
      <c r="B691" t="s">
        <v>265</v>
      </c>
      <c r="C691" s="3">
        <v>45694.51489583333</v>
      </c>
      <c r="D691" t="s">
        <v>266</v>
      </c>
      <c r="E691" s="4">
        <v>1.4950000000000001</v>
      </c>
      <c r="F691" s="4">
        <v>399673.57199999999</v>
      </c>
      <c r="G691" s="4">
        <v>399675.06699999998</v>
      </c>
      <c r="H691" s="5">
        <f>139 / 86400</f>
        <v>1.6087962962962963E-3</v>
      </c>
      <c r="I691" t="s">
        <v>138</v>
      </c>
      <c r="J691" t="s">
        <v>62</v>
      </c>
      <c r="K691" s="5">
        <f>609 / 86400</f>
        <v>7.0486111111111114E-3</v>
      </c>
      <c r="L691" s="5">
        <f>9751 / 86400</f>
        <v>0.11285879629629629</v>
      </c>
    </row>
    <row r="692" spans="1:12" x14ac:dyDescent="0.25">
      <c r="A692" s="3">
        <v>45694.627754629633</v>
      </c>
      <c r="B692" t="s">
        <v>266</v>
      </c>
      <c r="C692" s="3">
        <v>45694.659317129626</v>
      </c>
      <c r="D692" t="s">
        <v>24</v>
      </c>
      <c r="E692" s="4">
        <v>19.170999999999999</v>
      </c>
      <c r="F692" s="4">
        <v>399675.06699999998</v>
      </c>
      <c r="G692" s="4">
        <v>399694.23800000001</v>
      </c>
      <c r="H692" s="5">
        <f>560 / 86400</f>
        <v>6.4814814814814813E-3</v>
      </c>
      <c r="I692" t="s">
        <v>98</v>
      </c>
      <c r="J692" t="s">
        <v>174</v>
      </c>
      <c r="K692" s="5">
        <f>2727 / 86400</f>
        <v>3.15625E-2</v>
      </c>
      <c r="L692" s="5">
        <f>10889 / 86400</f>
        <v>0.1260300925925926</v>
      </c>
    </row>
    <row r="693" spans="1:12" x14ac:dyDescent="0.25">
      <c r="A693" s="3">
        <v>45694.78534722222</v>
      </c>
      <c r="B693" t="s">
        <v>24</v>
      </c>
      <c r="C693" s="3">
        <v>45694.798668981486</v>
      </c>
      <c r="D693" t="s">
        <v>157</v>
      </c>
      <c r="E693" s="4">
        <v>3.2080000000000002</v>
      </c>
      <c r="F693" s="4">
        <v>399694.23800000001</v>
      </c>
      <c r="G693" s="4">
        <v>399697.446</v>
      </c>
      <c r="H693" s="5">
        <f>420 / 86400</f>
        <v>4.8611111111111112E-3</v>
      </c>
      <c r="I693" t="s">
        <v>174</v>
      </c>
      <c r="J693" t="s">
        <v>116</v>
      </c>
      <c r="K693" s="5">
        <f>1150 / 86400</f>
        <v>1.3310185185185185E-2</v>
      </c>
      <c r="L693" s="5">
        <f>1029 / 86400</f>
        <v>1.1909722222222223E-2</v>
      </c>
    </row>
    <row r="694" spans="1:12" x14ac:dyDescent="0.25">
      <c r="A694" s="3">
        <v>45694.810578703706</v>
      </c>
      <c r="B694" t="s">
        <v>157</v>
      </c>
      <c r="C694" s="3">
        <v>45694.871493055558</v>
      </c>
      <c r="D694" t="s">
        <v>183</v>
      </c>
      <c r="E694" s="4">
        <v>23.378</v>
      </c>
      <c r="F694" s="4">
        <v>399697.446</v>
      </c>
      <c r="G694" s="4">
        <v>399720.82400000002</v>
      </c>
      <c r="H694" s="5">
        <f>1539 / 86400</f>
        <v>1.7812499999999998E-2</v>
      </c>
      <c r="I694" t="s">
        <v>213</v>
      </c>
      <c r="J694" t="s">
        <v>34</v>
      </c>
      <c r="K694" s="5">
        <f>5263 / 86400</f>
        <v>6.0914351851851851E-2</v>
      </c>
      <c r="L694" s="5">
        <f>589 / 86400</f>
        <v>6.8171296296296296E-3</v>
      </c>
    </row>
    <row r="695" spans="1:12" x14ac:dyDescent="0.25">
      <c r="A695" s="3">
        <v>45694.878310185188</v>
      </c>
      <c r="B695" t="s">
        <v>183</v>
      </c>
      <c r="C695" s="3">
        <v>45694.892881944441</v>
      </c>
      <c r="D695" t="s">
        <v>97</v>
      </c>
      <c r="E695" s="4">
        <v>8.7319999999999993</v>
      </c>
      <c r="F695" s="4">
        <v>399720.82400000002</v>
      </c>
      <c r="G695" s="4">
        <v>399729.55599999998</v>
      </c>
      <c r="H695" s="5">
        <f>200 / 86400</f>
        <v>2.3148148148148147E-3</v>
      </c>
      <c r="I695" t="s">
        <v>179</v>
      </c>
      <c r="J695" t="s">
        <v>174</v>
      </c>
      <c r="K695" s="5">
        <f>1259 / 86400</f>
        <v>1.457175925925926E-2</v>
      </c>
      <c r="L695" s="5">
        <f>2778 / 86400</f>
        <v>3.215277777777778E-2</v>
      </c>
    </row>
    <row r="696" spans="1:12" x14ac:dyDescent="0.25">
      <c r="A696" s="3">
        <v>45694.925034722226</v>
      </c>
      <c r="B696" t="s">
        <v>97</v>
      </c>
      <c r="C696" s="3">
        <v>45694.926527777774</v>
      </c>
      <c r="D696" t="s">
        <v>97</v>
      </c>
      <c r="E696" s="4">
        <v>0.14899999999999999</v>
      </c>
      <c r="F696" s="4">
        <v>399729.55599999998</v>
      </c>
      <c r="G696" s="4">
        <v>399729.70500000002</v>
      </c>
      <c r="H696" s="5">
        <f>40 / 86400</f>
        <v>4.6296296296296298E-4</v>
      </c>
      <c r="I696" t="s">
        <v>30</v>
      </c>
      <c r="J696" t="s">
        <v>82</v>
      </c>
      <c r="K696" s="5">
        <f>129 / 86400</f>
        <v>1.4930555555555556E-3</v>
      </c>
      <c r="L696" s="5">
        <f>6347 / 86400</f>
        <v>7.346064814814815E-2</v>
      </c>
    </row>
    <row r="697" spans="1:1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1:1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1:12" s="10" customFormat="1" ht="20.100000000000001" customHeight="1" x14ac:dyDescent="0.35">
      <c r="A699" s="15" t="s">
        <v>324</v>
      </c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2" ht="30" x14ac:dyDescent="0.25">
      <c r="A701" s="2" t="s">
        <v>6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11</v>
      </c>
      <c r="G701" s="2" t="s">
        <v>12</v>
      </c>
      <c r="H701" s="2" t="s">
        <v>13</v>
      </c>
      <c r="I701" s="2" t="s">
        <v>14</v>
      </c>
      <c r="J701" s="2" t="s">
        <v>15</v>
      </c>
      <c r="K701" s="2" t="s">
        <v>16</v>
      </c>
      <c r="L701" s="2" t="s">
        <v>17</v>
      </c>
    </row>
    <row r="702" spans="1:12" x14ac:dyDescent="0.25">
      <c r="A702" s="3">
        <v>45694.325717592597</v>
      </c>
      <c r="B702" t="s">
        <v>28</v>
      </c>
      <c r="C702" s="3">
        <v>45694.326921296291</v>
      </c>
      <c r="D702" t="s">
        <v>28</v>
      </c>
      <c r="E702" s="4">
        <v>0</v>
      </c>
      <c r="F702" s="4">
        <v>381842.40299999999</v>
      </c>
      <c r="G702" s="4">
        <v>381842.40299999999</v>
      </c>
      <c r="H702" s="5">
        <f>99 / 86400</f>
        <v>1.1458333333333333E-3</v>
      </c>
      <c r="I702" t="s">
        <v>23</v>
      </c>
      <c r="J702" t="s">
        <v>23</v>
      </c>
      <c r="K702" s="5">
        <f>104 / 86400</f>
        <v>1.2037037037037038E-3</v>
      </c>
      <c r="L702" s="5">
        <f>28144 / 86400</f>
        <v>0.32574074074074072</v>
      </c>
    </row>
    <row r="703" spans="1:12" x14ac:dyDescent="0.25">
      <c r="A703" s="3">
        <v>45694.326944444445</v>
      </c>
      <c r="B703" t="s">
        <v>28</v>
      </c>
      <c r="C703" s="3">
        <v>45694.327187499999</v>
      </c>
      <c r="D703" t="s">
        <v>28</v>
      </c>
      <c r="E703" s="4">
        <v>0</v>
      </c>
      <c r="F703" s="4">
        <v>381842.40299999999</v>
      </c>
      <c r="G703" s="4">
        <v>381842.40299999999</v>
      </c>
      <c r="H703" s="5">
        <f>13 / 86400</f>
        <v>1.5046296296296297E-4</v>
      </c>
      <c r="I703" t="s">
        <v>23</v>
      </c>
      <c r="J703" t="s">
        <v>23</v>
      </c>
      <c r="K703" s="5">
        <f>21 / 86400</f>
        <v>2.4305555555555555E-4</v>
      </c>
      <c r="L703" s="5">
        <f>2 / 86400</f>
        <v>2.3148148148148147E-5</v>
      </c>
    </row>
    <row r="704" spans="1:12" x14ac:dyDescent="0.25">
      <c r="A704" s="3">
        <v>45694.327210648145</v>
      </c>
      <c r="B704" t="s">
        <v>28</v>
      </c>
      <c r="C704" s="3">
        <v>45694.334907407407</v>
      </c>
      <c r="D704" t="s">
        <v>28</v>
      </c>
      <c r="E704" s="4">
        <v>0.40400000000000003</v>
      </c>
      <c r="F704" s="4">
        <v>381842.40299999999</v>
      </c>
      <c r="G704" s="4">
        <v>381842.80699999997</v>
      </c>
      <c r="H704" s="5">
        <f>460 / 86400</f>
        <v>5.324074074074074E-3</v>
      </c>
      <c r="I704" t="s">
        <v>43</v>
      </c>
      <c r="J704" t="s">
        <v>88</v>
      </c>
      <c r="K704" s="5">
        <f>665 / 86400</f>
        <v>7.6967592592592591E-3</v>
      </c>
      <c r="L704" s="5">
        <f>828 / 86400</f>
        <v>9.5833333333333326E-3</v>
      </c>
    </row>
    <row r="705" spans="1:12" x14ac:dyDescent="0.25">
      <c r="A705" s="3">
        <v>45694.344490740739</v>
      </c>
      <c r="B705" t="s">
        <v>28</v>
      </c>
      <c r="C705" s="3">
        <v>45694.345092592594</v>
      </c>
      <c r="D705" t="s">
        <v>28</v>
      </c>
      <c r="E705" s="4">
        <v>2.3E-2</v>
      </c>
      <c r="F705" s="4">
        <v>381842.80699999997</v>
      </c>
      <c r="G705" s="4">
        <v>381842.83</v>
      </c>
      <c r="H705" s="5">
        <f>20 / 86400</f>
        <v>2.3148148148148149E-4</v>
      </c>
      <c r="I705" t="s">
        <v>151</v>
      </c>
      <c r="J705" t="s">
        <v>88</v>
      </c>
      <c r="K705" s="5">
        <f>52 / 86400</f>
        <v>6.018518518518519E-4</v>
      </c>
      <c r="L705" s="5">
        <f>7802 / 86400</f>
        <v>9.0300925925925923E-2</v>
      </c>
    </row>
    <row r="706" spans="1:12" x14ac:dyDescent="0.25">
      <c r="A706" s="3">
        <v>45694.435393518521</v>
      </c>
      <c r="B706" t="s">
        <v>28</v>
      </c>
      <c r="C706" s="3">
        <v>45694.436539351853</v>
      </c>
      <c r="D706" t="s">
        <v>28</v>
      </c>
      <c r="E706" s="4">
        <v>5.6000000000000001E-2</v>
      </c>
      <c r="F706" s="4">
        <v>381842.83</v>
      </c>
      <c r="G706" s="4">
        <v>381842.886</v>
      </c>
      <c r="H706" s="5">
        <f>0 / 86400</f>
        <v>0</v>
      </c>
      <c r="I706" t="s">
        <v>105</v>
      </c>
      <c r="J706" t="s">
        <v>88</v>
      </c>
      <c r="K706" s="5">
        <f>99 / 86400</f>
        <v>1.1458333333333333E-3</v>
      </c>
      <c r="L706" s="5">
        <f>14558 / 86400</f>
        <v>0.16849537037037038</v>
      </c>
    </row>
    <row r="707" spans="1:12" x14ac:dyDescent="0.25">
      <c r="A707" s="3">
        <v>45694.605034722219</v>
      </c>
      <c r="B707" t="s">
        <v>28</v>
      </c>
      <c r="C707" s="3">
        <v>45694.611620370371</v>
      </c>
      <c r="D707" t="s">
        <v>28</v>
      </c>
      <c r="E707" s="4">
        <v>0.23899999999999999</v>
      </c>
      <c r="F707" s="4">
        <v>381842.886</v>
      </c>
      <c r="G707" s="4">
        <v>381843.125</v>
      </c>
      <c r="H707" s="5">
        <f>438 / 86400</f>
        <v>5.0694444444444441E-3</v>
      </c>
      <c r="I707" t="s">
        <v>75</v>
      </c>
      <c r="J707" t="s">
        <v>88</v>
      </c>
      <c r="K707" s="5">
        <f>569 / 86400</f>
        <v>6.5856481481481478E-3</v>
      </c>
      <c r="L707" s="5">
        <f>33555 / 86400</f>
        <v>0.38836805555555554</v>
      </c>
    </row>
    <row r="708" spans="1:1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1:1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1:12" s="10" customFormat="1" ht="20.100000000000001" customHeight="1" x14ac:dyDescent="0.35">
      <c r="A710" s="15" t="s">
        <v>325</v>
      </c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1:12" ht="30" x14ac:dyDescent="0.25">
      <c r="A712" s="2" t="s">
        <v>6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11</v>
      </c>
      <c r="G712" s="2" t="s">
        <v>12</v>
      </c>
      <c r="H712" s="2" t="s">
        <v>13</v>
      </c>
      <c r="I712" s="2" t="s">
        <v>14</v>
      </c>
      <c r="J712" s="2" t="s">
        <v>15</v>
      </c>
      <c r="K712" s="2" t="s">
        <v>16</v>
      </c>
      <c r="L712" s="2" t="s">
        <v>17</v>
      </c>
    </row>
    <row r="713" spans="1:12" x14ac:dyDescent="0.25">
      <c r="A713" s="3">
        <v>45694.360844907409</v>
      </c>
      <c r="B713" t="s">
        <v>99</v>
      </c>
      <c r="C713" s="3">
        <v>45694.36681712963</v>
      </c>
      <c r="D713" t="s">
        <v>21</v>
      </c>
      <c r="E713" s="4">
        <v>5.7000000000000002E-2</v>
      </c>
      <c r="F713" s="4">
        <v>544834.30900000001</v>
      </c>
      <c r="G713" s="4">
        <v>544834.36600000004</v>
      </c>
      <c r="H713" s="5">
        <f>439 / 86400</f>
        <v>5.0810185185185186E-3</v>
      </c>
      <c r="I713" t="s">
        <v>142</v>
      </c>
      <c r="J713" t="s">
        <v>23</v>
      </c>
      <c r="K713" s="5">
        <f>515 / 86400</f>
        <v>5.9606481481481481E-3</v>
      </c>
      <c r="L713" s="5">
        <f>31262 / 86400</f>
        <v>0.36182870370370368</v>
      </c>
    </row>
    <row r="714" spans="1:12" x14ac:dyDescent="0.25">
      <c r="A714" s="3">
        <v>45694.367800925931</v>
      </c>
      <c r="B714" t="s">
        <v>21</v>
      </c>
      <c r="C714" s="3">
        <v>45694.60869212963</v>
      </c>
      <c r="D714" t="s">
        <v>136</v>
      </c>
      <c r="E714" s="4">
        <v>101.524</v>
      </c>
      <c r="F714" s="4">
        <v>544834.36600000004</v>
      </c>
      <c r="G714" s="4">
        <v>544935.89</v>
      </c>
      <c r="H714" s="5">
        <f>6739 / 86400</f>
        <v>7.7997685185185184E-2</v>
      </c>
      <c r="I714" t="s">
        <v>72</v>
      </c>
      <c r="J714" t="s">
        <v>30</v>
      </c>
      <c r="K714" s="5">
        <f>20813 / 86400</f>
        <v>0.2408912037037037</v>
      </c>
      <c r="L714" s="5">
        <f>254 / 86400</f>
        <v>2.9398148148148148E-3</v>
      </c>
    </row>
    <row r="715" spans="1:12" x14ac:dyDescent="0.25">
      <c r="A715" s="3">
        <v>45694.611631944441</v>
      </c>
      <c r="B715" t="s">
        <v>136</v>
      </c>
      <c r="C715" s="3">
        <v>45694.614490740743</v>
      </c>
      <c r="D715" t="s">
        <v>21</v>
      </c>
      <c r="E715" s="4">
        <v>0.55200000000000005</v>
      </c>
      <c r="F715" s="4">
        <v>544935.89</v>
      </c>
      <c r="G715" s="4">
        <v>544936.44200000004</v>
      </c>
      <c r="H715" s="5">
        <f>80 / 86400</f>
        <v>9.2592592592592596E-4</v>
      </c>
      <c r="I715" t="s">
        <v>248</v>
      </c>
      <c r="J715" t="s">
        <v>43</v>
      </c>
      <c r="K715" s="5">
        <f>247 / 86400</f>
        <v>2.8587962962962963E-3</v>
      </c>
      <c r="L715" s="5">
        <f>11956 / 86400</f>
        <v>0.13837962962962963</v>
      </c>
    </row>
    <row r="716" spans="1:12" x14ac:dyDescent="0.25">
      <c r="A716" s="3">
        <v>45694.752870370372</v>
      </c>
      <c r="B716" t="s">
        <v>21</v>
      </c>
      <c r="C716" s="3">
        <v>45694.984803240739</v>
      </c>
      <c r="D716" t="s">
        <v>244</v>
      </c>
      <c r="E716" s="4">
        <v>100.74</v>
      </c>
      <c r="F716" s="4">
        <v>544936.44200000004</v>
      </c>
      <c r="G716" s="4">
        <v>545037.18200000003</v>
      </c>
      <c r="H716" s="5">
        <f>6875 / 86400</f>
        <v>7.9571759259259259E-2</v>
      </c>
      <c r="I716" t="s">
        <v>29</v>
      </c>
      <c r="J716" t="s">
        <v>30</v>
      </c>
      <c r="K716" s="5">
        <f>20039 / 86400</f>
        <v>0.23193287037037036</v>
      </c>
      <c r="L716" s="5">
        <f>227 / 86400</f>
        <v>2.627314814814815E-3</v>
      </c>
    </row>
    <row r="717" spans="1:12" x14ac:dyDescent="0.25">
      <c r="A717" s="3">
        <v>45694.987430555557</v>
      </c>
      <c r="B717" t="s">
        <v>244</v>
      </c>
      <c r="C717" s="3">
        <v>45694.990763888884</v>
      </c>
      <c r="D717" t="s">
        <v>99</v>
      </c>
      <c r="E717" s="4">
        <v>0.27600000000000002</v>
      </c>
      <c r="F717" s="4">
        <v>545037.18200000003</v>
      </c>
      <c r="G717" s="4">
        <v>545037.45799999998</v>
      </c>
      <c r="H717" s="5">
        <f>180 / 86400</f>
        <v>2.0833333333333333E-3</v>
      </c>
      <c r="I717" t="s">
        <v>20</v>
      </c>
      <c r="J717" t="s">
        <v>151</v>
      </c>
      <c r="K717" s="5">
        <f>288 / 86400</f>
        <v>3.3333333333333335E-3</v>
      </c>
      <c r="L717" s="5">
        <f>797 / 86400</f>
        <v>9.2245370370370363E-3</v>
      </c>
    </row>
    <row r="718" spans="1:1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1:1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1:12" s="10" customFormat="1" ht="20.100000000000001" customHeight="1" x14ac:dyDescent="0.35">
      <c r="A720" s="15" t="s">
        <v>326</v>
      </c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2" ht="30" x14ac:dyDescent="0.25">
      <c r="A722" s="2" t="s">
        <v>6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11</v>
      </c>
      <c r="G722" s="2" t="s">
        <v>12</v>
      </c>
      <c r="H722" s="2" t="s">
        <v>13</v>
      </c>
      <c r="I722" s="2" t="s">
        <v>14</v>
      </c>
      <c r="J722" s="2" t="s">
        <v>15</v>
      </c>
      <c r="K722" s="2" t="s">
        <v>16</v>
      </c>
      <c r="L722" s="2" t="s">
        <v>17</v>
      </c>
    </row>
    <row r="723" spans="1:12" x14ac:dyDescent="0.25">
      <c r="A723" s="3">
        <v>45694</v>
      </c>
      <c r="B723" t="s">
        <v>100</v>
      </c>
      <c r="C723" s="3">
        <v>45694.000381944439</v>
      </c>
      <c r="D723" t="s">
        <v>100</v>
      </c>
      <c r="E723" s="4">
        <v>4.7E-2</v>
      </c>
      <c r="F723" s="4">
        <v>101450.66</v>
      </c>
      <c r="G723" s="4">
        <v>101450.70699999999</v>
      </c>
      <c r="H723" s="5">
        <f>20 / 86400</f>
        <v>2.3148148148148149E-4</v>
      </c>
      <c r="I723" t="s">
        <v>27</v>
      </c>
      <c r="J723" t="s">
        <v>105</v>
      </c>
      <c r="K723" s="5">
        <f>33 / 86400</f>
        <v>3.8194444444444446E-4</v>
      </c>
      <c r="L723" s="5">
        <f>145 / 86400</f>
        <v>1.6782407407407408E-3</v>
      </c>
    </row>
    <row r="724" spans="1:12" x14ac:dyDescent="0.25">
      <c r="A724" s="3">
        <v>45694.002060185187</v>
      </c>
      <c r="B724" t="s">
        <v>100</v>
      </c>
      <c r="C724" s="3">
        <v>45694.094837962963</v>
      </c>
      <c r="D724" t="s">
        <v>228</v>
      </c>
      <c r="E724" s="4">
        <v>43.436999999999998</v>
      </c>
      <c r="F724" s="4">
        <v>101450.70699999999</v>
      </c>
      <c r="G724" s="4">
        <v>101494.144</v>
      </c>
      <c r="H724" s="5">
        <f>3658 / 86400</f>
        <v>4.2337962962962966E-2</v>
      </c>
      <c r="I724" t="s">
        <v>33</v>
      </c>
      <c r="J724" t="s">
        <v>27</v>
      </c>
      <c r="K724" s="5">
        <f>8016 / 86400</f>
        <v>9.2777777777777778E-2</v>
      </c>
      <c r="L724" s="5">
        <f>398 / 86400</f>
        <v>4.6064814814814814E-3</v>
      </c>
    </row>
    <row r="725" spans="1:12" x14ac:dyDescent="0.25">
      <c r="A725" s="3">
        <v>45694.099444444444</v>
      </c>
      <c r="B725" t="s">
        <v>228</v>
      </c>
      <c r="C725" s="3">
        <v>45694.106886574074</v>
      </c>
      <c r="D725" t="s">
        <v>89</v>
      </c>
      <c r="E725" s="4">
        <v>6.1879999999999997</v>
      </c>
      <c r="F725" s="4">
        <v>101494.144</v>
      </c>
      <c r="G725" s="4">
        <v>101500.33199999999</v>
      </c>
      <c r="H725" s="5">
        <f>20 / 86400</f>
        <v>2.3148148148148149E-4</v>
      </c>
      <c r="I725" t="s">
        <v>222</v>
      </c>
      <c r="J725" t="s">
        <v>42</v>
      </c>
      <c r="K725" s="5">
        <f>643 / 86400</f>
        <v>7.4421296296296293E-3</v>
      </c>
      <c r="L725" s="5">
        <f>598 / 86400</f>
        <v>6.9212962962962961E-3</v>
      </c>
    </row>
    <row r="726" spans="1:12" x14ac:dyDescent="0.25">
      <c r="A726" s="3">
        <v>45694.113807870366</v>
      </c>
      <c r="B726" t="s">
        <v>89</v>
      </c>
      <c r="C726" s="3">
        <v>45694.114699074074</v>
      </c>
      <c r="D726" t="s">
        <v>89</v>
      </c>
      <c r="E726" s="4">
        <v>6.9000000000000006E-2</v>
      </c>
      <c r="F726" s="4">
        <v>101500.33199999999</v>
      </c>
      <c r="G726" s="4">
        <v>101500.401</v>
      </c>
      <c r="H726" s="5">
        <f>20 / 86400</f>
        <v>2.3148148148148149E-4</v>
      </c>
      <c r="I726" t="s">
        <v>116</v>
      </c>
      <c r="J726" t="s">
        <v>151</v>
      </c>
      <c r="K726" s="5">
        <f>77 / 86400</f>
        <v>8.9120370370370373E-4</v>
      </c>
      <c r="L726" s="5">
        <f>11109 / 86400</f>
        <v>0.12857638888888889</v>
      </c>
    </row>
    <row r="727" spans="1:12" x14ac:dyDescent="0.25">
      <c r="A727" s="3">
        <v>45694.243275462963</v>
      </c>
      <c r="B727" t="s">
        <v>89</v>
      </c>
      <c r="C727" s="3">
        <v>45694.243993055556</v>
      </c>
      <c r="D727" t="s">
        <v>89</v>
      </c>
      <c r="E727" s="4">
        <v>4.2999999999999997E-2</v>
      </c>
      <c r="F727" s="4">
        <v>101500.401</v>
      </c>
      <c r="G727" s="4">
        <v>101500.444</v>
      </c>
      <c r="H727" s="5">
        <f>40 / 86400</f>
        <v>4.6296296296296298E-4</v>
      </c>
      <c r="I727" t="s">
        <v>116</v>
      </c>
      <c r="J727" t="s">
        <v>88</v>
      </c>
      <c r="K727" s="5">
        <f>62 / 86400</f>
        <v>7.1759259259259259E-4</v>
      </c>
      <c r="L727" s="5">
        <f>1907 / 86400</f>
        <v>2.207175925925926E-2</v>
      </c>
    </row>
    <row r="728" spans="1:12" x14ac:dyDescent="0.25">
      <c r="A728" s="3">
        <v>45694.266064814816</v>
      </c>
      <c r="B728" t="s">
        <v>89</v>
      </c>
      <c r="C728" s="3">
        <v>45694.409270833334</v>
      </c>
      <c r="D728" t="s">
        <v>199</v>
      </c>
      <c r="E728" s="4">
        <v>78.245000000000005</v>
      </c>
      <c r="F728" s="4">
        <v>101500.444</v>
      </c>
      <c r="G728" s="4">
        <v>101578.689</v>
      </c>
      <c r="H728" s="5">
        <f>3117 / 86400</f>
        <v>3.6076388888888887E-2</v>
      </c>
      <c r="I728" t="s">
        <v>92</v>
      </c>
      <c r="J728" t="s">
        <v>86</v>
      </c>
      <c r="K728" s="5">
        <f>12373 / 86400</f>
        <v>0.14320601851851852</v>
      </c>
      <c r="L728" s="5">
        <f>238 / 86400</f>
        <v>2.7546296296296294E-3</v>
      </c>
    </row>
    <row r="729" spans="1:12" x14ac:dyDescent="0.25">
      <c r="A729" s="3">
        <v>45694.412025462967</v>
      </c>
      <c r="B729" t="s">
        <v>199</v>
      </c>
      <c r="C729" s="3">
        <v>45694.413217592592</v>
      </c>
      <c r="D729" t="s">
        <v>199</v>
      </c>
      <c r="E729" s="4">
        <v>0.14699999999999999</v>
      </c>
      <c r="F729" s="4">
        <v>101578.689</v>
      </c>
      <c r="G729" s="4">
        <v>101578.836</v>
      </c>
      <c r="H729" s="5">
        <f>58 / 86400</f>
        <v>6.7129629629629625E-4</v>
      </c>
      <c r="I729" t="s">
        <v>113</v>
      </c>
      <c r="J729" t="s">
        <v>105</v>
      </c>
      <c r="K729" s="5">
        <f>103 / 86400</f>
        <v>1.1921296296296296E-3</v>
      </c>
      <c r="L729" s="5">
        <f>2497 / 86400</f>
        <v>2.8900462962962965E-2</v>
      </c>
    </row>
    <row r="730" spans="1:12" x14ac:dyDescent="0.25">
      <c r="A730" s="3">
        <v>45694.442118055551</v>
      </c>
      <c r="B730" t="s">
        <v>199</v>
      </c>
      <c r="C730" s="3">
        <v>45694.444270833337</v>
      </c>
      <c r="D730" t="s">
        <v>267</v>
      </c>
      <c r="E730" s="4">
        <v>0.89</v>
      </c>
      <c r="F730" s="4">
        <v>101578.836</v>
      </c>
      <c r="G730" s="4">
        <v>101579.726</v>
      </c>
      <c r="H730" s="5">
        <f>0 / 86400</f>
        <v>0</v>
      </c>
      <c r="I730" t="s">
        <v>208</v>
      </c>
      <c r="J730" t="s">
        <v>37</v>
      </c>
      <c r="K730" s="5">
        <f>186 / 86400</f>
        <v>2.1527777777777778E-3</v>
      </c>
      <c r="L730" s="5">
        <f>1657 / 86400</f>
        <v>1.9178240740740742E-2</v>
      </c>
    </row>
    <row r="731" spans="1:12" x14ac:dyDescent="0.25">
      <c r="A731" s="3">
        <v>45694.463449074072</v>
      </c>
      <c r="B731" t="s">
        <v>267</v>
      </c>
      <c r="C731" s="3">
        <v>45694.464074074072</v>
      </c>
      <c r="D731" t="s">
        <v>128</v>
      </c>
      <c r="E731" s="4">
        <v>6.9000000000000006E-2</v>
      </c>
      <c r="F731" s="4">
        <v>101579.726</v>
      </c>
      <c r="G731" s="4">
        <v>101579.795</v>
      </c>
      <c r="H731" s="5">
        <f>17 / 86400</f>
        <v>1.9675925925925926E-4</v>
      </c>
      <c r="I731" t="s">
        <v>34</v>
      </c>
      <c r="J731" t="s">
        <v>105</v>
      </c>
      <c r="K731" s="5">
        <f>54 / 86400</f>
        <v>6.2500000000000001E-4</v>
      </c>
      <c r="L731" s="5">
        <f>493 / 86400</f>
        <v>5.7060185185185183E-3</v>
      </c>
    </row>
    <row r="732" spans="1:12" x14ac:dyDescent="0.25">
      <c r="A732" s="3">
        <v>45694.469780092593</v>
      </c>
      <c r="B732" t="s">
        <v>128</v>
      </c>
      <c r="C732" s="3">
        <v>45694.473923611113</v>
      </c>
      <c r="D732" t="s">
        <v>197</v>
      </c>
      <c r="E732" s="4">
        <v>1.1379999999999999</v>
      </c>
      <c r="F732" s="4">
        <v>101579.795</v>
      </c>
      <c r="G732" s="4">
        <v>101580.933</v>
      </c>
      <c r="H732" s="5">
        <f>137 / 86400</f>
        <v>1.5856481481481481E-3</v>
      </c>
      <c r="I732" t="s">
        <v>140</v>
      </c>
      <c r="J732" t="s">
        <v>75</v>
      </c>
      <c r="K732" s="5">
        <f>358 / 86400</f>
        <v>4.1435185185185186E-3</v>
      </c>
      <c r="L732" s="5">
        <f>817 / 86400</f>
        <v>9.4560185185185181E-3</v>
      </c>
    </row>
    <row r="733" spans="1:12" x14ac:dyDescent="0.25">
      <c r="A733" s="3">
        <v>45694.48337962963</v>
      </c>
      <c r="B733" t="s">
        <v>197</v>
      </c>
      <c r="C733" s="3">
        <v>45694.587476851855</v>
      </c>
      <c r="D733" t="s">
        <v>268</v>
      </c>
      <c r="E733" s="4">
        <v>48.689</v>
      </c>
      <c r="F733" s="4">
        <v>101580.933</v>
      </c>
      <c r="G733" s="4">
        <v>101629.622</v>
      </c>
      <c r="H733" s="5">
        <f>3060 / 86400</f>
        <v>3.5416666666666666E-2</v>
      </c>
      <c r="I733" t="s">
        <v>101</v>
      </c>
      <c r="J733" t="s">
        <v>20</v>
      </c>
      <c r="K733" s="5">
        <f>8994 / 86400</f>
        <v>0.10409722222222222</v>
      </c>
      <c r="L733" s="5">
        <f>1413 / 86400</f>
        <v>1.6354166666666666E-2</v>
      </c>
    </row>
    <row r="734" spans="1:12" x14ac:dyDescent="0.25">
      <c r="A734" s="3">
        <v>45694.603831018518</v>
      </c>
      <c r="B734" t="s">
        <v>269</v>
      </c>
      <c r="C734" s="3">
        <v>45694.706932870366</v>
      </c>
      <c r="D734" t="s">
        <v>47</v>
      </c>
      <c r="E734" s="4">
        <v>47.197000000000003</v>
      </c>
      <c r="F734" s="4">
        <v>101629.622</v>
      </c>
      <c r="G734" s="4">
        <v>101676.819</v>
      </c>
      <c r="H734" s="5">
        <f>2820 / 86400</f>
        <v>3.2638888888888891E-2</v>
      </c>
      <c r="I734" t="s">
        <v>95</v>
      </c>
      <c r="J734" t="s">
        <v>20</v>
      </c>
      <c r="K734" s="5">
        <f>8908 / 86400</f>
        <v>0.10310185185185185</v>
      </c>
      <c r="L734" s="5">
        <f>265 / 86400</f>
        <v>3.0671296296296297E-3</v>
      </c>
    </row>
    <row r="735" spans="1:12" x14ac:dyDescent="0.25">
      <c r="A735" s="3">
        <v>45694.71</v>
      </c>
      <c r="B735" t="s">
        <v>47</v>
      </c>
      <c r="C735" s="3">
        <v>45694.791226851856</v>
      </c>
      <c r="D735" t="s">
        <v>220</v>
      </c>
      <c r="E735" s="4">
        <v>40.335999999999999</v>
      </c>
      <c r="F735" s="4">
        <v>101676.819</v>
      </c>
      <c r="G735" s="4">
        <v>101717.155</v>
      </c>
      <c r="H735" s="5">
        <f>2478 / 86400</f>
        <v>2.8680555555555556E-2</v>
      </c>
      <c r="I735" t="s">
        <v>33</v>
      </c>
      <c r="J735" t="s">
        <v>85</v>
      </c>
      <c r="K735" s="5">
        <f>7018 / 86400</f>
        <v>8.1226851851851856E-2</v>
      </c>
      <c r="L735" s="5">
        <f>561 / 86400</f>
        <v>6.4930555555555557E-3</v>
      </c>
    </row>
    <row r="736" spans="1:12" x14ac:dyDescent="0.25">
      <c r="A736" s="3">
        <v>45694.797719907408</v>
      </c>
      <c r="B736" t="s">
        <v>220</v>
      </c>
      <c r="C736" s="3">
        <v>45694.870266203703</v>
      </c>
      <c r="D736" t="s">
        <v>149</v>
      </c>
      <c r="E736" s="4">
        <v>35.704999999999998</v>
      </c>
      <c r="F736" s="4">
        <v>101717.155</v>
      </c>
      <c r="G736" s="4">
        <v>101752.86</v>
      </c>
      <c r="H736" s="5">
        <f>1520 / 86400</f>
        <v>1.7592592592592594E-2</v>
      </c>
      <c r="I736" t="s">
        <v>152</v>
      </c>
      <c r="J736" t="s">
        <v>85</v>
      </c>
      <c r="K736" s="5">
        <f>6268 / 86400</f>
        <v>7.2546296296296303E-2</v>
      </c>
      <c r="L736" s="5">
        <f>33 / 86400</f>
        <v>3.8194444444444446E-4</v>
      </c>
    </row>
    <row r="737" spans="1:12" x14ac:dyDescent="0.25">
      <c r="A737" s="3">
        <v>45694.870648148149</v>
      </c>
      <c r="B737" t="s">
        <v>149</v>
      </c>
      <c r="C737" s="3">
        <v>45694.870740740742</v>
      </c>
      <c r="D737" t="s">
        <v>149</v>
      </c>
      <c r="E737" s="4">
        <v>0</v>
      </c>
      <c r="F737" s="4">
        <v>101752.86</v>
      </c>
      <c r="G737" s="4">
        <v>101752.86</v>
      </c>
      <c r="H737" s="5">
        <f>0 / 86400</f>
        <v>0</v>
      </c>
      <c r="I737" t="s">
        <v>23</v>
      </c>
      <c r="J737" t="s">
        <v>23</v>
      </c>
      <c r="K737" s="5">
        <f>8 / 86400</f>
        <v>9.2592592592592588E-5</v>
      </c>
      <c r="L737" s="5">
        <f>1022 / 86400</f>
        <v>1.1828703703703704E-2</v>
      </c>
    </row>
    <row r="738" spans="1:12" x14ac:dyDescent="0.25">
      <c r="A738" s="3">
        <v>45694.882569444446</v>
      </c>
      <c r="B738" t="s">
        <v>149</v>
      </c>
      <c r="C738" s="3">
        <v>45694.970775462964</v>
      </c>
      <c r="D738" t="s">
        <v>100</v>
      </c>
      <c r="E738" s="4">
        <v>45.579000000000001</v>
      </c>
      <c r="F738" s="4">
        <v>101752.86</v>
      </c>
      <c r="G738" s="4">
        <v>101798.439</v>
      </c>
      <c r="H738" s="5">
        <f>2597 / 86400</f>
        <v>3.005787037037037E-2</v>
      </c>
      <c r="I738" t="s">
        <v>84</v>
      </c>
      <c r="J738" t="s">
        <v>138</v>
      </c>
      <c r="K738" s="5">
        <f>7621 / 86400</f>
        <v>8.8206018518518517E-2</v>
      </c>
      <c r="L738" s="5">
        <f>747 / 86400</f>
        <v>8.6458333333333335E-3</v>
      </c>
    </row>
    <row r="739" spans="1:12" x14ac:dyDescent="0.25">
      <c r="A739" s="3">
        <v>45694.979421296295</v>
      </c>
      <c r="B739" t="s">
        <v>100</v>
      </c>
      <c r="C739" s="3">
        <v>45694.97991898148</v>
      </c>
      <c r="D739" t="s">
        <v>100</v>
      </c>
      <c r="E739" s="4">
        <v>0</v>
      </c>
      <c r="F739" s="4">
        <v>101798.439</v>
      </c>
      <c r="G739" s="4">
        <v>101798.439</v>
      </c>
      <c r="H739" s="5">
        <f>37 / 86400</f>
        <v>4.2824074074074075E-4</v>
      </c>
      <c r="I739" t="s">
        <v>23</v>
      </c>
      <c r="J739" t="s">
        <v>23</v>
      </c>
      <c r="K739" s="5">
        <f>43 / 86400</f>
        <v>4.9768518518518521E-4</v>
      </c>
      <c r="L739" s="5">
        <f>75 / 86400</f>
        <v>8.6805555555555551E-4</v>
      </c>
    </row>
    <row r="740" spans="1:12" x14ac:dyDescent="0.25">
      <c r="A740" s="3">
        <v>45694.980787037042</v>
      </c>
      <c r="B740" t="s">
        <v>100</v>
      </c>
      <c r="C740" s="3">
        <v>45694.99998842593</v>
      </c>
      <c r="D740" t="s">
        <v>100</v>
      </c>
      <c r="E740" s="4">
        <v>0</v>
      </c>
      <c r="F740" s="4">
        <v>101798.439</v>
      </c>
      <c r="G740" s="4">
        <v>101798.439</v>
      </c>
      <c r="H740" s="5">
        <f>1657 / 86400</f>
        <v>1.9178240740740742E-2</v>
      </c>
      <c r="I740" t="s">
        <v>23</v>
      </c>
      <c r="J740" t="s">
        <v>23</v>
      </c>
      <c r="K740" s="5">
        <f>1659 / 86400</f>
        <v>1.9201388888888889E-2</v>
      </c>
      <c r="L740" s="5">
        <f>0 / 86400</f>
        <v>0</v>
      </c>
    </row>
    <row r="741" spans="1:1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1:1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1:12" s="10" customFormat="1" ht="20.100000000000001" customHeight="1" x14ac:dyDescent="0.35">
      <c r="A743" s="15" t="s">
        <v>327</v>
      </c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1:12" ht="30" x14ac:dyDescent="0.25">
      <c r="A745" s="2" t="s">
        <v>6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11</v>
      </c>
      <c r="G745" s="2" t="s">
        <v>12</v>
      </c>
      <c r="H745" s="2" t="s">
        <v>13</v>
      </c>
      <c r="I745" s="2" t="s">
        <v>14</v>
      </c>
      <c r="J745" s="2" t="s">
        <v>15</v>
      </c>
      <c r="K745" s="2" t="s">
        <v>16</v>
      </c>
      <c r="L745" s="2" t="s">
        <v>17</v>
      </c>
    </row>
    <row r="746" spans="1:12" x14ac:dyDescent="0.25">
      <c r="A746" s="3">
        <v>45694.002395833333</v>
      </c>
      <c r="B746" t="s">
        <v>83</v>
      </c>
      <c r="C746" s="3">
        <v>45694.009733796294</v>
      </c>
      <c r="D746" t="s">
        <v>24</v>
      </c>
      <c r="E746" s="4">
        <v>2.1659999999999999</v>
      </c>
      <c r="F746" s="4">
        <v>53160.639000000003</v>
      </c>
      <c r="G746" s="4">
        <v>53162.805</v>
      </c>
      <c r="H746" s="5">
        <f>217 / 86400</f>
        <v>2.5115740740740741E-3</v>
      </c>
      <c r="I746" t="s">
        <v>102</v>
      </c>
      <c r="J746" t="s">
        <v>113</v>
      </c>
      <c r="K746" s="5">
        <f>634 / 86400</f>
        <v>7.3379629629629628E-3</v>
      </c>
      <c r="L746" s="5">
        <f>358 / 86400</f>
        <v>4.1435185185185186E-3</v>
      </c>
    </row>
    <row r="747" spans="1:12" x14ac:dyDescent="0.25">
      <c r="A747" s="3">
        <v>45694.011481481481</v>
      </c>
      <c r="B747" t="s">
        <v>24</v>
      </c>
      <c r="C747" s="3">
        <v>45694.015902777777</v>
      </c>
      <c r="D747" t="s">
        <v>28</v>
      </c>
      <c r="E747" s="4">
        <v>1.248</v>
      </c>
      <c r="F747" s="4">
        <v>53162.805</v>
      </c>
      <c r="G747" s="4">
        <v>53164.053</v>
      </c>
      <c r="H747" s="5">
        <f>178 / 86400</f>
        <v>2.0601851851851853E-3</v>
      </c>
      <c r="I747" t="s">
        <v>61</v>
      </c>
      <c r="J747" t="s">
        <v>113</v>
      </c>
      <c r="K747" s="5">
        <f>382 / 86400</f>
        <v>4.4212962962962964E-3</v>
      </c>
      <c r="L747" s="5">
        <f>30326 / 86400</f>
        <v>0.35099537037037037</v>
      </c>
    </row>
    <row r="748" spans="1:12" x14ac:dyDescent="0.25">
      <c r="A748" s="3">
        <v>45694.366898148146</v>
      </c>
      <c r="B748" t="s">
        <v>28</v>
      </c>
      <c r="C748" s="3">
        <v>45694.375069444446</v>
      </c>
      <c r="D748" t="s">
        <v>28</v>
      </c>
      <c r="E748" s="4">
        <v>2.0750000000000002</v>
      </c>
      <c r="F748" s="4">
        <v>53164.053</v>
      </c>
      <c r="G748" s="4">
        <v>53166.127999999997</v>
      </c>
      <c r="H748" s="5">
        <f>198 / 86400</f>
        <v>2.2916666666666667E-3</v>
      </c>
      <c r="I748" t="s">
        <v>153</v>
      </c>
      <c r="J748" t="s">
        <v>75</v>
      </c>
      <c r="K748" s="5">
        <f>706 / 86400</f>
        <v>8.1712962962962963E-3</v>
      </c>
      <c r="L748" s="5">
        <f>37537 / 86400</f>
        <v>0.43445601851851851</v>
      </c>
    </row>
    <row r="749" spans="1:12" x14ac:dyDescent="0.25">
      <c r="A749" s="3">
        <v>45694.809525462959</v>
      </c>
      <c r="B749" t="s">
        <v>28</v>
      </c>
      <c r="C749" s="3">
        <v>45694.818275462967</v>
      </c>
      <c r="D749" t="s">
        <v>28</v>
      </c>
      <c r="E749" s="4">
        <v>1.9279999999999999</v>
      </c>
      <c r="F749" s="4">
        <v>53166.127999999997</v>
      </c>
      <c r="G749" s="4">
        <v>53168.055999999997</v>
      </c>
      <c r="H749" s="5">
        <f>238 / 86400</f>
        <v>2.7546296296296294E-3</v>
      </c>
      <c r="I749" t="s">
        <v>159</v>
      </c>
      <c r="J749" t="s">
        <v>62</v>
      </c>
      <c r="K749" s="5">
        <f>756 / 86400</f>
        <v>8.7500000000000008E-3</v>
      </c>
      <c r="L749" s="5">
        <f>15700 / 86400</f>
        <v>0.18171296296296297</v>
      </c>
    </row>
    <row r="750" spans="1:1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1:1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2" s="10" customFormat="1" ht="20.100000000000001" customHeight="1" x14ac:dyDescent="0.35">
      <c r="A752" s="15" t="s">
        <v>328</v>
      </c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2" ht="30" x14ac:dyDescent="0.25">
      <c r="A754" s="2" t="s">
        <v>6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11</v>
      </c>
      <c r="G754" s="2" t="s">
        <v>12</v>
      </c>
      <c r="H754" s="2" t="s">
        <v>13</v>
      </c>
      <c r="I754" s="2" t="s">
        <v>14</v>
      </c>
      <c r="J754" s="2" t="s">
        <v>15</v>
      </c>
      <c r="K754" s="2" t="s">
        <v>16</v>
      </c>
      <c r="L754" s="2" t="s">
        <v>17</v>
      </c>
    </row>
    <row r="755" spans="1:12" x14ac:dyDescent="0.25">
      <c r="A755" s="3">
        <v>45694.429548611108</v>
      </c>
      <c r="B755" t="s">
        <v>103</v>
      </c>
      <c r="C755" s="3">
        <v>45694.435613425929</v>
      </c>
      <c r="D755" t="s">
        <v>243</v>
      </c>
      <c r="E755" s="4">
        <v>1.587</v>
      </c>
      <c r="F755" s="4">
        <v>45291.025999999998</v>
      </c>
      <c r="G755" s="4">
        <v>45292.612999999998</v>
      </c>
      <c r="H755" s="5">
        <f>200 / 86400</f>
        <v>2.3148148148148147E-3</v>
      </c>
      <c r="I755" t="s">
        <v>218</v>
      </c>
      <c r="J755" t="s">
        <v>75</v>
      </c>
      <c r="K755" s="5">
        <f>524 / 86400</f>
        <v>6.0648148148148145E-3</v>
      </c>
      <c r="L755" s="5">
        <f>37242 / 86400</f>
        <v>0.43104166666666666</v>
      </c>
    </row>
    <row r="756" spans="1:12" x14ac:dyDescent="0.25">
      <c r="A756" s="3">
        <v>45694.437106481477</v>
      </c>
      <c r="B756" t="s">
        <v>243</v>
      </c>
      <c r="C756" s="3">
        <v>45694.438761574071</v>
      </c>
      <c r="D756" t="s">
        <v>217</v>
      </c>
      <c r="E756" s="4">
        <v>0.88100000000000001</v>
      </c>
      <c r="F756" s="4">
        <v>45292.612999999998</v>
      </c>
      <c r="G756" s="4">
        <v>45293.493999999999</v>
      </c>
      <c r="H756" s="5">
        <f>20 / 86400</f>
        <v>2.3148148148148149E-4</v>
      </c>
      <c r="I756" t="s">
        <v>36</v>
      </c>
      <c r="J756" t="s">
        <v>138</v>
      </c>
      <c r="K756" s="5">
        <f>143 / 86400</f>
        <v>1.6550925925925926E-3</v>
      </c>
      <c r="L756" s="5">
        <f>9 / 86400</f>
        <v>1.0416666666666667E-4</v>
      </c>
    </row>
    <row r="757" spans="1:12" x14ac:dyDescent="0.25">
      <c r="A757" s="3">
        <v>45694.43886574074</v>
      </c>
      <c r="B757" t="s">
        <v>217</v>
      </c>
      <c r="C757" s="3">
        <v>45694.458819444444</v>
      </c>
      <c r="D757" t="s">
        <v>217</v>
      </c>
      <c r="E757" s="4">
        <v>0</v>
      </c>
      <c r="F757" s="4">
        <v>45293.493999999999</v>
      </c>
      <c r="G757" s="4">
        <v>45293.493999999999</v>
      </c>
      <c r="H757" s="5">
        <f>1721 / 86400</f>
        <v>1.9918981481481482E-2</v>
      </c>
      <c r="I757" t="s">
        <v>23</v>
      </c>
      <c r="J757" t="s">
        <v>23</v>
      </c>
      <c r="K757" s="5">
        <f>1724 / 86400</f>
        <v>1.9953703703703703E-2</v>
      </c>
      <c r="L757" s="5">
        <f>5000 / 86400</f>
        <v>5.7870370370370371E-2</v>
      </c>
    </row>
    <row r="758" spans="1:12" x14ac:dyDescent="0.25">
      <c r="A758" s="3">
        <v>45694.516689814816</v>
      </c>
      <c r="B758" t="s">
        <v>217</v>
      </c>
      <c r="C758" s="3">
        <v>45694.519328703704</v>
      </c>
      <c r="D758" t="s">
        <v>199</v>
      </c>
      <c r="E758" s="4">
        <v>1.0009999999999999</v>
      </c>
      <c r="F758" s="4">
        <v>45293.493999999999</v>
      </c>
      <c r="G758" s="4">
        <v>45294.495000000003</v>
      </c>
      <c r="H758" s="5">
        <f>78 / 86400</f>
        <v>9.0277777777777774E-4</v>
      </c>
      <c r="I758" t="s">
        <v>154</v>
      </c>
      <c r="J758" t="s">
        <v>34</v>
      </c>
      <c r="K758" s="5">
        <f>228 / 86400</f>
        <v>2.638888888888889E-3</v>
      </c>
      <c r="L758" s="5">
        <f>1618 / 86400</f>
        <v>1.8726851851851852E-2</v>
      </c>
    </row>
    <row r="759" spans="1:12" x14ac:dyDescent="0.25">
      <c r="A759" s="3">
        <v>45694.53805555556</v>
      </c>
      <c r="B759" t="s">
        <v>199</v>
      </c>
      <c r="C759" s="3">
        <v>45694.541956018518</v>
      </c>
      <c r="D759" t="s">
        <v>103</v>
      </c>
      <c r="E759" s="4">
        <v>1.2290000000000001</v>
      </c>
      <c r="F759" s="4">
        <v>45294.495000000003</v>
      </c>
      <c r="G759" s="4">
        <v>45295.724000000002</v>
      </c>
      <c r="H759" s="5">
        <f>40 / 86400</f>
        <v>4.6296296296296298E-4</v>
      </c>
      <c r="I759" t="s">
        <v>150</v>
      </c>
      <c r="J759" t="s">
        <v>46</v>
      </c>
      <c r="K759" s="5">
        <f>337 / 86400</f>
        <v>3.9004629629629628E-3</v>
      </c>
      <c r="L759" s="5">
        <f>7541 / 86400</f>
        <v>8.728009259259259E-2</v>
      </c>
    </row>
    <row r="760" spans="1:12" x14ac:dyDescent="0.25">
      <c r="A760" s="3">
        <v>45694.629236111112</v>
      </c>
      <c r="B760" t="s">
        <v>104</v>
      </c>
      <c r="C760" s="3">
        <v>45694.629432870366</v>
      </c>
      <c r="D760" t="s">
        <v>104</v>
      </c>
      <c r="E760" s="4">
        <v>0</v>
      </c>
      <c r="F760" s="4">
        <v>45295.724000000002</v>
      </c>
      <c r="G760" s="4">
        <v>45295.724000000002</v>
      </c>
      <c r="H760" s="5">
        <f>0 / 86400</f>
        <v>0</v>
      </c>
      <c r="I760" t="s">
        <v>23</v>
      </c>
      <c r="J760" t="s">
        <v>23</v>
      </c>
      <c r="K760" s="5">
        <f>17 / 86400</f>
        <v>1.9675925925925926E-4</v>
      </c>
      <c r="L760" s="5">
        <f>1297 / 86400</f>
        <v>1.5011574074074075E-2</v>
      </c>
    </row>
    <row r="761" spans="1:12" x14ac:dyDescent="0.25">
      <c r="A761" s="3">
        <v>45694.64444444445</v>
      </c>
      <c r="B761" t="s">
        <v>104</v>
      </c>
      <c r="C761" s="3">
        <v>45694.649375000001</v>
      </c>
      <c r="D761" t="s">
        <v>104</v>
      </c>
      <c r="E761" s="4">
        <v>0</v>
      </c>
      <c r="F761" s="4">
        <v>45295.724000000002</v>
      </c>
      <c r="G761" s="4">
        <v>45295.724000000002</v>
      </c>
      <c r="H761" s="5">
        <f>420 / 86400</f>
        <v>4.8611111111111112E-3</v>
      </c>
      <c r="I761" t="s">
        <v>23</v>
      </c>
      <c r="J761" t="s">
        <v>23</v>
      </c>
      <c r="K761" s="5">
        <f>426 / 86400</f>
        <v>4.9305555555555552E-3</v>
      </c>
      <c r="L761" s="5">
        <f>30293 / 86400</f>
        <v>0.35061342592592593</v>
      </c>
    </row>
    <row r="762" spans="1:1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1:1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1:12" s="10" customFormat="1" ht="20.100000000000001" customHeight="1" x14ac:dyDescent="0.35">
      <c r="A764" s="15" t="s">
        <v>329</v>
      </c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1:12" ht="30" x14ac:dyDescent="0.25">
      <c r="A766" s="2" t="s">
        <v>6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11</v>
      </c>
      <c r="G766" s="2" t="s">
        <v>12</v>
      </c>
      <c r="H766" s="2" t="s">
        <v>13</v>
      </c>
      <c r="I766" s="2" t="s">
        <v>14</v>
      </c>
      <c r="J766" s="2" t="s">
        <v>15</v>
      </c>
      <c r="K766" s="2" t="s">
        <v>16</v>
      </c>
      <c r="L766" s="2" t="s">
        <v>17</v>
      </c>
    </row>
    <row r="767" spans="1:12" x14ac:dyDescent="0.25">
      <c r="A767" s="3">
        <v>45694.394930555558</v>
      </c>
      <c r="B767" t="s">
        <v>21</v>
      </c>
      <c r="C767" s="3">
        <v>45694.400740740741</v>
      </c>
      <c r="D767" t="s">
        <v>65</v>
      </c>
      <c r="E767" s="4">
        <v>0.63200000000000001</v>
      </c>
      <c r="F767" s="4">
        <v>77322.168000000005</v>
      </c>
      <c r="G767" s="4">
        <v>77322.8</v>
      </c>
      <c r="H767" s="5">
        <f>318 / 86400</f>
        <v>3.6805555555555554E-3</v>
      </c>
      <c r="I767" t="s">
        <v>150</v>
      </c>
      <c r="J767" t="s">
        <v>105</v>
      </c>
      <c r="K767" s="5">
        <f>502 / 86400</f>
        <v>5.8101851851851856E-3</v>
      </c>
      <c r="L767" s="5">
        <f>34149 / 86400</f>
        <v>0.39524305555555556</v>
      </c>
    </row>
    <row r="768" spans="1:12" x14ac:dyDescent="0.25">
      <c r="A768" s="3">
        <v>45694.401053240741</v>
      </c>
      <c r="B768" t="s">
        <v>65</v>
      </c>
      <c r="C768" s="3">
        <v>45694.407500000001</v>
      </c>
      <c r="D768" t="s">
        <v>183</v>
      </c>
      <c r="E768" s="4">
        <v>0.58699999999999997</v>
      </c>
      <c r="F768" s="4">
        <v>77322.8</v>
      </c>
      <c r="G768" s="4">
        <v>77323.387000000002</v>
      </c>
      <c r="H768" s="5">
        <f>438 / 86400</f>
        <v>5.0694444444444441E-3</v>
      </c>
      <c r="I768" t="s">
        <v>248</v>
      </c>
      <c r="J768" t="s">
        <v>82</v>
      </c>
      <c r="K768" s="5">
        <f>557 / 86400</f>
        <v>6.4467592592592588E-3</v>
      </c>
      <c r="L768" s="5">
        <f>77 / 86400</f>
        <v>8.9120370370370373E-4</v>
      </c>
    </row>
    <row r="769" spans="1:12" x14ac:dyDescent="0.25">
      <c r="A769" s="3">
        <v>45694.408391203702</v>
      </c>
      <c r="B769" t="s">
        <v>183</v>
      </c>
      <c r="C769" s="3">
        <v>45694.410590277781</v>
      </c>
      <c r="D769" t="s">
        <v>133</v>
      </c>
      <c r="E769" s="4">
        <v>0.72399999999999998</v>
      </c>
      <c r="F769" s="4">
        <v>77323.387000000002</v>
      </c>
      <c r="G769" s="4">
        <v>77324.111000000004</v>
      </c>
      <c r="H769" s="5">
        <f>20 / 86400</f>
        <v>2.3148148148148149E-4</v>
      </c>
      <c r="I769" t="s">
        <v>140</v>
      </c>
      <c r="J769" t="s">
        <v>52</v>
      </c>
      <c r="K769" s="5">
        <f>190 / 86400</f>
        <v>2.1990740740740742E-3</v>
      </c>
      <c r="L769" s="5">
        <f>731 / 86400</f>
        <v>8.4606481481481477E-3</v>
      </c>
    </row>
    <row r="770" spans="1:12" x14ac:dyDescent="0.25">
      <c r="A770" s="3">
        <v>45694.419050925921</v>
      </c>
      <c r="B770" t="s">
        <v>133</v>
      </c>
      <c r="C770" s="3">
        <v>45694.633425925931</v>
      </c>
      <c r="D770" t="s">
        <v>148</v>
      </c>
      <c r="E770" s="4">
        <v>97.165000000000006</v>
      </c>
      <c r="F770" s="4">
        <v>77324.111000000004</v>
      </c>
      <c r="G770" s="4">
        <v>77421.275999999998</v>
      </c>
      <c r="H770" s="5">
        <f>5414 / 86400</f>
        <v>6.2662037037037044E-2</v>
      </c>
      <c r="I770" t="s">
        <v>107</v>
      </c>
      <c r="J770" t="s">
        <v>20</v>
      </c>
      <c r="K770" s="5">
        <f>18522 / 86400</f>
        <v>0.21437500000000001</v>
      </c>
      <c r="L770" s="5">
        <f>1983 / 86400</f>
        <v>2.2951388888888889E-2</v>
      </c>
    </row>
    <row r="771" spans="1:12" x14ac:dyDescent="0.25">
      <c r="A771" s="3">
        <v>45694.656377314815</v>
      </c>
      <c r="B771" t="s">
        <v>148</v>
      </c>
      <c r="C771" s="3">
        <v>45694.868368055555</v>
      </c>
      <c r="D771" t="s">
        <v>136</v>
      </c>
      <c r="E771" s="4">
        <v>89.992999999999995</v>
      </c>
      <c r="F771" s="4">
        <v>77421.275999999998</v>
      </c>
      <c r="G771" s="4">
        <v>77511.269</v>
      </c>
      <c r="H771" s="5">
        <f>6318 / 86400</f>
        <v>7.3124999999999996E-2</v>
      </c>
      <c r="I771" t="s">
        <v>107</v>
      </c>
      <c r="J771" t="s">
        <v>30</v>
      </c>
      <c r="K771" s="5">
        <f>18316 / 86400</f>
        <v>0.21199074074074073</v>
      </c>
      <c r="L771" s="5">
        <f>455 / 86400</f>
        <v>5.2662037037037035E-3</v>
      </c>
    </row>
    <row r="772" spans="1:12" x14ac:dyDescent="0.25">
      <c r="A772" s="3">
        <v>45694.87363425926</v>
      </c>
      <c r="B772" t="s">
        <v>136</v>
      </c>
      <c r="C772" s="3">
        <v>45694.874780092592</v>
      </c>
      <c r="D772" t="s">
        <v>136</v>
      </c>
      <c r="E772" s="4">
        <v>0.188</v>
      </c>
      <c r="F772" s="4">
        <v>77511.269</v>
      </c>
      <c r="G772" s="4">
        <v>77511.456999999995</v>
      </c>
      <c r="H772" s="5">
        <f>18 / 86400</f>
        <v>2.0833333333333335E-4</v>
      </c>
      <c r="I772" t="s">
        <v>34</v>
      </c>
      <c r="J772" t="s">
        <v>22</v>
      </c>
      <c r="K772" s="5">
        <f>99 / 86400</f>
        <v>1.1458333333333333E-3</v>
      </c>
      <c r="L772" s="5">
        <f>438 / 86400</f>
        <v>5.0694444444444441E-3</v>
      </c>
    </row>
    <row r="773" spans="1:12" x14ac:dyDescent="0.25">
      <c r="A773" s="3">
        <v>45694.879849537036</v>
      </c>
      <c r="B773" t="s">
        <v>136</v>
      </c>
      <c r="C773" s="3">
        <v>45694.880162037036</v>
      </c>
      <c r="D773" t="s">
        <v>47</v>
      </c>
      <c r="E773" s="4">
        <v>5.0999999999999997E-2</v>
      </c>
      <c r="F773" s="4">
        <v>77511.456999999995</v>
      </c>
      <c r="G773" s="4">
        <v>77511.508000000002</v>
      </c>
      <c r="H773" s="5">
        <f>0 / 86400</f>
        <v>0</v>
      </c>
      <c r="I773" t="s">
        <v>62</v>
      </c>
      <c r="J773" t="s">
        <v>22</v>
      </c>
      <c r="K773" s="5">
        <f>27 / 86400</f>
        <v>3.1250000000000001E-4</v>
      </c>
      <c r="L773" s="5">
        <f>251 / 86400</f>
        <v>2.9050925925925928E-3</v>
      </c>
    </row>
    <row r="774" spans="1:12" x14ac:dyDescent="0.25">
      <c r="A774" s="3">
        <v>45694.883067129631</v>
      </c>
      <c r="B774" t="s">
        <v>47</v>
      </c>
      <c r="C774" s="3">
        <v>45694.887141203704</v>
      </c>
      <c r="D774" t="s">
        <v>106</v>
      </c>
      <c r="E774" s="4">
        <v>0.95099999999999996</v>
      </c>
      <c r="F774" s="4">
        <v>77511.508000000002</v>
      </c>
      <c r="G774" s="4">
        <v>77512.459000000003</v>
      </c>
      <c r="H774" s="5">
        <f>197 / 86400</f>
        <v>2.2800925925925927E-3</v>
      </c>
      <c r="I774" t="s">
        <v>87</v>
      </c>
      <c r="J774" t="s">
        <v>116</v>
      </c>
      <c r="K774" s="5">
        <f>352 / 86400</f>
        <v>4.0740740740740737E-3</v>
      </c>
      <c r="L774" s="5">
        <f>9750 / 86400</f>
        <v>0.11284722222222222</v>
      </c>
    </row>
    <row r="775" spans="1:1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1:1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1:12" s="10" customFormat="1" ht="20.100000000000001" customHeight="1" x14ac:dyDescent="0.35">
      <c r="A777" s="15" t="s">
        <v>330</v>
      </c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1:12" ht="30" x14ac:dyDescent="0.25">
      <c r="A779" s="2" t="s">
        <v>6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11</v>
      </c>
      <c r="G779" s="2" t="s">
        <v>12</v>
      </c>
      <c r="H779" s="2" t="s">
        <v>13</v>
      </c>
      <c r="I779" s="2" t="s">
        <v>14</v>
      </c>
      <c r="J779" s="2" t="s">
        <v>15</v>
      </c>
      <c r="K779" s="2" t="s">
        <v>16</v>
      </c>
      <c r="L779" s="2" t="s">
        <v>17</v>
      </c>
    </row>
    <row r="780" spans="1:12" x14ac:dyDescent="0.25">
      <c r="A780" s="3">
        <v>45694.1871875</v>
      </c>
      <c r="B780" t="s">
        <v>108</v>
      </c>
      <c r="C780" s="3">
        <v>45694.364756944444</v>
      </c>
      <c r="D780" t="s">
        <v>128</v>
      </c>
      <c r="E780" s="4">
        <v>89.763999999999996</v>
      </c>
      <c r="F780" s="4">
        <v>38339.766000000003</v>
      </c>
      <c r="G780" s="4">
        <v>38429.53</v>
      </c>
      <c r="H780" s="5">
        <f>3898 / 86400</f>
        <v>4.5115740740740741E-2</v>
      </c>
      <c r="I780" t="s">
        <v>33</v>
      </c>
      <c r="J780" t="s">
        <v>85</v>
      </c>
      <c r="K780" s="5">
        <f>15342 / 86400</f>
        <v>0.17756944444444445</v>
      </c>
      <c r="L780" s="5">
        <f>17724 / 86400</f>
        <v>0.2051388888888889</v>
      </c>
    </row>
    <row r="781" spans="1:12" x14ac:dyDescent="0.25">
      <c r="A781" s="3">
        <v>45694.382708333331</v>
      </c>
      <c r="B781" t="s">
        <v>128</v>
      </c>
      <c r="C781" s="3">
        <v>45694.385717592595</v>
      </c>
      <c r="D781" t="s">
        <v>47</v>
      </c>
      <c r="E781" s="4">
        <v>0.55300000000000005</v>
      </c>
      <c r="F781" s="4">
        <v>38429.53</v>
      </c>
      <c r="G781" s="4">
        <v>38430.082999999999</v>
      </c>
      <c r="H781" s="5">
        <f>59 / 86400</f>
        <v>6.8287037037037036E-4</v>
      </c>
      <c r="I781" t="s">
        <v>140</v>
      </c>
      <c r="J781" t="s">
        <v>43</v>
      </c>
      <c r="K781" s="5">
        <f>260 / 86400</f>
        <v>3.0092592592592593E-3</v>
      </c>
      <c r="L781" s="5">
        <f>455 / 86400</f>
        <v>5.2662037037037035E-3</v>
      </c>
    </row>
    <row r="782" spans="1:12" x14ac:dyDescent="0.25">
      <c r="A782" s="3">
        <v>45694.3909837963</v>
      </c>
      <c r="B782" t="s">
        <v>243</v>
      </c>
      <c r="C782" s="3">
        <v>45694.400474537033</v>
      </c>
      <c r="D782" t="s">
        <v>197</v>
      </c>
      <c r="E782" s="4">
        <v>1.8049999999999999</v>
      </c>
      <c r="F782" s="4">
        <v>38430.082999999999</v>
      </c>
      <c r="G782" s="4">
        <v>38431.887999999999</v>
      </c>
      <c r="H782" s="5">
        <f>420 / 86400</f>
        <v>4.8611111111111112E-3</v>
      </c>
      <c r="I782" t="s">
        <v>112</v>
      </c>
      <c r="J782" t="s">
        <v>43</v>
      </c>
      <c r="K782" s="5">
        <f>820 / 86400</f>
        <v>9.4907407407407406E-3</v>
      </c>
      <c r="L782" s="5">
        <f>1472 / 86400</f>
        <v>1.7037037037037038E-2</v>
      </c>
    </row>
    <row r="783" spans="1:12" x14ac:dyDescent="0.25">
      <c r="A783" s="3">
        <v>45694.417511574073</v>
      </c>
      <c r="B783" t="s">
        <v>197</v>
      </c>
      <c r="C783" s="3">
        <v>45694.424270833333</v>
      </c>
      <c r="D783" t="s">
        <v>47</v>
      </c>
      <c r="E783" s="4">
        <v>1.1519999999999999</v>
      </c>
      <c r="F783" s="4">
        <v>38431.887999999999</v>
      </c>
      <c r="G783" s="4">
        <v>38433.040000000001</v>
      </c>
      <c r="H783" s="5">
        <f>300 / 86400</f>
        <v>3.472222222222222E-3</v>
      </c>
      <c r="I783" t="s">
        <v>208</v>
      </c>
      <c r="J783" t="s">
        <v>22</v>
      </c>
      <c r="K783" s="5">
        <f>584 / 86400</f>
        <v>6.7592592592592591E-3</v>
      </c>
      <c r="L783" s="5">
        <f>581 / 86400</f>
        <v>6.7245370370370367E-3</v>
      </c>
    </row>
    <row r="784" spans="1:12" x14ac:dyDescent="0.25">
      <c r="A784" s="3">
        <v>45694.430995370371</v>
      </c>
      <c r="B784" t="s">
        <v>47</v>
      </c>
      <c r="C784" s="3">
        <v>45694.625104166669</v>
      </c>
      <c r="D784" t="s">
        <v>199</v>
      </c>
      <c r="E784" s="4">
        <v>94.457999999999998</v>
      </c>
      <c r="F784" s="4">
        <v>38433.040000000001</v>
      </c>
      <c r="G784" s="4">
        <v>38527.498</v>
      </c>
      <c r="H784" s="5">
        <f>4862 / 86400</f>
        <v>5.6273148148148149E-2</v>
      </c>
      <c r="I784" t="s">
        <v>270</v>
      </c>
      <c r="J784" t="s">
        <v>27</v>
      </c>
      <c r="K784" s="5">
        <f>16771 / 86400</f>
        <v>0.19410879629629629</v>
      </c>
      <c r="L784" s="5">
        <f>419 / 86400</f>
        <v>4.8495370370370368E-3</v>
      </c>
    </row>
    <row r="785" spans="1:12" x14ac:dyDescent="0.25">
      <c r="A785" s="3">
        <v>45694.629953703705</v>
      </c>
      <c r="B785" t="s">
        <v>136</v>
      </c>
      <c r="C785" s="3">
        <v>45694.63175925926</v>
      </c>
      <c r="D785" t="s">
        <v>199</v>
      </c>
      <c r="E785" s="4">
        <v>9.6000000000000002E-2</v>
      </c>
      <c r="F785" s="4">
        <v>38527.498</v>
      </c>
      <c r="G785" s="4">
        <v>38527.593999999997</v>
      </c>
      <c r="H785" s="5">
        <f>90 / 86400</f>
        <v>1.0416666666666667E-3</v>
      </c>
      <c r="I785" t="s">
        <v>62</v>
      </c>
      <c r="J785" t="s">
        <v>88</v>
      </c>
      <c r="K785" s="5">
        <f>156 / 86400</f>
        <v>1.8055555555555555E-3</v>
      </c>
      <c r="L785" s="5">
        <f>22 / 86400</f>
        <v>2.5462962962962961E-4</v>
      </c>
    </row>
    <row r="786" spans="1:12" x14ac:dyDescent="0.25">
      <c r="A786" s="3">
        <v>45694.632013888884</v>
      </c>
      <c r="B786" t="s">
        <v>199</v>
      </c>
      <c r="C786" s="3">
        <v>45694.635879629626</v>
      </c>
      <c r="D786" t="s">
        <v>199</v>
      </c>
      <c r="E786" s="4">
        <v>0</v>
      </c>
      <c r="F786" s="4">
        <v>38527.593999999997</v>
      </c>
      <c r="G786" s="4">
        <v>38527.593999999997</v>
      </c>
      <c r="H786" s="5">
        <f>329 / 86400</f>
        <v>3.8078703703703703E-3</v>
      </c>
      <c r="I786" t="s">
        <v>23</v>
      </c>
      <c r="J786" t="s">
        <v>23</v>
      </c>
      <c r="K786" s="5">
        <f>334 / 86400</f>
        <v>3.8657407407407408E-3</v>
      </c>
      <c r="L786" s="5">
        <f>118 / 86400</f>
        <v>1.3657407407407407E-3</v>
      </c>
    </row>
    <row r="787" spans="1:12" x14ac:dyDescent="0.25">
      <c r="A787" s="3">
        <v>45694.637245370366</v>
      </c>
      <c r="B787" t="s">
        <v>199</v>
      </c>
      <c r="C787" s="3">
        <v>45694.666967592595</v>
      </c>
      <c r="D787" t="s">
        <v>120</v>
      </c>
      <c r="E787" s="4">
        <v>19.196999999999999</v>
      </c>
      <c r="F787" s="4">
        <v>38527.593999999997</v>
      </c>
      <c r="G787" s="4">
        <v>38546.790999999997</v>
      </c>
      <c r="H787" s="5">
        <f>419 / 86400</f>
        <v>4.8495370370370368E-3</v>
      </c>
      <c r="I787" t="s">
        <v>109</v>
      </c>
      <c r="J787" t="s">
        <v>140</v>
      </c>
      <c r="K787" s="5">
        <f>2568 / 86400</f>
        <v>2.9722222222222223E-2</v>
      </c>
      <c r="L787" s="5">
        <f>1 / 86400</f>
        <v>1.1574074074074073E-5</v>
      </c>
    </row>
    <row r="788" spans="1:12" x14ac:dyDescent="0.25">
      <c r="A788" s="3">
        <v>45694.666979166665</v>
      </c>
      <c r="B788" t="s">
        <v>120</v>
      </c>
      <c r="C788" s="3">
        <v>45694.66706018518</v>
      </c>
      <c r="D788" t="s">
        <v>120</v>
      </c>
      <c r="E788" s="4">
        <v>0</v>
      </c>
      <c r="F788" s="4">
        <v>38546.790999999997</v>
      </c>
      <c r="G788" s="4">
        <v>38546.790999999997</v>
      </c>
      <c r="H788" s="5">
        <f>1 / 86400</f>
        <v>1.1574074074074073E-5</v>
      </c>
      <c r="I788" t="s">
        <v>23</v>
      </c>
      <c r="J788" t="s">
        <v>23</v>
      </c>
      <c r="K788" s="5">
        <f>7 / 86400</f>
        <v>8.1018518518518516E-5</v>
      </c>
      <c r="L788" s="5">
        <f>2 / 86400</f>
        <v>2.3148148148148147E-5</v>
      </c>
    </row>
    <row r="789" spans="1:12" x14ac:dyDescent="0.25">
      <c r="A789" s="3">
        <v>45694.667083333334</v>
      </c>
      <c r="B789" t="s">
        <v>120</v>
      </c>
      <c r="C789" s="3">
        <v>45694.880243055552</v>
      </c>
      <c r="D789" t="s">
        <v>143</v>
      </c>
      <c r="E789" s="4">
        <v>98.555999999999997</v>
      </c>
      <c r="F789" s="4">
        <v>38546.790999999997</v>
      </c>
      <c r="G789" s="4">
        <v>38645.347000000002</v>
      </c>
      <c r="H789" s="5">
        <f>5360 / 86400</f>
        <v>6.2037037037037036E-2</v>
      </c>
      <c r="I789" t="s">
        <v>107</v>
      </c>
      <c r="J789" t="s">
        <v>20</v>
      </c>
      <c r="K789" s="5">
        <f>18417 / 86400</f>
        <v>0.21315972222222221</v>
      </c>
      <c r="L789" s="5">
        <f>363 / 86400</f>
        <v>4.2013888888888891E-3</v>
      </c>
    </row>
    <row r="790" spans="1:12" x14ac:dyDescent="0.25">
      <c r="A790" s="3">
        <v>45694.88444444444</v>
      </c>
      <c r="B790" t="s">
        <v>38</v>
      </c>
      <c r="C790" s="3">
        <v>45694.887939814813</v>
      </c>
      <c r="D790" t="s">
        <v>108</v>
      </c>
      <c r="E790" s="4">
        <v>0.42599999999999999</v>
      </c>
      <c r="F790" s="4">
        <v>38645.347000000002</v>
      </c>
      <c r="G790" s="4">
        <v>38645.773000000001</v>
      </c>
      <c r="H790" s="5">
        <f>107 / 86400</f>
        <v>1.238425925925926E-3</v>
      </c>
      <c r="I790" t="s">
        <v>113</v>
      </c>
      <c r="J790" t="s">
        <v>105</v>
      </c>
      <c r="K790" s="5">
        <f>302 / 86400</f>
        <v>3.4953703703703705E-3</v>
      </c>
      <c r="L790" s="5">
        <f>2194 / 86400</f>
        <v>2.539351851851852E-2</v>
      </c>
    </row>
    <row r="791" spans="1:12" x14ac:dyDescent="0.25">
      <c r="A791" s="3">
        <v>45694.91333333333</v>
      </c>
      <c r="B791" t="s">
        <v>108</v>
      </c>
      <c r="C791" s="3">
        <v>45694.915578703702</v>
      </c>
      <c r="D791" t="s">
        <v>108</v>
      </c>
      <c r="E791" s="4">
        <v>0</v>
      </c>
      <c r="F791" s="4">
        <v>38645.773000000001</v>
      </c>
      <c r="G791" s="4">
        <v>38645.773000000001</v>
      </c>
      <c r="H791" s="5">
        <f>180 / 86400</f>
        <v>2.0833333333333333E-3</v>
      </c>
      <c r="I791" t="s">
        <v>23</v>
      </c>
      <c r="J791" t="s">
        <v>23</v>
      </c>
      <c r="K791" s="5">
        <f>194 / 86400</f>
        <v>2.2453703703703702E-3</v>
      </c>
      <c r="L791" s="5">
        <f>322 / 86400</f>
        <v>3.7268518518518519E-3</v>
      </c>
    </row>
    <row r="792" spans="1:12" x14ac:dyDescent="0.25">
      <c r="A792" s="3">
        <v>45694.919305555552</v>
      </c>
      <c r="B792" t="s">
        <v>108</v>
      </c>
      <c r="C792" s="3">
        <v>45694.919467592597</v>
      </c>
      <c r="D792" t="s">
        <v>108</v>
      </c>
      <c r="E792" s="4">
        <v>0</v>
      </c>
      <c r="F792" s="4">
        <v>38645.773000000001</v>
      </c>
      <c r="G792" s="4">
        <v>38645.773000000001</v>
      </c>
      <c r="H792" s="5">
        <f>1 / 86400</f>
        <v>1.1574074074074073E-5</v>
      </c>
      <c r="I792" t="s">
        <v>23</v>
      </c>
      <c r="J792" t="s">
        <v>23</v>
      </c>
      <c r="K792" s="5">
        <f>14 / 86400</f>
        <v>1.6203703703703703E-4</v>
      </c>
      <c r="L792" s="5">
        <f>2747 / 86400</f>
        <v>3.1793981481481479E-2</v>
      </c>
    </row>
    <row r="793" spans="1:12" x14ac:dyDescent="0.25">
      <c r="A793" s="3">
        <v>45694.951261574075</v>
      </c>
      <c r="B793" t="s">
        <v>108</v>
      </c>
      <c r="C793" s="3">
        <v>45694.952604166669</v>
      </c>
      <c r="D793" t="s">
        <v>108</v>
      </c>
      <c r="E793" s="4">
        <v>0</v>
      </c>
      <c r="F793" s="4">
        <v>38645.773000000001</v>
      </c>
      <c r="G793" s="4">
        <v>38645.773000000001</v>
      </c>
      <c r="H793" s="5">
        <f>90 / 86400</f>
        <v>1.0416666666666667E-3</v>
      </c>
      <c r="I793" t="s">
        <v>23</v>
      </c>
      <c r="J793" t="s">
        <v>23</v>
      </c>
      <c r="K793" s="5">
        <f>116 / 86400</f>
        <v>1.3425925925925925E-3</v>
      </c>
      <c r="L793" s="5">
        <f>4094 / 86400</f>
        <v>4.7384259259259258E-2</v>
      </c>
    </row>
    <row r="794" spans="1:1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1:1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1:12" s="10" customFormat="1" ht="20.100000000000001" customHeight="1" x14ac:dyDescent="0.35">
      <c r="A796" s="15" t="s">
        <v>331</v>
      </c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1:12" ht="30" x14ac:dyDescent="0.25">
      <c r="A798" s="2" t="s">
        <v>6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11</v>
      </c>
      <c r="G798" s="2" t="s">
        <v>12</v>
      </c>
      <c r="H798" s="2" t="s">
        <v>13</v>
      </c>
      <c r="I798" s="2" t="s">
        <v>14</v>
      </c>
      <c r="J798" s="2" t="s">
        <v>15</v>
      </c>
      <c r="K798" s="2" t="s">
        <v>16</v>
      </c>
      <c r="L798" s="2" t="s">
        <v>17</v>
      </c>
    </row>
    <row r="799" spans="1:12" x14ac:dyDescent="0.25">
      <c r="A799" s="3">
        <v>45694.267962962964</v>
      </c>
      <c r="B799" t="s">
        <v>110</v>
      </c>
      <c r="C799" s="3">
        <v>45694.327627314815</v>
      </c>
      <c r="D799" t="s">
        <v>197</v>
      </c>
      <c r="E799" s="4">
        <v>35.24</v>
      </c>
      <c r="F799" s="4">
        <v>190999.37100000001</v>
      </c>
      <c r="G799" s="4">
        <v>191034.611</v>
      </c>
      <c r="H799" s="5">
        <f>918 / 86400</f>
        <v>1.0625000000000001E-2</v>
      </c>
      <c r="I799" t="s">
        <v>107</v>
      </c>
      <c r="J799" t="s">
        <v>174</v>
      </c>
      <c r="K799" s="5">
        <f>5155 / 86400</f>
        <v>5.966435185185185E-2</v>
      </c>
      <c r="L799" s="5">
        <f>26115 / 86400</f>
        <v>0.30225694444444445</v>
      </c>
    </row>
    <row r="800" spans="1:12" x14ac:dyDescent="0.25">
      <c r="A800" s="3">
        <v>45694.361921296295</v>
      </c>
      <c r="B800" t="s">
        <v>197</v>
      </c>
      <c r="C800" s="3">
        <v>45694.362476851849</v>
      </c>
      <c r="D800" t="s">
        <v>133</v>
      </c>
      <c r="E800" s="4">
        <v>0.05</v>
      </c>
      <c r="F800" s="4">
        <v>191034.611</v>
      </c>
      <c r="G800" s="4">
        <v>191034.66099999999</v>
      </c>
      <c r="H800" s="5">
        <f>0 / 86400</f>
        <v>0</v>
      </c>
      <c r="I800" t="s">
        <v>105</v>
      </c>
      <c r="J800" t="s">
        <v>82</v>
      </c>
      <c r="K800" s="5">
        <f>47 / 86400</f>
        <v>5.4398148148148144E-4</v>
      </c>
      <c r="L800" s="5">
        <f>304 / 86400</f>
        <v>3.5185185185185185E-3</v>
      </c>
    </row>
    <row r="801" spans="1:12" x14ac:dyDescent="0.25">
      <c r="A801" s="3">
        <v>45694.365995370375</v>
      </c>
      <c r="B801" t="s">
        <v>133</v>
      </c>
      <c r="C801" s="3">
        <v>45694.478344907402</v>
      </c>
      <c r="D801" t="s">
        <v>271</v>
      </c>
      <c r="E801" s="4">
        <v>50.789000000000001</v>
      </c>
      <c r="F801" s="4">
        <v>191034.66099999999</v>
      </c>
      <c r="G801" s="4">
        <v>191085.45</v>
      </c>
      <c r="H801" s="5">
        <f>2480 / 86400</f>
        <v>2.8703703703703703E-2</v>
      </c>
      <c r="I801" t="s">
        <v>91</v>
      </c>
      <c r="J801" t="s">
        <v>20</v>
      </c>
      <c r="K801" s="5">
        <f>9707 / 86400</f>
        <v>0.11234953703703704</v>
      </c>
      <c r="L801" s="5">
        <f>314 / 86400</f>
        <v>3.6342592592592594E-3</v>
      </c>
    </row>
    <row r="802" spans="1:12" x14ac:dyDescent="0.25">
      <c r="A802" s="3">
        <v>45694.481979166667</v>
      </c>
      <c r="B802" t="s">
        <v>272</v>
      </c>
      <c r="C802" s="3">
        <v>45694.485671296294</v>
      </c>
      <c r="D802" t="s">
        <v>185</v>
      </c>
      <c r="E802" s="4">
        <v>0.52700000000000002</v>
      </c>
      <c r="F802" s="4">
        <v>191085.45</v>
      </c>
      <c r="G802" s="4">
        <v>191085.97700000001</v>
      </c>
      <c r="H802" s="5">
        <f>180 / 86400</f>
        <v>2.0833333333333333E-3</v>
      </c>
      <c r="I802" t="s">
        <v>37</v>
      </c>
      <c r="J802" t="s">
        <v>142</v>
      </c>
      <c r="K802" s="5">
        <f>319 / 86400</f>
        <v>3.6921296296296298E-3</v>
      </c>
      <c r="L802" s="5">
        <f>52 / 86400</f>
        <v>6.018518518518519E-4</v>
      </c>
    </row>
    <row r="803" spans="1:12" x14ac:dyDescent="0.25">
      <c r="A803" s="3">
        <v>45694.486273148148</v>
      </c>
      <c r="B803" t="s">
        <v>191</v>
      </c>
      <c r="C803" s="3">
        <v>45694.610902777778</v>
      </c>
      <c r="D803" t="s">
        <v>48</v>
      </c>
      <c r="E803" s="4">
        <v>50.192999999999998</v>
      </c>
      <c r="F803" s="4">
        <v>191085.97700000001</v>
      </c>
      <c r="G803" s="4">
        <v>191136.17</v>
      </c>
      <c r="H803" s="5">
        <f>2919 / 86400</f>
        <v>3.3784722222222223E-2</v>
      </c>
      <c r="I803" t="s">
        <v>95</v>
      </c>
      <c r="J803" t="s">
        <v>37</v>
      </c>
      <c r="K803" s="5">
        <f>10768 / 86400</f>
        <v>0.12462962962962963</v>
      </c>
      <c r="L803" s="5">
        <f>2439 / 86400</f>
        <v>2.8229166666666666E-2</v>
      </c>
    </row>
    <row r="804" spans="1:12" x14ac:dyDescent="0.25">
      <c r="A804" s="3">
        <v>45694.639131944445</v>
      </c>
      <c r="B804" t="s">
        <v>48</v>
      </c>
      <c r="C804" s="3">
        <v>45694.642546296294</v>
      </c>
      <c r="D804" t="s">
        <v>128</v>
      </c>
      <c r="E804" s="4">
        <v>0.70399999999999996</v>
      </c>
      <c r="F804" s="4">
        <v>191136.17</v>
      </c>
      <c r="G804" s="4">
        <v>191136.87400000001</v>
      </c>
      <c r="H804" s="5">
        <f>20 / 86400</f>
        <v>2.3148148148148149E-4</v>
      </c>
      <c r="I804" t="s">
        <v>34</v>
      </c>
      <c r="J804" t="s">
        <v>62</v>
      </c>
      <c r="K804" s="5">
        <f>295 / 86400</f>
        <v>3.414351851851852E-3</v>
      </c>
      <c r="L804" s="5">
        <f>413 / 86400</f>
        <v>4.7800925925925927E-3</v>
      </c>
    </row>
    <row r="805" spans="1:12" x14ac:dyDescent="0.25">
      <c r="A805" s="3">
        <v>45694.647326388891</v>
      </c>
      <c r="B805" t="s">
        <v>128</v>
      </c>
      <c r="C805" s="3">
        <v>45694.650266203702</v>
      </c>
      <c r="D805" t="s">
        <v>136</v>
      </c>
      <c r="E805" s="4">
        <v>1.042</v>
      </c>
      <c r="F805" s="4">
        <v>191136.87400000001</v>
      </c>
      <c r="G805" s="4">
        <v>191137.916</v>
      </c>
      <c r="H805" s="5">
        <f>0 / 86400</f>
        <v>0</v>
      </c>
      <c r="I805" t="s">
        <v>159</v>
      </c>
      <c r="J805" t="s">
        <v>51</v>
      </c>
      <c r="K805" s="5">
        <f>254 / 86400</f>
        <v>2.9398148148148148E-3</v>
      </c>
      <c r="L805" s="5">
        <f>389 / 86400</f>
        <v>4.5023148148148149E-3</v>
      </c>
    </row>
    <row r="806" spans="1:12" x14ac:dyDescent="0.25">
      <c r="A806" s="3">
        <v>45694.654768518521</v>
      </c>
      <c r="B806" t="s">
        <v>136</v>
      </c>
      <c r="C806" s="3">
        <v>45694.864583333328</v>
      </c>
      <c r="D806" t="s">
        <v>215</v>
      </c>
      <c r="E806" s="4">
        <v>89.430999999999997</v>
      </c>
      <c r="F806" s="4">
        <v>191137.916</v>
      </c>
      <c r="G806" s="4">
        <v>191227.34700000001</v>
      </c>
      <c r="H806" s="5">
        <f>4762 / 86400</f>
        <v>5.5115740740740743E-2</v>
      </c>
      <c r="I806" t="s">
        <v>260</v>
      </c>
      <c r="J806" t="s">
        <v>30</v>
      </c>
      <c r="K806" s="5">
        <f>18128 / 86400</f>
        <v>0.20981481481481482</v>
      </c>
      <c r="L806" s="5">
        <f>289 / 86400</f>
        <v>3.3449074074074076E-3</v>
      </c>
    </row>
    <row r="807" spans="1:12" x14ac:dyDescent="0.25">
      <c r="A807" s="3">
        <v>45694.867928240739</v>
      </c>
      <c r="B807" t="s">
        <v>215</v>
      </c>
      <c r="C807" s="3">
        <v>45694.939733796295</v>
      </c>
      <c r="D807" t="s">
        <v>176</v>
      </c>
      <c r="E807" s="4">
        <v>28.881</v>
      </c>
      <c r="F807" s="4">
        <v>191227.34700000001</v>
      </c>
      <c r="G807" s="4">
        <v>191256.228</v>
      </c>
      <c r="H807" s="5">
        <f>2479 / 86400</f>
        <v>2.869212962962963E-2</v>
      </c>
      <c r="I807" t="s">
        <v>146</v>
      </c>
      <c r="J807" t="s">
        <v>37</v>
      </c>
      <c r="K807" s="5">
        <f>6203 / 86400</f>
        <v>7.1793981481481486E-2</v>
      </c>
      <c r="L807" s="5">
        <f>553 / 86400</f>
        <v>6.4004629629629628E-3</v>
      </c>
    </row>
    <row r="808" spans="1:12" x14ac:dyDescent="0.25">
      <c r="A808" s="3">
        <v>45694.946134259255</v>
      </c>
      <c r="B808" t="s">
        <v>176</v>
      </c>
      <c r="C808" s="3">
        <v>45694.95248842593</v>
      </c>
      <c r="D808" t="s">
        <v>110</v>
      </c>
      <c r="E808" s="4">
        <v>1.512</v>
      </c>
      <c r="F808" s="4">
        <v>191256.228</v>
      </c>
      <c r="G808" s="4">
        <v>191257.74</v>
      </c>
      <c r="H808" s="5">
        <f>200 / 86400</f>
        <v>2.3148148148148147E-3</v>
      </c>
      <c r="I808" t="s">
        <v>140</v>
      </c>
      <c r="J808" t="s">
        <v>116</v>
      </c>
      <c r="K808" s="5">
        <f>549 / 86400</f>
        <v>6.3541666666666668E-3</v>
      </c>
      <c r="L808" s="5">
        <f>4104 / 86400</f>
        <v>4.7500000000000001E-2</v>
      </c>
    </row>
    <row r="809" spans="1:1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1:1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1:12" s="10" customFormat="1" ht="20.100000000000001" customHeight="1" x14ac:dyDescent="0.35">
      <c r="A811" s="15" t="s">
        <v>332</v>
      </c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1:12" ht="30" x14ac:dyDescent="0.25">
      <c r="A813" s="2" t="s">
        <v>6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11</v>
      </c>
      <c r="G813" s="2" t="s">
        <v>12</v>
      </c>
      <c r="H813" s="2" t="s">
        <v>13</v>
      </c>
      <c r="I813" s="2" t="s">
        <v>14</v>
      </c>
      <c r="J813" s="2" t="s">
        <v>15</v>
      </c>
      <c r="K813" s="2" t="s">
        <v>16</v>
      </c>
      <c r="L813" s="2" t="s">
        <v>17</v>
      </c>
    </row>
    <row r="814" spans="1:12" x14ac:dyDescent="0.25">
      <c r="A814" s="3">
        <v>45694</v>
      </c>
      <c r="B814" t="s">
        <v>111</v>
      </c>
      <c r="C814" s="3">
        <v>45694.014930555553</v>
      </c>
      <c r="D814" t="s">
        <v>65</v>
      </c>
      <c r="E814" s="4">
        <v>2.6190000000000002</v>
      </c>
      <c r="F814" s="4">
        <v>521237.13</v>
      </c>
      <c r="G814" s="4">
        <v>521239.74900000001</v>
      </c>
      <c r="H814" s="5">
        <f>820 / 86400</f>
        <v>9.4907407407407406E-3</v>
      </c>
      <c r="I814" t="s">
        <v>87</v>
      </c>
      <c r="J814" t="s">
        <v>22</v>
      </c>
      <c r="K814" s="5">
        <f>1290 / 86400</f>
        <v>1.4930555555555556E-2</v>
      </c>
      <c r="L814" s="5">
        <f>17681 / 86400</f>
        <v>0.2046412037037037</v>
      </c>
    </row>
    <row r="815" spans="1:12" x14ac:dyDescent="0.25">
      <c r="A815" s="3">
        <v>45694.219571759255</v>
      </c>
      <c r="B815" t="s">
        <v>65</v>
      </c>
      <c r="C815" s="3">
        <v>45694.439027777778</v>
      </c>
      <c r="D815" t="s">
        <v>136</v>
      </c>
      <c r="E815" s="4">
        <v>100.527</v>
      </c>
      <c r="F815" s="4">
        <v>521239.74900000001</v>
      </c>
      <c r="G815" s="4">
        <v>521340.27600000001</v>
      </c>
      <c r="H815" s="5">
        <f>5958 / 86400</f>
        <v>6.895833333333333E-2</v>
      </c>
      <c r="I815" t="s">
        <v>109</v>
      </c>
      <c r="J815" t="s">
        <v>20</v>
      </c>
      <c r="K815" s="5">
        <f>18960 / 86400</f>
        <v>0.21944444444444444</v>
      </c>
      <c r="L815" s="5">
        <f>3489 / 86400</f>
        <v>4.0381944444444443E-2</v>
      </c>
    </row>
    <row r="816" spans="1:12" x14ac:dyDescent="0.25">
      <c r="A816" s="3">
        <v>45694.479409722218</v>
      </c>
      <c r="B816" t="s">
        <v>136</v>
      </c>
      <c r="C816" s="3">
        <v>45694.486342592594</v>
      </c>
      <c r="D816" t="s">
        <v>133</v>
      </c>
      <c r="E816" s="4">
        <v>1.32</v>
      </c>
      <c r="F816" s="4">
        <v>521340.27600000001</v>
      </c>
      <c r="G816" s="4">
        <v>521341.59600000002</v>
      </c>
      <c r="H816" s="5">
        <f>279 / 86400</f>
        <v>3.2291666666666666E-3</v>
      </c>
      <c r="I816" t="s">
        <v>61</v>
      </c>
      <c r="J816" t="s">
        <v>43</v>
      </c>
      <c r="K816" s="5">
        <f>598 / 86400</f>
        <v>6.9212962962962961E-3</v>
      </c>
      <c r="L816" s="5">
        <f>1606 / 86400</f>
        <v>1.8587962962962962E-2</v>
      </c>
    </row>
    <row r="817" spans="1:12" x14ac:dyDescent="0.25">
      <c r="A817" s="3">
        <v>45694.504930555559</v>
      </c>
      <c r="B817" t="s">
        <v>133</v>
      </c>
      <c r="C817" s="3">
        <v>45694.775682870371</v>
      </c>
      <c r="D817" t="s">
        <v>136</v>
      </c>
      <c r="E817" s="4">
        <v>102.285</v>
      </c>
      <c r="F817" s="4">
        <v>521341.59600000002</v>
      </c>
      <c r="G817" s="4">
        <v>521443.88099999999</v>
      </c>
      <c r="H817" s="5">
        <f>8683 / 86400</f>
        <v>0.10049768518518519</v>
      </c>
      <c r="I817" t="s">
        <v>114</v>
      </c>
      <c r="J817" t="s">
        <v>34</v>
      </c>
      <c r="K817" s="5">
        <f>23393 / 86400</f>
        <v>0.27075231481481482</v>
      </c>
      <c r="L817" s="5">
        <f>1182 / 86400</f>
        <v>1.3680555555555555E-2</v>
      </c>
    </row>
    <row r="818" spans="1:12" x14ac:dyDescent="0.25">
      <c r="A818" s="3">
        <v>45694.789363425924</v>
      </c>
      <c r="B818" t="s">
        <v>136</v>
      </c>
      <c r="C818" s="3">
        <v>45694.99998842593</v>
      </c>
      <c r="D818" t="s">
        <v>47</v>
      </c>
      <c r="E818" s="4">
        <v>98.441999999999993</v>
      </c>
      <c r="F818" s="4">
        <v>521443.88099999999</v>
      </c>
      <c r="G818" s="4">
        <v>521542.32299999997</v>
      </c>
      <c r="H818" s="5">
        <f>5239 / 86400</f>
        <v>6.0636574074074072E-2</v>
      </c>
      <c r="I818" t="s">
        <v>29</v>
      </c>
      <c r="J818" t="s">
        <v>20</v>
      </c>
      <c r="K818" s="5">
        <f>18198 / 86400</f>
        <v>0.21062500000000001</v>
      </c>
      <c r="L818" s="5">
        <f>0 / 86400</f>
        <v>0</v>
      </c>
    </row>
    <row r="819" spans="1:1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1:12" s="10" customFormat="1" ht="20.100000000000001" customHeight="1" x14ac:dyDescent="0.35">
      <c r="A821" s="15" t="s">
        <v>333</v>
      </c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2" ht="30" x14ac:dyDescent="0.25">
      <c r="A823" s="2" t="s">
        <v>6</v>
      </c>
      <c r="B823" s="2" t="s">
        <v>7</v>
      </c>
      <c r="C823" s="2" t="s">
        <v>8</v>
      </c>
      <c r="D823" s="2" t="s">
        <v>9</v>
      </c>
      <c r="E823" s="2" t="s">
        <v>10</v>
      </c>
      <c r="F823" s="2" t="s">
        <v>11</v>
      </c>
      <c r="G823" s="2" t="s">
        <v>12</v>
      </c>
      <c r="H823" s="2" t="s">
        <v>13</v>
      </c>
      <c r="I823" s="2" t="s">
        <v>14</v>
      </c>
      <c r="J823" s="2" t="s">
        <v>15</v>
      </c>
      <c r="K823" s="2" t="s">
        <v>16</v>
      </c>
      <c r="L823" s="2" t="s">
        <v>17</v>
      </c>
    </row>
    <row r="824" spans="1:12" x14ac:dyDescent="0.25">
      <c r="A824" s="3">
        <v>45694.330023148148</v>
      </c>
      <c r="B824" t="s">
        <v>89</v>
      </c>
      <c r="C824" s="3">
        <v>45694.342615740738</v>
      </c>
      <c r="D824" t="s">
        <v>273</v>
      </c>
      <c r="E824" s="4">
        <v>4.5579999999999998</v>
      </c>
      <c r="F824" s="4">
        <v>21801.421999999999</v>
      </c>
      <c r="G824" s="4">
        <v>21805.98</v>
      </c>
      <c r="H824" s="5">
        <f>279 / 86400</f>
        <v>3.2291666666666666E-3</v>
      </c>
      <c r="I824" t="s">
        <v>112</v>
      </c>
      <c r="J824" t="s">
        <v>51</v>
      </c>
      <c r="K824" s="5">
        <f>1087 / 86400</f>
        <v>1.2581018518518519E-2</v>
      </c>
      <c r="L824" s="5">
        <f>32091 / 86400</f>
        <v>0.37142361111111111</v>
      </c>
    </row>
    <row r="825" spans="1:12" x14ac:dyDescent="0.25">
      <c r="A825" s="3">
        <v>45694.384016203709</v>
      </c>
      <c r="B825" t="s">
        <v>273</v>
      </c>
      <c r="C825" s="3">
        <v>45694.39844907407</v>
      </c>
      <c r="D825" t="s">
        <v>99</v>
      </c>
      <c r="E825" s="4">
        <v>4.4139999999999997</v>
      </c>
      <c r="F825" s="4">
        <v>21805.98</v>
      </c>
      <c r="G825" s="4">
        <v>21810.394</v>
      </c>
      <c r="H825" s="5">
        <f>439 / 86400</f>
        <v>5.0810185185185186E-3</v>
      </c>
      <c r="I825" t="s">
        <v>61</v>
      </c>
      <c r="J825" t="s">
        <v>46</v>
      </c>
      <c r="K825" s="5">
        <f>1247 / 86400</f>
        <v>1.443287037037037E-2</v>
      </c>
      <c r="L825" s="5">
        <f>283 / 86400</f>
        <v>3.2754629629629631E-3</v>
      </c>
    </row>
    <row r="826" spans="1:12" x14ac:dyDescent="0.25">
      <c r="A826" s="3">
        <v>45694.401724537034</v>
      </c>
      <c r="B826" t="s">
        <v>99</v>
      </c>
      <c r="C826" s="3">
        <v>45694.402129629627</v>
      </c>
      <c r="D826" t="s">
        <v>99</v>
      </c>
      <c r="E826" s="4">
        <v>7.0000000000000001E-3</v>
      </c>
      <c r="F826" s="4">
        <v>21810.394</v>
      </c>
      <c r="G826" s="4">
        <v>21810.401000000002</v>
      </c>
      <c r="H826" s="5">
        <f>19 / 86400</f>
        <v>2.199074074074074E-4</v>
      </c>
      <c r="I826" t="s">
        <v>23</v>
      </c>
      <c r="J826" t="s">
        <v>141</v>
      </c>
      <c r="K826" s="5">
        <f>34 / 86400</f>
        <v>3.9351851851851852E-4</v>
      </c>
      <c r="L826" s="5">
        <f>5749 / 86400</f>
        <v>6.653935185185185E-2</v>
      </c>
    </row>
    <row r="827" spans="1:12" x14ac:dyDescent="0.25">
      <c r="A827" s="3">
        <v>45694.468668981484</v>
      </c>
      <c r="B827" t="s">
        <v>99</v>
      </c>
      <c r="C827" s="3">
        <v>45694.468784722223</v>
      </c>
      <c r="D827" t="s">
        <v>99</v>
      </c>
      <c r="E827" s="4">
        <v>0</v>
      </c>
      <c r="F827" s="4">
        <v>21810.401000000002</v>
      </c>
      <c r="G827" s="4">
        <v>21810.401000000002</v>
      </c>
      <c r="H827" s="5">
        <f>0 / 86400</f>
        <v>0</v>
      </c>
      <c r="I827" t="s">
        <v>23</v>
      </c>
      <c r="J827" t="s">
        <v>23</v>
      </c>
      <c r="K827" s="5">
        <f>10 / 86400</f>
        <v>1.1574074074074075E-4</v>
      </c>
      <c r="L827" s="5">
        <f>22934 / 86400</f>
        <v>0.26543981481481482</v>
      </c>
    </row>
    <row r="828" spans="1:12" x14ac:dyDescent="0.25">
      <c r="A828" s="3">
        <v>45694.734224537038</v>
      </c>
      <c r="B828" t="s">
        <v>99</v>
      </c>
      <c r="C828" s="3">
        <v>45694.739375000005</v>
      </c>
      <c r="D828" t="s">
        <v>89</v>
      </c>
      <c r="E828" s="4">
        <v>0.55500000000000005</v>
      </c>
      <c r="F828" s="4">
        <v>21810.401000000002</v>
      </c>
      <c r="G828" s="4">
        <v>21810.955999999998</v>
      </c>
      <c r="H828" s="5">
        <f>159 / 86400</f>
        <v>1.8402777777777777E-3</v>
      </c>
      <c r="I828" t="s">
        <v>46</v>
      </c>
      <c r="J828" t="s">
        <v>105</v>
      </c>
      <c r="K828" s="5">
        <f>444 / 86400</f>
        <v>5.138888888888889E-3</v>
      </c>
      <c r="L828" s="5">
        <f>1208 / 86400</f>
        <v>1.3981481481481482E-2</v>
      </c>
    </row>
    <row r="829" spans="1:12" x14ac:dyDescent="0.25">
      <c r="A829" s="3">
        <v>45694.75335648148</v>
      </c>
      <c r="B829" t="s">
        <v>89</v>
      </c>
      <c r="C829" s="3">
        <v>45694.753900462965</v>
      </c>
      <c r="D829" t="s">
        <v>89</v>
      </c>
      <c r="E829" s="4">
        <v>5.8000000000000003E-2</v>
      </c>
      <c r="F829" s="4">
        <v>21810.955999999998</v>
      </c>
      <c r="G829" s="4">
        <v>21811.013999999999</v>
      </c>
      <c r="H829" s="5">
        <f>0 / 86400</f>
        <v>0</v>
      </c>
      <c r="I829" t="s">
        <v>22</v>
      </c>
      <c r="J829" t="s">
        <v>82</v>
      </c>
      <c r="K829" s="5">
        <f>47 / 86400</f>
        <v>5.4398148148148144E-4</v>
      </c>
      <c r="L829" s="5">
        <f>21262 / 86400</f>
        <v>0.24608796296296295</v>
      </c>
    </row>
    <row r="830" spans="1:1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1:1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2" s="10" customFormat="1" ht="20.100000000000001" customHeight="1" x14ac:dyDescent="0.35">
      <c r="A832" s="15" t="s">
        <v>334</v>
      </c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1:12" ht="30" x14ac:dyDescent="0.25">
      <c r="A834" s="2" t="s">
        <v>6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11</v>
      </c>
      <c r="G834" s="2" t="s">
        <v>12</v>
      </c>
      <c r="H834" s="2" t="s">
        <v>13</v>
      </c>
      <c r="I834" s="2" t="s">
        <v>14</v>
      </c>
      <c r="J834" s="2" t="s">
        <v>15</v>
      </c>
      <c r="K834" s="2" t="s">
        <v>16</v>
      </c>
      <c r="L834" s="2" t="s">
        <v>17</v>
      </c>
    </row>
    <row r="835" spans="1:12" x14ac:dyDescent="0.25">
      <c r="A835" s="3">
        <v>45694.25204861111</v>
      </c>
      <c r="B835" t="s">
        <v>38</v>
      </c>
      <c r="C835" s="3">
        <v>45694.441851851851</v>
      </c>
      <c r="D835" t="s">
        <v>136</v>
      </c>
      <c r="E835" s="4">
        <v>80.545000000000002</v>
      </c>
      <c r="F835" s="4">
        <v>63143.186000000002</v>
      </c>
      <c r="G835" s="4">
        <v>63223.731</v>
      </c>
      <c r="H835" s="5">
        <f>5100 / 86400</f>
        <v>5.9027777777777776E-2</v>
      </c>
      <c r="I835" t="s">
        <v>33</v>
      </c>
      <c r="J835" t="s">
        <v>30</v>
      </c>
      <c r="K835" s="5">
        <f>16399 / 86400</f>
        <v>0.18980324074074073</v>
      </c>
      <c r="L835" s="5">
        <f>22006 / 86400</f>
        <v>0.25469907407407405</v>
      </c>
    </row>
    <row r="836" spans="1:12" x14ac:dyDescent="0.25">
      <c r="A836" s="3">
        <v>45694.444502314815</v>
      </c>
      <c r="B836" t="s">
        <v>136</v>
      </c>
      <c r="C836" s="3">
        <v>45694.44636574074</v>
      </c>
      <c r="D836" t="s">
        <v>136</v>
      </c>
      <c r="E836" s="4">
        <v>1.6E-2</v>
      </c>
      <c r="F836" s="4">
        <v>63223.731</v>
      </c>
      <c r="G836" s="4">
        <v>63223.747000000003</v>
      </c>
      <c r="H836" s="5">
        <f>120 / 86400</f>
        <v>1.3888888888888889E-3</v>
      </c>
      <c r="I836" t="s">
        <v>82</v>
      </c>
      <c r="J836" t="s">
        <v>23</v>
      </c>
      <c r="K836" s="5">
        <f>161 / 86400</f>
        <v>1.8634259259259259E-3</v>
      </c>
      <c r="L836" s="5">
        <f>3475 / 86400</f>
        <v>4.0219907407407406E-2</v>
      </c>
    </row>
    <row r="837" spans="1:12" x14ac:dyDescent="0.25">
      <c r="A837" s="3">
        <v>45694.486585648148</v>
      </c>
      <c r="B837" t="s">
        <v>136</v>
      </c>
      <c r="C837" s="3">
        <v>45694.488113425927</v>
      </c>
      <c r="D837" t="s">
        <v>199</v>
      </c>
      <c r="E837" s="4">
        <v>8.4000000000000005E-2</v>
      </c>
      <c r="F837" s="4">
        <v>63223.747000000003</v>
      </c>
      <c r="G837" s="4">
        <v>63223.830999999998</v>
      </c>
      <c r="H837" s="5">
        <f>79 / 86400</f>
        <v>9.1435185185185185E-4</v>
      </c>
      <c r="I837" t="s">
        <v>22</v>
      </c>
      <c r="J837" t="s">
        <v>88</v>
      </c>
      <c r="K837" s="5">
        <f>132 / 86400</f>
        <v>1.5277777777777779E-3</v>
      </c>
      <c r="L837" s="5">
        <f>1195 / 86400</f>
        <v>1.3831018518518519E-2</v>
      </c>
    </row>
    <row r="838" spans="1:12" x14ac:dyDescent="0.25">
      <c r="A838" s="3">
        <v>45694.501944444448</v>
      </c>
      <c r="B838" t="s">
        <v>199</v>
      </c>
      <c r="C838" s="3">
        <v>45694.506122685183</v>
      </c>
      <c r="D838" t="s">
        <v>65</v>
      </c>
      <c r="E838" s="4">
        <v>0.158</v>
      </c>
      <c r="F838" s="4">
        <v>63223.830999999998</v>
      </c>
      <c r="G838" s="4">
        <v>63223.989000000001</v>
      </c>
      <c r="H838" s="5">
        <f>220 / 86400</f>
        <v>2.5462962962962965E-3</v>
      </c>
      <c r="I838" t="s">
        <v>116</v>
      </c>
      <c r="J838" t="s">
        <v>88</v>
      </c>
      <c r="K838" s="5">
        <f>361 / 86400</f>
        <v>4.178240740740741E-3</v>
      </c>
      <c r="L838" s="5">
        <f>1344 / 86400</f>
        <v>1.5555555555555555E-2</v>
      </c>
    </row>
    <row r="839" spans="1:12" x14ac:dyDescent="0.25">
      <c r="A839" s="3">
        <v>45694.521678240737</v>
      </c>
      <c r="B839" t="s">
        <v>136</v>
      </c>
      <c r="C839" s="3">
        <v>45694.75105324074</v>
      </c>
      <c r="D839" t="s">
        <v>21</v>
      </c>
      <c r="E839" s="4">
        <v>94.695999999999998</v>
      </c>
      <c r="F839" s="4">
        <v>63223.989000000001</v>
      </c>
      <c r="G839" s="4">
        <v>63318.684999999998</v>
      </c>
      <c r="H839" s="5">
        <f>6639 / 86400</f>
        <v>7.6840277777777771E-2</v>
      </c>
      <c r="I839" t="s">
        <v>114</v>
      </c>
      <c r="J839" t="s">
        <v>37</v>
      </c>
      <c r="K839" s="5">
        <f>19817 / 86400</f>
        <v>0.22936342592592593</v>
      </c>
      <c r="L839" s="5">
        <f>575 / 86400</f>
        <v>6.6550925925925927E-3</v>
      </c>
    </row>
    <row r="840" spans="1:12" x14ac:dyDescent="0.25">
      <c r="A840" s="3">
        <v>45694.757708333331</v>
      </c>
      <c r="B840" t="s">
        <v>21</v>
      </c>
      <c r="C840" s="3">
        <v>45694.784189814818</v>
      </c>
      <c r="D840" t="s">
        <v>38</v>
      </c>
      <c r="E840" s="4">
        <v>17.201000000000001</v>
      </c>
      <c r="F840" s="4">
        <v>63318.684999999998</v>
      </c>
      <c r="G840" s="4">
        <v>63335.885999999999</v>
      </c>
      <c r="H840" s="5">
        <f>280 / 86400</f>
        <v>3.2407407407407406E-3</v>
      </c>
      <c r="I840" t="s">
        <v>35</v>
      </c>
      <c r="J840" t="s">
        <v>140</v>
      </c>
      <c r="K840" s="5">
        <f>2287 / 86400</f>
        <v>2.6469907407407407E-2</v>
      </c>
      <c r="L840" s="5">
        <f>594 / 86400</f>
        <v>6.875E-3</v>
      </c>
    </row>
    <row r="841" spans="1:12" x14ac:dyDescent="0.25">
      <c r="A841" s="3">
        <v>45694.79106481481</v>
      </c>
      <c r="B841" t="s">
        <v>38</v>
      </c>
      <c r="C841" s="3">
        <v>45694.794548611113</v>
      </c>
      <c r="D841" t="s">
        <v>38</v>
      </c>
      <c r="E841" s="4">
        <v>1.39</v>
      </c>
      <c r="F841" s="4">
        <v>63335.885999999999</v>
      </c>
      <c r="G841" s="4">
        <v>63337.275999999998</v>
      </c>
      <c r="H841" s="5">
        <f>60 / 86400</f>
        <v>6.9444444444444447E-4</v>
      </c>
      <c r="I841" t="s">
        <v>112</v>
      </c>
      <c r="J841" t="s">
        <v>37</v>
      </c>
      <c r="K841" s="5">
        <f>300 / 86400</f>
        <v>3.472222222222222E-3</v>
      </c>
      <c r="L841" s="5">
        <f>17750 / 86400</f>
        <v>0.20543981481481483</v>
      </c>
    </row>
    <row r="842" spans="1:1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1:1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1:12" s="10" customFormat="1" ht="20.100000000000001" customHeight="1" x14ac:dyDescent="0.35">
      <c r="A844" s="15" t="s">
        <v>335</v>
      </c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1:12" ht="30" x14ac:dyDescent="0.25">
      <c r="A846" s="2" t="s">
        <v>6</v>
      </c>
      <c r="B846" s="2" t="s">
        <v>7</v>
      </c>
      <c r="C846" s="2" t="s">
        <v>8</v>
      </c>
      <c r="D846" s="2" t="s">
        <v>9</v>
      </c>
      <c r="E846" s="2" t="s">
        <v>10</v>
      </c>
      <c r="F846" s="2" t="s">
        <v>11</v>
      </c>
      <c r="G846" s="2" t="s">
        <v>12</v>
      </c>
      <c r="H846" s="2" t="s">
        <v>13</v>
      </c>
      <c r="I846" s="2" t="s">
        <v>14</v>
      </c>
      <c r="J846" s="2" t="s">
        <v>15</v>
      </c>
      <c r="K846" s="2" t="s">
        <v>16</v>
      </c>
      <c r="L846" s="2" t="s">
        <v>17</v>
      </c>
    </row>
    <row r="847" spans="1:12" x14ac:dyDescent="0.25">
      <c r="A847" s="3">
        <v>45694.27375</v>
      </c>
      <c r="B847" t="s">
        <v>93</v>
      </c>
      <c r="C847" s="3">
        <v>45694.275023148148</v>
      </c>
      <c r="D847" t="s">
        <v>93</v>
      </c>
      <c r="E847" s="4">
        <v>0</v>
      </c>
      <c r="F847" s="4">
        <v>4406.4849999999997</v>
      </c>
      <c r="G847" s="4">
        <v>4406.4849999999997</v>
      </c>
      <c r="H847" s="5">
        <f>99 / 86400</f>
        <v>1.1458333333333333E-3</v>
      </c>
      <c r="I847" t="s">
        <v>23</v>
      </c>
      <c r="J847" t="s">
        <v>23</v>
      </c>
      <c r="K847" s="5">
        <f>109 / 86400</f>
        <v>1.261574074074074E-3</v>
      </c>
      <c r="L847" s="5">
        <f>67165 / 86400</f>
        <v>0.77737268518518521</v>
      </c>
    </row>
    <row r="848" spans="1:12" x14ac:dyDescent="0.25">
      <c r="A848" s="3">
        <v>45694.778645833328</v>
      </c>
      <c r="B848" t="s">
        <v>93</v>
      </c>
      <c r="C848" s="3">
        <v>45694.779988425929</v>
      </c>
      <c r="D848" t="s">
        <v>93</v>
      </c>
      <c r="E848" s="4">
        <v>0</v>
      </c>
      <c r="F848" s="4">
        <v>4406.4849999999997</v>
      </c>
      <c r="G848" s="4">
        <v>4406.4849999999997</v>
      </c>
      <c r="H848" s="5">
        <f>99 / 86400</f>
        <v>1.1458333333333333E-3</v>
      </c>
      <c r="I848" t="s">
        <v>23</v>
      </c>
      <c r="J848" t="s">
        <v>23</v>
      </c>
      <c r="K848" s="5">
        <f>115 / 86400</f>
        <v>1.3310185185185185E-3</v>
      </c>
      <c r="L848" s="5">
        <f>19008 / 86400</f>
        <v>0.22</v>
      </c>
    </row>
    <row r="849" spans="1:1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1:1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1:12" s="10" customFormat="1" ht="20.100000000000001" customHeight="1" x14ac:dyDescent="0.35">
      <c r="A851" s="15" t="s">
        <v>336</v>
      </c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1:12" ht="30" x14ac:dyDescent="0.25">
      <c r="A853" s="2" t="s">
        <v>6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11</v>
      </c>
      <c r="G853" s="2" t="s">
        <v>12</v>
      </c>
      <c r="H853" s="2" t="s">
        <v>13</v>
      </c>
      <c r="I853" s="2" t="s">
        <v>14</v>
      </c>
      <c r="J853" s="2" t="s">
        <v>15</v>
      </c>
      <c r="K853" s="2" t="s">
        <v>16</v>
      </c>
      <c r="L853" s="2" t="s">
        <v>17</v>
      </c>
    </row>
    <row r="854" spans="1:12" x14ac:dyDescent="0.25">
      <c r="A854" s="3">
        <v>45694.340671296297</v>
      </c>
      <c r="B854" t="s">
        <v>28</v>
      </c>
      <c r="C854" s="3">
        <v>45694.342418981483</v>
      </c>
      <c r="D854" t="s">
        <v>28</v>
      </c>
      <c r="E854" s="4">
        <v>3.7999999999999999E-2</v>
      </c>
      <c r="F854" s="4">
        <v>406849.05499999999</v>
      </c>
      <c r="G854" s="4">
        <v>406849.09299999999</v>
      </c>
      <c r="H854" s="5">
        <f>119 / 86400</f>
        <v>1.3773148148148147E-3</v>
      </c>
      <c r="I854" t="s">
        <v>82</v>
      </c>
      <c r="J854" t="s">
        <v>141</v>
      </c>
      <c r="K854" s="5">
        <f>151 / 86400</f>
        <v>1.7476851851851852E-3</v>
      </c>
      <c r="L854" s="5">
        <f>57145 / 86400</f>
        <v>0.66140046296296295</v>
      </c>
    </row>
    <row r="855" spans="1:12" x14ac:dyDescent="0.25">
      <c r="A855" s="3">
        <v>45694.663148148145</v>
      </c>
      <c r="B855" t="s">
        <v>28</v>
      </c>
      <c r="C855" s="3">
        <v>45694.67560185185</v>
      </c>
      <c r="D855" t="s">
        <v>28</v>
      </c>
      <c r="E855" s="4">
        <v>2.6640000000000001</v>
      </c>
      <c r="F855" s="4">
        <v>406849.09299999999</v>
      </c>
      <c r="G855" s="4">
        <v>406851.75699999998</v>
      </c>
      <c r="H855" s="5">
        <f>639 / 86400</f>
        <v>7.3958333333333333E-3</v>
      </c>
      <c r="I855" t="s">
        <v>195</v>
      </c>
      <c r="J855" t="s">
        <v>62</v>
      </c>
      <c r="K855" s="5">
        <f>1076 / 86400</f>
        <v>1.2453703703703703E-2</v>
      </c>
      <c r="L855" s="5">
        <f>1084 / 86400</f>
        <v>1.2546296296296297E-2</v>
      </c>
    </row>
    <row r="856" spans="1:12" x14ac:dyDescent="0.25">
      <c r="A856" s="3">
        <v>45694.688148148147</v>
      </c>
      <c r="B856" t="s">
        <v>28</v>
      </c>
      <c r="C856" s="3">
        <v>45694.688379629632</v>
      </c>
      <c r="D856" t="s">
        <v>28</v>
      </c>
      <c r="E856" s="4">
        <v>0</v>
      </c>
      <c r="F856" s="4">
        <v>406851.75699999998</v>
      </c>
      <c r="G856" s="4">
        <v>406851.75699999998</v>
      </c>
      <c r="H856" s="5">
        <f>0 / 86400</f>
        <v>0</v>
      </c>
      <c r="I856" t="s">
        <v>23</v>
      </c>
      <c r="J856" t="s">
        <v>23</v>
      </c>
      <c r="K856" s="5">
        <f>19 / 86400</f>
        <v>2.199074074074074E-4</v>
      </c>
      <c r="L856" s="5">
        <f>235 / 86400</f>
        <v>2.7199074074074074E-3</v>
      </c>
    </row>
    <row r="857" spans="1:12" x14ac:dyDescent="0.25">
      <c r="A857" s="3">
        <v>45694.691099537042</v>
      </c>
      <c r="B857" t="s">
        <v>28</v>
      </c>
      <c r="C857" s="3">
        <v>45694.692060185189</v>
      </c>
      <c r="D857" t="s">
        <v>28</v>
      </c>
      <c r="E857" s="4">
        <v>0</v>
      </c>
      <c r="F857" s="4">
        <v>406851.75699999998</v>
      </c>
      <c r="G857" s="4">
        <v>406851.75699999998</v>
      </c>
      <c r="H857" s="5">
        <f>79 / 86400</f>
        <v>9.1435185185185185E-4</v>
      </c>
      <c r="I857" t="s">
        <v>23</v>
      </c>
      <c r="J857" t="s">
        <v>23</v>
      </c>
      <c r="K857" s="5">
        <f>83 / 86400</f>
        <v>9.6064814814814819E-4</v>
      </c>
      <c r="L857" s="5">
        <f>1746 / 86400</f>
        <v>2.0208333333333332E-2</v>
      </c>
    </row>
    <row r="858" spans="1:12" x14ac:dyDescent="0.25">
      <c r="A858" s="3">
        <v>45694.712268518517</v>
      </c>
      <c r="B858" t="s">
        <v>28</v>
      </c>
      <c r="C858" s="3">
        <v>45694.716932870375</v>
      </c>
      <c r="D858" t="s">
        <v>245</v>
      </c>
      <c r="E858" s="4">
        <v>1.321</v>
      </c>
      <c r="F858" s="4">
        <v>406851.75699999998</v>
      </c>
      <c r="G858" s="4">
        <v>406853.07799999998</v>
      </c>
      <c r="H858" s="5">
        <f>99 / 86400</f>
        <v>1.1458333333333333E-3</v>
      </c>
      <c r="I858" t="s">
        <v>150</v>
      </c>
      <c r="J858" t="s">
        <v>113</v>
      </c>
      <c r="K858" s="5">
        <f>403 / 86400</f>
        <v>4.6643518518518518E-3</v>
      </c>
      <c r="L858" s="5">
        <f>176 / 86400</f>
        <v>2.0370370370370369E-3</v>
      </c>
    </row>
    <row r="859" spans="1:12" x14ac:dyDescent="0.25">
      <c r="A859" s="3">
        <v>45694.718969907408</v>
      </c>
      <c r="B859" t="s">
        <v>245</v>
      </c>
      <c r="C859" s="3">
        <v>45694.720868055556</v>
      </c>
      <c r="D859" t="s">
        <v>245</v>
      </c>
      <c r="E859" s="4">
        <v>0.16500000000000001</v>
      </c>
      <c r="F859" s="4">
        <v>406853.07799999998</v>
      </c>
      <c r="G859" s="4">
        <v>406853.24300000002</v>
      </c>
      <c r="H859" s="5">
        <f>119 / 86400</f>
        <v>1.3773148148148147E-3</v>
      </c>
      <c r="I859" t="s">
        <v>52</v>
      </c>
      <c r="J859" t="s">
        <v>82</v>
      </c>
      <c r="K859" s="5">
        <f>163 / 86400</f>
        <v>1.8865740740740742E-3</v>
      </c>
      <c r="L859" s="5">
        <f>194 / 86400</f>
        <v>2.2453703703703702E-3</v>
      </c>
    </row>
    <row r="860" spans="1:12" x14ac:dyDescent="0.25">
      <c r="A860" s="3">
        <v>45694.723113425927</v>
      </c>
      <c r="B860" t="s">
        <v>245</v>
      </c>
      <c r="C860" s="3">
        <v>45694.729467592595</v>
      </c>
      <c r="D860" t="s">
        <v>177</v>
      </c>
      <c r="E860" s="4">
        <v>2.8919999999999999</v>
      </c>
      <c r="F860" s="4">
        <v>406853.24300000002</v>
      </c>
      <c r="G860" s="4">
        <v>406856.13500000001</v>
      </c>
      <c r="H860" s="5">
        <f>99 / 86400</f>
        <v>1.1458333333333333E-3</v>
      </c>
      <c r="I860" t="s">
        <v>115</v>
      </c>
      <c r="J860" t="s">
        <v>20</v>
      </c>
      <c r="K860" s="5">
        <f>548 / 86400</f>
        <v>6.3425925925925924E-3</v>
      </c>
      <c r="L860" s="5">
        <f>1858 / 86400</f>
        <v>2.150462962962963E-2</v>
      </c>
    </row>
    <row r="861" spans="1:12" x14ac:dyDescent="0.25">
      <c r="A861" s="3">
        <v>45694.750972222224</v>
      </c>
      <c r="B861" t="s">
        <v>177</v>
      </c>
      <c r="C861" s="3">
        <v>45694.75271990741</v>
      </c>
      <c r="D861" t="s">
        <v>28</v>
      </c>
      <c r="E861" s="4">
        <v>0.28399999999999997</v>
      </c>
      <c r="F861" s="4">
        <v>406856.13500000001</v>
      </c>
      <c r="G861" s="4">
        <v>406856.41899999999</v>
      </c>
      <c r="H861" s="5">
        <f>40 / 86400</f>
        <v>4.6296296296296298E-4</v>
      </c>
      <c r="I861" t="s">
        <v>27</v>
      </c>
      <c r="J861" t="s">
        <v>22</v>
      </c>
      <c r="K861" s="5">
        <f>150 / 86400</f>
        <v>1.736111111111111E-3</v>
      </c>
      <c r="L861" s="5">
        <f>21364 / 86400</f>
        <v>0.24726851851851853</v>
      </c>
    </row>
    <row r="862" spans="1:1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1:12" s="10" customFormat="1" ht="20.100000000000001" customHeight="1" x14ac:dyDescent="0.35">
      <c r="A864" s="15" t="s">
        <v>337</v>
      </c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1:12" ht="30" x14ac:dyDescent="0.25">
      <c r="A866" s="2" t="s">
        <v>6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11</v>
      </c>
      <c r="G866" s="2" t="s">
        <v>12</v>
      </c>
      <c r="H866" s="2" t="s">
        <v>13</v>
      </c>
      <c r="I866" s="2" t="s">
        <v>14</v>
      </c>
      <c r="J866" s="2" t="s">
        <v>15</v>
      </c>
      <c r="K866" s="2" t="s">
        <v>16</v>
      </c>
      <c r="L866" s="2" t="s">
        <v>17</v>
      </c>
    </row>
    <row r="867" spans="1:12" x14ac:dyDescent="0.25">
      <c r="A867" s="3">
        <v>45694</v>
      </c>
      <c r="B867" t="s">
        <v>117</v>
      </c>
      <c r="C867" s="3">
        <v>45694.025706018518</v>
      </c>
      <c r="D867" t="s">
        <v>83</v>
      </c>
      <c r="E867" s="4">
        <v>17.071999999999999</v>
      </c>
      <c r="F867" s="4">
        <v>548027.96400000004</v>
      </c>
      <c r="G867" s="4">
        <v>548045.03599999996</v>
      </c>
      <c r="H867" s="5">
        <f>400 / 86400</f>
        <v>4.6296296296296294E-3</v>
      </c>
      <c r="I867" t="s">
        <v>146</v>
      </c>
      <c r="J867" t="s">
        <v>159</v>
      </c>
      <c r="K867" s="5">
        <f>2221 / 86400</f>
        <v>2.5706018518518517E-2</v>
      </c>
      <c r="L867" s="5">
        <f>767 / 86400</f>
        <v>8.8773148148148153E-3</v>
      </c>
    </row>
    <row r="868" spans="1:12" x14ac:dyDescent="0.25">
      <c r="A868" s="3">
        <v>45694.034583333334</v>
      </c>
      <c r="B868" t="s">
        <v>83</v>
      </c>
      <c r="C868" s="3">
        <v>45694.03497685185</v>
      </c>
      <c r="D868" t="s">
        <v>83</v>
      </c>
      <c r="E868" s="4">
        <v>6.6000000000000003E-2</v>
      </c>
      <c r="F868" s="4">
        <v>548045.03599999996</v>
      </c>
      <c r="G868" s="4">
        <v>548045.10199999996</v>
      </c>
      <c r="H868" s="5">
        <f>0 / 86400</f>
        <v>0</v>
      </c>
      <c r="I868" t="s">
        <v>75</v>
      </c>
      <c r="J868" t="s">
        <v>22</v>
      </c>
      <c r="K868" s="5">
        <f>33 / 86400</f>
        <v>3.8194444444444446E-4</v>
      </c>
      <c r="L868" s="5">
        <f>1101 / 86400</f>
        <v>1.2743055555555556E-2</v>
      </c>
    </row>
    <row r="869" spans="1:12" x14ac:dyDescent="0.25">
      <c r="A869" s="3">
        <v>45694.047719907408</v>
      </c>
      <c r="B869" t="s">
        <v>83</v>
      </c>
      <c r="C869" s="3">
        <v>45694.052106481482</v>
      </c>
      <c r="D869" t="s">
        <v>77</v>
      </c>
      <c r="E869" s="4">
        <v>0.82699999999999996</v>
      </c>
      <c r="F869" s="4">
        <v>548045.10199999996</v>
      </c>
      <c r="G869" s="4">
        <v>548045.929</v>
      </c>
      <c r="H869" s="5">
        <f>80 / 86400</f>
        <v>9.2592592592592596E-4</v>
      </c>
      <c r="I869" t="s">
        <v>248</v>
      </c>
      <c r="J869" t="s">
        <v>43</v>
      </c>
      <c r="K869" s="5">
        <f>378 / 86400</f>
        <v>4.3750000000000004E-3</v>
      </c>
      <c r="L869" s="5">
        <f>14910 / 86400</f>
        <v>0.17256944444444444</v>
      </c>
    </row>
    <row r="870" spans="1:12" x14ac:dyDescent="0.25">
      <c r="A870" s="3">
        <v>45694.224675925929</v>
      </c>
      <c r="B870" t="s">
        <v>77</v>
      </c>
      <c r="C870" s="3">
        <v>45694.42465277778</v>
      </c>
      <c r="D870" t="s">
        <v>183</v>
      </c>
      <c r="E870" s="4">
        <v>85.441000000000003</v>
      </c>
      <c r="F870" s="4">
        <v>548045.929</v>
      </c>
      <c r="G870" s="4">
        <v>548131.37</v>
      </c>
      <c r="H870" s="5">
        <f>5280 / 86400</f>
        <v>6.1111111111111109E-2</v>
      </c>
      <c r="I870" t="s">
        <v>146</v>
      </c>
      <c r="J870" t="s">
        <v>30</v>
      </c>
      <c r="K870" s="5">
        <f>17278 / 86400</f>
        <v>0.19997685185185185</v>
      </c>
      <c r="L870" s="5">
        <f>2096 / 86400</f>
        <v>2.4259259259259258E-2</v>
      </c>
    </row>
    <row r="871" spans="1:12" x14ac:dyDescent="0.25">
      <c r="A871" s="3">
        <v>45694.448912037042</v>
      </c>
      <c r="B871" t="s">
        <v>183</v>
      </c>
      <c r="C871" s="3">
        <v>45694.452314814815</v>
      </c>
      <c r="D871" t="s">
        <v>133</v>
      </c>
      <c r="E871" s="4">
        <v>0.71399999999999997</v>
      </c>
      <c r="F871" s="4">
        <v>548131.37</v>
      </c>
      <c r="G871" s="4">
        <v>548132.08400000003</v>
      </c>
      <c r="H871" s="5">
        <f>0 / 86400</f>
        <v>0</v>
      </c>
      <c r="I871" t="s">
        <v>37</v>
      </c>
      <c r="J871" t="s">
        <v>62</v>
      </c>
      <c r="K871" s="5">
        <f>293 / 86400</f>
        <v>3.3912037037037036E-3</v>
      </c>
      <c r="L871" s="5">
        <f>864 / 86400</f>
        <v>0.01</v>
      </c>
    </row>
    <row r="872" spans="1:12" x14ac:dyDescent="0.25">
      <c r="A872" s="3">
        <v>45694.462314814809</v>
      </c>
      <c r="B872" t="s">
        <v>133</v>
      </c>
      <c r="C872" s="3">
        <v>45694.695625</v>
      </c>
      <c r="D872" t="s">
        <v>244</v>
      </c>
      <c r="E872" s="4">
        <v>99.457999999999998</v>
      </c>
      <c r="F872" s="4">
        <v>548132.08400000003</v>
      </c>
      <c r="G872" s="4">
        <v>548231.54200000002</v>
      </c>
      <c r="H872" s="5">
        <f>6880 / 86400</f>
        <v>7.9629629629629634E-2</v>
      </c>
      <c r="I872" t="s">
        <v>119</v>
      </c>
      <c r="J872" t="s">
        <v>30</v>
      </c>
      <c r="K872" s="5">
        <f>20158 / 86400</f>
        <v>0.23331018518518518</v>
      </c>
      <c r="L872" s="5">
        <f>102 / 86400</f>
        <v>1.1805555555555556E-3</v>
      </c>
    </row>
    <row r="873" spans="1:12" x14ac:dyDescent="0.25">
      <c r="A873" s="3">
        <v>45694.696805555555</v>
      </c>
      <c r="B873" t="s">
        <v>244</v>
      </c>
      <c r="C873" s="3">
        <v>45694.696967592594</v>
      </c>
      <c r="D873" t="s">
        <v>244</v>
      </c>
      <c r="E873" s="4">
        <v>0</v>
      </c>
      <c r="F873" s="4">
        <v>548231.54200000002</v>
      </c>
      <c r="G873" s="4">
        <v>548231.54200000002</v>
      </c>
      <c r="H873" s="5">
        <f>0 / 86400</f>
        <v>0</v>
      </c>
      <c r="I873" t="s">
        <v>23</v>
      </c>
      <c r="J873" t="s">
        <v>23</v>
      </c>
      <c r="K873" s="5">
        <f>13 / 86400</f>
        <v>1.5046296296296297E-4</v>
      </c>
      <c r="L873" s="5">
        <f>302 / 86400</f>
        <v>3.4953703703703705E-3</v>
      </c>
    </row>
    <row r="874" spans="1:12" x14ac:dyDescent="0.25">
      <c r="A874" s="3">
        <v>45694.700462962966</v>
      </c>
      <c r="B874" t="s">
        <v>244</v>
      </c>
      <c r="C874" s="3">
        <v>45694.965671296297</v>
      </c>
      <c r="D874" t="s">
        <v>118</v>
      </c>
      <c r="E874" s="4">
        <v>109.4</v>
      </c>
      <c r="F874" s="4">
        <v>548231.54200000002</v>
      </c>
      <c r="G874" s="4">
        <v>548340.94200000004</v>
      </c>
      <c r="H874" s="5">
        <f>7778 / 86400</f>
        <v>9.0023148148148144E-2</v>
      </c>
      <c r="I874" t="s">
        <v>146</v>
      </c>
      <c r="J874" t="s">
        <v>37</v>
      </c>
      <c r="K874" s="5">
        <f>22913 / 86400</f>
        <v>0.26519675925925928</v>
      </c>
      <c r="L874" s="5">
        <f>2371 / 86400</f>
        <v>2.7442129629629629E-2</v>
      </c>
    </row>
    <row r="875" spans="1:12" x14ac:dyDescent="0.25">
      <c r="A875" s="3">
        <v>45694.993113425924</v>
      </c>
      <c r="B875" t="s">
        <v>118</v>
      </c>
      <c r="C875" s="3">
        <v>45694.99998842593</v>
      </c>
      <c r="D875" t="s">
        <v>118</v>
      </c>
      <c r="E875" s="4">
        <v>1.7949999999999999</v>
      </c>
      <c r="F875" s="4">
        <v>548340.94200000004</v>
      </c>
      <c r="G875" s="4">
        <v>548342.73699999996</v>
      </c>
      <c r="H875" s="5">
        <f>279 / 86400</f>
        <v>3.2291666666666666E-3</v>
      </c>
      <c r="I875" t="s">
        <v>190</v>
      </c>
      <c r="J875" t="s">
        <v>75</v>
      </c>
      <c r="K875" s="5">
        <f>594 / 86400</f>
        <v>6.875E-3</v>
      </c>
      <c r="L875" s="5">
        <f>0 / 86400</f>
        <v>0</v>
      </c>
    </row>
    <row r="876" spans="1:1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1:1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1:12" s="10" customFormat="1" ht="20.100000000000001" customHeight="1" x14ac:dyDescent="0.35">
      <c r="A878" s="15" t="s">
        <v>338</v>
      </c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1:12" ht="30" x14ac:dyDescent="0.25">
      <c r="A880" s="2" t="s">
        <v>6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11</v>
      </c>
      <c r="G880" s="2" t="s">
        <v>12</v>
      </c>
      <c r="H880" s="2" t="s">
        <v>13</v>
      </c>
      <c r="I880" s="2" t="s">
        <v>14</v>
      </c>
      <c r="J880" s="2" t="s">
        <v>15</v>
      </c>
      <c r="K880" s="2" t="s">
        <v>16</v>
      </c>
      <c r="L880" s="2" t="s">
        <v>17</v>
      </c>
    </row>
    <row r="881" spans="1:12" x14ac:dyDescent="0.25">
      <c r="A881" s="3">
        <v>45694</v>
      </c>
      <c r="B881" t="s">
        <v>120</v>
      </c>
      <c r="C881" s="3">
        <v>45694.066909722227</v>
      </c>
      <c r="D881" t="s">
        <v>100</v>
      </c>
      <c r="E881" s="4">
        <v>149.77500000000001</v>
      </c>
      <c r="F881" s="4">
        <v>46809.35</v>
      </c>
      <c r="G881" s="4">
        <v>46959.125</v>
      </c>
      <c r="H881" s="5">
        <f>1781 / 86400</f>
        <v>2.0613425925925927E-2</v>
      </c>
      <c r="I881" t="s">
        <v>274</v>
      </c>
      <c r="J881" t="s">
        <v>275</v>
      </c>
      <c r="K881" s="5">
        <f>5781 / 86400</f>
        <v>6.6909722222222218E-2</v>
      </c>
      <c r="L881" s="5">
        <f>8365 / 86400</f>
        <v>9.6817129629629628E-2</v>
      </c>
    </row>
    <row r="882" spans="1:12" x14ac:dyDescent="0.25">
      <c r="A882" s="3">
        <v>45694.163726851853</v>
      </c>
      <c r="B882" t="s">
        <v>100</v>
      </c>
      <c r="C882" s="3">
        <v>45694.236250000002</v>
      </c>
      <c r="D882" t="s">
        <v>276</v>
      </c>
      <c r="E882" s="4">
        <v>176.5</v>
      </c>
      <c r="F882" s="4">
        <v>46959.125</v>
      </c>
      <c r="G882" s="4">
        <v>47135.625</v>
      </c>
      <c r="H882" s="5">
        <f>998 / 86400</f>
        <v>1.1550925925925926E-2</v>
      </c>
      <c r="I882" t="s">
        <v>122</v>
      </c>
      <c r="J882" t="s">
        <v>277</v>
      </c>
      <c r="K882" s="5">
        <f>6265 / 86400</f>
        <v>7.2511574074074076E-2</v>
      </c>
      <c r="L882" s="5">
        <f>171 / 86400</f>
        <v>1.9791666666666668E-3</v>
      </c>
    </row>
    <row r="883" spans="1:12" x14ac:dyDescent="0.25">
      <c r="A883" s="3">
        <v>45694.238229166665</v>
      </c>
      <c r="B883" t="s">
        <v>276</v>
      </c>
      <c r="C883" s="3">
        <v>45694.239050925928</v>
      </c>
      <c r="D883" t="s">
        <v>276</v>
      </c>
      <c r="E883" s="4">
        <v>0.22500000000000001</v>
      </c>
      <c r="F883" s="4">
        <v>47135.625</v>
      </c>
      <c r="G883" s="4">
        <v>47135.85</v>
      </c>
      <c r="H883" s="5">
        <f>20 / 86400</f>
        <v>2.3148148148148149E-4</v>
      </c>
      <c r="I883" t="s">
        <v>22</v>
      </c>
      <c r="J883" t="s">
        <v>75</v>
      </c>
      <c r="K883" s="5">
        <f>71 / 86400</f>
        <v>8.2175925925925927E-4</v>
      </c>
      <c r="L883" s="5">
        <f>578 / 86400</f>
        <v>6.6898148148148151E-3</v>
      </c>
    </row>
    <row r="884" spans="1:12" x14ac:dyDescent="0.25">
      <c r="A884" s="3">
        <v>45694.245740740742</v>
      </c>
      <c r="B884" t="s">
        <v>276</v>
      </c>
      <c r="C884" s="3">
        <v>45694.245752314819</v>
      </c>
      <c r="D884" t="s">
        <v>276</v>
      </c>
      <c r="E884" s="4">
        <v>0</v>
      </c>
      <c r="F884" s="4">
        <v>47135.85</v>
      </c>
      <c r="G884" s="4">
        <v>47135.85</v>
      </c>
      <c r="H884" s="5">
        <f>0 / 86400</f>
        <v>0</v>
      </c>
      <c r="I884" t="s">
        <v>23</v>
      </c>
      <c r="J884" t="s">
        <v>23</v>
      </c>
      <c r="K884" s="5">
        <f>0 / 86400</f>
        <v>0</v>
      </c>
      <c r="L884" s="5">
        <f>4 / 86400</f>
        <v>4.6296296296296294E-5</v>
      </c>
    </row>
    <row r="885" spans="1:12" x14ac:dyDescent="0.25">
      <c r="A885" s="3">
        <v>45694.245798611111</v>
      </c>
      <c r="B885" t="s">
        <v>276</v>
      </c>
      <c r="C885" s="3">
        <v>45694.245810185181</v>
      </c>
      <c r="D885" t="s">
        <v>276</v>
      </c>
      <c r="E885" s="4">
        <v>0</v>
      </c>
      <c r="F885" s="4">
        <v>47135.85</v>
      </c>
      <c r="G885" s="4">
        <v>47135.85</v>
      </c>
      <c r="H885" s="5">
        <f>0 / 86400</f>
        <v>0</v>
      </c>
      <c r="I885" t="s">
        <v>23</v>
      </c>
      <c r="J885" t="s">
        <v>23</v>
      </c>
      <c r="K885" s="5">
        <f>1 / 86400</f>
        <v>1.1574074074074073E-5</v>
      </c>
      <c r="L885" s="5">
        <f>5 / 86400</f>
        <v>5.7870370370370373E-5</v>
      </c>
    </row>
    <row r="886" spans="1:12" x14ac:dyDescent="0.25">
      <c r="A886" s="3">
        <v>45694.245868055557</v>
      </c>
      <c r="B886" t="s">
        <v>276</v>
      </c>
      <c r="C886" s="3">
        <v>45694.245891203704</v>
      </c>
      <c r="D886" t="s">
        <v>276</v>
      </c>
      <c r="E886" s="4">
        <v>0</v>
      </c>
      <c r="F886" s="4">
        <v>47135.85</v>
      </c>
      <c r="G886" s="4">
        <v>47135.85</v>
      </c>
      <c r="H886" s="5">
        <f>0 / 86400</f>
        <v>0</v>
      </c>
      <c r="I886" t="s">
        <v>23</v>
      </c>
      <c r="J886" t="s">
        <v>23</v>
      </c>
      <c r="K886" s="5">
        <f>2 / 86400</f>
        <v>2.3148148148148147E-5</v>
      </c>
      <c r="L886" s="5">
        <f>2 / 86400</f>
        <v>2.3148148148148147E-5</v>
      </c>
    </row>
    <row r="887" spans="1:12" x14ac:dyDescent="0.25">
      <c r="A887" s="3">
        <v>45694.24591435185</v>
      </c>
      <c r="B887" t="s">
        <v>276</v>
      </c>
      <c r="C887" s="3">
        <v>45694.250706018516</v>
      </c>
      <c r="D887" t="s">
        <v>121</v>
      </c>
      <c r="E887" s="4">
        <v>2.4049999999999998</v>
      </c>
      <c r="F887" s="4">
        <v>47135.85</v>
      </c>
      <c r="G887" s="4">
        <v>47138.254999999997</v>
      </c>
      <c r="H887" s="5">
        <f>185 / 86400</f>
        <v>2.1412037037037038E-3</v>
      </c>
      <c r="I887" t="s">
        <v>20</v>
      </c>
      <c r="J887" t="s">
        <v>85</v>
      </c>
      <c r="K887" s="5">
        <f>414 / 86400</f>
        <v>4.7916666666666663E-3</v>
      </c>
      <c r="L887" s="5">
        <f>64738 / 86400</f>
        <v>0.74928240740740737</v>
      </c>
    </row>
    <row r="888" spans="1:1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1:1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2" s="10" customFormat="1" ht="20.100000000000001" customHeight="1" x14ac:dyDescent="0.35">
      <c r="A890" s="15" t="s">
        <v>339</v>
      </c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1:12" ht="30" x14ac:dyDescent="0.25">
      <c r="A892" s="2" t="s">
        <v>6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11</v>
      </c>
      <c r="G892" s="2" t="s">
        <v>12</v>
      </c>
      <c r="H892" s="2" t="s">
        <v>13</v>
      </c>
      <c r="I892" s="2" t="s">
        <v>14</v>
      </c>
      <c r="J892" s="2" t="s">
        <v>15</v>
      </c>
      <c r="K892" s="2" t="s">
        <v>16</v>
      </c>
      <c r="L892" s="2" t="s">
        <v>17</v>
      </c>
    </row>
    <row r="893" spans="1:12" x14ac:dyDescent="0.25">
      <c r="A893" s="3">
        <v>45694</v>
      </c>
      <c r="B893" t="s">
        <v>123</v>
      </c>
      <c r="C893" s="3">
        <v>45694.025231481486</v>
      </c>
      <c r="D893" t="s">
        <v>263</v>
      </c>
      <c r="E893" s="4">
        <v>20.646000000000001</v>
      </c>
      <c r="F893" s="4">
        <v>57299.345999999998</v>
      </c>
      <c r="G893" s="4">
        <v>57319.991999999998</v>
      </c>
      <c r="H893" s="5">
        <f>120 / 86400</f>
        <v>1.3888888888888889E-3</v>
      </c>
      <c r="I893" t="s">
        <v>107</v>
      </c>
      <c r="J893" t="s">
        <v>81</v>
      </c>
      <c r="K893" s="5">
        <f>2180 / 86400</f>
        <v>2.5231481481481483E-2</v>
      </c>
      <c r="L893" s="5">
        <f>856 / 86400</f>
        <v>9.9074074074074082E-3</v>
      </c>
    </row>
    <row r="894" spans="1:12" x14ac:dyDescent="0.25">
      <c r="A894" s="3">
        <v>45694.035138888888</v>
      </c>
      <c r="B894" t="s">
        <v>263</v>
      </c>
      <c r="C894" s="3">
        <v>45694.037141203706</v>
      </c>
      <c r="D894" t="s">
        <v>278</v>
      </c>
      <c r="E894" s="4">
        <v>0.17899999999999999</v>
      </c>
      <c r="F894" s="4">
        <v>57319.991999999998</v>
      </c>
      <c r="G894" s="4">
        <v>57320.171000000002</v>
      </c>
      <c r="H894" s="5">
        <f>120 / 86400</f>
        <v>1.3888888888888889E-3</v>
      </c>
      <c r="I894" t="s">
        <v>20</v>
      </c>
      <c r="J894" t="s">
        <v>82</v>
      </c>
      <c r="K894" s="5">
        <f>173 / 86400</f>
        <v>2.0023148148148148E-3</v>
      </c>
      <c r="L894" s="5">
        <f>21 / 86400</f>
        <v>2.4305555555555555E-4</v>
      </c>
    </row>
    <row r="895" spans="1:12" x14ac:dyDescent="0.25">
      <c r="A895" s="3">
        <v>45694.03738425926</v>
      </c>
      <c r="B895" t="s">
        <v>278</v>
      </c>
      <c r="C895" s="3">
        <v>45694.038078703699</v>
      </c>
      <c r="D895" t="s">
        <v>279</v>
      </c>
      <c r="E895" s="4">
        <v>0.106</v>
      </c>
      <c r="F895" s="4">
        <v>57320.171000000002</v>
      </c>
      <c r="G895" s="4">
        <v>57320.277000000002</v>
      </c>
      <c r="H895" s="5">
        <f>20 / 86400</f>
        <v>2.3148148148148149E-4</v>
      </c>
      <c r="I895" t="s">
        <v>142</v>
      </c>
      <c r="J895" t="s">
        <v>142</v>
      </c>
      <c r="K895" s="5">
        <f>60 / 86400</f>
        <v>6.9444444444444447E-4</v>
      </c>
      <c r="L895" s="5">
        <f>27 / 86400</f>
        <v>3.1250000000000001E-4</v>
      </c>
    </row>
    <row r="896" spans="1:12" x14ac:dyDescent="0.25">
      <c r="A896" s="3">
        <v>45694.038391203707</v>
      </c>
      <c r="B896" t="s">
        <v>279</v>
      </c>
      <c r="C896" s="3">
        <v>45694.039004629631</v>
      </c>
      <c r="D896" t="s">
        <v>279</v>
      </c>
      <c r="E896" s="4">
        <v>4.2999999999999997E-2</v>
      </c>
      <c r="F896" s="4">
        <v>57320.277000000002</v>
      </c>
      <c r="G896" s="4">
        <v>57320.32</v>
      </c>
      <c r="H896" s="5">
        <f>20 / 86400</f>
        <v>2.3148148148148149E-4</v>
      </c>
      <c r="I896" t="s">
        <v>22</v>
      </c>
      <c r="J896" t="s">
        <v>151</v>
      </c>
      <c r="K896" s="5">
        <f>53 / 86400</f>
        <v>6.134259259259259E-4</v>
      </c>
      <c r="L896" s="5">
        <f>14287 / 86400</f>
        <v>0.1653587962962963</v>
      </c>
    </row>
    <row r="897" spans="1:12" x14ac:dyDescent="0.25">
      <c r="A897" s="3">
        <v>45694.204363425924</v>
      </c>
      <c r="B897" t="s">
        <v>279</v>
      </c>
      <c r="C897" s="3">
        <v>45694.280590277776</v>
      </c>
      <c r="D897" t="s">
        <v>187</v>
      </c>
      <c r="E897" s="4">
        <v>49.85</v>
      </c>
      <c r="F897" s="4">
        <v>57320.32</v>
      </c>
      <c r="G897" s="4">
        <v>57370.17</v>
      </c>
      <c r="H897" s="5">
        <f>1459 / 86400</f>
        <v>1.6886574074074075E-2</v>
      </c>
      <c r="I897" t="s">
        <v>125</v>
      </c>
      <c r="J897" t="s">
        <v>140</v>
      </c>
      <c r="K897" s="5">
        <f>6585 / 86400</f>
        <v>7.6215277777777785E-2</v>
      </c>
      <c r="L897" s="5">
        <f>169 / 86400</f>
        <v>1.9560185185185184E-3</v>
      </c>
    </row>
    <row r="898" spans="1:12" x14ac:dyDescent="0.25">
      <c r="A898" s="3">
        <v>45694.282546296294</v>
      </c>
      <c r="B898" t="s">
        <v>187</v>
      </c>
      <c r="C898" s="3">
        <v>45694.374652777777</v>
      </c>
      <c r="D898" t="s">
        <v>136</v>
      </c>
      <c r="E898" s="4">
        <v>49.604999999999997</v>
      </c>
      <c r="F898" s="4">
        <v>57370.17</v>
      </c>
      <c r="G898" s="4">
        <v>57419.775000000001</v>
      </c>
      <c r="H898" s="5">
        <f>2140 / 86400</f>
        <v>2.476851851851852E-2</v>
      </c>
      <c r="I898" t="s">
        <v>119</v>
      </c>
      <c r="J898" t="s">
        <v>138</v>
      </c>
      <c r="K898" s="5">
        <f>7957 / 86400</f>
        <v>9.2094907407407403E-2</v>
      </c>
      <c r="L898" s="5">
        <f>514 / 86400</f>
        <v>5.9490740740740745E-3</v>
      </c>
    </row>
    <row r="899" spans="1:12" x14ac:dyDescent="0.25">
      <c r="A899" s="3">
        <v>45694.380601851852</v>
      </c>
      <c r="B899" t="s">
        <v>136</v>
      </c>
      <c r="C899" s="3">
        <v>45694.385671296295</v>
      </c>
      <c r="D899" t="s">
        <v>48</v>
      </c>
      <c r="E899" s="4">
        <v>1.228</v>
      </c>
      <c r="F899" s="4">
        <v>57419.775000000001</v>
      </c>
      <c r="G899" s="4">
        <v>57421.002999999997</v>
      </c>
      <c r="H899" s="5">
        <f>119 / 86400</f>
        <v>1.3773148148148147E-3</v>
      </c>
      <c r="I899" t="s">
        <v>190</v>
      </c>
      <c r="J899" t="s">
        <v>116</v>
      </c>
      <c r="K899" s="5">
        <f>437 / 86400</f>
        <v>5.0578703703703706E-3</v>
      </c>
      <c r="L899" s="5">
        <f>2367 / 86400</f>
        <v>2.7395833333333335E-2</v>
      </c>
    </row>
    <row r="900" spans="1:12" x14ac:dyDescent="0.25">
      <c r="A900" s="3">
        <v>45694.41306712963</v>
      </c>
      <c r="B900" t="s">
        <v>48</v>
      </c>
      <c r="C900" s="3">
        <v>45694.415717592594</v>
      </c>
      <c r="D900" t="s">
        <v>47</v>
      </c>
      <c r="E900" s="4">
        <v>0.86799999999999999</v>
      </c>
      <c r="F900" s="4">
        <v>57421.002999999997</v>
      </c>
      <c r="G900" s="4">
        <v>57421.870999999999</v>
      </c>
      <c r="H900" s="5">
        <f>0 / 86400</f>
        <v>0</v>
      </c>
      <c r="I900" t="s">
        <v>280</v>
      </c>
      <c r="J900" t="s">
        <v>52</v>
      </c>
      <c r="K900" s="5">
        <f>228 / 86400</f>
        <v>2.638888888888889E-3</v>
      </c>
      <c r="L900" s="5">
        <f>1532 / 86400</f>
        <v>1.773148148148148E-2</v>
      </c>
    </row>
    <row r="901" spans="1:12" x14ac:dyDescent="0.25">
      <c r="A901" s="3">
        <v>45694.433449074073</v>
      </c>
      <c r="B901" t="s">
        <v>47</v>
      </c>
      <c r="C901" s="3">
        <v>45694.43686342593</v>
      </c>
      <c r="D901" t="s">
        <v>133</v>
      </c>
      <c r="E901" s="4">
        <v>1.153</v>
      </c>
      <c r="F901" s="4">
        <v>57421.870999999999</v>
      </c>
      <c r="G901" s="4">
        <v>57423.023999999998</v>
      </c>
      <c r="H901" s="5">
        <f>79 / 86400</f>
        <v>9.1435185185185185E-4</v>
      </c>
      <c r="I901" t="s">
        <v>156</v>
      </c>
      <c r="J901" t="s">
        <v>52</v>
      </c>
      <c r="K901" s="5">
        <f>295 / 86400</f>
        <v>3.414351851851852E-3</v>
      </c>
      <c r="L901" s="5">
        <f>220 / 86400</f>
        <v>2.5462962962962965E-3</v>
      </c>
    </row>
    <row r="902" spans="1:12" x14ac:dyDescent="0.25">
      <c r="A902" s="3">
        <v>45694.439409722225</v>
      </c>
      <c r="B902" t="s">
        <v>133</v>
      </c>
      <c r="C902" s="3">
        <v>45694.43959490741</v>
      </c>
      <c r="D902" t="s">
        <v>133</v>
      </c>
      <c r="E902" s="4">
        <v>4.2999999999999997E-2</v>
      </c>
      <c r="F902" s="4">
        <v>57423.023999999998</v>
      </c>
      <c r="G902" s="4">
        <v>57423.067000000003</v>
      </c>
      <c r="H902" s="5">
        <f>0 / 86400</f>
        <v>0</v>
      </c>
      <c r="I902" t="s">
        <v>142</v>
      </c>
      <c r="J902" t="s">
        <v>116</v>
      </c>
      <c r="K902" s="5">
        <f>16 / 86400</f>
        <v>1.8518518518518518E-4</v>
      </c>
      <c r="L902" s="5">
        <f>227 / 86400</f>
        <v>2.627314814814815E-3</v>
      </c>
    </row>
    <row r="903" spans="1:12" x14ac:dyDescent="0.25">
      <c r="A903" s="3">
        <v>45694.44222222222</v>
      </c>
      <c r="B903" t="s">
        <v>133</v>
      </c>
      <c r="C903" s="3">
        <v>45694.549166666664</v>
      </c>
      <c r="D903" t="s">
        <v>175</v>
      </c>
      <c r="E903" s="4">
        <v>55.92</v>
      </c>
      <c r="F903" s="4">
        <v>57423.067000000003</v>
      </c>
      <c r="G903" s="4">
        <v>57478.987000000001</v>
      </c>
      <c r="H903" s="5">
        <f>2681 / 86400</f>
        <v>3.1030092592592592E-2</v>
      </c>
      <c r="I903" t="s">
        <v>270</v>
      </c>
      <c r="J903" t="s">
        <v>138</v>
      </c>
      <c r="K903" s="5">
        <f>9240 / 86400</f>
        <v>0.10694444444444444</v>
      </c>
      <c r="L903" s="5">
        <f>34 / 86400</f>
        <v>3.9351851851851852E-4</v>
      </c>
    </row>
    <row r="904" spans="1:12" x14ac:dyDescent="0.25">
      <c r="A904" s="3">
        <v>45694.549560185187</v>
      </c>
      <c r="B904" t="s">
        <v>175</v>
      </c>
      <c r="C904" s="3">
        <v>45694.631608796291</v>
      </c>
      <c r="D904" t="s">
        <v>136</v>
      </c>
      <c r="E904" s="4">
        <v>40.845999999999997</v>
      </c>
      <c r="F904" s="4">
        <v>57478.987000000001</v>
      </c>
      <c r="G904" s="4">
        <v>57519.832999999999</v>
      </c>
      <c r="H904" s="5">
        <f>1820 / 86400</f>
        <v>2.1064814814814814E-2</v>
      </c>
      <c r="I904" t="s">
        <v>119</v>
      </c>
      <c r="J904" t="s">
        <v>85</v>
      </c>
      <c r="K904" s="5">
        <f>7089 / 86400</f>
        <v>8.2048611111111114E-2</v>
      </c>
      <c r="L904" s="5">
        <f>523 / 86400</f>
        <v>6.053240740740741E-3</v>
      </c>
    </row>
    <row r="905" spans="1:12" x14ac:dyDescent="0.25">
      <c r="A905" s="3">
        <v>45694.637662037036</v>
      </c>
      <c r="B905" t="s">
        <v>136</v>
      </c>
      <c r="C905" s="3">
        <v>45694.640428240746</v>
      </c>
      <c r="D905" t="s">
        <v>39</v>
      </c>
      <c r="E905" s="4">
        <v>1.0089999999999999</v>
      </c>
      <c r="F905" s="4">
        <v>57519.832999999999</v>
      </c>
      <c r="G905" s="4">
        <v>57520.841999999997</v>
      </c>
      <c r="H905" s="5">
        <f>19 / 86400</f>
        <v>2.199074074074074E-4</v>
      </c>
      <c r="I905" t="s">
        <v>81</v>
      </c>
      <c r="J905" t="s">
        <v>51</v>
      </c>
      <c r="K905" s="5">
        <f>239 / 86400</f>
        <v>2.7662037037037039E-3</v>
      </c>
      <c r="L905" s="5">
        <f>2033 / 86400</f>
        <v>2.3530092592592592E-2</v>
      </c>
    </row>
    <row r="906" spans="1:12" x14ac:dyDescent="0.25">
      <c r="A906" s="3">
        <v>45694.663958333331</v>
      </c>
      <c r="B906" t="s">
        <v>39</v>
      </c>
      <c r="C906" s="3">
        <v>45694.840474537035</v>
      </c>
      <c r="D906" t="s">
        <v>281</v>
      </c>
      <c r="E906" s="4">
        <v>70.093999999999994</v>
      </c>
      <c r="F906" s="4">
        <v>57520.841999999997</v>
      </c>
      <c r="G906" s="4">
        <v>57590.936000000002</v>
      </c>
      <c r="H906" s="5">
        <f>4439 / 86400</f>
        <v>5.1377314814814813E-2</v>
      </c>
      <c r="I906" t="s">
        <v>260</v>
      </c>
      <c r="J906" t="s">
        <v>37</v>
      </c>
      <c r="K906" s="5">
        <f>15251 / 86400</f>
        <v>0.17651620370370372</v>
      </c>
      <c r="L906" s="5">
        <f>64 / 86400</f>
        <v>7.407407407407407E-4</v>
      </c>
    </row>
    <row r="907" spans="1:12" x14ac:dyDescent="0.25">
      <c r="A907" s="3">
        <v>45694.841215277775</v>
      </c>
      <c r="B907" t="s">
        <v>281</v>
      </c>
      <c r="C907" s="3">
        <v>45694.99998842593</v>
      </c>
      <c r="D907" t="s">
        <v>124</v>
      </c>
      <c r="E907" s="4">
        <v>66.019000000000005</v>
      </c>
      <c r="F907" s="4">
        <v>57590.936000000002</v>
      </c>
      <c r="G907" s="4">
        <v>57656.955000000002</v>
      </c>
      <c r="H907" s="5">
        <f>4339 / 86400</f>
        <v>5.0219907407407408E-2</v>
      </c>
      <c r="I907" t="s">
        <v>33</v>
      </c>
      <c r="J907" t="s">
        <v>37</v>
      </c>
      <c r="K907" s="5">
        <f>13718 / 86400</f>
        <v>0.15877314814814814</v>
      </c>
      <c r="L907" s="5">
        <f>0 / 86400</f>
        <v>0</v>
      </c>
    </row>
    <row r="908" spans="1:1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1:12" s="10" customFormat="1" ht="20.100000000000001" customHeight="1" x14ac:dyDescent="0.35">
      <c r="A910" s="15" t="s">
        <v>340</v>
      </c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2" ht="30" x14ac:dyDescent="0.25">
      <c r="A912" s="2" t="s">
        <v>6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11</v>
      </c>
      <c r="G912" s="2" t="s">
        <v>12</v>
      </c>
      <c r="H912" s="2" t="s">
        <v>13</v>
      </c>
      <c r="I912" s="2" t="s">
        <v>14</v>
      </c>
      <c r="J912" s="2" t="s">
        <v>15</v>
      </c>
      <c r="K912" s="2" t="s">
        <v>16</v>
      </c>
      <c r="L912" s="2" t="s">
        <v>17</v>
      </c>
    </row>
    <row r="913" spans="1:12" x14ac:dyDescent="0.25">
      <c r="A913" s="3">
        <v>45694</v>
      </c>
      <c r="B913" t="s">
        <v>126</v>
      </c>
      <c r="C913" s="3">
        <v>45694.018530092595</v>
      </c>
      <c r="D913" t="s">
        <v>237</v>
      </c>
      <c r="E913" s="4">
        <v>8.1890000000000001</v>
      </c>
      <c r="F913" s="4">
        <v>60577.641000000003</v>
      </c>
      <c r="G913" s="4">
        <v>60585.83</v>
      </c>
      <c r="H913" s="5">
        <f>701 / 86400</f>
        <v>8.1134259259259267E-3</v>
      </c>
      <c r="I913" t="s">
        <v>127</v>
      </c>
      <c r="J913" t="s">
        <v>30</v>
      </c>
      <c r="K913" s="5">
        <f>1601 / 86400</f>
        <v>1.8530092592592591E-2</v>
      </c>
      <c r="L913" s="5">
        <f>297 / 86400</f>
        <v>3.4375E-3</v>
      </c>
    </row>
    <row r="914" spans="1:12" x14ac:dyDescent="0.25">
      <c r="A914" s="3">
        <v>45694.021967592591</v>
      </c>
      <c r="B914" t="s">
        <v>237</v>
      </c>
      <c r="C914" s="3">
        <v>45694.024305555555</v>
      </c>
      <c r="D914" t="s">
        <v>237</v>
      </c>
      <c r="E914" s="4">
        <v>0</v>
      </c>
      <c r="F914" s="4">
        <v>60585.83</v>
      </c>
      <c r="G914" s="4">
        <v>60585.83</v>
      </c>
      <c r="H914" s="5">
        <f>200 / 86400</f>
        <v>2.3148148148148147E-3</v>
      </c>
      <c r="I914" t="s">
        <v>23</v>
      </c>
      <c r="J914" t="s">
        <v>23</v>
      </c>
      <c r="K914" s="5">
        <f>202 / 86400</f>
        <v>2.3379629629629631E-3</v>
      </c>
      <c r="L914" s="5">
        <f>45 / 86400</f>
        <v>5.2083333333333333E-4</v>
      </c>
    </row>
    <row r="915" spans="1:12" x14ac:dyDescent="0.25">
      <c r="A915" s="3">
        <v>45694.024826388893</v>
      </c>
      <c r="B915" t="s">
        <v>237</v>
      </c>
      <c r="C915" s="3">
        <v>45694.034155092595</v>
      </c>
      <c r="D915" t="s">
        <v>99</v>
      </c>
      <c r="E915" s="4">
        <v>4.2460000000000004</v>
      </c>
      <c r="F915" s="4">
        <v>60585.83</v>
      </c>
      <c r="G915" s="4">
        <v>60590.076000000001</v>
      </c>
      <c r="H915" s="5">
        <f>140 / 86400</f>
        <v>1.6203703703703703E-3</v>
      </c>
      <c r="I915" t="s">
        <v>208</v>
      </c>
      <c r="J915" t="s">
        <v>20</v>
      </c>
      <c r="K915" s="5">
        <f>805 / 86400</f>
        <v>9.3171296296296301E-3</v>
      </c>
      <c r="L915" s="5">
        <f>629 / 86400</f>
        <v>7.2800925925925923E-3</v>
      </c>
    </row>
    <row r="916" spans="1:12" x14ac:dyDescent="0.25">
      <c r="A916" s="3">
        <v>45694.041435185187</v>
      </c>
      <c r="B916" t="s">
        <v>99</v>
      </c>
      <c r="C916" s="3">
        <v>45694.046481481477</v>
      </c>
      <c r="D916" t="s">
        <v>39</v>
      </c>
      <c r="E916" s="4">
        <v>1.6140000000000001</v>
      </c>
      <c r="F916" s="4">
        <v>60590.076000000001</v>
      </c>
      <c r="G916" s="4">
        <v>60591.69</v>
      </c>
      <c r="H916" s="5">
        <f>80 / 86400</f>
        <v>9.2592592592592596E-4</v>
      </c>
      <c r="I916" t="s">
        <v>181</v>
      </c>
      <c r="J916" t="s">
        <v>46</v>
      </c>
      <c r="K916" s="5">
        <f>435 / 86400</f>
        <v>5.0347222222222225E-3</v>
      </c>
      <c r="L916" s="5">
        <f>19795 / 86400</f>
        <v>0.2291087962962963</v>
      </c>
    </row>
    <row r="917" spans="1:12" x14ac:dyDescent="0.25">
      <c r="A917" s="3">
        <v>45694.275590277779</v>
      </c>
      <c r="B917" t="s">
        <v>39</v>
      </c>
      <c r="C917" s="3">
        <v>45694.277037037042</v>
      </c>
      <c r="D917" t="s">
        <v>39</v>
      </c>
      <c r="E917" s="4">
        <v>3.6999999999999998E-2</v>
      </c>
      <c r="F917" s="4">
        <v>60591.69</v>
      </c>
      <c r="G917" s="4">
        <v>60591.726999999999</v>
      </c>
      <c r="H917" s="5">
        <f>39 / 86400</f>
        <v>4.5138888888888887E-4</v>
      </c>
      <c r="I917" t="s">
        <v>151</v>
      </c>
      <c r="J917" t="s">
        <v>141</v>
      </c>
      <c r="K917" s="5">
        <f>124 / 86400</f>
        <v>1.4351851851851852E-3</v>
      </c>
      <c r="L917" s="5">
        <f>9876 / 86400</f>
        <v>0.11430555555555555</v>
      </c>
    </row>
    <row r="918" spans="1:12" x14ac:dyDescent="0.25">
      <c r="A918" s="3">
        <v>45694.391342592593</v>
      </c>
      <c r="B918" t="s">
        <v>39</v>
      </c>
      <c r="C918" s="3">
        <v>45694.391458333332</v>
      </c>
      <c r="D918" t="s">
        <v>39</v>
      </c>
      <c r="E918" s="4">
        <v>0</v>
      </c>
      <c r="F918" s="4">
        <v>60591.726999999999</v>
      </c>
      <c r="G918" s="4">
        <v>60591.726999999999</v>
      </c>
      <c r="H918" s="5">
        <f>0 / 86400</f>
        <v>0</v>
      </c>
      <c r="I918" t="s">
        <v>23</v>
      </c>
      <c r="J918" t="s">
        <v>23</v>
      </c>
      <c r="K918" s="5">
        <f>10 / 86400</f>
        <v>1.1574074074074075E-4</v>
      </c>
      <c r="L918" s="5">
        <f>36617 / 86400</f>
        <v>0.42380787037037038</v>
      </c>
    </row>
    <row r="919" spans="1:12" x14ac:dyDescent="0.25">
      <c r="A919" s="3">
        <v>45694.815266203703</v>
      </c>
      <c r="B919" t="s">
        <v>39</v>
      </c>
      <c r="C919" s="3">
        <v>45694.849791666667</v>
      </c>
      <c r="D919" t="s">
        <v>39</v>
      </c>
      <c r="E919" s="4">
        <v>2E-3</v>
      </c>
      <c r="F919" s="4">
        <v>60591.726999999999</v>
      </c>
      <c r="G919" s="4">
        <v>60591.728999999999</v>
      </c>
      <c r="H919" s="5">
        <f>2979 / 86400</f>
        <v>3.4479166666666665E-2</v>
      </c>
      <c r="I919" t="s">
        <v>23</v>
      </c>
      <c r="J919" t="s">
        <v>23</v>
      </c>
      <c r="K919" s="5">
        <f>2983 / 86400</f>
        <v>3.4525462962962966E-2</v>
      </c>
      <c r="L919" s="5">
        <f>12977 / 86400</f>
        <v>0.15019675925925927</v>
      </c>
    </row>
    <row r="920" spans="1:1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1:1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1:12" s="10" customFormat="1" ht="20.100000000000001" customHeight="1" x14ac:dyDescent="0.35">
      <c r="A922" s="15" t="s">
        <v>341</v>
      </c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1:12" ht="30" x14ac:dyDescent="0.25">
      <c r="A924" s="2" t="s">
        <v>6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11</v>
      </c>
      <c r="G924" s="2" t="s">
        <v>12</v>
      </c>
      <c r="H924" s="2" t="s">
        <v>13</v>
      </c>
      <c r="I924" s="2" t="s">
        <v>14</v>
      </c>
      <c r="J924" s="2" t="s">
        <v>15</v>
      </c>
      <c r="K924" s="2" t="s">
        <v>16</v>
      </c>
      <c r="L924" s="2" t="s">
        <v>17</v>
      </c>
    </row>
    <row r="925" spans="1:12" x14ac:dyDescent="0.25">
      <c r="A925" s="3">
        <v>45694.445833333331</v>
      </c>
      <c r="B925" t="s">
        <v>128</v>
      </c>
      <c r="C925" s="3">
        <v>45694.447129629625</v>
      </c>
      <c r="D925" t="s">
        <v>128</v>
      </c>
      <c r="E925" s="4">
        <v>1.4E-2</v>
      </c>
      <c r="F925" s="4">
        <v>290572.58299999998</v>
      </c>
      <c r="G925" s="4">
        <v>290572.59700000001</v>
      </c>
      <c r="H925" s="5">
        <f>80 / 86400</f>
        <v>9.2592592592592596E-4</v>
      </c>
      <c r="I925" t="s">
        <v>22</v>
      </c>
      <c r="J925" t="s">
        <v>23</v>
      </c>
      <c r="K925" s="5">
        <f>112 / 86400</f>
        <v>1.2962962962962963E-3</v>
      </c>
      <c r="L925" s="5">
        <f>38534 / 86400</f>
        <v>0.44599537037037035</v>
      </c>
    </row>
    <row r="926" spans="1:12" x14ac:dyDescent="0.25">
      <c r="A926" s="3">
        <v>45694.447291666671</v>
      </c>
      <c r="B926" t="s">
        <v>128</v>
      </c>
      <c r="C926" s="3">
        <v>45694.613576388889</v>
      </c>
      <c r="D926" t="s">
        <v>128</v>
      </c>
      <c r="E926" s="4">
        <v>2.7E-2</v>
      </c>
      <c r="F926" s="4">
        <v>290572.59700000001</v>
      </c>
      <c r="G926" s="4">
        <v>290572.62400000001</v>
      </c>
      <c r="H926" s="5">
        <f>14316 / 86400</f>
        <v>0.16569444444444445</v>
      </c>
      <c r="I926" t="s">
        <v>62</v>
      </c>
      <c r="J926" t="s">
        <v>23</v>
      </c>
      <c r="K926" s="5">
        <f>14366 / 86400</f>
        <v>0.16627314814814814</v>
      </c>
      <c r="L926" s="5">
        <f>388 / 86400</f>
        <v>4.4907407407407405E-3</v>
      </c>
    </row>
    <row r="927" spans="1:12" x14ac:dyDescent="0.25">
      <c r="A927" s="3">
        <v>45694.618067129632</v>
      </c>
      <c r="B927" t="s">
        <v>128</v>
      </c>
      <c r="C927" s="3">
        <v>45694.618229166663</v>
      </c>
      <c r="D927" t="s">
        <v>128</v>
      </c>
      <c r="E927" s="4">
        <v>0</v>
      </c>
      <c r="F927" s="4">
        <v>290572.62400000001</v>
      </c>
      <c r="G927" s="4">
        <v>290572.62400000001</v>
      </c>
      <c r="H927" s="5">
        <f>0 / 86400</f>
        <v>0</v>
      </c>
      <c r="I927" t="s">
        <v>23</v>
      </c>
      <c r="J927" t="s">
        <v>23</v>
      </c>
      <c r="K927" s="5">
        <f>14 / 86400</f>
        <v>1.6203703703703703E-4</v>
      </c>
      <c r="L927" s="5">
        <f>32984 / 86400</f>
        <v>0.38175925925925924</v>
      </c>
    </row>
    <row r="928" spans="1:1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2" t="s">
        <v>130</v>
      </c>
      <c r="B929" s="12"/>
      <c r="C929" s="12"/>
      <c r="D929" s="12"/>
      <c r="E929" s="12"/>
      <c r="F929" s="12"/>
      <c r="G929" s="12"/>
      <c r="H929" s="12"/>
      <c r="I929" s="12"/>
      <c r="J929" s="12"/>
    </row>
  </sheetData>
  <mergeCells count="250">
    <mergeCell ref="A910:J910"/>
    <mergeCell ref="A911:J911"/>
    <mergeCell ref="A920:J920"/>
    <mergeCell ref="A921:J921"/>
    <mergeCell ref="A922:J922"/>
    <mergeCell ref="A923:J923"/>
    <mergeCell ref="A928:J928"/>
    <mergeCell ref="A929:J929"/>
    <mergeCell ref="A877:J877"/>
    <mergeCell ref="A878:J878"/>
    <mergeCell ref="A879:J879"/>
    <mergeCell ref="A888:J888"/>
    <mergeCell ref="A889:J889"/>
    <mergeCell ref="A890:J890"/>
    <mergeCell ref="A891:J891"/>
    <mergeCell ref="A908:J908"/>
    <mergeCell ref="A909:J909"/>
    <mergeCell ref="A849:J849"/>
    <mergeCell ref="A850:J850"/>
    <mergeCell ref="A851:J851"/>
    <mergeCell ref="A852:J852"/>
    <mergeCell ref="A862:J862"/>
    <mergeCell ref="A863:J863"/>
    <mergeCell ref="A864:J864"/>
    <mergeCell ref="A865:J865"/>
    <mergeCell ref="A876:J876"/>
    <mergeCell ref="A822:J822"/>
    <mergeCell ref="A830:J830"/>
    <mergeCell ref="A831:J831"/>
    <mergeCell ref="A832:J832"/>
    <mergeCell ref="A833:J833"/>
    <mergeCell ref="A842:J842"/>
    <mergeCell ref="A843:J843"/>
    <mergeCell ref="A844:J844"/>
    <mergeCell ref="A845:J845"/>
    <mergeCell ref="A796:J796"/>
    <mergeCell ref="A797:J797"/>
    <mergeCell ref="A809:J809"/>
    <mergeCell ref="A810:J810"/>
    <mergeCell ref="A811:J811"/>
    <mergeCell ref="A812:J812"/>
    <mergeCell ref="A819:J819"/>
    <mergeCell ref="A820:J820"/>
    <mergeCell ref="A821:J821"/>
    <mergeCell ref="A763:J763"/>
    <mergeCell ref="A764:J764"/>
    <mergeCell ref="A765:J765"/>
    <mergeCell ref="A775:J775"/>
    <mergeCell ref="A776:J776"/>
    <mergeCell ref="A777:J777"/>
    <mergeCell ref="A778:J778"/>
    <mergeCell ref="A794:J794"/>
    <mergeCell ref="A795:J795"/>
    <mergeCell ref="A741:J741"/>
    <mergeCell ref="A742:J742"/>
    <mergeCell ref="A743:J743"/>
    <mergeCell ref="A744:J744"/>
    <mergeCell ref="A750:J750"/>
    <mergeCell ref="A751:J751"/>
    <mergeCell ref="A752:J752"/>
    <mergeCell ref="A753:J753"/>
    <mergeCell ref="A762:J762"/>
    <mergeCell ref="A700:J700"/>
    <mergeCell ref="A708:J708"/>
    <mergeCell ref="A709:J709"/>
    <mergeCell ref="A710:J710"/>
    <mergeCell ref="A711:J711"/>
    <mergeCell ref="A718:J718"/>
    <mergeCell ref="A719:J719"/>
    <mergeCell ref="A720:J720"/>
    <mergeCell ref="A721:J721"/>
    <mergeCell ref="A667:J667"/>
    <mergeCell ref="A668:J668"/>
    <mergeCell ref="A678:J678"/>
    <mergeCell ref="A679:J679"/>
    <mergeCell ref="A680:J680"/>
    <mergeCell ref="A681:J681"/>
    <mergeCell ref="A697:J697"/>
    <mergeCell ref="A698:J698"/>
    <mergeCell ref="A699:J699"/>
    <mergeCell ref="A630:J630"/>
    <mergeCell ref="A631:J631"/>
    <mergeCell ref="A632:J632"/>
    <mergeCell ref="A644:J644"/>
    <mergeCell ref="A645:J645"/>
    <mergeCell ref="A646:J646"/>
    <mergeCell ref="A647:J647"/>
    <mergeCell ref="A665:J665"/>
    <mergeCell ref="A666:J666"/>
    <mergeCell ref="A587:J587"/>
    <mergeCell ref="A588:J588"/>
    <mergeCell ref="A589:J589"/>
    <mergeCell ref="A590:J590"/>
    <mergeCell ref="A616:J616"/>
    <mergeCell ref="A617:J617"/>
    <mergeCell ref="A618:J618"/>
    <mergeCell ref="A619:J619"/>
    <mergeCell ref="A629:J629"/>
    <mergeCell ref="A547:J547"/>
    <mergeCell ref="A560:J560"/>
    <mergeCell ref="A561:J561"/>
    <mergeCell ref="A562:J562"/>
    <mergeCell ref="A563:J563"/>
    <mergeCell ref="A578:J578"/>
    <mergeCell ref="A579:J579"/>
    <mergeCell ref="A580:J580"/>
    <mergeCell ref="A581:J581"/>
    <mergeCell ref="A516:J516"/>
    <mergeCell ref="A517:J517"/>
    <mergeCell ref="A528:J528"/>
    <mergeCell ref="A529:J529"/>
    <mergeCell ref="A530:J530"/>
    <mergeCell ref="A531:J531"/>
    <mergeCell ref="A544:J544"/>
    <mergeCell ref="A545:J545"/>
    <mergeCell ref="A546:J546"/>
    <mergeCell ref="A481:J481"/>
    <mergeCell ref="A482:J482"/>
    <mergeCell ref="A483:J483"/>
    <mergeCell ref="A502:J502"/>
    <mergeCell ref="A503:J503"/>
    <mergeCell ref="A504:J504"/>
    <mergeCell ref="A505:J505"/>
    <mergeCell ref="A514:J514"/>
    <mergeCell ref="A515:J515"/>
    <mergeCell ref="A461:J461"/>
    <mergeCell ref="A462:J462"/>
    <mergeCell ref="A463:J463"/>
    <mergeCell ref="A464:J464"/>
    <mergeCell ref="A474:J474"/>
    <mergeCell ref="A475:J475"/>
    <mergeCell ref="A476:J476"/>
    <mergeCell ref="A477:J477"/>
    <mergeCell ref="A480:J480"/>
    <mergeCell ref="A408:J408"/>
    <mergeCell ref="A434:J434"/>
    <mergeCell ref="A435:J435"/>
    <mergeCell ref="A436:J436"/>
    <mergeCell ref="A437:J437"/>
    <mergeCell ref="A447:J447"/>
    <mergeCell ref="A448:J448"/>
    <mergeCell ref="A449:J449"/>
    <mergeCell ref="A450:J450"/>
    <mergeCell ref="A380:J380"/>
    <mergeCell ref="A381:J381"/>
    <mergeCell ref="A388:J388"/>
    <mergeCell ref="A389:J389"/>
    <mergeCell ref="A390:J390"/>
    <mergeCell ref="A391:J391"/>
    <mergeCell ref="A405:J405"/>
    <mergeCell ref="A406:J406"/>
    <mergeCell ref="A407:J407"/>
    <mergeCell ref="A355:J355"/>
    <mergeCell ref="A356:J356"/>
    <mergeCell ref="A357:J357"/>
    <mergeCell ref="A365:J365"/>
    <mergeCell ref="A366:J366"/>
    <mergeCell ref="A367:J367"/>
    <mergeCell ref="A368:J368"/>
    <mergeCell ref="A378:J378"/>
    <mergeCell ref="A379:J379"/>
    <mergeCell ref="A328:J328"/>
    <mergeCell ref="A329:J329"/>
    <mergeCell ref="A330:J330"/>
    <mergeCell ref="A331:J331"/>
    <mergeCell ref="A343:J343"/>
    <mergeCell ref="A344:J344"/>
    <mergeCell ref="A345:J345"/>
    <mergeCell ref="A346:J346"/>
    <mergeCell ref="A354:J354"/>
    <mergeCell ref="A293:J293"/>
    <mergeCell ref="A301:J301"/>
    <mergeCell ref="A302:J302"/>
    <mergeCell ref="A303:J303"/>
    <mergeCell ref="A304:J304"/>
    <mergeCell ref="A311:J311"/>
    <mergeCell ref="A312:J312"/>
    <mergeCell ref="A313:J313"/>
    <mergeCell ref="A314:J314"/>
    <mergeCell ref="A261:J261"/>
    <mergeCell ref="A262:J262"/>
    <mergeCell ref="A274:J274"/>
    <mergeCell ref="A275:J275"/>
    <mergeCell ref="A276:J276"/>
    <mergeCell ref="A277:J277"/>
    <mergeCell ref="A290:J290"/>
    <mergeCell ref="A291:J291"/>
    <mergeCell ref="A292:J292"/>
    <mergeCell ref="A235:J235"/>
    <mergeCell ref="A236:J236"/>
    <mergeCell ref="A237:J237"/>
    <mergeCell ref="A241:J241"/>
    <mergeCell ref="A242:J242"/>
    <mergeCell ref="A243:J243"/>
    <mergeCell ref="A244:J244"/>
    <mergeCell ref="A259:J259"/>
    <mergeCell ref="A260:J260"/>
    <mergeCell ref="A212:J212"/>
    <mergeCell ref="A213:J213"/>
    <mergeCell ref="A214:J214"/>
    <mergeCell ref="A215:J215"/>
    <mergeCell ref="A221:J221"/>
    <mergeCell ref="A222:J222"/>
    <mergeCell ref="A223:J223"/>
    <mergeCell ref="A224:J224"/>
    <mergeCell ref="A234:J234"/>
    <mergeCell ref="A180:J180"/>
    <mergeCell ref="A190:J190"/>
    <mergeCell ref="A191:J191"/>
    <mergeCell ref="A192:J192"/>
    <mergeCell ref="A193:J193"/>
    <mergeCell ref="A205:J205"/>
    <mergeCell ref="A206:J206"/>
    <mergeCell ref="A207:J207"/>
    <mergeCell ref="A208:J208"/>
    <mergeCell ref="A132:J132"/>
    <mergeCell ref="A133:J133"/>
    <mergeCell ref="A162:J162"/>
    <mergeCell ref="A163:J163"/>
    <mergeCell ref="A164:J164"/>
    <mergeCell ref="A165:J165"/>
    <mergeCell ref="A177:J177"/>
    <mergeCell ref="A178:J178"/>
    <mergeCell ref="A179:J179"/>
    <mergeCell ref="A97:J97"/>
    <mergeCell ref="A98:J98"/>
    <mergeCell ref="A99:J99"/>
    <mergeCell ref="A110:J110"/>
    <mergeCell ref="A111:J111"/>
    <mergeCell ref="A112:J112"/>
    <mergeCell ref="A113:J113"/>
    <mergeCell ref="A130:J130"/>
    <mergeCell ref="A131:J131"/>
    <mergeCell ref="A71:J71"/>
    <mergeCell ref="A72:J72"/>
    <mergeCell ref="A73:J73"/>
    <mergeCell ref="A74:J74"/>
    <mergeCell ref="A86:J86"/>
    <mergeCell ref="A87:J87"/>
    <mergeCell ref="A88:J88"/>
    <mergeCell ref="A89:J89"/>
    <mergeCell ref="A96:J96"/>
    <mergeCell ref="A1:J1"/>
    <mergeCell ref="A2:J2"/>
    <mergeCell ref="A3:J3"/>
    <mergeCell ref="A4:J4"/>
    <mergeCell ref="A5:J5"/>
    <mergeCell ref="A6:J6"/>
    <mergeCell ref="A69:J69"/>
    <mergeCell ref="A70:J70"/>
  </mergeCells>
  <conditionalFormatting sqref="A8:A67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2025-09-22T19:52:06Z</dcterms:created>
  <dcterms:modified xsi:type="dcterms:W3CDTF">2025-09-23T04:58:13Z</dcterms:modified>
</cp:coreProperties>
</file>