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/>
  <xr:revisionPtr revIDLastSave="0" documentId="13_ncr:1_{FEB6EB42-DC0B-4875-BE8A-5FEA7A94E412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247" i="1" l="1"/>
  <c r="K1247" i="1"/>
  <c r="H1247" i="1"/>
  <c r="L1246" i="1"/>
  <c r="K1246" i="1"/>
  <c r="H1246" i="1"/>
  <c r="L1245" i="1"/>
  <c r="K1245" i="1"/>
  <c r="H1245" i="1"/>
  <c r="L1244" i="1"/>
  <c r="K1244" i="1"/>
  <c r="H1244" i="1"/>
  <c r="L1238" i="1"/>
  <c r="K1238" i="1"/>
  <c r="H1238" i="1"/>
  <c r="L1237" i="1"/>
  <c r="K1237" i="1"/>
  <c r="H1237" i="1"/>
  <c r="L1236" i="1"/>
  <c r="K1236" i="1"/>
  <c r="H1236" i="1"/>
  <c r="L1235" i="1"/>
  <c r="K1235" i="1"/>
  <c r="H1235" i="1"/>
  <c r="L1234" i="1"/>
  <c r="K1234" i="1"/>
  <c r="H1234" i="1"/>
  <c r="L1233" i="1"/>
  <c r="K1233" i="1"/>
  <c r="H1233" i="1"/>
  <c r="L1232" i="1"/>
  <c r="K1232" i="1"/>
  <c r="H1232" i="1"/>
  <c r="L1231" i="1"/>
  <c r="K1231" i="1"/>
  <c r="H1231" i="1"/>
  <c r="L1225" i="1"/>
  <c r="K1225" i="1"/>
  <c r="H1225" i="1"/>
  <c r="L1224" i="1"/>
  <c r="K1224" i="1"/>
  <c r="H1224" i="1"/>
  <c r="L1223" i="1"/>
  <c r="K1223" i="1"/>
  <c r="H1223" i="1"/>
  <c r="L1222" i="1"/>
  <c r="K1222" i="1"/>
  <c r="H1222" i="1"/>
  <c r="L1221" i="1"/>
  <c r="K1221" i="1"/>
  <c r="H1221" i="1"/>
  <c r="L1220" i="1"/>
  <c r="K1220" i="1"/>
  <c r="H1220" i="1"/>
  <c r="L1219" i="1"/>
  <c r="K1219" i="1"/>
  <c r="H1219" i="1"/>
  <c r="L1218" i="1"/>
  <c r="K1218" i="1"/>
  <c r="H1218" i="1"/>
  <c r="L1217" i="1"/>
  <c r="K1217" i="1"/>
  <c r="H1217" i="1"/>
  <c r="L1216" i="1"/>
  <c r="K1216" i="1"/>
  <c r="H1216" i="1"/>
  <c r="L1215" i="1"/>
  <c r="K1215" i="1"/>
  <c r="H1215" i="1"/>
  <c r="L1214" i="1"/>
  <c r="K1214" i="1"/>
  <c r="H1214" i="1"/>
  <c r="L1213" i="1"/>
  <c r="K1213" i="1"/>
  <c r="H1213" i="1"/>
  <c r="L1212" i="1"/>
  <c r="K1212" i="1"/>
  <c r="H1212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7" i="1"/>
  <c r="K1207" i="1"/>
  <c r="H1207" i="1"/>
  <c r="L1206" i="1"/>
  <c r="K1206" i="1"/>
  <c r="H1206" i="1"/>
  <c r="L1205" i="1"/>
  <c r="K1205" i="1"/>
  <c r="H1205" i="1"/>
  <c r="L1204" i="1"/>
  <c r="K1204" i="1"/>
  <c r="H1204" i="1"/>
  <c r="L1198" i="1"/>
  <c r="K1198" i="1"/>
  <c r="H1198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6" i="1"/>
  <c r="K1186" i="1"/>
  <c r="H1186" i="1"/>
  <c r="L1185" i="1"/>
  <c r="K1185" i="1"/>
  <c r="H1185" i="1"/>
  <c r="L1179" i="1"/>
  <c r="K1179" i="1"/>
  <c r="H1179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72" i="1"/>
  <c r="K1172" i="1"/>
  <c r="H1172" i="1"/>
  <c r="L1171" i="1"/>
  <c r="K1171" i="1"/>
  <c r="H1171" i="1"/>
  <c r="L1170" i="1"/>
  <c r="K1170" i="1"/>
  <c r="H1170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9" i="1"/>
  <c r="K1159" i="1"/>
  <c r="H1159" i="1"/>
  <c r="L1158" i="1"/>
  <c r="K1158" i="1"/>
  <c r="H1158" i="1"/>
  <c r="L1157" i="1"/>
  <c r="K1157" i="1"/>
  <c r="H1157" i="1"/>
  <c r="L1156" i="1"/>
  <c r="K1156" i="1"/>
  <c r="H1156" i="1"/>
  <c r="L1155" i="1"/>
  <c r="K1155" i="1"/>
  <c r="H1155" i="1"/>
  <c r="L1154" i="1"/>
  <c r="K1154" i="1"/>
  <c r="H1154" i="1"/>
  <c r="L1153" i="1"/>
  <c r="K1153" i="1"/>
  <c r="H1153" i="1"/>
  <c r="L1147" i="1"/>
  <c r="K1147" i="1"/>
  <c r="H1147" i="1"/>
  <c r="L1146" i="1"/>
  <c r="K1146" i="1"/>
  <c r="H1146" i="1"/>
  <c r="L1145" i="1"/>
  <c r="K1145" i="1"/>
  <c r="H1145" i="1"/>
  <c r="L1144" i="1"/>
  <c r="K1144" i="1"/>
  <c r="H1144" i="1"/>
  <c r="L1143" i="1"/>
  <c r="K1143" i="1"/>
  <c r="H1143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27" i="1"/>
  <c r="K1127" i="1"/>
  <c r="H1127" i="1"/>
  <c r="L1126" i="1"/>
  <c r="K1126" i="1"/>
  <c r="H1126" i="1"/>
  <c r="L1125" i="1"/>
  <c r="K1125" i="1"/>
  <c r="H1125" i="1"/>
  <c r="L1124" i="1"/>
  <c r="K1124" i="1"/>
  <c r="H1124" i="1"/>
  <c r="L1123" i="1"/>
  <c r="K1123" i="1"/>
  <c r="H1123" i="1"/>
  <c r="L1122" i="1"/>
  <c r="K1122" i="1"/>
  <c r="H1122" i="1"/>
  <c r="L1121" i="1"/>
  <c r="K1121" i="1"/>
  <c r="H1121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10" i="1"/>
  <c r="K1110" i="1"/>
  <c r="H1110" i="1"/>
  <c r="L1104" i="1"/>
  <c r="K1104" i="1"/>
  <c r="H1104" i="1"/>
  <c r="L1103" i="1"/>
  <c r="K1103" i="1"/>
  <c r="H1103" i="1"/>
  <c r="L1102" i="1"/>
  <c r="K1102" i="1"/>
  <c r="H1102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5" i="1"/>
  <c r="K1075" i="1"/>
  <c r="H1075" i="1"/>
  <c r="L1074" i="1"/>
  <c r="K1074" i="1"/>
  <c r="H1074" i="1"/>
  <c r="L1073" i="1"/>
  <c r="K1073" i="1"/>
  <c r="H1073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9" i="1"/>
  <c r="K1029" i="1"/>
  <c r="H1029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1" i="1"/>
  <c r="K991" i="1"/>
  <c r="H991" i="1"/>
  <c r="L990" i="1"/>
  <c r="K990" i="1"/>
  <c r="H990" i="1"/>
  <c r="L989" i="1"/>
  <c r="K989" i="1"/>
  <c r="H989" i="1"/>
  <c r="L988" i="1"/>
  <c r="K988" i="1"/>
  <c r="H988" i="1"/>
  <c r="L987" i="1"/>
  <c r="K987" i="1"/>
  <c r="H987" i="1"/>
  <c r="L986" i="1"/>
  <c r="K986" i="1"/>
  <c r="H986" i="1"/>
  <c r="L985" i="1"/>
  <c r="K985" i="1"/>
  <c r="H985" i="1"/>
  <c r="L984" i="1"/>
  <c r="K984" i="1"/>
  <c r="H984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87" i="1"/>
  <c r="K787" i="1"/>
  <c r="H787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56" i="1"/>
  <c r="K756" i="1"/>
  <c r="H756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2" i="1"/>
  <c r="K692" i="1"/>
  <c r="H692" i="1"/>
  <c r="L691" i="1"/>
  <c r="K691" i="1"/>
  <c r="H691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35" i="1"/>
  <c r="K635" i="1"/>
  <c r="H635" i="1"/>
  <c r="L634" i="1"/>
  <c r="K634" i="1"/>
  <c r="H634" i="1"/>
  <c r="L633" i="1"/>
  <c r="K633" i="1"/>
  <c r="H633" i="1"/>
  <c r="L627" i="1"/>
  <c r="K627" i="1"/>
  <c r="H627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76" i="1"/>
  <c r="K376" i="1"/>
  <c r="H376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07" i="1"/>
  <c r="K107" i="1"/>
  <c r="H107" i="1"/>
  <c r="L106" i="1"/>
  <c r="K106" i="1"/>
  <c r="H106" i="1"/>
  <c r="L105" i="1"/>
  <c r="K105" i="1"/>
  <c r="H105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4" i="1"/>
  <c r="K94" i="1"/>
  <c r="H94" i="1"/>
  <c r="L93" i="1"/>
  <c r="K93" i="1"/>
  <c r="H93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M71" i="1"/>
  <c r="L71" i="1"/>
  <c r="I71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<sst xmlns="http://schemas.openxmlformats.org/spreadsheetml/2006/main" count="4599" uniqueCount="450">
  <si>
    <t>Informe de trayectos</t>
  </si>
  <si>
    <t>Periodo: 7 de febrero de 2025 0:00 - 7 de febrero de 2025 23:59</t>
  </si>
  <si>
    <t>Informe generado</t>
  </si>
  <si>
    <t>a: 22 de septiembre de 2025 14:13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</si>
  <si>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</si>
  <si>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</si>
  <si>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</si>
  <si>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</si>
  <si>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</si>
  <si>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</si>
  <si>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</si>
  <si>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</si>
  <si>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</si>
  <si>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</si>
  <si>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</si>
  <si>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</si>
  <si>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</si>
  <si>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</si>
  <si>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</si>
  <si>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97 km/h</t>
  </si>
  <si>
    <t>16 km/h</t>
  </si>
  <si>
    <t>Avenida Lima Norte, Santa Eulalia, Lima Metropolitana, Lima, 15468, Perú</t>
  </si>
  <si>
    <t>Lurigancho, Lima Metropolitana, Lima, 15468, Perú</t>
  </si>
  <si>
    <t>78 km/h</t>
  </si>
  <si>
    <t>15 km/h</t>
  </si>
  <si>
    <t>Avenida Los Incas, Ate, Lima Metropolitana, Lima, 15483, Perú</t>
  </si>
  <si>
    <t>Los Huancas, Ate, Lima Metropolitana, Lima, 15483, Perú</t>
  </si>
  <si>
    <t>82 km/h</t>
  </si>
  <si>
    <t>17 km/h</t>
  </si>
  <si>
    <t>Ate, Lima Metropolitana, Lima, 15483, Perú</t>
  </si>
  <si>
    <t>70 km/h</t>
  </si>
  <si>
    <t>Calle Manantiales de Vida, Ate, Lima Metropolitana, Lima, 15487, Perú</t>
  </si>
  <si>
    <t>92 km/h</t>
  </si>
  <si>
    <t>85 km/h</t>
  </si>
  <si>
    <t>14 km/h</t>
  </si>
  <si>
    <t>Avenida Metropolitana, Santa Anita, Lima Metropolitana, Lima, 15009, Perú</t>
  </si>
  <si>
    <t>77 km/h</t>
  </si>
  <si>
    <t>21 km/h</t>
  </si>
  <si>
    <t>Carretera Central, Chaclacayo, Lima Metropolitana, Lima, 15476, Perú</t>
  </si>
  <si>
    <t>63 km/h</t>
  </si>
  <si>
    <t>Calle los Alamos, Chosica, Lima Metropolitana, Lima, 15468, Perú</t>
  </si>
  <si>
    <t>Avenida Las Retamas, Ricardo Palma, Huarochirí, Lima, 15468, Perú</t>
  </si>
  <si>
    <t>98 km/h</t>
  </si>
  <si>
    <t>Calle Las Gardenias, Ricardo Palma, Huarochirí, Lima, 15468, Perú</t>
  </si>
  <si>
    <t>72 km/h</t>
  </si>
  <si>
    <t>10 km/h</t>
  </si>
  <si>
    <t>Capitan Gamarra, Ricardo Palma, Huarochirí, Lima, 15468, Perú, (Ruta4507nueva era 23-10-23)</t>
  </si>
  <si>
    <t>100 km/h</t>
  </si>
  <si>
    <t>Avenida José Carlos Mariátegui, Ricardo Palma, Huarochirí, Lima, 15468, Perú</t>
  </si>
  <si>
    <t>Calle Huayna Cápac, 200, Chaclacayo, Lima Metropolitana, Lima, 15474, Perú</t>
  </si>
  <si>
    <t>76 km/h</t>
  </si>
  <si>
    <t>Calle Cerro de Pasco, Ate, Lima Metropolitana, Lima, 15498, Perú</t>
  </si>
  <si>
    <t>71 km/h</t>
  </si>
  <si>
    <t>13 km/h</t>
  </si>
  <si>
    <t>Avenida Bernard de Balaguer, Lurigancho, Lima Metropolitana, Lima, 15464, Perú</t>
  </si>
  <si>
    <t>84 km/h</t>
  </si>
  <si>
    <t>79 km/h</t>
  </si>
  <si>
    <t>12 km/h</t>
  </si>
  <si>
    <t>Pasaje A, Ate, Lima Metropolitana, Lima, 15487, Perú</t>
  </si>
  <si>
    <t>87 km/h</t>
  </si>
  <si>
    <t>Calle 1, Ate, Lima Metropolitana, Lima, 15483, Perú</t>
  </si>
  <si>
    <t>81 km/h</t>
  </si>
  <si>
    <t>Avenida La Paz, G2, Santa Eulalia, Huarochirí, Lima, 15500, Perú</t>
  </si>
  <si>
    <t>Avenida Circunvalación, La Victoria, Lima Metropolitana, Lima, 15019, Perú</t>
  </si>
  <si>
    <t>68 km/h</t>
  </si>
  <si>
    <t>Calle Leoncio Prado, Santa Eulalia, Huarochirí, Lima, 15468, Perú</t>
  </si>
  <si>
    <t>93 km/h</t>
  </si>
  <si>
    <t>Calle Estocolmo, Ate, Lima Metropolitana, Lima, 15498, Perú</t>
  </si>
  <si>
    <t>86 km/h</t>
  </si>
  <si>
    <t>18 km/h</t>
  </si>
  <si>
    <t>Calle Las Tunas, Santa Anita, Lima Metropolitana, Lima, 15007, Perú</t>
  </si>
  <si>
    <t>9 km/h</t>
  </si>
  <si>
    <t>Calle Los Topacios, Lurigancho, Lima Metropolitana, Lima, 15472, Perú</t>
  </si>
  <si>
    <t>Avenida Nicolás de Ayllón, 816-818, Ate, Lima Metropolitana, Lima, 15487, Perú, (Ruta4507nueva era 23-10-23)</t>
  </si>
  <si>
    <t>Prolongación Javier Prado Este, Ate, Lima Metropolitana, Lima, 15498, Perú, (Ruta4507nueva era 23-10-23)</t>
  </si>
  <si>
    <t>80 km/h</t>
  </si>
  <si>
    <t>Avenida Paseo de la República, Lima, Lima Metropolitana, Lima, 15083, Perú, (Ruta4507nueva era 23-10-23)</t>
  </si>
  <si>
    <t>Avenida Alfonso Cobián, Chaclacayo, Lima Metropolitana, Lima, 15476, Perú</t>
  </si>
  <si>
    <t>20 km/h</t>
  </si>
  <si>
    <t>Calle 11, Santa Anita, Lima Metropolitana, Lima, 15009, Perú</t>
  </si>
  <si>
    <t>83 km/h</t>
  </si>
  <si>
    <t>Ate, Lima Metropolitana, Lima, 15474, Perú</t>
  </si>
  <si>
    <t>4 km/h</t>
  </si>
  <si>
    <t>Avenida Enrique Guzmán y Valle, Chosica, Lima Metropolitana, Lima, 15468, Perú</t>
  </si>
  <si>
    <t>Calle Los Álamos, Ate, Lima Metropolitana, Lima, 15483, Perú</t>
  </si>
  <si>
    <t>75 km/h</t>
  </si>
  <si>
    <t>47 km/h</t>
  </si>
  <si>
    <t>2 km/h</t>
  </si>
  <si>
    <t>Carretera Central, Ate, Lima Metropolitana, Lima, 15474, Perú</t>
  </si>
  <si>
    <t>90 km/h</t>
  </si>
  <si>
    <t>19 km/h</t>
  </si>
  <si>
    <t>7 km/h</t>
  </si>
  <si>
    <t>Santa Eulalia, Huarochirí, Lima, 15468, Perú</t>
  </si>
  <si>
    <t>104 km/h</t>
  </si>
  <si>
    <t>Chaclacayo, Lima Metropolitana, Lima, 15472, Perú</t>
  </si>
  <si>
    <t>Avenida Lima Norte, Chosica, Lima Metropolitana, Lima, 15468, Perú</t>
  </si>
  <si>
    <t>101 km/h</t>
  </si>
  <si>
    <t>Corcona, Huarochirí, Lima, Perú</t>
  </si>
  <si>
    <t>Carretera Central, Sol de Cupiche, Huarochirí, Lima, 15500, Perú</t>
  </si>
  <si>
    <t>61 km/h</t>
  </si>
  <si>
    <t>Plaza Francisco Bolognesi, Lima, Lima Metropolitana, Lima, 15083, Perú, (Ruta4507nueva era 23-10-23)</t>
  </si>
  <si>
    <t>Avenida Nicolás de Ayllón, Santa Anita, Lima Metropolitana, Lima, 15008, Perú, (Ruta4507nueva era 23-10-23, RUTA DESVIO TEM.  4507)</t>
  </si>
  <si>
    <t>105 km/h</t>
  </si>
  <si>
    <t>Avenida José Carlos Mariátegui, Ate, Lima Metropolitana, Lima, 15483, Perú</t>
  </si>
  <si>
    <t>91 km/h</t>
  </si>
  <si>
    <t>Avenida Colectora, Chosica, Lima Metropolitana, Lima, 15468, Perú</t>
  </si>
  <si>
    <t>Calle 3, Chosica, Lima Metropolitana, Lima, 15468, Perú</t>
  </si>
  <si>
    <t>Avenida Micaela Bastidas, 561, Santa Eulalia, Huarochirí, Lima, 15468, Perú</t>
  </si>
  <si>
    <t>Alameda E, Chaclacayo, Lima Metropolitana, Lima, 15476, Perú</t>
  </si>
  <si>
    <t>Micaela Bastidas, Ate, Lima Metropolitana, Lima, 15498, Perú</t>
  </si>
  <si>
    <t>Simón Bolívar, Ricardo Palma, Huarochirí, Lima, 15468, Perú</t>
  </si>
  <si>
    <t>73 km/h</t>
  </si>
  <si>
    <t>11 km/h</t>
  </si>
  <si>
    <t>Prolongación Javier Prado Este, Ate, Lima Metropolitana, Lima, 15498, Perú</t>
  </si>
  <si>
    <t>Jirón Tacna, Chosica, Lima Metropolitana, Lima, 15468, Perú</t>
  </si>
  <si>
    <t>Avenida Metropolitana, Ate, Lima Metropolitana, Lima, 15498, Perú, (RUTA DESVIO TEM.  4507)</t>
  </si>
  <si>
    <t>Avenida Nicolás de Ayllón, Santa Anita, Lima Metropolitana, Lima, 15009, Perú, (Ruta4507nueva era 23-10-23)</t>
  </si>
  <si>
    <t>Calle 2, Ate, Lima Metropolitana, Lima, 15487, Perú</t>
  </si>
  <si>
    <t>Avenida Lima Sur, Chosica, Lima Metropolitana, Lima, 15468, Perú, (Ruta4507nueva era 23-10-23)</t>
  </si>
  <si>
    <t>Avenida Inca Garcilazo de la Vega, Lima, Lima Metropolitana, Lima, 15004, Perú</t>
  </si>
  <si>
    <t>108 km/h</t>
  </si>
  <si>
    <t>Avenida José Santos Chocano, Ricardo Palma, Huarochirí, Lima, 15468, Perú</t>
  </si>
  <si>
    <t>Carretera Central, Ate, Lima Metropolitana, Lima, 15474, Perú, (Ruta4507nueva era 23-10-23)</t>
  </si>
  <si>
    <t>Totales:</t>
  </si>
  <si>
    <t/>
  </si>
  <si>
    <t>* Los datos de combustible se calculan de acuerdo con el consumo medio de combustible del vehículo especificado en su configuración</t>
  </si>
  <si>
    <t>5 km/h</t>
  </si>
  <si>
    <t>1 km/h</t>
  </si>
  <si>
    <t>Avenida Simón Bolívar, Santa Eulalia, Huarochirí, Lima, 15468, Perú</t>
  </si>
  <si>
    <t>0 km/h</t>
  </si>
  <si>
    <t>Marcos Puente Llanos, Ate, Lima Metropolitana, Lima, 15498, Perú, (RUTA DESVIO TEM.  4507)</t>
  </si>
  <si>
    <t>55 km/h</t>
  </si>
  <si>
    <t>6 km/h</t>
  </si>
  <si>
    <t>Avenida Nicolás de Ayllón, Ate, Lima Metropolitana, Lima, 15498, Perú, (Ruta4507nueva era 23-10-23)</t>
  </si>
  <si>
    <t>48 km/h</t>
  </si>
  <si>
    <t>23 km/h</t>
  </si>
  <si>
    <t>Ricardo Palma, Huarochirí, Lima, 15468, Perú, (CURVA RICARDO PALMA, Ruta4507nueva era 23-10-23)</t>
  </si>
  <si>
    <t>32 km/h</t>
  </si>
  <si>
    <t>Calle Berlín, Ate, Lima Metropolitana, Lima, 15498, Perú, (RUTA DESVIO TEM.  4507)</t>
  </si>
  <si>
    <t>29 km/h</t>
  </si>
  <si>
    <t>3 km/h</t>
  </si>
  <si>
    <t>8 km/h</t>
  </si>
  <si>
    <t>Avenida Lima Norte, Santa Eulalia, Lima Metropolitana, Lima, 15468, Perú, (Ruta4507nueva era 23-10-23)</t>
  </si>
  <si>
    <t>24 km/h</t>
  </si>
  <si>
    <t>28 km/h</t>
  </si>
  <si>
    <t>Avenida José Carlos Mariátegui, Ate, Lima Metropolitana, Lima, 15474, Perú, (Horacio Zeballos)</t>
  </si>
  <si>
    <t>42 km/h</t>
  </si>
  <si>
    <t>Avenida Simón Bolívar, Santa Eulalia, Huarochirí, Lima, 15468, Perú, (Ruta4507nueva era 23-10-23)</t>
  </si>
  <si>
    <t>Avenida Iquitos, Lima, Lima Metropolitana, Lima, 15001, Perú, (Ruta4507nueva era 23-10-23)</t>
  </si>
  <si>
    <t>Avenida Almirante Miguel Grau, 243, Lima, Lima Metropolitana, Lima, 15001, Perú, (Ruta4507nueva era 23-10-23)</t>
  </si>
  <si>
    <t>Jirón Tacna, Chosica, Lima Metropolitana, Lima, 15468, Perú, (Ruta4507nueva era 23-10-23)</t>
  </si>
  <si>
    <t>40 km/h</t>
  </si>
  <si>
    <t>Pasaje Gould, Lima, Lima Metropolitana, Lima, 15082, Perú</t>
  </si>
  <si>
    <t>69 km/h</t>
  </si>
  <si>
    <t>Avenida José Carlos Mariátegui, Ricardo Palma, Huarochirí, Lima, 15468, Perú, (CURVA RICARDO PALMA, Ruta4507nueva era 23-10-23)</t>
  </si>
  <si>
    <t>Avenida Nueva Neópolis, Ate, Lima Metropolitana, Lima, 15487, Perú</t>
  </si>
  <si>
    <t>Carretera Central, Ate, Lima Metropolitana, Lima, 15487, Perú, (Ruta4507nueva era 23-10-23)</t>
  </si>
  <si>
    <t>35 km/h</t>
  </si>
  <si>
    <t>Avenida José Carlos Mariátegui, Ricardo Palma, Huarochirí, Lima, 15468, Perú, (Ruta4507nueva era 23-10-23)</t>
  </si>
  <si>
    <t>62 km/h</t>
  </si>
  <si>
    <t>26 km/h</t>
  </si>
  <si>
    <t>Jose Carlos Mariátegui, Ricardo Palma, Lima Metropolitana, Lima, 15468, Perú, (PARADERO RICARDO PALMA)</t>
  </si>
  <si>
    <t>Jirón Sánchez Pinillos, Breña, Lima Metropolitana, Lima, 15082, Perú</t>
  </si>
  <si>
    <t>Avenida Santa Rosa, Ate, Lima Metropolitana, Lima, 15002, Perú</t>
  </si>
  <si>
    <t>Carretera Central, Ate, Lima Metropolitana, Lima, 15483, Perú</t>
  </si>
  <si>
    <t>66 km/h</t>
  </si>
  <si>
    <t>Avenida Nicolás de Ayllón, Ate, Lima Metropolitana, Lima, 15487, Perú, (Ruta4507nueva era 23-10-23)</t>
  </si>
  <si>
    <t>Calle Los Robles, Chaclacayo, Lima Metropolitana, Lima, 15472, Perú</t>
  </si>
  <si>
    <t>Pasaje B, Chaclacayo, Lima Metropolitana, Lima, 15476, Perú</t>
  </si>
  <si>
    <t>59 km/h</t>
  </si>
  <si>
    <t>Marcos Puente Llanos, Ate, Lima Metropolitana, Lima, 15498, Perú</t>
  </si>
  <si>
    <t>57 km/h</t>
  </si>
  <si>
    <t>Avenida Jaime Zubieta Calderon, Ate, Lima Metropolitana, Lima, 15483, Perú, (Ruta4507nueva era 23-10-23)</t>
  </si>
  <si>
    <t>Carretera Central, Chaclacayo, Lima Metropolitana, Lima, 15476, Perú, (Ruta4507nueva era 23-10-23)</t>
  </si>
  <si>
    <t>50 km/h</t>
  </si>
  <si>
    <t>51 km/h</t>
  </si>
  <si>
    <t>Avenida Nicolás Ayllón, 161 C, Chaclacayo, Lima Metropolitana, Lima, 15464, Perú, (Ruta4507nueva era 23-10-23)</t>
  </si>
  <si>
    <t>58 km/h</t>
  </si>
  <si>
    <t>Avenida Nicolás Ayllón, 161 C, Chaclacayo, Lima Metropolitana, Lima, 15472, Perú, (Ruta4507nueva era 23-10-23)</t>
  </si>
  <si>
    <t>Avenida Malecón Manco Cápac, Chaclacayo, Lima Metropolitana, Lima, 15472, Perú, (Ruta4507nueva era 23-10-23)</t>
  </si>
  <si>
    <t>60 km/h</t>
  </si>
  <si>
    <t>Carretera Central, Chaclacayo, Lima Metropolitana, Lima, 15464, Perú, (Ruta4507nueva era 23-10-23)</t>
  </si>
  <si>
    <t>67 km/h</t>
  </si>
  <si>
    <t>Carretera Central, Chaclacayo, Lima Metropolitana, Lima, 15474, Perú, (S07ÑAÑA, Ruta4507nueva era 23-10-23)</t>
  </si>
  <si>
    <t>Carretera Central, Chaclacayo, Lima Metropolitana, Lima, 15474, Perú, (Ruta4507nueva era 23-10-23)</t>
  </si>
  <si>
    <t>45 km/h</t>
  </si>
  <si>
    <t>Carretera Central, Lurigancho, Lima Metropolitana, Lima, 15483, Perú</t>
  </si>
  <si>
    <t>22 km/h</t>
  </si>
  <si>
    <t>Carretera Central, Lurigancho, Lima Metropolitana, Lima, 15483, Perú, (Ruta4507nueva era 23-10-23)</t>
  </si>
  <si>
    <t>Carretera Central, Ate, Lima Metropolitana, Lima, 15483, Perú, (Ruta4507nueva era 23-10-23)</t>
  </si>
  <si>
    <t>Avenida Jaime Zubieta Calderón, Ate, Lima Metropolitana, Lima, 15483, Perú, (Ruta4507nueva era 23-10-23)</t>
  </si>
  <si>
    <t>43 km/h</t>
  </si>
  <si>
    <t>39 km/h</t>
  </si>
  <si>
    <t>Carretera Central, Ate, Lima Metropolitana, Lima, 15474, Perú, (Horacio Zeballos)</t>
  </si>
  <si>
    <t>52 km/h</t>
  </si>
  <si>
    <t>25 km/h</t>
  </si>
  <si>
    <t>36 km/h</t>
  </si>
  <si>
    <t>Avenida Nicolás Ayllón, Chaclacayo, Lima Metropolitana, Lima, 15472, Perú, (Ruta4507nueva era 23-10-23)</t>
  </si>
  <si>
    <t>Avenida Nicolás Ayllón, 432, Chaclacayo, Lima Metropolitana, Lima, 15472, Perú, (Ruta4507nueva era 23-10-23)</t>
  </si>
  <si>
    <t>Avenida Nicolás Ayllón, 477, Chaclacayo, Lima Metropolitana, Lima, 15472, Perú, (Ruta4507nueva era 23-10-23)</t>
  </si>
  <si>
    <t>Avenida Nicolás Ayllón, Chaclacayo, Lima Metropolitana, Lima, 15472, Perú, (S08 CHACLACAYO/PARQUE, Ruta4507nueva era 23-10-23)</t>
  </si>
  <si>
    <t>37 km/h</t>
  </si>
  <si>
    <t>Avenida Nicolás Ayllón, Km. 24, Chaclacayo, Lima Metropolitana, Lima, 15472, Perú, (Ruta4507nueva era 23-10-23)</t>
  </si>
  <si>
    <t>41 km/h</t>
  </si>
  <si>
    <t>Carretera Central, Chaclacayo, Lima Metropolitana, Lima, 15464, Perú</t>
  </si>
  <si>
    <t>Carretera Central, Chaclacayo, Lima Metropolitana, Lima, 15474, Perú</t>
  </si>
  <si>
    <t>Avenida Unión, Chaclacayo, Lima Metropolitana, Lima, 15474, Perú</t>
  </si>
  <si>
    <t>Avenida Unión, Chaclacayo, Lima Metropolitana, Lima, 15474, Perú, (S07ÑAÑA)</t>
  </si>
  <si>
    <t>64 km/h</t>
  </si>
  <si>
    <t>33 km/h</t>
  </si>
  <si>
    <t>Carretera Central, Ate, Lima Metropolitana, Lima, 15474, Perú, (Horacio Zeballos, Ruta4507nueva era 23-10-23)</t>
  </si>
  <si>
    <t>54 km/h</t>
  </si>
  <si>
    <t>27 km/h</t>
  </si>
  <si>
    <t>31 km/h</t>
  </si>
  <si>
    <t>Carretera Central, Ate, Lima Metropolitana, Lima, 15487, Perú, (S06 SANTA CLARA, Ruta4507nueva era 23-10-23)</t>
  </si>
  <si>
    <t>Ate, Lima Metropolitana, Lima, 15487, Perú, (S06 SANTA CLARA, Ruta4507nueva era 23-10-23)</t>
  </si>
  <si>
    <t>Avenida Bernardino Rivadavia, Ate, Lima Metropolitana, Lima, 15498, Perú, (RUTA DESVIO TEM.  4507)</t>
  </si>
  <si>
    <t>Avenida Bernardino Rivadavia, Ate, Lima Metropolitana, Lima, 15498, Perú</t>
  </si>
  <si>
    <t>Prolongación Javier Prado Este, Ate, Lima Metropolitana, Lima, 15498, Perú, (RUTA DESVIO TEM.  4507)</t>
  </si>
  <si>
    <t>Avenida Huancaray, Santa Anita, Lima Metropolitana, Lima, 15009, Perú, (RUTA DESVIO TEM.  4507)</t>
  </si>
  <si>
    <t>Avenida Huancaray, Santa Anita, Lima Metropolitana, Lima, 15008, Perú, (RUTA DESVIO TEM.  4507)</t>
  </si>
  <si>
    <t>Avenida Los Ruiseñores, Santa Anita, Lima Metropolitana, Lima, 15007, Perú, (RUTA DESVIO TEM.  4507)</t>
  </si>
  <si>
    <t>Avenida Los Eucaliptos, Santa Anita, Lima Metropolitana, Lima, 15008, Perú, (RUTA DESVIO TEM.  4507)</t>
  </si>
  <si>
    <t>Avenida Manuel de la Torre Ugarte, Santa Anita, Lima Metropolitana, Lima, 15008, Perú, (RUTA DESVIO TEM.  4507)</t>
  </si>
  <si>
    <t>Avenida Nicolás de Ayllón, Santa Anita, Lima Metropolitana, Lima, 15008, Perú, (RUTA DESVIO TEM.  4507)</t>
  </si>
  <si>
    <t>Avenida Minería, Santa Anita, Lima Metropolitana, Lima, 15008, Perú, (RUTA DESVIO TEM.  4507)</t>
  </si>
  <si>
    <t>Avenida Nicolás de Ayllón, Santa Anita, Lima Metropolitana, Lima, 15008, Perú</t>
  </si>
  <si>
    <t>Avenida Minería, Santa Anita, Lima Metropolitana, Lima, 15008, Perú</t>
  </si>
  <si>
    <t>Avenida Nicolás de Ayllón, Santa Anita, Lima Metropolitana, Lima, 15008, Perú, (Ruta4507nueva era 23-10-23)</t>
  </si>
  <si>
    <t>Vía de Evitamiento, Santa Anita, Lima Metropolitana, Lima, 15008, Perú, (Ruta4507nueva era 23-10-23, RUTA DESVIO TEM.  4507)</t>
  </si>
  <si>
    <t>38 km/h</t>
  </si>
  <si>
    <t>Avenida Nicolás de Ayllón, El Agustino, Lima Metropolitana, Lima, 15008, Perú, (Ruta4507nueva era 23-10-23)</t>
  </si>
  <si>
    <t>Avenida 1 de Mayo, El Agustino, Lima Metropolitana, Lima, 15002, Perú, (Ruta4507nueva era 23-10-23, RUTA DESVIO TEM.  4507)</t>
  </si>
  <si>
    <t>Avenida Santa Rosa, El Agustino, Lima Metropolitana, Lima, 15002, Perú, (Ruta4507nueva era 23-10-23, RUTA DESVIO TEM.  4507)</t>
  </si>
  <si>
    <t>Avenida Nicolás de Ayllón, Ate, Lima Metropolitana, Lima, 15022, Perú, (Ruta4507nueva era 23-10-23, RUTA DESVIO TEM.  4507)</t>
  </si>
  <si>
    <t>56 km/h</t>
  </si>
  <si>
    <t>Nardos, Ate, Lima Metropolitana, Lima, 15019, Perú</t>
  </si>
  <si>
    <t>Avenida Andrés Avelino Cáceres, Ate, Lima Metropolitana, Lima, 15019, Perú</t>
  </si>
  <si>
    <t>Jirón Junín, El Agustino, Lima Metropolitana, Lima, 15003, Perú</t>
  </si>
  <si>
    <t>Jirón Junín, Lima, Lima Metropolitana, Lima, 15003, Perú</t>
  </si>
  <si>
    <t>Avenida Almirante Miguel Grau, 1772, Lima, Lima Metropolitana, Lima, 15011, Perú, (Ruta4507nueva era 23-10-23)</t>
  </si>
  <si>
    <t>Avenida Almirante Miguel Grau, 1772, Lima, Lima Metropolitana, Lima, 15011, Perú</t>
  </si>
  <si>
    <t>Avenida Almirante Miguel Grau, 1715, Lima, Lima Metropolitana, Lima, 15011, Perú, (Ruta4507nueva era 23-10-23)</t>
  </si>
  <si>
    <t>Avenida Almirante Miguel Grau, 1553, Lima, Lima Metropolitana, Lima, 15011, Perú, (Ruta4507nueva era 23-10-23)</t>
  </si>
  <si>
    <t>Avenida Almirante Miguel Grau, 1518, Lima, Lima Metropolitana, Lima, 15011, Perú, (Ruta4507nueva era 23-10-23)</t>
  </si>
  <si>
    <t>Vía Expresa Almirante Miguel Grau, Lima, Lima Metropolitana, Lima, 15001, Perú, (Ruta4507nueva era 23-10-23)</t>
  </si>
  <si>
    <t>30 km/h</t>
  </si>
  <si>
    <t>Vía Expresa Almirante Miguel Grau, Lima, Lima Metropolitana, Lima, 15001, Perú, (S02 AV.GRAU/ JR ANDAHUAYLAS, Ruta4507nueva era 23-10-23)</t>
  </si>
  <si>
    <t>Avenida Almirante Miguel Grau, Lima, Lima Metropolitana, Lima, 15001, Perú, (Ruta4507nueva era 23-10-23)</t>
  </si>
  <si>
    <t>Avenida Almirante Miguel Grau, 113, Lima, Lima Metropolitana, Lima, 15001, Perú, (Ruta4507nueva era 23-10-23)</t>
  </si>
  <si>
    <t>Avenida Almirante Miguel Grau, 113, Lima, Lima Metropolitana, Lima, 15001, Perú</t>
  </si>
  <si>
    <t>Metropolitano, Lima, Lima Metropolitana, Lima, 15001, Perú, (Ruta4507nueva era 23-10-23)</t>
  </si>
  <si>
    <t>Avenida Paseo de la República, 400, Jesús María, Lima Metropolitana, Lima, 15001, Perú</t>
  </si>
  <si>
    <t>Avenida Paseo de la República, Lima, Lima Metropolitana, Lima, 15083, Perú</t>
  </si>
  <si>
    <t>Avenida 28 de Julio, Lima, Lima Metropolitana, Lima, 15083, Perú</t>
  </si>
  <si>
    <t>Avenida 28 de Julio, 1056, Jesús María, Lima Metropolitana, Lima, 15083, Perú</t>
  </si>
  <si>
    <t>Avenida 28 de Julio, 970, Jesús María, Lima Metropolitana, Lima, 15083, Perú</t>
  </si>
  <si>
    <t>Avenida 28 de Julio, 798, Lima, Lima Metropolitana, Lima, 15083, Perú</t>
  </si>
  <si>
    <t>Avenida 28 de Julio, 715, Jesús María, Lima Metropolitana, Lima, 15083, Perú</t>
  </si>
  <si>
    <t>Jirón Washington, 1509, Lima, Lima Metropolitana, Lima, 15083, Perú</t>
  </si>
  <si>
    <t>46 km/h</t>
  </si>
  <si>
    <t>Jirón Washington, Lima, Lima Metropolitana, Lima, 15083, Perú, (Ruta4507nueva era 23-10-23)</t>
  </si>
  <si>
    <t>Jirón Washington, 1476, Lima, Lima Metropolitana, Lima, 15083, Perú</t>
  </si>
  <si>
    <t>Jirón Washington, 1471, Lima, Lima Metropolitana, Lima, 15083, Perú</t>
  </si>
  <si>
    <t>Jirón Washington, 1355, Lima, Lima Metropolitana, Lima, 15083, Perú</t>
  </si>
  <si>
    <t>Jirón Huarochirí, 643, Lima, Lima Metropolitana, Lima, 15082, Perú</t>
  </si>
  <si>
    <t>Ciclovía Colonial, Lima, Lima Metropolitana, Lima, 15082, Perú, (Ruta4507nueva era 23-10-23)</t>
  </si>
  <si>
    <t>Avenida Óscar Raimundo Benavides, 150, Lima, Lima Metropolitana, Lima, 15082, Perú, (Ruta4507nueva era 23-10-23)</t>
  </si>
  <si>
    <t>Avenida Óscar Raimundo Benavides, 150, Lima, Lima Metropolitana, Lima, 15082, Perú</t>
  </si>
  <si>
    <t>Jirón Pomabamba, Breña, Lima Metropolitana, Lima, 15082, Perú</t>
  </si>
  <si>
    <t>Avenida Alfonso Ugarte, 1006, Lima, Lima Metropolitana, Lima, 15082, Perú, (Ruta4507nueva era 23-10-23)</t>
  </si>
  <si>
    <t>Avenida Alfonso Ugarte, Breña, Lima Metropolitana, Lima, 15082, Perú, (S01Alfonso Ugarte/ Metro, Ruta4507nueva era 23-10-23)</t>
  </si>
  <si>
    <t>Avenida Alfonso Ugarte, Breña, Lima Metropolitana, Lima, 15082, Perú, (Ruta4507nueva era 23-10-23)</t>
  </si>
  <si>
    <t>Avenida Alfonso Ugarte, 1280, Breña, Lima Metropolitana, Lima, 15083, Perú, (Ruta4507nueva era 23-10-23)</t>
  </si>
  <si>
    <t>Pasaje Malvas, Breña, Lima Metropolitana, Lima, 15083, Perú, (Ruta4507nueva era 23-10-23)</t>
  </si>
  <si>
    <t>Avenida Alfonso Ugarte, 494, Breña, Lima Metropolitana, Lima, 15083, Perú, (Ruta4507nueva era 23-10-23)</t>
  </si>
  <si>
    <t>Avenida Guzmán Blanco, 391, Lima, Lima Metropolitana, Lima, 15046, Perú</t>
  </si>
  <si>
    <t>Avenida Guzmán Blanco, 445, Lima, Lima Metropolitana, Lima, 15083, Perú</t>
  </si>
  <si>
    <t>Avenida Guzmán Blanco, Lima, Lima Metropolitana, Lima, 15083, Perú</t>
  </si>
  <si>
    <t>Plaza Jorge Chávez, Jesús María, Lima Metropolitana, Lima, 15083, Perú</t>
  </si>
  <si>
    <t>Avenida 28 de Julio, Jesús María, Lima Metropolitana, Lima, 15083, Perú</t>
  </si>
  <si>
    <t>Avenida Almirante Miguel Grau, La Victoria, Lima Metropolitana, Lima, 15001, Perú, (Ruta4507nueva era 23-10-23)</t>
  </si>
  <si>
    <t>Avenida José Gálvez, La Victoria, Lima Metropolitana, Lima, 15001, Perú</t>
  </si>
  <si>
    <t>Vía Expresa Almirante Miguel Grau, La Victoria, Lima Metropolitana, Lima, 15001, Perú, (Ruta4507nueva era 23-10-23)</t>
  </si>
  <si>
    <t>Avenida Almirante Miguel Grau, 364, La Victoria, Lima Metropolitana, Lima, 15001, Perú, (Ruta4507nueva era 23-10-23)</t>
  </si>
  <si>
    <t>Avenida Almirante Miguel Grau, 384, La Victoria, Lima Metropolitana, Lima, 15001, Perú, (Ruta4507nueva era 23-10-23)</t>
  </si>
  <si>
    <t>Vía Expresa Almirante Miguel Grau, La Victoria, Lima Metropolitana, Lima, 15001, Perú, (S02 AV.GRAU/ JR ANDAHUAYLAS, Ruta4507nueva era 23-10-23)</t>
  </si>
  <si>
    <t>Jirón Paruro, 1199, Lima, Lima Metropolitana, Lima, 15001, Perú, (Ruta4507nueva era 23-10-23)</t>
  </si>
  <si>
    <t>Avenida Almirante Miguel Grau, 1518, Lima, Lima Metropolitana, Lima, 15011, Perú</t>
  </si>
  <si>
    <t>Avenida Almirante Miguel Grau, Lima, Lima Metropolitana, Lima, 15011, Perú, (Ruta4507nueva era 23-10-23)</t>
  </si>
  <si>
    <t>Calle Angel Cepollini, San Luis, Lima Metropolitana, Lima, 15019, Perú</t>
  </si>
  <si>
    <t>Avenida Nicolás de Ayllón, Ate, Lima Metropolitana, Lima, 15002, Perú, (Ruta4507nueva era 23-10-23, RUTA DESVIO TEM.  4507)</t>
  </si>
  <si>
    <t>Avenida Nicolás de Ayllón, Ate, Lima Metropolitana, Lima, 15008, Perú, (Ruta4507nueva era 23-10-23, RUTA DESVIO TEM.  4507)</t>
  </si>
  <si>
    <t>Avenida Los Cipreses, Santa Anita, Lima Metropolitana, Lima, 15008, Perú, (RUTA DESVIO TEM.  4507)</t>
  </si>
  <si>
    <t>Avenida Los Cipreses, Santa Anita, Lima Metropolitana, Lima, 15002, Perú, (RUTA DESVIO TEM.  4507)</t>
  </si>
  <si>
    <t>Avenida Los Cipreses, Santa Anita, Lima Metropolitana, Lima, 15002, Perú</t>
  </si>
  <si>
    <t>Avenida Metropolitana, Santa Anita, Lima Metropolitana, Lima, 15009, Perú, (RUTA DESVIO TEM.  4507)</t>
  </si>
  <si>
    <t>Calle 4, Ate, Lima Metropolitana, Lima, 15498, Perú</t>
  </si>
  <si>
    <t>Avenida Nicolás de Ayllón, 6376, Ate, Lima Metropolitana, Lima, 15498, Perú, (Ruta4507nueva era 23-10-23)</t>
  </si>
  <si>
    <t>Avenida Esperanza, Ate, Lima Metropolitana, Lima, 15487, Perú, (Ruta4507nueva era 23-10-23)</t>
  </si>
  <si>
    <t>44 km/h</t>
  </si>
  <si>
    <t>Carretera Central, 1030, Ate, Lima Metropolitana, Lima, 15487, Perú, (Ruta4507nueva era 23-10-23)</t>
  </si>
  <si>
    <t>Avenida Andrés Avelino Cáceres, Ate, Lima Metropolitana, Lima, 15474, Perú</t>
  </si>
  <si>
    <t>Chaclacayo, Lima Metropolitana, Lima, 15474, Perú, (Ruta4507nueva era 23-10-23)</t>
  </si>
  <si>
    <t>34 km/h</t>
  </si>
  <si>
    <t>Avenida Nicolás Ayllón, 2032, Chaclacayo, Lima Metropolitana, Lima, 15472, Perú, (Ruta4507nueva era 23-10-23)</t>
  </si>
  <si>
    <t>Ate, Lima Metropolitana, Lima, 15487, Perú, (Ruta4507nueva era 23-10-23)</t>
  </si>
  <si>
    <t>Avenida Nicolás de Ayllón, 5880, Ate, Lima Metropolitana, Lima, 15498, Perú, (Ruta4507nueva era 23-10-23)</t>
  </si>
  <si>
    <t>Avenida Nicolás de Ayllón, 5880, Ate, Lima Metropolitana, Lima, 15498, Perú, (S05Vitarte/ ALT. Hospital, Ruta4507nueva era 23-10-23)</t>
  </si>
  <si>
    <t>Ciclovía Colonial, Lima, Lima Metropolitana, Lima, 15082, Perú</t>
  </si>
  <si>
    <t>Jose Carlos Mariátegui, Chosica, Lima Metropolitana, Lima, 15468, Perú, (PARADERO RICARDO PALMA)</t>
  </si>
  <si>
    <t>Jirón Cornelio Borda, Breña, Lima Metropolitana, Lima, 15082, Perú, (Ruta4507nueva era 23-10-23)</t>
  </si>
  <si>
    <t>Jirón Cornelio Borda, Breña, Lima Metropolitana, Lima, 15082, Perú</t>
  </si>
  <si>
    <t>Avenida José Carlos Mariátegui, Ate, Lima Metropolitana, Lima, 15487, Perú</t>
  </si>
  <si>
    <t>Avenida 5 de Setiembre, Ricardo Palma, Huarochirí, Lima, 15468, Perú, (Ruta4507nueva era 23-10-23)</t>
  </si>
  <si>
    <t>Avenida Lima Norte, Santa Eulalia, Huarochirí, Lima, 15468, Perú</t>
  </si>
  <si>
    <t>Ricardo Palma, Huarochirí, Lima, 15468, Perú, (Ruta4507nueva era 23-10-23)</t>
  </si>
  <si>
    <t>49 km/h</t>
  </si>
  <si>
    <t>74 km/h</t>
  </si>
  <si>
    <t>Avenida Río Perene, Ate, Lima Metropolitana, Lima, 15498, Perú</t>
  </si>
  <si>
    <t>Jirón Zorritos, Lima, Lima Metropolitana, Lima, 15082, Perú</t>
  </si>
  <si>
    <t>Calle Arequipa, Ate, Lima Metropolitana, Lima, 15498, Perú</t>
  </si>
  <si>
    <t>Avenida Nicolás de Ayllón, 272-298, Lima, Lima Metropolitana, Lima, 15011, Perú, (Ruta4507nueva era 23-10-23)</t>
  </si>
  <si>
    <t>Avenida Nicolás Ayllón, 137, Lima, Lima Metropolitana, Lima, 15011, Perú, (Ruta4507nueva era 23-10-23)</t>
  </si>
  <si>
    <t>65 km/h</t>
  </si>
  <si>
    <t>Pasaje Gould, Lima, Lima Metropolitana, Lima, 15082, Perú, (PARADERO DESTINO ASCOPE)</t>
  </si>
  <si>
    <t>Jirón Ascope, Lima, Lima Metropolitana, Lima, 15082, Perú, (PARADERO DESTINO ASCOPE, Ruta4507nueva era 23-10-23)</t>
  </si>
  <si>
    <t>Avenida Lima Norte, Santa Eulalia, Huarochirí, Lima, 15468, Perú, (Ruta4507nueva era 23-10-23)</t>
  </si>
  <si>
    <t>Avenida Nicolas de Pierola, Ate, Lima Metropolitana, Lima, 15487, Perú</t>
  </si>
  <si>
    <t>Chosica, Lima Metropolitana, Lima, 15468, Perú</t>
  </si>
  <si>
    <t>Avenida Jaime Zubieta Calderón, Ate, Lima Metropolitana, Lima, 15483, Perú</t>
  </si>
  <si>
    <t>Avenida Las Retamas, Chaclacayo, Lima Metropolitana, Lima, 15474, Perú</t>
  </si>
  <si>
    <t>53 km/h</t>
  </si>
  <si>
    <t>Carretera Central, Ricardo Palma, Huarochirí, Lima, 15468, Perú</t>
  </si>
  <si>
    <t>Avenida Lima Norte, Chosica, Lima Metropolitana, Lima, 15468, Perú, (Ruta4507nueva era 23-10-23)</t>
  </si>
  <si>
    <t>Carretera Central, Ate, Lima Metropolitana, Lima, 15487, Perú</t>
  </si>
  <si>
    <t>Jirón Cornelio Borda, Lima, Lima Metropolitana, Lima, 15082, Perú</t>
  </si>
  <si>
    <t>Avenida San Martín, Santa Eulalia, Huarochirí, Lima, 15468, Perú</t>
  </si>
  <si>
    <t>Avenida Óscar Raimundo Benavides, Lima, Lima Metropolitana, Lima, 15082, Perú</t>
  </si>
  <si>
    <t>Calle 3, Santa Anita, Lima Metropolitana, Lima, 15007, Perú</t>
  </si>
  <si>
    <t>Calle Alhelíes, Chaclacayo, Lima Metropolitana, Lima, 15476, Perú</t>
  </si>
  <si>
    <t>Jirón Trujillo Sur, 344, Chosica, Lima Metropolitana, Lima, 15468, Perú, (Ruta4507nueva era 23-10-23)</t>
  </si>
  <si>
    <t>Jirón Trujillo Sur, Chosica, Lima Metropolitana, Lima, 15468, Perú, (Ruta4507nueva era 23-10-23)</t>
  </si>
  <si>
    <t>Avenida Alfonso Ugarte, 1439, Lima, Lima Metropolitana, Lima, 15083, Perú, (Ruta4507nueva era 23-10-23)</t>
  </si>
  <si>
    <t>Avenida Almirante Miguel Grau, Lima, Lima Metropolitana, Lima, 15083, Perú, (Ruta4507nueva era 23-10-23)</t>
  </si>
  <si>
    <t>Calle Salaverry, 280, Chosica, Lima Metropolitana, Lima, 15468, Perú, (Ruta4507nueva era 23-10-23)</t>
  </si>
  <si>
    <t>Avenida Nicolás de Ayllón, Santa Anita, Lima Metropolitana, Lima, 15498, Perú, (Ruta4507nueva era 23-10-23)</t>
  </si>
  <si>
    <t>Avenida Huancaray, Santa Anita, Lima Metropolitana, Lima, 15009, Perú</t>
  </si>
  <si>
    <t>Víctor Raúl Haya de la Torre, Ate, Lima Metropolitana, Lima, 15498, Perú, (Ruta4507nueva era 23-10-23)</t>
  </si>
  <si>
    <t>Avenida Andrés Avelino Cáceres, Ate, Lima Metropolitana, Lima, 15483, Perú</t>
  </si>
  <si>
    <t>Calle 35, Santa Anita, Lima Metropolitana, Lima, 15009, Perú</t>
  </si>
  <si>
    <t>Calle Solea, Chosica, Lima Metropolitana, Lima, 15468, Perú, (Ruta4507nueva era 23-10-23)</t>
  </si>
  <si>
    <t>Avenida Las Torres, Ate, Lima Metropolitana, Lima, 15487, Perú</t>
  </si>
  <si>
    <t>Calle Las Praderas, Ate, Lima Metropolitana, Lima, 15487, Perú</t>
  </si>
  <si>
    <t>Avenida José de la Riva Aguero, El Agustino, Lima Metropolitana, Lima, 15004, Perú</t>
  </si>
  <si>
    <t>Avenida Nicolás de Ayllón, Ate, Lima Metropolitana, Lima, 15008, Perú, (Ruta4507nueva era 23-10-23)</t>
  </si>
  <si>
    <t>Las Alondras, Santa Anita, Lima Metropolitana, Lima, 15008, Perú, (Ruta4507nueva era 23-10-23)</t>
  </si>
  <si>
    <t>Jirón Alemania, Lima, Lima Metropolitana, Lima, 15082, Perú</t>
  </si>
  <si>
    <t>Avenida República de Venezuela, San Miguel, Lima Metropolitana, Lima, 15032, Perú</t>
  </si>
  <si>
    <t>Jirón Trujillo Norte, Chosica, Lima Metropolitana, Lima, 15468, Perú, (Ruta4507nueva era 23-10-23)</t>
  </si>
  <si>
    <t>Avenida Lima Sur, Chosica, Lima Metropolitana, Lima, 15468, Perú</t>
  </si>
  <si>
    <t>89 km/h</t>
  </si>
  <si>
    <t>Calle Los Robles, Chaclacayo, Lima Metropolitana, Lima, 15472, Perú, (Ruta4507nueva era 23-10-23)</t>
  </si>
  <si>
    <t>Avenida Thomas Edison, Ate, Lima Metropolitana, Lima, 15002, Perú</t>
  </si>
  <si>
    <t>Avenida La Encalada, Santa Anita, Lima Metropolitana, Lima, 15007, Perú</t>
  </si>
  <si>
    <t>Calle Atahualpa, Santa Anita, Lima Metropolitana, Lima, 15007, Perú</t>
  </si>
  <si>
    <t>Avenida Colectora, Ate, Lima Metropolitana, Lima, 15483, Perú</t>
  </si>
  <si>
    <t>Simón Bolívar, Ricardo Palma, Huarochirí, Lima, 15468, Perú, (Ruta4507nueva era 23-10-23)</t>
  </si>
  <si>
    <t>Calle Abraham Valdelomar, 108, Ricardo Palma, Huarochirí, Lima, 15468, Perú</t>
  </si>
  <si>
    <t>Abraham Valdelomar, Ricardo Palma, Huarochirí, Lima, 15468, Perú</t>
  </si>
  <si>
    <t>Vía de Evitamiento, Ate, Lima Metropolitana, Lima, 15008, Perú, (Ruta4507nueva era 23-10-23)</t>
  </si>
  <si>
    <t>Jirón Arequipa, 208, Chosica, Lima Metropolitana, Lima, 15468, Perú</t>
  </si>
  <si>
    <t>Avenida Nicolás de Ayllón, Ate, Lima Metropolitana, Lima, 15002, Perú, (Ruta4507nueva era 23-10-23)</t>
  </si>
  <si>
    <t>Calle 5, Santa Eulalia, Lima Metropolitana, Lima, 15468, Perú</t>
  </si>
  <si>
    <t>Avenida Colectora, Santa Eulalia, Lima Metropolitana, Lima, 15468, Perú</t>
  </si>
  <si>
    <t>Jirón Miguel de los Ríos, 149, La Victoria, Lima Metropolitana, Lima, 15001, Perú</t>
  </si>
  <si>
    <t>Chaclacayo, Lima Metropolitana, Lima, 15476, Perú</t>
  </si>
  <si>
    <t>Avenida Nicolás Ayllón, Chaclacayo, Lima Metropolitana, Lima, 15472, Perú</t>
  </si>
  <si>
    <t>Calle Berlín, Ate, Lima Metropolitana, Lima, 15498, Perú</t>
  </si>
  <si>
    <t>Avenida Palomar Sur, Santa Eulalia, Huarochirí, Lima, 15468, Perú</t>
  </si>
  <si>
    <t>Avenida de La Cultura, Santa Anita, Lima Metropolitana, Lima, 15009, Perú</t>
  </si>
  <si>
    <t>Jirón Los Próceres, Santa Eulalia, Huarochirí, Lima, 15468, Perú</t>
  </si>
  <si>
    <t>Calle Ollanta, San Luis, Lima Metropolitana, Lima, 15019, Perú</t>
  </si>
  <si>
    <t>Avenida Almirante Miguel Grau, 1299, Lima, Lima Metropolitana, Lima, 15011, Perú, (Ruta4507nueva era 23-10-23)</t>
  </si>
  <si>
    <t>Calle Salaverry, 280, Chosica, Lima Metropolitana, Lima, 15468, Perú</t>
  </si>
  <si>
    <t>Jirón Tacna, 430, Chosica, Lima Metropolitana, Lima, 15468, Perú</t>
  </si>
  <si>
    <t>88 km/h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</si>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</sst>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6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9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</row>
    <row r="3" spans="1:13" x14ac:dyDescent="0.2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</row>
    <row r="4" spans="1:13" x14ac:dyDescent="0.2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</row>
    <row r="5" spans="1:1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3" s="1" customFormat="1" x14ac:dyDescent="0.25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387</v>
      </c>
      <c r="B8" s="3">
        <v>45695.218298611115</v>
      </c>
      <c r="C8" t="s">
        <v>18</v>
      </c>
      <c r="D8" s="3">
        <v>45695.822118055556</v>
      </c>
      <c r="E8" t="s">
        <v>18</v>
      </c>
      <c r="F8" s="4">
        <v>173.36799999999999</v>
      </c>
      <c r="G8" s="4">
        <v>513043.47200000001</v>
      </c>
      <c r="H8" s="4">
        <v>513216.84</v>
      </c>
      <c r="I8" s="5">
        <f>15702 / 86400</f>
        <v>0.1817361111111111</v>
      </c>
      <c r="J8" t="s">
        <v>19</v>
      </c>
      <c r="K8" t="s">
        <v>20</v>
      </c>
      <c r="L8" s="5">
        <f>38284 / 86400</f>
        <v>0.44310185185185186</v>
      </c>
      <c r="M8" s="5">
        <f>48105 / 86400</f>
        <v>0.55677083333333333</v>
      </c>
    </row>
    <row r="9" spans="1:13" x14ac:dyDescent="0.25">
      <c r="A9" t="s">
        <v>388</v>
      </c>
      <c r="B9" s="3">
        <v>45695.085775462961</v>
      </c>
      <c r="C9" t="s">
        <v>21</v>
      </c>
      <c r="D9" s="3">
        <v>45695.835625</v>
      </c>
      <c r="E9" t="s">
        <v>22</v>
      </c>
      <c r="F9" s="4">
        <v>97.695000000000007</v>
      </c>
      <c r="G9" s="4">
        <v>17976.62</v>
      </c>
      <c r="H9" s="4">
        <v>18074.314999999999</v>
      </c>
      <c r="I9" s="5">
        <f>9254 / 86400</f>
        <v>0.10710648148148148</v>
      </c>
      <c r="J9" t="s">
        <v>23</v>
      </c>
      <c r="K9" t="s">
        <v>24</v>
      </c>
      <c r="L9" s="5">
        <f>24204 / 86400</f>
        <v>0.28013888888888888</v>
      </c>
      <c r="M9" s="5">
        <f>62193 / 86400</f>
        <v>0.71982638888888884</v>
      </c>
    </row>
    <row r="10" spans="1:13" x14ac:dyDescent="0.25">
      <c r="A10" t="s">
        <v>389</v>
      </c>
      <c r="B10" s="3">
        <v>45695.269328703704</v>
      </c>
      <c r="C10" t="s">
        <v>25</v>
      </c>
      <c r="D10" s="3">
        <v>45695.917013888888</v>
      </c>
      <c r="E10" t="s">
        <v>26</v>
      </c>
      <c r="F10" s="4">
        <v>185.20599999999999</v>
      </c>
      <c r="G10" s="4">
        <v>327480.58299999998</v>
      </c>
      <c r="H10" s="4">
        <v>327665.78899999999</v>
      </c>
      <c r="I10" s="5">
        <f>14946 / 86400</f>
        <v>0.17298611111111112</v>
      </c>
      <c r="J10" t="s">
        <v>27</v>
      </c>
      <c r="K10" t="s">
        <v>28</v>
      </c>
      <c r="L10" s="5">
        <f>40227 / 86400</f>
        <v>0.46559027777777778</v>
      </c>
      <c r="M10" s="5">
        <f>46165 / 86400</f>
        <v>0.53431712962962963</v>
      </c>
    </row>
    <row r="11" spans="1:13" x14ac:dyDescent="0.25">
      <c r="A11" t="s">
        <v>390</v>
      </c>
      <c r="B11" s="3">
        <v>45695.283657407403</v>
      </c>
      <c r="C11" t="s">
        <v>29</v>
      </c>
      <c r="D11" s="3">
        <v>45695.881435185191</v>
      </c>
      <c r="E11" t="s">
        <v>29</v>
      </c>
      <c r="F11" s="4">
        <v>191.70500000000001</v>
      </c>
      <c r="G11" s="4">
        <v>20281.109</v>
      </c>
      <c r="H11" s="4">
        <v>20472.813999999998</v>
      </c>
      <c r="I11" s="5">
        <f>14675 / 86400</f>
        <v>0.16984953703703703</v>
      </c>
      <c r="J11" t="s">
        <v>30</v>
      </c>
      <c r="K11" t="s">
        <v>24</v>
      </c>
      <c r="L11" s="5">
        <f>44891 / 86400</f>
        <v>0.51957175925925925</v>
      </c>
      <c r="M11" s="5">
        <f>41503 / 86400</f>
        <v>0.4803587962962963</v>
      </c>
    </row>
    <row r="12" spans="1:13" x14ac:dyDescent="0.25">
      <c r="A12" t="s">
        <v>391</v>
      </c>
      <c r="B12" s="3">
        <v>45695.249675925923</v>
      </c>
      <c r="C12" t="s">
        <v>31</v>
      </c>
      <c r="D12" s="3">
        <v>45695.95684027778</v>
      </c>
      <c r="E12" t="s">
        <v>31</v>
      </c>
      <c r="F12" s="4">
        <v>239.01900000000001</v>
      </c>
      <c r="G12" s="4">
        <v>512118.74099999998</v>
      </c>
      <c r="H12" s="4">
        <v>512357.76</v>
      </c>
      <c r="I12" s="5">
        <f>15218 / 86400</f>
        <v>0.17613425925925927</v>
      </c>
      <c r="J12" t="s">
        <v>32</v>
      </c>
      <c r="K12" t="s">
        <v>28</v>
      </c>
      <c r="L12" s="5">
        <f>50401 / 86400</f>
        <v>0.58334490740740741</v>
      </c>
      <c r="M12" s="5">
        <f>35991 / 86400</f>
        <v>0.4165625</v>
      </c>
    </row>
    <row r="13" spans="1:13" x14ac:dyDescent="0.25">
      <c r="A13" t="s">
        <v>392</v>
      </c>
      <c r="B13" s="3">
        <v>45695.211458333331</v>
      </c>
      <c r="C13" t="s">
        <v>29</v>
      </c>
      <c r="D13" s="3">
        <v>45695.894479166665</v>
      </c>
      <c r="E13" t="s">
        <v>29</v>
      </c>
      <c r="F13" s="4">
        <v>195.131</v>
      </c>
      <c r="G13" s="4">
        <v>91424.615999999995</v>
      </c>
      <c r="H13" s="4">
        <v>91619.747000000003</v>
      </c>
      <c r="I13" s="5">
        <f>19679 / 86400</f>
        <v>0.22776620370370371</v>
      </c>
      <c r="J13" t="s">
        <v>33</v>
      </c>
      <c r="K13" t="s">
        <v>34</v>
      </c>
      <c r="L13" s="5">
        <f>51725 / 86400</f>
        <v>0.59866898148148151</v>
      </c>
      <c r="M13" s="5">
        <f>34668 / 86400</f>
        <v>0.40125</v>
      </c>
    </row>
    <row r="14" spans="1:13" x14ac:dyDescent="0.25">
      <c r="A14" t="s">
        <v>393</v>
      </c>
      <c r="B14" s="3">
        <v>45695.216273148151</v>
      </c>
      <c r="C14" t="s">
        <v>18</v>
      </c>
      <c r="D14" s="3">
        <v>45695.937754629631</v>
      </c>
      <c r="E14" t="s">
        <v>18</v>
      </c>
      <c r="F14" s="4">
        <v>213.15</v>
      </c>
      <c r="G14" s="4">
        <v>136435.02600000001</v>
      </c>
      <c r="H14" s="4">
        <v>136648.17600000001</v>
      </c>
      <c r="I14" s="5">
        <f>18518 / 86400</f>
        <v>0.21432870370370372</v>
      </c>
      <c r="J14" t="s">
        <v>32</v>
      </c>
      <c r="K14" t="s">
        <v>24</v>
      </c>
      <c r="L14" s="5">
        <f>50180 / 86400</f>
        <v>0.58078703703703705</v>
      </c>
      <c r="M14" s="5">
        <f>36215 / 86400</f>
        <v>0.41915509259259259</v>
      </c>
    </row>
    <row r="15" spans="1:13" x14ac:dyDescent="0.25">
      <c r="A15" t="s">
        <v>394</v>
      </c>
      <c r="B15" s="3">
        <v>45695.261620370366</v>
      </c>
      <c r="C15" t="s">
        <v>29</v>
      </c>
      <c r="D15" s="3">
        <v>45695.998460648145</v>
      </c>
      <c r="E15" t="s">
        <v>35</v>
      </c>
      <c r="F15" s="4">
        <v>128.00376417040826</v>
      </c>
      <c r="G15" s="4">
        <v>346608.76752129052</v>
      </c>
      <c r="H15" s="4">
        <v>346745.06288420159</v>
      </c>
      <c r="I15" s="5">
        <f>0 / 86400</f>
        <v>0</v>
      </c>
      <c r="J15" t="s">
        <v>36</v>
      </c>
      <c r="K15" t="s">
        <v>37</v>
      </c>
      <c r="L15" s="5">
        <f>22305 / 86400</f>
        <v>0.25815972222222222</v>
      </c>
      <c r="M15" s="5">
        <f>64094 / 86400</f>
        <v>0.74182870370370368</v>
      </c>
    </row>
    <row r="16" spans="1:13" x14ac:dyDescent="0.25">
      <c r="A16" t="s">
        <v>395</v>
      </c>
      <c r="B16" s="3">
        <v>45695.173379629632</v>
      </c>
      <c r="C16" t="s">
        <v>38</v>
      </c>
      <c r="D16" s="3">
        <v>45695.214409722219</v>
      </c>
      <c r="E16" t="s">
        <v>38</v>
      </c>
      <c r="F16" s="4">
        <v>16.648</v>
      </c>
      <c r="G16" s="4">
        <v>483476.10600000003</v>
      </c>
      <c r="H16" s="4">
        <v>483492.75400000002</v>
      </c>
      <c r="I16" s="5">
        <f>1019 / 86400</f>
        <v>1.1793981481481482E-2</v>
      </c>
      <c r="J16" t="s">
        <v>39</v>
      </c>
      <c r="K16" t="s">
        <v>28</v>
      </c>
      <c r="L16" s="5">
        <f>3545 / 86400</f>
        <v>4.103009259259259E-2</v>
      </c>
      <c r="M16" s="5">
        <f>82854 / 86400</f>
        <v>0.95895833333333336</v>
      </c>
    </row>
    <row r="17" spans="1:13" x14ac:dyDescent="0.25">
      <c r="A17" t="s">
        <v>396</v>
      </c>
      <c r="B17" s="3">
        <v>45695.129803240736</v>
      </c>
      <c r="C17" t="s">
        <v>40</v>
      </c>
      <c r="D17" s="3">
        <v>45695.857361111106</v>
      </c>
      <c r="E17" t="s">
        <v>41</v>
      </c>
      <c r="F17" s="4">
        <v>210.09700000000001</v>
      </c>
      <c r="G17" s="4">
        <v>507117.43699999998</v>
      </c>
      <c r="H17" s="4">
        <v>507327.53399999999</v>
      </c>
      <c r="I17" s="5">
        <f>15151 / 86400</f>
        <v>0.1753587962962963</v>
      </c>
      <c r="J17" t="s">
        <v>42</v>
      </c>
      <c r="K17" t="s">
        <v>28</v>
      </c>
      <c r="L17" s="5">
        <f>45804 / 86400</f>
        <v>0.53013888888888894</v>
      </c>
      <c r="M17" s="5">
        <f>40591 / 86400</f>
        <v>0.46980324074074076</v>
      </c>
    </row>
    <row r="18" spans="1:13" x14ac:dyDescent="0.25">
      <c r="A18" t="s">
        <v>397</v>
      </c>
      <c r="B18" s="3">
        <v>45695.237638888888</v>
      </c>
      <c r="C18" t="s">
        <v>43</v>
      </c>
      <c r="D18" s="3">
        <v>45695.807604166665</v>
      </c>
      <c r="E18" t="s">
        <v>43</v>
      </c>
      <c r="F18" s="4">
        <v>106.646</v>
      </c>
      <c r="G18" s="4">
        <v>407066.06199999998</v>
      </c>
      <c r="H18" s="4">
        <v>407172.70799999998</v>
      </c>
      <c r="I18" s="5">
        <f>21470 / 86400</f>
        <v>0.24849537037037037</v>
      </c>
      <c r="J18" t="s">
        <v>44</v>
      </c>
      <c r="K18" t="s">
        <v>45</v>
      </c>
      <c r="L18" s="5">
        <f>39519 / 86400</f>
        <v>0.45739583333333333</v>
      </c>
      <c r="M18" s="5">
        <f>46875 / 86400</f>
        <v>0.54253472222222221</v>
      </c>
    </row>
    <row r="19" spans="1:13" x14ac:dyDescent="0.25">
      <c r="A19" t="s">
        <v>398</v>
      </c>
      <c r="B19" s="3">
        <v>45695.215682870374</v>
      </c>
      <c r="C19" t="s">
        <v>46</v>
      </c>
      <c r="D19" s="3">
        <v>45695.874710648146</v>
      </c>
      <c r="E19" t="s">
        <v>46</v>
      </c>
      <c r="F19" s="4">
        <v>199.56700000000001</v>
      </c>
      <c r="G19" s="4">
        <v>436502.83600000001</v>
      </c>
      <c r="H19" s="4">
        <v>436702.40299999999</v>
      </c>
      <c r="I19" s="5">
        <f>19489 / 86400</f>
        <v>0.22556712962962963</v>
      </c>
      <c r="J19" t="s">
        <v>44</v>
      </c>
      <c r="K19" t="s">
        <v>34</v>
      </c>
      <c r="L19" s="5">
        <f>50124 / 86400</f>
        <v>0.58013888888888887</v>
      </c>
      <c r="M19" s="5">
        <f>36271 / 86400</f>
        <v>0.41980324074074077</v>
      </c>
    </row>
    <row r="20" spans="1:13" x14ac:dyDescent="0.25">
      <c r="A20" t="s">
        <v>399</v>
      </c>
      <c r="B20" s="3">
        <v>45695.131562499999</v>
      </c>
      <c r="C20" t="s">
        <v>21</v>
      </c>
      <c r="D20" s="3">
        <v>45695.911851851852</v>
      </c>
      <c r="E20" t="s">
        <v>21</v>
      </c>
      <c r="F20" s="4">
        <v>303.90199999999999</v>
      </c>
      <c r="G20" s="4">
        <v>52890.3</v>
      </c>
      <c r="H20" s="4">
        <v>53194.201999999997</v>
      </c>
      <c r="I20" s="5">
        <f>21774 / 86400</f>
        <v>0.25201388888888887</v>
      </c>
      <c r="J20" t="s">
        <v>47</v>
      </c>
      <c r="K20" t="s">
        <v>28</v>
      </c>
      <c r="L20" s="5">
        <f>63277 / 86400</f>
        <v>0.73237268518518517</v>
      </c>
      <c r="M20" s="5">
        <f>23117 / 86400</f>
        <v>0.26755787037037038</v>
      </c>
    </row>
    <row r="21" spans="1:13" x14ac:dyDescent="0.25">
      <c r="A21" t="s">
        <v>400</v>
      </c>
      <c r="B21" s="3">
        <v>45695.210844907408</v>
      </c>
      <c r="C21" t="s">
        <v>48</v>
      </c>
      <c r="D21" s="3">
        <v>45695.871388888889</v>
      </c>
      <c r="E21" t="s">
        <v>48</v>
      </c>
      <c r="F21" s="4">
        <v>204.62899999999999</v>
      </c>
      <c r="G21" s="4">
        <v>214766.76500000001</v>
      </c>
      <c r="H21" s="4">
        <v>214971.394</v>
      </c>
      <c r="I21" s="5">
        <f>21559 / 86400</f>
        <v>0.24952546296296296</v>
      </c>
      <c r="J21" t="s">
        <v>32</v>
      </c>
      <c r="K21" t="s">
        <v>34</v>
      </c>
      <c r="L21" s="5">
        <f>53890 / 86400</f>
        <v>0.62372685185185184</v>
      </c>
      <c r="M21" s="5">
        <f>32506 / 86400</f>
        <v>0.37622685185185184</v>
      </c>
    </row>
    <row r="22" spans="1:13" x14ac:dyDescent="0.25">
      <c r="A22" t="s">
        <v>401</v>
      </c>
      <c r="B22" s="3">
        <v>45695.262071759258</v>
      </c>
      <c r="C22" t="s">
        <v>49</v>
      </c>
      <c r="D22" s="3">
        <v>45695.836562500001</v>
      </c>
      <c r="E22" t="s">
        <v>49</v>
      </c>
      <c r="F22" s="4">
        <v>173.977</v>
      </c>
      <c r="G22" s="4">
        <v>524060.89899999998</v>
      </c>
      <c r="H22" s="4">
        <v>524234.87599999999</v>
      </c>
      <c r="I22" s="5">
        <f>18465 / 86400</f>
        <v>0.21371527777777777</v>
      </c>
      <c r="J22" t="s">
        <v>50</v>
      </c>
      <c r="K22" t="s">
        <v>34</v>
      </c>
      <c r="L22" s="5">
        <f>45781 / 86400</f>
        <v>0.52987268518518515</v>
      </c>
      <c r="M22" s="5">
        <f>40617 / 86400</f>
        <v>0.47010416666666666</v>
      </c>
    </row>
    <row r="23" spans="1:13" x14ac:dyDescent="0.25">
      <c r="A23" t="s">
        <v>402</v>
      </c>
      <c r="B23" s="3">
        <v>45695.25236111111</v>
      </c>
      <c r="C23" t="s">
        <v>51</v>
      </c>
      <c r="D23" s="3">
        <v>45695.825381944444</v>
      </c>
      <c r="E23" t="s">
        <v>51</v>
      </c>
      <c r="F23" s="4">
        <v>186.863</v>
      </c>
      <c r="G23" s="4">
        <v>424942.78899999999</v>
      </c>
      <c r="H23" s="4">
        <v>425129.652</v>
      </c>
      <c r="I23" s="5">
        <f>11757 / 86400</f>
        <v>0.1360763888888889</v>
      </c>
      <c r="J23" t="s">
        <v>30</v>
      </c>
      <c r="K23" t="s">
        <v>28</v>
      </c>
      <c r="L23" s="5">
        <f>39027 / 86400</f>
        <v>0.45170138888888889</v>
      </c>
      <c r="M23" s="5">
        <f>47365 / 86400</f>
        <v>0.54820601851851847</v>
      </c>
    </row>
    <row r="24" spans="1:13" x14ac:dyDescent="0.25">
      <c r="A24" t="s">
        <v>403</v>
      </c>
      <c r="B24" s="3">
        <v>45695.232754629629</v>
      </c>
      <c r="C24" t="s">
        <v>29</v>
      </c>
      <c r="D24" s="3">
        <v>45695.812997685185</v>
      </c>
      <c r="E24" t="s">
        <v>29</v>
      </c>
      <c r="F24" s="4">
        <v>164.68599999999998</v>
      </c>
      <c r="G24" s="4">
        <v>11760.489</v>
      </c>
      <c r="H24" s="4">
        <v>11925.174999999999</v>
      </c>
      <c r="I24" s="5">
        <f>19246 / 86400</f>
        <v>0.22275462962962964</v>
      </c>
      <c r="J24" t="s">
        <v>52</v>
      </c>
      <c r="K24" t="s">
        <v>53</v>
      </c>
      <c r="L24" s="5">
        <f>44500 / 86400</f>
        <v>0.51504629629629628</v>
      </c>
      <c r="M24" s="5">
        <f>41893 / 86400</f>
        <v>0.48487268518518517</v>
      </c>
    </row>
    <row r="25" spans="1:13" x14ac:dyDescent="0.25">
      <c r="A25" t="s">
        <v>404</v>
      </c>
      <c r="B25" s="3">
        <v>45695.145520833335</v>
      </c>
      <c r="C25" t="s">
        <v>54</v>
      </c>
      <c r="D25" s="3">
        <v>45695.6175</v>
      </c>
      <c r="E25" t="s">
        <v>54</v>
      </c>
      <c r="F25" s="4">
        <v>172.226</v>
      </c>
      <c r="G25" s="4">
        <v>137921.87899999999</v>
      </c>
      <c r="H25" s="4">
        <v>138094.10500000001</v>
      </c>
      <c r="I25" s="5">
        <f>13715 / 86400</f>
        <v>0.15873842592592594</v>
      </c>
      <c r="J25" t="s">
        <v>55</v>
      </c>
      <c r="K25" t="s">
        <v>20</v>
      </c>
      <c r="L25" s="5">
        <f>38908 / 86400</f>
        <v>0.4503240740740741</v>
      </c>
      <c r="M25" s="5">
        <f>47486 / 86400</f>
        <v>0.5496064814814815</v>
      </c>
    </row>
    <row r="26" spans="1:13" x14ac:dyDescent="0.25">
      <c r="A26" t="s">
        <v>405</v>
      </c>
      <c r="B26" s="3">
        <v>45695.232812499999</v>
      </c>
      <c r="C26" t="s">
        <v>29</v>
      </c>
      <c r="D26" s="3">
        <v>45695.959189814814</v>
      </c>
      <c r="E26" t="s">
        <v>29</v>
      </c>
      <c r="F26" s="4">
        <v>182.93299999999999</v>
      </c>
      <c r="G26" s="4">
        <v>4743.24</v>
      </c>
      <c r="H26" s="4">
        <v>4926.1729999999998</v>
      </c>
      <c r="I26" s="5">
        <f>27832 / 86400</f>
        <v>0.32212962962962965</v>
      </c>
      <c r="J26" t="s">
        <v>56</v>
      </c>
      <c r="K26" t="s">
        <v>57</v>
      </c>
      <c r="L26" s="5">
        <f>53962 / 86400</f>
        <v>0.62456018518518519</v>
      </c>
      <c r="M26" s="5">
        <f>32434 / 86400</f>
        <v>0.37539351851851854</v>
      </c>
    </row>
    <row r="27" spans="1:13" x14ac:dyDescent="0.25">
      <c r="A27" t="s">
        <v>406</v>
      </c>
      <c r="B27" s="3">
        <v>45695.208460648151</v>
      </c>
      <c r="C27" t="s">
        <v>38</v>
      </c>
      <c r="D27" s="3">
        <v>45695.81931712963</v>
      </c>
      <c r="E27" t="s">
        <v>38</v>
      </c>
      <c r="F27" s="4">
        <v>155.96899999999999</v>
      </c>
      <c r="G27" s="4">
        <v>386003.95699999999</v>
      </c>
      <c r="H27" s="4">
        <v>386159.94099999999</v>
      </c>
      <c r="I27" s="5">
        <f>15924 / 86400</f>
        <v>0.18430555555555556</v>
      </c>
      <c r="J27" t="s">
        <v>27</v>
      </c>
      <c r="K27" t="s">
        <v>34</v>
      </c>
      <c r="L27" s="5">
        <f>39559 / 86400</f>
        <v>0.45785879629629628</v>
      </c>
      <c r="M27" s="5">
        <f>46830 / 86400</f>
        <v>0.54201388888888891</v>
      </c>
    </row>
    <row r="28" spans="1:13" x14ac:dyDescent="0.25">
      <c r="A28" t="s">
        <v>407</v>
      </c>
      <c r="B28" s="3">
        <v>45695.255196759259</v>
      </c>
      <c r="C28" t="s">
        <v>58</v>
      </c>
      <c r="D28" s="3">
        <v>45695.972673611112</v>
      </c>
      <c r="E28" t="s">
        <v>58</v>
      </c>
      <c r="F28" s="4">
        <v>241.423</v>
      </c>
      <c r="G28" s="4">
        <v>391600.99800000002</v>
      </c>
      <c r="H28" s="4">
        <v>391842.42099999997</v>
      </c>
      <c r="I28" s="5">
        <f>20256 / 86400</f>
        <v>0.23444444444444446</v>
      </c>
      <c r="J28" t="s">
        <v>59</v>
      </c>
      <c r="K28" t="s">
        <v>20</v>
      </c>
      <c r="L28" s="5">
        <f>52738 / 86400</f>
        <v>0.61039351851851853</v>
      </c>
      <c r="M28" s="5">
        <f>33658 / 86400</f>
        <v>0.3895601851851852</v>
      </c>
    </row>
    <row r="29" spans="1:13" x14ac:dyDescent="0.25">
      <c r="A29" t="s">
        <v>408</v>
      </c>
      <c r="B29" s="3">
        <v>45695.146944444445</v>
      </c>
      <c r="C29" t="s">
        <v>60</v>
      </c>
      <c r="D29" s="3">
        <v>45695.70815972222</v>
      </c>
      <c r="E29" t="s">
        <v>60</v>
      </c>
      <c r="F29" s="4">
        <v>210.661</v>
      </c>
      <c r="G29" s="4">
        <v>521918.01799999998</v>
      </c>
      <c r="H29" s="4">
        <v>522128.679</v>
      </c>
      <c r="I29" s="5">
        <f>14294 / 86400</f>
        <v>0.16543981481481482</v>
      </c>
      <c r="J29" t="s">
        <v>61</v>
      </c>
      <c r="K29" t="s">
        <v>28</v>
      </c>
      <c r="L29" s="5">
        <f>43843 / 86400</f>
        <v>0.50744212962962965</v>
      </c>
      <c r="M29" s="5">
        <f>42553 / 86400</f>
        <v>0.49251157407407409</v>
      </c>
    </row>
    <row r="30" spans="1:13" x14ac:dyDescent="0.25">
      <c r="A30" t="s">
        <v>409</v>
      </c>
      <c r="B30" s="3">
        <v>45695.271284722221</v>
      </c>
      <c r="C30" t="s">
        <v>62</v>
      </c>
      <c r="D30" s="3">
        <v>45695.99998842593</v>
      </c>
      <c r="E30" t="s">
        <v>63</v>
      </c>
      <c r="F30" s="4">
        <v>208.39600000000002</v>
      </c>
      <c r="G30" s="4">
        <v>410668.69099999999</v>
      </c>
      <c r="H30" s="4">
        <v>410877.09100000001</v>
      </c>
      <c r="I30" s="5">
        <f>14960 / 86400</f>
        <v>0.17314814814814813</v>
      </c>
      <c r="J30" t="s">
        <v>64</v>
      </c>
      <c r="K30" t="s">
        <v>20</v>
      </c>
      <c r="L30" s="5">
        <f>47702 / 86400</f>
        <v>0.55210648148148145</v>
      </c>
      <c r="M30" s="5">
        <f>38692 / 86400</f>
        <v>0.4478240740740741</v>
      </c>
    </row>
    <row r="31" spans="1:13" x14ac:dyDescent="0.25">
      <c r="A31" t="s">
        <v>410</v>
      </c>
      <c r="B31" s="3">
        <v>45695.259722222225</v>
      </c>
      <c r="C31" t="s">
        <v>65</v>
      </c>
      <c r="D31" s="3">
        <v>45695.905763888892</v>
      </c>
      <c r="E31" t="s">
        <v>65</v>
      </c>
      <c r="F31" s="4">
        <v>196.39699999999999</v>
      </c>
      <c r="G31" s="4">
        <v>401588.05300000001</v>
      </c>
      <c r="H31" s="4">
        <v>401784.45</v>
      </c>
      <c r="I31" s="5">
        <f>17721 / 86400</f>
        <v>0.20510416666666667</v>
      </c>
      <c r="J31" t="s">
        <v>66</v>
      </c>
      <c r="K31" t="s">
        <v>24</v>
      </c>
      <c r="L31" s="5">
        <f>47250 / 86400</f>
        <v>0.546875</v>
      </c>
      <c r="M31" s="5">
        <f>39146 / 86400</f>
        <v>0.45307870370370368</v>
      </c>
    </row>
    <row r="32" spans="1:13" x14ac:dyDescent="0.25">
      <c r="A32" t="s">
        <v>411</v>
      </c>
      <c r="B32" s="3">
        <v>45695.265462962961</v>
      </c>
      <c r="C32" t="s">
        <v>67</v>
      </c>
      <c r="D32" s="3">
        <v>45695.880439814813</v>
      </c>
      <c r="E32" t="s">
        <v>67</v>
      </c>
      <c r="F32" s="4">
        <v>237.423</v>
      </c>
      <c r="G32" s="4">
        <v>406971.41200000001</v>
      </c>
      <c r="H32" s="4">
        <v>407208.83500000002</v>
      </c>
      <c r="I32" s="5">
        <f>16581 / 86400</f>
        <v>0.19190972222222222</v>
      </c>
      <c r="J32" t="s">
        <v>68</v>
      </c>
      <c r="K32" t="s">
        <v>69</v>
      </c>
      <c r="L32" s="5">
        <f>48273 / 86400</f>
        <v>0.55871527777777774</v>
      </c>
      <c r="M32" s="5">
        <f>38123 / 86400</f>
        <v>0.44123842592592594</v>
      </c>
    </row>
    <row r="33" spans="1:13" x14ac:dyDescent="0.25">
      <c r="A33" t="s">
        <v>412</v>
      </c>
      <c r="B33" s="3">
        <v>45695.30333333333</v>
      </c>
      <c r="C33" t="s">
        <v>70</v>
      </c>
      <c r="D33" s="3">
        <v>45695.698958333334</v>
      </c>
      <c r="E33" t="s">
        <v>70</v>
      </c>
      <c r="F33" s="4">
        <v>85.924000000000007</v>
      </c>
      <c r="G33" s="4">
        <v>347553.93</v>
      </c>
      <c r="H33" s="4">
        <v>347639.85399999999</v>
      </c>
      <c r="I33" s="5">
        <f>17078 / 86400</f>
        <v>0.19766203703703702</v>
      </c>
      <c r="J33" t="s">
        <v>64</v>
      </c>
      <c r="K33" t="s">
        <v>71</v>
      </c>
      <c r="L33" s="5">
        <f>33887 / 86400</f>
        <v>0.39221064814814816</v>
      </c>
      <c r="M33" s="5">
        <f>52510 / 86400</f>
        <v>0.60775462962962967</v>
      </c>
    </row>
    <row r="34" spans="1:13" x14ac:dyDescent="0.25">
      <c r="A34" t="s">
        <v>413</v>
      </c>
      <c r="B34" s="3">
        <v>45695.167905092589</v>
      </c>
      <c r="C34" t="s">
        <v>72</v>
      </c>
      <c r="D34" s="3">
        <v>45695.698993055557</v>
      </c>
      <c r="E34" t="s">
        <v>72</v>
      </c>
      <c r="F34" s="4">
        <v>206.87299999999999</v>
      </c>
      <c r="G34" s="4">
        <v>39796.69</v>
      </c>
      <c r="H34" s="4">
        <v>40003.563000000002</v>
      </c>
      <c r="I34" s="5">
        <f>14738 / 86400</f>
        <v>0.1705787037037037</v>
      </c>
      <c r="J34" t="s">
        <v>33</v>
      </c>
      <c r="K34" t="s">
        <v>28</v>
      </c>
      <c r="L34" s="5">
        <f>43346 / 86400</f>
        <v>0.50168981481481478</v>
      </c>
      <c r="M34" s="5">
        <f>43048 / 86400</f>
        <v>0.49824074074074076</v>
      </c>
    </row>
    <row r="35" spans="1:13" x14ac:dyDescent="0.25">
      <c r="A35" t="s">
        <v>414</v>
      </c>
      <c r="B35" s="3">
        <v>45695</v>
      </c>
      <c r="C35" t="s">
        <v>73</v>
      </c>
      <c r="D35" s="3">
        <v>45695.99998842593</v>
      </c>
      <c r="E35" t="s">
        <v>74</v>
      </c>
      <c r="F35" s="4">
        <v>318.55500000000001</v>
      </c>
      <c r="G35" s="4">
        <v>44811.53</v>
      </c>
      <c r="H35" s="4">
        <v>45130.084999999999</v>
      </c>
      <c r="I35" s="5">
        <f>22709 / 86400</f>
        <v>0.26283564814814814</v>
      </c>
      <c r="J35" t="s">
        <v>75</v>
      </c>
      <c r="K35" t="s">
        <v>28</v>
      </c>
      <c r="L35" s="5">
        <f>67596 / 86400</f>
        <v>0.78236111111111106</v>
      </c>
      <c r="M35" s="5">
        <f>18796 / 86400</f>
        <v>0.21754629629629629</v>
      </c>
    </row>
    <row r="36" spans="1:13" x14ac:dyDescent="0.25">
      <c r="A36" t="s">
        <v>415</v>
      </c>
      <c r="B36" s="3">
        <v>45695.002210648148</v>
      </c>
      <c r="C36" t="s">
        <v>76</v>
      </c>
      <c r="D36" s="3">
        <v>45695.775092592594</v>
      </c>
      <c r="E36" t="s">
        <v>77</v>
      </c>
      <c r="F36" s="4">
        <v>193.48100000005962</v>
      </c>
      <c r="G36" s="4">
        <v>526270.73699999996</v>
      </c>
      <c r="H36" s="4">
        <v>526464.21799999999</v>
      </c>
      <c r="I36" s="5">
        <f>15550 / 86400</f>
        <v>0.17997685185185186</v>
      </c>
      <c r="J36" t="s">
        <v>55</v>
      </c>
      <c r="K36" t="s">
        <v>28</v>
      </c>
      <c r="L36" s="5">
        <f>41750 / 86400</f>
        <v>0.48321759259259262</v>
      </c>
      <c r="M36" s="5">
        <f>44643 / 86400</f>
        <v>0.51670138888888884</v>
      </c>
    </row>
    <row r="37" spans="1:13" x14ac:dyDescent="0.25">
      <c r="A37" t="s">
        <v>416</v>
      </c>
      <c r="B37" s="3">
        <v>45695.228749999995</v>
      </c>
      <c r="C37" t="s">
        <v>38</v>
      </c>
      <c r="D37" s="3">
        <v>45695.754513888889</v>
      </c>
      <c r="E37" t="s">
        <v>38</v>
      </c>
      <c r="F37" s="4">
        <v>154.358</v>
      </c>
      <c r="G37" s="4">
        <v>566726.15500000003</v>
      </c>
      <c r="H37" s="4">
        <v>566880.51300000004</v>
      </c>
      <c r="I37" s="5">
        <f>7079 / 86400</f>
        <v>8.1932870370370364E-2</v>
      </c>
      <c r="J37" t="s">
        <v>27</v>
      </c>
      <c r="K37" t="s">
        <v>78</v>
      </c>
      <c r="L37" s="5">
        <f>27753 / 86400</f>
        <v>0.32121527777777775</v>
      </c>
      <c r="M37" s="5">
        <f>58641 / 86400</f>
        <v>0.67871527777777774</v>
      </c>
    </row>
    <row r="38" spans="1:13" x14ac:dyDescent="0.25">
      <c r="A38" t="s">
        <v>417</v>
      </c>
      <c r="B38" s="3">
        <v>45695.248101851852</v>
      </c>
      <c r="C38" t="s">
        <v>79</v>
      </c>
      <c r="D38" s="3">
        <v>45695.863819444443</v>
      </c>
      <c r="E38" t="s">
        <v>79</v>
      </c>
      <c r="F38" s="4">
        <v>137.42400000000001</v>
      </c>
      <c r="G38" s="4">
        <v>434414.58199999999</v>
      </c>
      <c r="H38" s="4">
        <v>434552.01400000002</v>
      </c>
      <c r="I38" s="5">
        <f>7209 / 86400</f>
        <v>8.3437499999999998E-2</v>
      </c>
      <c r="J38" t="s">
        <v>56</v>
      </c>
      <c r="K38" t="s">
        <v>69</v>
      </c>
      <c r="L38" s="5">
        <f>27146 / 86400</f>
        <v>0.31418981481481484</v>
      </c>
      <c r="M38" s="5">
        <f>59242 / 86400</f>
        <v>0.68567129629629631</v>
      </c>
    </row>
    <row r="39" spans="1:13" x14ac:dyDescent="0.25">
      <c r="A39" t="s">
        <v>418</v>
      </c>
      <c r="B39" s="3">
        <v>45695.237743055557</v>
      </c>
      <c r="C39" t="s">
        <v>48</v>
      </c>
      <c r="D39" s="3">
        <v>45695.929988425924</v>
      </c>
      <c r="E39" t="s">
        <v>48</v>
      </c>
      <c r="F39" s="4">
        <v>209.81900000000002</v>
      </c>
      <c r="G39" s="4">
        <v>514170.83299999998</v>
      </c>
      <c r="H39" s="4">
        <v>514380.86700000003</v>
      </c>
      <c r="I39" s="5">
        <f>19606 / 86400</f>
        <v>0.22692129629629629</v>
      </c>
      <c r="J39" t="s">
        <v>80</v>
      </c>
      <c r="K39" t="s">
        <v>24</v>
      </c>
      <c r="L39" s="5">
        <f>51090 / 86400</f>
        <v>0.5913194444444444</v>
      </c>
      <c r="M39" s="5">
        <f>35309 / 86400</f>
        <v>0.40866898148148151</v>
      </c>
    </row>
    <row r="40" spans="1:13" x14ac:dyDescent="0.25">
      <c r="A40" t="s">
        <v>419</v>
      </c>
      <c r="B40" s="3">
        <v>45695.239328703705</v>
      </c>
      <c r="C40" t="s">
        <v>81</v>
      </c>
      <c r="D40" s="3">
        <v>45695.99998842593</v>
      </c>
      <c r="E40" t="s">
        <v>81</v>
      </c>
      <c r="F40" s="4">
        <v>65.114000000000004</v>
      </c>
      <c r="G40" s="4">
        <v>504388.33100000001</v>
      </c>
      <c r="H40" s="4">
        <v>504453.44500000001</v>
      </c>
      <c r="I40" s="5">
        <f>53657 / 86400</f>
        <v>0.62103009259259256</v>
      </c>
      <c r="J40" t="s">
        <v>61</v>
      </c>
      <c r="K40" t="s">
        <v>82</v>
      </c>
      <c r="L40" s="5">
        <f>65721 / 86400</f>
        <v>0.76065972222222222</v>
      </c>
      <c r="M40" s="5">
        <f>20678 / 86400</f>
        <v>0.23932870370370371</v>
      </c>
    </row>
    <row r="41" spans="1:13" x14ac:dyDescent="0.25">
      <c r="A41" t="s">
        <v>420</v>
      </c>
      <c r="B41" s="3">
        <v>45695.277615740742</v>
      </c>
      <c r="C41" t="s">
        <v>83</v>
      </c>
      <c r="D41" s="3">
        <v>45695.83488425926</v>
      </c>
      <c r="E41" t="s">
        <v>83</v>
      </c>
      <c r="F41" s="4">
        <v>126.03100000000001</v>
      </c>
      <c r="G41" s="4">
        <v>351202.58600000001</v>
      </c>
      <c r="H41" s="4">
        <v>351328.61700000003</v>
      </c>
      <c r="I41" s="5">
        <f>15513 / 86400</f>
        <v>0.17954861111111112</v>
      </c>
      <c r="J41" t="s">
        <v>33</v>
      </c>
      <c r="K41" t="s">
        <v>57</v>
      </c>
      <c r="L41" s="5">
        <f>37573 / 86400</f>
        <v>0.43487268518518518</v>
      </c>
      <c r="M41" s="5">
        <f>48822 / 86400</f>
        <v>0.5650694444444444</v>
      </c>
    </row>
    <row r="42" spans="1:13" x14ac:dyDescent="0.25">
      <c r="A42" t="s">
        <v>421</v>
      </c>
      <c r="B42" s="3">
        <v>45695.223622685182</v>
      </c>
      <c r="C42" t="s">
        <v>84</v>
      </c>
      <c r="D42" s="3">
        <v>45695.658391203702</v>
      </c>
      <c r="E42" t="s">
        <v>84</v>
      </c>
      <c r="F42" s="4">
        <v>113.89099999999999</v>
      </c>
      <c r="G42" s="4">
        <v>410110.85200000001</v>
      </c>
      <c r="H42" s="4">
        <v>410224.74300000002</v>
      </c>
      <c r="I42" s="5">
        <f>11039 / 86400</f>
        <v>0.1277662037037037</v>
      </c>
      <c r="J42" t="s">
        <v>85</v>
      </c>
      <c r="K42" t="s">
        <v>24</v>
      </c>
      <c r="L42" s="5">
        <f>28101 / 86400</f>
        <v>0.32524305555555555</v>
      </c>
      <c r="M42" s="5">
        <f>58296 / 86400</f>
        <v>0.67472222222222222</v>
      </c>
    </row>
    <row r="43" spans="1:13" x14ac:dyDescent="0.25">
      <c r="A43" t="s">
        <v>422</v>
      </c>
      <c r="B43" s="3">
        <v>45695.150972222225</v>
      </c>
      <c r="C43" t="s">
        <v>29</v>
      </c>
      <c r="D43" s="3">
        <v>45695.808101851857</v>
      </c>
      <c r="E43" t="s">
        <v>29</v>
      </c>
      <c r="F43" s="4">
        <v>11.67</v>
      </c>
      <c r="G43" s="4">
        <v>440775.12199999997</v>
      </c>
      <c r="H43" s="4">
        <v>440786.79200000002</v>
      </c>
      <c r="I43" s="5">
        <f>14978 / 86400</f>
        <v>0.17335648148148147</v>
      </c>
      <c r="J43" t="s">
        <v>86</v>
      </c>
      <c r="K43" t="s">
        <v>87</v>
      </c>
      <c r="L43" s="5">
        <f>17504 / 86400</f>
        <v>0.2025925925925926</v>
      </c>
      <c r="M43" s="5">
        <f>68891 / 86400</f>
        <v>0.79734953703703704</v>
      </c>
    </row>
    <row r="44" spans="1:13" x14ac:dyDescent="0.25">
      <c r="A44" t="s">
        <v>423</v>
      </c>
      <c r="B44" s="3">
        <v>45695.288437499999</v>
      </c>
      <c r="C44" t="s">
        <v>83</v>
      </c>
      <c r="D44" s="3">
        <v>45695.99998842593</v>
      </c>
      <c r="E44" t="s">
        <v>83</v>
      </c>
      <c r="F44" s="4">
        <v>190.874</v>
      </c>
      <c r="G44" s="4">
        <v>473225.04599999997</v>
      </c>
      <c r="H44" s="4">
        <v>473415.92</v>
      </c>
      <c r="I44" s="5">
        <f>20872 / 86400</f>
        <v>0.24157407407407408</v>
      </c>
      <c r="J44" t="s">
        <v>27</v>
      </c>
      <c r="K44" t="s">
        <v>34</v>
      </c>
      <c r="L44" s="5">
        <f>49826 / 86400</f>
        <v>0.57668981481481485</v>
      </c>
      <c r="M44" s="5">
        <f>36568 / 86400</f>
        <v>0.42324074074074075</v>
      </c>
    </row>
    <row r="45" spans="1:13" x14ac:dyDescent="0.25">
      <c r="A45" t="s">
        <v>424</v>
      </c>
      <c r="B45" s="3">
        <v>45695.029456018514</v>
      </c>
      <c r="C45" t="s">
        <v>81</v>
      </c>
      <c r="D45" s="3">
        <v>45695.998506944445</v>
      </c>
      <c r="E45" t="s">
        <v>88</v>
      </c>
      <c r="F45" s="4">
        <v>210.30199999999999</v>
      </c>
      <c r="G45" s="4">
        <v>412397.01699999999</v>
      </c>
      <c r="H45" s="4">
        <v>412607.31900000002</v>
      </c>
      <c r="I45" s="5">
        <f>13116 / 86400</f>
        <v>0.15180555555555555</v>
      </c>
      <c r="J45" t="s">
        <v>89</v>
      </c>
      <c r="K45" t="s">
        <v>90</v>
      </c>
      <c r="L45" s="5">
        <f>40545 / 86400</f>
        <v>0.46927083333333336</v>
      </c>
      <c r="M45" s="5">
        <f>45845 / 86400</f>
        <v>0.53061342592592597</v>
      </c>
    </row>
    <row r="46" spans="1:13" x14ac:dyDescent="0.25">
      <c r="A46" t="s">
        <v>425</v>
      </c>
      <c r="B46" s="3">
        <v>45695.172974537039</v>
      </c>
      <c r="C46" t="s">
        <v>29</v>
      </c>
      <c r="D46" s="3">
        <v>45695.756793981476</v>
      </c>
      <c r="E46" t="s">
        <v>29</v>
      </c>
      <c r="F46" s="4">
        <v>180.32600000000002</v>
      </c>
      <c r="G46" s="4">
        <v>326746.97700000001</v>
      </c>
      <c r="H46" s="4">
        <v>326927.30300000001</v>
      </c>
      <c r="I46" s="5">
        <f>11420 / 86400</f>
        <v>0.13217592592592592</v>
      </c>
      <c r="J46" t="s">
        <v>33</v>
      </c>
      <c r="K46" t="s">
        <v>28</v>
      </c>
      <c r="L46" s="5">
        <f>38162 / 86400</f>
        <v>0.44168981481481484</v>
      </c>
      <c r="M46" s="5">
        <f>48231 / 86400</f>
        <v>0.55822916666666667</v>
      </c>
    </row>
    <row r="47" spans="1:13" x14ac:dyDescent="0.25">
      <c r="A47" t="s">
        <v>426</v>
      </c>
      <c r="B47" s="3">
        <v>45695</v>
      </c>
      <c r="C47" t="s">
        <v>29</v>
      </c>
      <c r="D47" s="3">
        <v>45695.986956018518</v>
      </c>
      <c r="E47" t="s">
        <v>29</v>
      </c>
      <c r="F47" s="4">
        <v>158.63899999999998</v>
      </c>
      <c r="G47" s="4">
        <v>359568.69500000001</v>
      </c>
      <c r="H47" s="4">
        <v>359727.33399999997</v>
      </c>
      <c r="I47" s="5">
        <f>55152 / 86400</f>
        <v>0.63833333333333331</v>
      </c>
      <c r="J47" t="s">
        <v>61</v>
      </c>
      <c r="K47" t="s">
        <v>91</v>
      </c>
      <c r="L47" s="5">
        <f>80950 / 86400</f>
        <v>0.93692129629629628</v>
      </c>
      <c r="M47" s="5">
        <f>5447 / 86400</f>
        <v>6.3043981481481479E-2</v>
      </c>
    </row>
    <row r="48" spans="1:13" x14ac:dyDescent="0.25">
      <c r="A48" t="s">
        <v>427</v>
      </c>
      <c r="B48" s="3">
        <v>45695.275127314817</v>
      </c>
      <c r="C48" t="s">
        <v>92</v>
      </c>
      <c r="D48" s="3">
        <v>45695.910787037035</v>
      </c>
      <c r="E48" t="s">
        <v>92</v>
      </c>
      <c r="F48" s="4">
        <v>179.00399999999999</v>
      </c>
      <c r="G48" s="4">
        <v>80820.789999999994</v>
      </c>
      <c r="H48" s="4">
        <v>80999.793999999994</v>
      </c>
      <c r="I48" s="5">
        <f>19719 / 86400</f>
        <v>0.22822916666666668</v>
      </c>
      <c r="J48" t="s">
        <v>93</v>
      </c>
      <c r="K48" t="s">
        <v>34</v>
      </c>
      <c r="L48" s="5">
        <f>46993 / 86400</f>
        <v>0.54390046296296302</v>
      </c>
      <c r="M48" s="5">
        <f>39406 / 86400</f>
        <v>0.45608796296296295</v>
      </c>
    </row>
    <row r="49" spans="1:13" x14ac:dyDescent="0.25">
      <c r="A49" t="s">
        <v>428</v>
      </c>
      <c r="B49" s="3">
        <v>45695.200995370367</v>
      </c>
      <c r="C49" t="s">
        <v>41</v>
      </c>
      <c r="D49" s="3">
        <v>45695.981319444443</v>
      </c>
      <c r="E49" t="s">
        <v>41</v>
      </c>
      <c r="F49" s="4">
        <v>289.09700000000004</v>
      </c>
      <c r="G49" s="4">
        <v>468277.69</v>
      </c>
      <c r="H49" s="4">
        <v>468566.78700000001</v>
      </c>
      <c r="I49" s="5">
        <f>23393 / 86400</f>
        <v>0.27075231481481482</v>
      </c>
      <c r="J49" t="s">
        <v>59</v>
      </c>
      <c r="K49" t="s">
        <v>20</v>
      </c>
      <c r="L49" s="5">
        <f>63121 / 86400</f>
        <v>0.73056712962962966</v>
      </c>
      <c r="M49" s="5">
        <f>23269 / 86400</f>
        <v>0.26931712962962961</v>
      </c>
    </row>
    <row r="50" spans="1:13" x14ac:dyDescent="0.25">
      <c r="A50" t="s">
        <v>429</v>
      </c>
      <c r="B50" s="3">
        <v>45695.237569444449</v>
      </c>
      <c r="C50" t="s">
        <v>94</v>
      </c>
      <c r="D50" s="3">
        <v>45695.791006944448</v>
      </c>
      <c r="E50" t="s">
        <v>95</v>
      </c>
      <c r="F50" s="4">
        <v>114.349</v>
      </c>
      <c r="G50" s="4">
        <v>427686.22700000001</v>
      </c>
      <c r="H50" s="4">
        <v>427800.576</v>
      </c>
      <c r="I50" s="5">
        <f>15369 / 86400</f>
        <v>0.17788194444444444</v>
      </c>
      <c r="J50" t="s">
        <v>23</v>
      </c>
      <c r="K50" t="s">
        <v>34</v>
      </c>
      <c r="L50" s="5">
        <f>30006 / 86400</f>
        <v>0.34729166666666667</v>
      </c>
      <c r="M50" s="5">
        <f>56387 / 86400</f>
        <v>0.65262731481481484</v>
      </c>
    </row>
    <row r="51" spans="1:13" x14ac:dyDescent="0.25">
      <c r="A51" t="s">
        <v>430</v>
      </c>
      <c r="B51" s="3">
        <v>45695.220416666663</v>
      </c>
      <c r="C51" t="s">
        <v>29</v>
      </c>
      <c r="D51" s="3">
        <v>45695.871041666665</v>
      </c>
      <c r="E51" t="s">
        <v>29</v>
      </c>
      <c r="F51" s="4">
        <v>111.61799999999999</v>
      </c>
      <c r="G51" s="4">
        <v>574450.14199999999</v>
      </c>
      <c r="H51" s="4">
        <v>574561.76</v>
      </c>
      <c r="I51" s="5">
        <f>22531 / 86400</f>
        <v>0.26077546296296295</v>
      </c>
      <c r="J51" t="s">
        <v>96</v>
      </c>
      <c r="K51" t="s">
        <v>45</v>
      </c>
      <c r="L51" s="5">
        <f>40200 / 86400</f>
        <v>0.46527777777777779</v>
      </c>
      <c r="M51" s="5">
        <f>46193 / 86400</f>
        <v>0.53464120370370372</v>
      </c>
    </row>
    <row r="52" spans="1:13" x14ac:dyDescent="0.25">
      <c r="A52" t="s">
        <v>431</v>
      </c>
      <c r="B52" s="3">
        <v>45695.6721412037</v>
      </c>
      <c r="C52" t="s">
        <v>97</v>
      </c>
      <c r="D52" s="3">
        <v>45695.99998842593</v>
      </c>
      <c r="E52" t="s">
        <v>98</v>
      </c>
      <c r="F52" s="4">
        <v>69.179000000000002</v>
      </c>
      <c r="G52" s="4">
        <v>399729.70500000002</v>
      </c>
      <c r="H52" s="4">
        <v>399798.88400000002</v>
      </c>
      <c r="I52" s="5">
        <f>2894 / 86400</f>
        <v>3.349537037037037E-2</v>
      </c>
      <c r="J52" t="s">
        <v>99</v>
      </c>
      <c r="K52" t="s">
        <v>90</v>
      </c>
      <c r="L52" s="5">
        <f>13338 / 86400</f>
        <v>0.15437500000000001</v>
      </c>
      <c r="M52" s="5">
        <f>73057 / 86400</f>
        <v>0.84556712962962965</v>
      </c>
    </row>
    <row r="53" spans="1:13" x14ac:dyDescent="0.25">
      <c r="A53" t="s">
        <v>432</v>
      </c>
      <c r="B53" s="3">
        <v>45695.245891203704</v>
      </c>
      <c r="C53" t="s">
        <v>29</v>
      </c>
      <c r="D53" s="3">
        <v>45695.759432870371</v>
      </c>
      <c r="E53" t="s">
        <v>29</v>
      </c>
      <c r="F53" s="4">
        <v>54.576999999999998</v>
      </c>
      <c r="G53" s="4">
        <v>381843.125</v>
      </c>
      <c r="H53" s="4">
        <v>381897.70199999999</v>
      </c>
      <c r="I53" s="5">
        <f>4021 / 86400</f>
        <v>4.6539351851851853E-2</v>
      </c>
      <c r="J53" t="s">
        <v>44</v>
      </c>
      <c r="K53" t="s">
        <v>28</v>
      </c>
      <c r="L53" s="5">
        <f>11664 / 86400</f>
        <v>0.13500000000000001</v>
      </c>
      <c r="M53" s="5">
        <f>74722 / 86400</f>
        <v>0.864837962962963</v>
      </c>
    </row>
    <row r="54" spans="1:13" x14ac:dyDescent="0.25">
      <c r="A54" t="s">
        <v>433</v>
      </c>
      <c r="B54" s="3">
        <v>45695.187152777777</v>
      </c>
      <c r="C54" t="s">
        <v>22</v>
      </c>
      <c r="D54" s="3">
        <v>45695.894907407404</v>
      </c>
      <c r="E54" t="s">
        <v>22</v>
      </c>
      <c r="F54" s="4">
        <v>197.83</v>
      </c>
      <c r="G54" s="4">
        <v>545037.45799999998</v>
      </c>
      <c r="H54" s="4">
        <v>545235.28799999994</v>
      </c>
      <c r="I54" s="5">
        <f>17315 / 86400</f>
        <v>0.20040509259259259</v>
      </c>
      <c r="J54" t="s">
        <v>30</v>
      </c>
      <c r="K54" t="s">
        <v>24</v>
      </c>
      <c r="L54" s="5">
        <f>47849 / 86400</f>
        <v>0.55380787037037038</v>
      </c>
      <c r="M54" s="5">
        <f>38548 / 86400</f>
        <v>0.44615740740740739</v>
      </c>
    </row>
    <row r="55" spans="1:13" x14ac:dyDescent="0.25">
      <c r="A55" t="s">
        <v>434</v>
      </c>
      <c r="B55" s="3">
        <v>45695</v>
      </c>
      <c r="C55" t="s">
        <v>100</v>
      </c>
      <c r="D55" s="3">
        <v>45695.99998842593</v>
      </c>
      <c r="E55" t="s">
        <v>101</v>
      </c>
      <c r="F55" s="4">
        <v>274.98899999999998</v>
      </c>
      <c r="G55" s="4">
        <v>101798.439</v>
      </c>
      <c r="H55" s="4">
        <v>102073.428</v>
      </c>
      <c r="I55" s="5">
        <f>20944 / 86400</f>
        <v>0.2424074074074074</v>
      </c>
      <c r="J55" t="s">
        <v>102</v>
      </c>
      <c r="K55" t="s">
        <v>69</v>
      </c>
      <c r="L55" s="5">
        <f>56145 / 86400</f>
        <v>0.64982638888888888</v>
      </c>
      <c r="M55" s="5">
        <f>30254 / 86400</f>
        <v>0.35016203703703702</v>
      </c>
    </row>
    <row r="56" spans="1:13" x14ac:dyDescent="0.25">
      <c r="A56" t="s">
        <v>435</v>
      </c>
      <c r="B56" s="3">
        <v>45695.315428240741</v>
      </c>
      <c r="C56" t="s">
        <v>29</v>
      </c>
      <c r="D56" s="3">
        <v>45695.99998842593</v>
      </c>
      <c r="E56" t="s">
        <v>103</v>
      </c>
      <c r="F56" s="4">
        <v>259.786</v>
      </c>
      <c r="G56" s="4">
        <v>53168.055999999997</v>
      </c>
      <c r="H56" s="4">
        <v>53427.841999999997</v>
      </c>
      <c r="I56" s="5">
        <f>19147 / 86400</f>
        <v>0.22160879629629629</v>
      </c>
      <c r="J56" t="s">
        <v>104</v>
      </c>
      <c r="K56" t="s">
        <v>69</v>
      </c>
      <c r="L56" s="5">
        <f>53343 / 86400</f>
        <v>0.61739583333333337</v>
      </c>
      <c r="M56" s="5">
        <f>33056 / 86400</f>
        <v>0.3825925925925926</v>
      </c>
    </row>
    <row r="57" spans="1:13" x14ac:dyDescent="0.25">
      <c r="A57" t="s">
        <v>436</v>
      </c>
      <c r="B57" s="3">
        <v>45695.212361111116</v>
      </c>
      <c r="C57" t="s">
        <v>105</v>
      </c>
      <c r="D57" s="3">
        <v>45695.721886574072</v>
      </c>
      <c r="E57" t="s">
        <v>106</v>
      </c>
      <c r="F57" s="4">
        <v>135.042</v>
      </c>
      <c r="G57" s="4">
        <v>45295.724000000002</v>
      </c>
      <c r="H57" s="4">
        <v>45430.766000000003</v>
      </c>
      <c r="I57" s="5">
        <f>13515 / 86400</f>
        <v>0.15642361111111111</v>
      </c>
      <c r="J57" t="s">
        <v>59</v>
      </c>
      <c r="K57" t="s">
        <v>34</v>
      </c>
      <c r="L57" s="5">
        <f>33719 / 86400</f>
        <v>0.39026620370370368</v>
      </c>
      <c r="M57" s="5">
        <f>52680 / 86400</f>
        <v>0.60972222222222228</v>
      </c>
    </row>
    <row r="58" spans="1:13" x14ac:dyDescent="0.25">
      <c r="A58" t="s">
        <v>437</v>
      </c>
      <c r="B58" s="3">
        <v>45695.33798611111</v>
      </c>
      <c r="C58" t="s">
        <v>107</v>
      </c>
      <c r="D58" s="3">
        <v>45695.943518518514</v>
      </c>
      <c r="E58" t="s">
        <v>107</v>
      </c>
      <c r="F58" s="4">
        <v>185.53299999999999</v>
      </c>
      <c r="G58" s="4">
        <v>77512.459000000003</v>
      </c>
      <c r="H58" s="4">
        <v>77697.991999999998</v>
      </c>
      <c r="I58" s="5">
        <f>14527 / 86400</f>
        <v>0.16813657407407406</v>
      </c>
      <c r="J58" t="s">
        <v>27</v>
      </c>
      <c r="K58" t="s">
        <v>28</v>
      </c>
      <c r="L58" s="5">
        <f>40122 / 86400</f>
        <v>0.46437499999999998</v>
      </c>
      <c r="M58" s="5">
        <f>46277 / 86400</f>
        <v>0.53561342592592598</v>
      </c>
    </row>
    <row r="59" spans="1:13" x14ac:dyDescent="0.25">
      <c r="A59" t="s">
        <v>438</v>
      </c>
      <c r="B59" s="3">
        <v>45695.261180555557</v>
      </c>
      <c r="C59" t="s">
        <v>108</v>
      </c>
      <c r="D59" s="3">
        <v>45695.779675925922</v>
      </c>
      <c r="E59" t="s">
        <v>108</v>
      </c>
      <c r="F59" s="4">
        <v>48.3</v>
      </c>
      <c r="G59" s="4">
        <v>38645.773000000001</v>
      </c>
      <c r="H59" s="4">
        <v>38694.072999999997</v>
      </c>
      <c r="I59" s="5">
        <f>3978 / 86400</f>
        <v>4.6041666666666668E-2</v>
      </c>
      <c r="J59" t="s">
        <v>61</v>
      </c>
      <c r="K59" t="s">
        <v>20</v>
      </c>
      <c r="L59" s="5">
        <f>11118 / 86400</f>
        <v>0.12868055555555555</v>
      </c>
      <c r="M59" s="5">
        <f>75281 / 86400</f>
        <v>0.87130787037037039</v>
      </c>
    </row>
    <row r="60" spans="1:13" x14ac:dyDescent="0.25">
      <c r="A60" t="s">
        <v>439</v>
      </c>
      <c r="B60" s="3">
        <v>45695.264999999999</v>
      </c>
      <c r="C60" t="s">
        <v>109</v>
      </c>
      <c r="D60" s="3">
        <v>45695.910555555558</v>
      </c>
      <c r="E60" t="s">
        <v>109</v>
      </c>
      <c r="F60" s="4">
        <v>205.441</v>
      </c>
      <c r="G60" s="4">
        <v>191257.74</v>
      </c>
      <c r="H60" s="4">
        <v>191463.18100000001</v>
      </c>
      <c r="I60" s="5">
        <f>13314 / 86400</f>
        <v>0.15409722222222222</v>
      </c>
      <c r="J60" t="s">
        <v>75</v>
      </c>
      <c r="K60" t="s">
        <v>20</v>
      </c>
      <c r="L60" s="5">
        <f>45377 / 86400</f>
        <v>0.52519675925925924</v>
      </c>
      <c r="M60" s="5">
        <f>41016 / 86400</f>
        <v>0.47472222222222221</v>
      </c>
    </row>
    <row r="61" spans="1:13" x14ac:dyDescent="0.25">
      <c r="A61" t="s">
        <v>440</v>
      </c>
      <c r="B61" s="3">
        <v>45695</v>
      </c>
      <c r="C61" t="s">
        <v>110</v>
      </c>
      <c r="D61" s="3">
        <v>45695.835555555561</v>
      </c>
      <c r="E61" t="s">
        <v>92</v>
      </c>
      <c r="F61" s="4">
        <v>197.892</v>
      </c>
      <c r="G61" s="4">
        <v>521542.32299999997</v>
      </c>
      <c r="H61" s="4">
        <v>521740.21500000003</v>
      </c>
      <c r="I61" s="5">
        <f>21131 / 86400</f>
        <v>0.24457175925925925</v>
      </c>
      <c r="J61" t="s">
        <v>33</v>
      </c>
      <c r="K61" t="s">
        <v>34</v>
      </c>
      <c r="L61" s="5">
        <f>49886 / 86400</f>
        <v>0.57738425925925929</v>
      </c>
      <c r="M61" s="5">
        <f>36510 / 86400</f>
        <v>0.42256944444444444</v>
      </c>
    </row>
    <row r="62" spans="1:13" x14ac:dyDescent="0.25">
      <c r="A62" t="s">
        <v>441</v>
      </c>
      <c r="B62" s="3">
        <v>45695.263275462959</v>
      </c>
      <c r="C62" t="s">
        <v>95</v>
      </c>
      <c r="D62" s="3">
        <v>45695.905671296292</v>
      </c>
      <c r="E62" t="s">
        <v>95</v>
      </c>
      <c r="F62" s="4">
        <v>196.97800000000001</v>
      </c>
      <c r="G62" s="4">
        <v>21811.013999999999</v>
      </c>
      <c r="H62" s="4">
        <v>22007.991999999998</v>
      </c>
      <c r="I62" s="5">
        <f>19375 / 86400</f>
        <v>0.22424768518518517</v>
      </c>
      <c r="J62" t="s">
        <v>111</v>
      </c>
      <c r="K62" t="s">
        <v>53</v>
      </c>
      <c r="L62" s="5">
        <f>52729 / 86400</f>
        <v>0.61028935185185185</v>
      </c>
      <c r="M62" s="5">
        <f>33663 / 86400</f>
        <v>0.38961805555555556</v>
      </c>
    </row>
    <row r="63" spans="1:13" x14ac:dyDescent="0.25">
      <c r="A63" t="s">
        <v>442</v>
      </c>
      <c r="B63" s="3">
        <v>45695.247418981482</v>
      </c>
      <c r="C63" t="s">
        <v>38</v>
      </c>
      <c r="D63" s="3">
        <v>45695.904467592598</v>
      </c>
      <c r="E63" t="s">
        <v>38</v>
      </c>
      <c r="F63" s="4">
        <v>100.88500000000001</v>
      </c>
      <c r="G63" s="4">
        <v>63337.275999999998</v>
      </c>
      <c r="H63" s="4">
        <v>63438.161</v>
      </c>
      <c r="I63" s="5">
        <f>15834 / 86400</f>
        <v>0.18326388888888889</v>
      </c>
      <c r="J63" t="s">
        <v>75</v>
      </c>
      <c r="K63" t="s">
        <v>112</v>
      </c>
      <c r="L63" s="5">
        <f>32032 / 86400</f>
        <v>0.37074074074074076</v>
      </c>
      <c r="M63" s="5">
        <f>54365 / 86400</f>
        <v>0.62922453703703707</v>
      </c>
    </row>
    <row r="64" spans="1:13" x14ac:dyDescent="0.25">
      <c r="A64" t="s">
        <v>443</v>
      </c>
      <c r="B64" s="3">
        <v>45695.265138888892</v>
      </c>
      <c r="C64" t="s">
        <v>113</v>
      </c>
      <c r="D64" s="3">
        <v>45695.609074074076</v>
      </c>
      <c r="E64" t="s">
        <v>67</v>
      </c>
      <c r="F64" s="4">
        <v>105.97399999999999</v>
      </c>
      <c r="G64" s="4">
        <v>4406.4849999999997</v>
      </c>
      <c r="H64" s="4">
        <v>4512.4589999999998</v>
      </c>
      <c r="I64" s="5">
        <f>8653 / 86400</f>
        <v>0.10015046296296297</v>
      </c>
      <c r="J64" t="s">
        <v>39</v>
      </c>
      <c r="K64" t="s">
        <v>24</v>
      </c>
      <c r="L64" s="5">
        <f>25119 / 86400</f>
        <v>0.29072916666666665</v>
      </c>
      <c r="M64" s="5">
        <f>61279 / 86400</f>
        <v>0.70924768518518522</v>
      </c>
    </row>
    <row r="65" spans="1:13" x14ac:dyDescent="0.25">
      <c r="A65" t="s">
        <v>444</v>
      </c>
      <c r="B65" s="3">
        <v>45695.208472222221</v>
      </c>
      <c r="C65" t="s">
        <v>29</v>
      </c>
      <c r="D65" s="3">
        <v>45695.992685185185</v>
      </c>
      <c r="E65" t="s">
        <v>114</v>
      </c>
      <c r="F65" s="4">
        <v>217.10599999999999</v>
      </c>
      <c r="G65" s="4">
        <v>406856.41899999999</v>
      </c>
      <c r="H65" s="4">
        <v>407073.52500000002</v>
      </c>
      <c r="I65" s="5">
        <f>13789 / 86400</f>
        <v>0.15959490740740739</v>
      </c>
      <c r="J65" t="s">
        <v>55</v>
      </c>
      <c r="K65" t="s">
        <v>90</v>
      </c>
      <c r="L65" s="5">
        <f>42121 / 86400</f>
        <v>0.48751157407407408</v>
      </c>
      <c r="M65" s="5">
        <f>44275 / 86400</f>
        <v>0.51244212962962965</v>
      </c>
    </row>
    <row r="66" spans="1:13" x14ac:dyDescent="0.25">
      <c r="A66" t="s">
        <v>445</v>
      </c>
      <c r="B66" s="3">
        <v>45695</v>
      </c>
      <c r="C66" t="s">
        <v>115</v>
      </c>
      <c r="D66" s="3">
        <v>45695.99998842593</v>
      </c>
      <c r="E66" t="s">
        <v>116</v>
      </c>
      <c r="F66" s="4">
        <v>223.886</v>
      </c>
      <c r="G66" s="4">
        <v>548342.799</v>
      </c>
      <c r="H66" s="4">
        <v>548566.68500000006</v>
      </c>
      <c r="I66" s="5">
        <f>14617 / 86400</f>
        <v>0.16917824074074075</v>
      </c>
      <c r="J66" t="s">
        <v>75</v>
      </c>
      <c r="K66" t="s">
        <v>28</v>
      </c>
      <c r="L66" s="5">
        <f>47208 / 86400</f>
        <v>0.54638888888888892</v>
      </c>
      <c r="M66" s="5">
        <f>39187 / 86400</f>
        <v>0.45355324074074072</v>
      </c>
    </row>
    <row r="67" spans="1:13" x14ac:dyDescent="0.25">
      <c r="A67" t="s">
        <v>446</v>
      </c>
      <c r="B67" s="3">
        <v>45695.286921296298</v>
      </c>
      <c r="C67" t="s">
        <v>117</v>
      </c>
      <c r="D67" s="3">
        <v>45695.975312499999</v>
      </c>
      <c r="E67" t="s">
        <v>117</v>
      </c>
      <c r="F67" s="4">
        <v>580.71499999999992</v>
      </c>
      <c r="G67" s="4">
        <v>47138.254999999997</v>
      </c>
      <c r="H67" s="4">
        <v>47718.97</v>
      </c>
      <c r="I67" s="5">
        <f>9408 / 86400</f>
        <v>0.10888888888888888</v>
      </c>
      <c r="J67" t="s">
        <v>61</v>
      </c>
      <c r="K67" t="s">
        <v>61</v>
      </c>
      <c r="L67" s="5">
        <f>25705 / 86400</f>
        <v>0.29751157407407408</v>
      </c>
      <c r="M67" s="5">
        <f>60691 / 86400</f>
        <v>0.7024421296296296</v>
      </c>
    </row>
    <row r="68" spans="1:13" x14ac:dyDescent="0.25">
      <c r="A68" t="s">
        <v>447</v>
      </c>
      <c r="B68" s="3">
        <v>45695</v>
      </c>
      <c r="C68" t="s">
        <v>118</v>
      </c>
      <c r="D68" s="3">
        <v>45695.99998842593</v>
      </c>
      <c r="E68" t="s">
        <v>119</v>
      </c>
      <c r="F68" s="4">
        <v>290.66899999999998</v>
      </c>
      <c r="G68" s="4">
        <v>57656.796999999999</v>
      </c>
      <c r="H68" s="4">
        <v>57947.466</v>
      </c>
      <c r="I68" s="5">
        <f>22571 / 86400</f>
        <v>0.26123842592592594</v>
      </c>
      <c r="J68" t="s">
        <v>32</v>
      </c>
      <c r="K68" t="s">
        <v>20</v>
      </c>
      <c r="L68" s="5">
        <f>63974 / 86400</f>
        <v>0.7404398148148148</v>
      </c>
      <c r="M68" s="5">
        <f>22414 / 86400</f>
        <v>0.25942129629629629</v>
      </c>
    </row>
    <row r="69" spans="1:13" x14ac:dyDescent="0.25">
      <c r="A69" t="s">
        <v>448</v>
      </c>
      <c r="B69" s="3">
        <v>45695.002476851849</v>
      </c>
      <c r="C69" t="s">
        <v>41</v>
      </c>
      <c r="D69" s="3">
        <v>45695.997812500005</v>
      </c>
      <c r="E69" t="s">
        <v>22</v>
      </c>
      <c r="F69" s="4">
        <v>326.10500000000002</v>
      </c>
      <c r="G69" s="4">
        <v>60591.728999999999</v>
      </c>
      <c r="H69" s="4">
        <v>60917.834000000003</v>
      </c>
      <c r="I69" s="5">
        <f>23263 / 86400</f>
        <v>0.26924768518518516</v>
      </c>
      <c r="J69" t="s">
        <v>120</v>
      </c>
      <c r="K69" t="s">
        <v>69</v>
      </c>
      <c r="L69" s="5">
        <f>65517 / 86400</f>
        <v>0.75829861111111108</v>
      </c>
      <c r="M69" s="5">
        <f>20877 / 86400</f>
        <v>0.24163194444444444</v>
      </c>
    </row>
    <row r="70" spans="1:13" x14ac:dyDescent="0.25">
      <c r="A70" t="s">
        <v>449</v>
      </c>
      <c r="B70" s="3">
        <v>45695.425532407404</v>
      </c>
      <c r="C70" t="s">
        <v>121</v>
      </c>
      <c r="D70" s="3">
        <v>45695.99998842593</v>
      </c>
      <c r="E70" t="s">
        <v>122</v>
      </c>
      <c r="F70" s="4">
        <v>184.387</v>
      </c>
      <c r="G70" s="4">
        <v>290572.62400000001</v>
      </c>
      <c r="H70" s="4">
        <v>290757.011</v>
      </c>
      <c r="I70" s="5">
        <f>19336 / 86400</f>
        <v>0.2237962962962963</v>
      </c>
      <c r="J70" t="s">
        <v>47</v>
      </c>
      <c r="K70" t="s">
        <v>34</v>
      </c>
      <c r="L70" s="5">
        <f>45803 / 86400</f>
        <v>0.53012731481481479</v>
      </c>
      <c r="M70" s="5">
        <f>40596 / 86400</f>
        <v>0.46986111111111112</v>
      </c>
    </row>
    <row r="71" spans="1:13" x14ac:dyDescent="0.25">
      <c r="A71" s="6" t="s">
        <v>123</v>
      </c>
      <c r="B71" s="6" t="s">
        <v>124</v>
      </c>
      <c r="C71" s="6" t="s">
        <v>124</v>
      </c>
      <c r="D71" s="6" t="s">
        <v>124</v>
      </c>
      <c r="E71" s="6" t="s">
        <v>124</v>
      </c>
      <c r="F71" s="7">
        <v>11508.343764170468</v>
      </c>
      <c r="G71" s="6" t="s">
        <v>124</v>
      </c>
      <c r="H71" s="6" t="s">
        <v>124</v>
      </c>
      <c r="I71" s="8">
        <f>1057565 / 86400</f>
        <v>12.240335648148148</v>
      </c>
      <c r="J71" s="6" t="s">
        <v>124</v>
      </c>
      <c r="K71" s="6" t="s">
        <v>124</v>
      </c>
      <c r="L71" s="8">
        <f>2673958 / 86400</f>
        <v>30.948587962962964</v>
      </c>
      <c r="M71" s="8">
        <f>2768915 / 86400</f>
        <v>32.047627314814818</v>
      </c>
    </row>
    <row r="72" spans="1:1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 spans="1:13" s="9" customFormat="1" x14ac:dyDescent="0.25">
      <c r="A73" s="15" t="s">
        <v>125</v>
      </c>
      <c r="B73" s="15"/>
      <c r="C73" s="15"/>
      <c r="D73" s="15"/>
      <c r="E73" s="15"/>
      <c r="F73" s="15"/>
      <c r="G73" s="15"/>
      <c r="H73" s="15"/>
      <c r="I73" s="15"/>
      <c r="J73" s="15"/>
    </row>
    <row r="74" spans="1:13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 spans="1:13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 spans="1:13" s="10" customFormat="1" ht="20.100000000000001" customHeight="1" x14ac:dyDescent="0.35">
      <c r="A76" s="12" t="s">
        <v>387</v>
      </c>
      <c r="B76" s="12"/>
      <c r="C76" s="12"/>
      <c r="D76" s="12"/>
      <c r="E76" s="12"/>
      <c r="F76" s="12"/>
      <c r="G76" s="12"/>
      <c r="H76" s="12"/>
      <c r="I76" s="12"/>
      <c r="J76" s="12"/>
    </row>
    <row r="77" spans="1:13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 spans="1:13" ht="30" x14ac:dyDescent="0.25">
      <c r="A78" s="2" t="s">
        <v>6</v>
      </c>
      <c r="B78" s="2" t="s">
        <v>7</v>
      </c>
      <c r="C78" s="2" t="s">
        <v>8</v>
      </c>
      <c r="D78" s="2" t="s">
        <v>9</v>
      </c>
      <c r="E78" s="2" t="s">
        <v>10</v>
      </c>
      <c r="F78" s="2" t="s">
        <v>11</v>
      </c>
      <c r="G78" s="2" t="s">
        <v>12</v>
      </c>
      <c r="H78" s="2" t="s">
        <v>13</v>
      </c>
      <c r="I78" s="2" t="s">
        <v>14</v>
      </c>
      <c r="J78" s="2" t="s">
        <v>15</v>
      </c>
      <c r="K78" s="2" t="s">
        <v>16</v>
      </c>
      <c r="L78" s="2" t="s">
        <v>17</v>
      </c>
    </row>
    <row r="79" spans="1:13" x14ac:dyDescent="0.25">
      <c r="A79" s="3">
        <v>45695.218298611115</v>
      </c>
      <c r="B79" t="s">
        <v>18</v>
      </c>
      <c r="C79" s="3">
        <v>45695.219965277778</v>
      </c>
      <c r="D79" t="s">
        <v>18</v>
      </c>
      <c r="E79" s="4">
        <v>3.6999999999999998E-2</v>
      </c>
      <c r="F79" s="4">
        <v>513043.47200000001</v>
      </c>
      <c r="G79" s="4">
        <v>513043.50900000002</v>
      </c>
      <c r="H79" s="5">
        <f>78 / 86400</f>
        <v>9.0277777777777774E-4</v>
      </c>
      <c r="I79" t="s">
        <v>126</v>
      </c>
      <c r="J79" t="s">
        <v>127</v>
      </c>
      <c r="K79" s="5">
        <f>143 / 86400</f>
        <v>1.6550925925925926E-3</v>
      </c>
      <c r="L79" s="5">
        <f>26309 / 86400</f>
        <v>0.30450231481481482</v>
      </c>
    </row>
    <row r="80" spans="1:13" x14ac:dyDescent="0.25">
      <c r="A80" s="3">
        <v>45695.306168981479</v>
      </c>
      <c r="B80" t="s">
        <v>18</v>
      </c>
      <c r="C80" s="3">
        <v>45695.410601851851</v>
      </c>
      <c r="D80" t="s">
        <v>128</v>
      </c>
      <c r="E80" s="4">
        <v>32.716999999999999</v>
      </c>
      <c r="F80" s="4">
        <v>513043.50900000002</v>
      </c>
      <c r="G80" s="4">
        <v>513076.22600000002</v>
      </c>
      <c r="H80" s="5">
        <f>4279 / 86400</f>
        <v>4.9525462962962966E-2</v>
      </c>
      <c r="I80" t="s">
        <v>64</v>
      </c>
      <c r="J80" t="s">
        <v>53</v>
      </c>
      <c r="K80" s="5">
        <f>9022 / 86400</f>
        <v>0.10442129629629629</v>
      </c>
      <c r="L80" s="5">
        <f>659 / 86400</f>
        <v>7.6273148148148151E-3</v>
      </c>
    </row>
    <row r="81" spans="1:12" x14ac:dyDescent="0.25">
      <c r="A81" s="3">
        <v>45695.418229166666</v>
      </c>
      <c r="B81" t="s">
        <v>128</v>
      </c>
      <c r="C81" s="3">
        <v>45695.422951388886</v>
      </c>
      <c r="D81" t="s">
        <v>128</v>
      </c>
      <c r="E81" s="4">
        <v>0</v>
      </c>
      <c r="F81" s="4">
        <v>513076.22600000002</v>
      </c>
      <c r="G81" s="4">
        <v>513076.22600000002</v>
      </c>
      <c r="H81" s="5">
        <f>399 / 86400</f>
        <v>4.6180555555555558E-3</v>
      </c>
      <c r="I81" t="s">
        <v>129</v>
      </c>
      <c r="J81" t="s">
        <v>129</v>
      </c>
      <c r="K81" s="5">
        <f>407 / 86400</f>
        <v>4.7106481481481478E-3</v>
      </c>
      <c r="L81" s="5">
        <f>626 / 86400</f>
        <v>7.2453703703703708E-3</v>
      </c>
    </row>
    <row r="82" spans="1:12" x14ac:dyDescent="0.25">
      <c r="A82" s="3">
        <v>45695.430196759262</v>
      </c>
      <c r="B82" t="s">
        <v>128</v>
      </c>
      <c r="C82" s="3">
        <v>45695.529456018514</v>
      </c>
      <c r="D82" t="s">
        <v>130</v>
      </c>
      <c r="E82" s="4">
        <v>14.188000000000001</v>
      </c>
      <c r="F82" s="4">
        <v>513076.22600000002</v>
      </c>
      <c r="G82" s="4">
        <v>513090.41399999999</v>
      </c>
      <c r="H82" s="5">
        <f>6209 / 86400</f>
        <v>7.1863425925925928E-2</v>
      </c>
      <c r="I82" t="s">
        <v>131</v>
      </c>
      <c r="J82" t="s">
        <v>132</v>
      </c>
      <c r="K82" s="5">
        <f>8576 / 86400</f>
        <v>9.9259259259259255E-2</v>
      </c>
      <c r="L82" s="5">
        <f>35 / 86400</f>
        <v>4.0509259259259258E-4</v>
      </c>
    </row>
    <row r="83" spans="1:12" x14ac:dyDescent="0.25">
      <c r="A83" s="3">
        <v>45695.529861111107</v>
      </c>
      <c r="B83" t="s">
        <v>130</v>
      </c>
      <c r="C83" s="3">
        <v>45695.530092592591</v>
      </c>
      <c r="D83" t="s">
        <v>130</v>
      </c>
      <c r="E83" s="4">
        <v>0</v>
      </c>
      <c r="F83" s="4">
        <v>513090.41399999999</v>
      </c>
      <c r="G83" s="4">
        <v>513090.41399999999</v>
      </c>
      <c r="H83" s="5">
        <f>0 / 86400</f>
        <v>0</v>
      </c>
      <c r="I83" t="s">
        <v>129</v>
      </c>
      <c r="J83" t="s">
        <v>129</v>
      </c>
      <c r="K83" s="5">
        <f>20 / 86400</f>
        <v>2.3148148148148149E-4</v>
      </c>
      <c r="L83" s="5">
        <f>1640 / 86400</f>
        <v>1.8981481481481481E-2</v>
      </c>
    </row>
    <row r="84" spans="1:12" x14ac:dyDescent="0.25">
      <c r="A84" s="3">
        <v>45695.549074074079</v>
      </c>
      <c r="B84" t="s">
        <v>130</v>
      </c>
      <c r="C84" s="3">
        <v>45695.54923611111</v>
      </c>
      <c r="D84" t="s">
        <v>130</v>
      </c>
      <c r="E84" s="4">
        <v>5.0000000000000001E-3</v>
      </c>
      <c r="F84" s="4">
        <v>513090.41399999999</v>
      </c>
      <c r="G84" s="4">
        <v>513090.41899999999</v>
      </c>
      <c r="H84" s="5">
        <f>0 / 86400</f>
        <v>0</v>
      </c>
      <c r="I84" t="s">
        <v>129</v>
      </c>
      <c r="J84" t="s">
        <v>127</v>
      </c>
      <c r="K84" s="5">
        <f>13 / 86400</f>
        <v>1.5046296296296297E-4</v>
      </c>
      <c r="L84" s="5">
        <f>795 / 86400</f>
        <v>9.2013888888888892E-3</v>
      </c>
    </row>
    <row r="85" spans="1:12" x14ac:dyDescent="0.25">
      <c r="A85" s="3">
        <v>45695.558437500003</v>
      </c>
      <c r="B85" t="s">
        <v>130</v>
      </c>
      <c r="C85" s="3">
        <v>45695.565520833334</v>
      </c>
      <c r="D85" t="s">
        <v>133</v>
      </c>
      <c r="E85" s="4">
        <v>3.3730000000000002</v>
      </c>
      <c r="F85" s="4">
        <v>513090.41899999999</v>
      </c>
      <c r="G85" s="4">
        <v>513093.79200000002</v>
      </c>
      <c r="H85" s="5">
        <f>60 / 86400</f>
        <v>6.9444444444444447E-4</v>
      </c>
      <c r="I85" t="s">
        <v>134</v>
      </c>
      <c r="J85" t="s">
        <v>78</v>
      </c>
      <c r="K85" s="5">
        <f>612 / 86400</f>
        <v>7.083333333333333E-3</v>
      </c>
      <c r="L85" s="5">
        <f>889 / 86400</f>
        <v>1.0289351851851852E-2</v>
      </c>
    </row>
    <row r="86" spans="1:12" x14ac:dyDescent="0.25">
      <c r="A86" s="3">
        <v>45695.575810185182</v>
      </c>
      <c r="B86" t="s">
        <v>133</v>
      </c>
      <c r="C86" s="3">
        <v>45695.576747685191</v>
      </c>
      <c r="D86" t="s">
        <v>133</v>
      </c>
      <c r="E86" s="4">
        <v>0.159</v>
      </c>
      <c r="F86" s="4">
        <v>513093.79200000002</v>
      </c>
      <c r="G86" s="4">
        <v>513093.951</v>
      </c>
      <c r="H86" s="5">
        <f>20 / 86400</f>
        <v>2.3148148148148149E-4</v>
      </c>
      <c r="I86" t="s">
        <v>53</v>
      </c>
      <c r="J86" t="s">
        <v>91</v>
      </c>
      <c r="K86" s="5">
        <f>80 / 86400</f>
        <v>9.2592592592592596E-4</v>
      </c>
      <c r="L86" s="5">
        <f>245 / 86400</f>
        <v>2.8356481481481483E-3</v>
      </c>
    </row>
    <row r="87" spans="1:12" x14ac:dyDescent="0.25">
      <c r="A87" s="3">
        <v>45695.579583333332</v>
      </c>
      <c r="B87" t="s">
        <v>133</v>
      </c>
      <c r="C87" s="3">
        <v>45695.731307870374</v>
      </c>
      <c r="D87" t="s">
        <v>128</v>
      </c>
      <c r="E87" s="4">
        <v>84.968000000000004</v>
      </c>
      <c r="F87" s="4">
        <v>513093.951</v>
      </c>
      <c r="G87" s="4">
        <v>513178.91899999999</v>
      </c>
      <c r="H87" s="5">
        <f>3418 / 86400</f>
        <v>3.9560185185185184E-2</v>
      </c>
      <c r="I87" t="s">
        <v>68</v>
      </c>
      <c r="J87" t="s">
        <v>135</v>
      </c>
      <c r="K87" s="5">
        <f>13108 / 86400</f>
        <v>0.15171296296296297</v>
      </c>
      <c r="L87" s="5">
        <f>363 / 86400</f>
        <v>4.2013888888888891E-3</v>
      </c>
    </row>
    <row r="88" spans="1:12" x14ac:dyDescent="0.25">
      <c r="A88" s="3">
        <v>45695.735509259262</v>
      </c>
      <c r="B88" t="s">
        <v>128</v>
      </c>
      <c r="C88" s="3">
        <v>45695.737835648149</v>
      </c>
      <c r="D88" t="s">
        <v>136</v>
      </c>
      <c r="E88" s="4">
        <v>0.85799999999999998</v>
      </c>
      <c r="F88" s="4">
        <v>513178.91899999999</v>
      </c>
      <c r="G88" s="4">
        <v>513179.777</v>
      </c>
      <c r="H88" s="5">
        <f>20 / 86400</f>
        <v>2.3148148148148149E-4</v>
      </c>
      <c r="I88" t="s">
        <v>137</v>
      </c>
      <c r="J88" t="s">
        <v>24</v>
      </c>
      <c r="K88" s="5">
        <f>200 / 86400</f>
        <v>2.3148148148148147E-3</v>
      </c>
      <c r="L88" s="5">
        <f>379 / 86400</f>
        <v>4.386574074074074E-3</v>
      </c>
    </row>
    <row r="89" spans="1:12" x14ac:dyDescent="0.25">
      <c r="A89" s="3">
        <v>45695.742222222223</v>
      </c>
      <c r="B89" t="s">
        <v>136</v>
      </c>
      <c r="C89" s="3">
        <v>45695.742349537039</v>
      </c>
      <c r="D89" t="s">
        <v>136</v>
      </c>
      <c r="E89" s="4">
        <v>6.0000000000000001E-3</v>
      </c>
      <c r="F89" s="4">
        <v>513179.777</v>
      </c>
      <c r="G89" s="4">
        <v>513179.783</v>
      </c>
      <c r="H89" s="5">
        <f>0 / 86400</f>
        <v>0</v>
      </c>
      <c r="I89" t="s">
        <v>126</v>
      </c>
      <c r="J89" t="s">
        <v>87</v>
      </c>
      <c r="K89" s="5">
        <f>11 / 86400</f>
        <v>1.273148148148148E-4</v>
      </c>
      <c r="L89" s="5">
        <f>260 / 86400</f>
        <v>3.0092592592592593E-3</v>
      </c>
    </row>
    <row r="90" spans="1:12" x14ac:dyDescent="0.25">
      <c r="A90" s="3">
        <v>45695.745358796295</v>
      </c>
      <c r="B90" t="s">
        <v>136</v>
      </c>
      <c r="C90" s="3">
        <v>45695.810231481482</v>
      </c>
      <c r="D90" t="s">
        <v>138</v>
      </c>
      <c r="E90" s="4">
        <v>36.384999999999998</v>
      </c>
      <c r="F90" s="4">
        <v>513179.783</v>
      </c>
      <c r="G90" s="4">
        <v>513216.16800000001</v>
      </c>
      <c r="H90" s="5">
        <f>1059 / 86400</f>
        <v>1.2256944444444445E-2</v>
      </c>
      <c r="I90" t="s">
        <v>19</v>
      </c>
      <c r="J90" t="s">
        <v>135</v>
      </c>
      <c r="K90" s="5">
        <f>5605 / 86400</f>
        <v>6.4872685185185186E-2</v>
      </c>
      <c r="L90" s="5">
        <f>126 / 86400</f>
        <v>1.4583333333333334E-3</v>
      </c>
    </row>
    <row r="91" spans="1:12" x14ac:dyDescent="0.25">
      <c r="A91" s="3">
        <v>45695.811689814815</v>
      </c>
      <c r="B91" t="s">
        <v>130</v>
      </c>
      <c r="C91" s="3">
        <v>45695.815370370372</v>
      </c>
      <c r="D91" t="s">
        <v>18</v>
      </c>
      <c r="E91" s="4">
        <v>0.57199999999999995</v>
      </c>
      <c r="F91" s="4">
        <v>513216.16800000001</v>
      </c>
      <c r="G91" s="4">
        <v>513216.74</v>
      </c>
      <c r="H91" s="5">
        <f>120 / 86400</f>
        <v>1.3888888888888889E-3</v>
      </c>
      <c r="I91" t="s">
        <v>139</v>
      </c>
      <c r="J91" t="s">
        <v>132</v>
      </c>
      <c r="K91" s="5">
        <f>317 / 86400</f>
        <v>3.6689814814814814E-3</v>
      </c>
      <c r="L91" s="5">
        <f>44 / 86400</f>
        <v>5.0925925925925921E-4</v>
      </c>
    </row>
    <row r="92" spans="1:12" x14ac:dyDescent="0.25">
      <c r="A92" s="3">
        <v>45695.815879629634</v>
      </c>
      <c r="B92" t="s">
        <v>18</v>
      </c>
      <c r="C92" s="3">
        <v>45695.816712962958</v>
      </c>
      <c r="D92" t="s">
        <v>18</v>
      </c>
      <c r="E92" s="4">
        <v>2.4E-2</v>
      </c>
      <c r="F92" s="4">
        <v>513216.74</v>
      </c>
      <c r="G92" s="4">
        <v>513216.76400000002</v>
      </c>
      <c r="H92" s="5">
        <f>20 / 86400</f>
        <v>2.3148148148148149E-4</v>
      </c>
      <c r="I92" t="s">
        <v>87</v>
      </c>
      <c r="J92" t="s">
        <v>127</v>
      </c>
      <c r="K92" s="5">
        <f>72 / 86400</f>
        <v>8.3333333333333339E-4</v>
      </c>
      <c r="L92" s="5">
        <f>24 / 86400</f>
        <v>2.7777777777777778E-4</v>
      </c>
    </row>
    <row r="93" spans="1:12" x14ac:dyDescent="0.25">
      <c r="A93" s="3">
        <v>45695.816990740743</v>
      </c>
      <c r="B93" t="s">
        <v>18</v>
      </c>
      <c r="C93" s="3">
        <v>45695.817372685182</v>
      </c>
      <c r="D93" t="s">
        <v>18</v>
      </c>
      <c r="E93" s="4">
        <v>2.4E-2</v>
      </c>
      <c r="F93" s="4">
        <v>513216.76400000002</v>
      </c>
      <c r="G93" s="4">
        <v>513216.788</v>
      </c>
      <c r="H93" s="5">
        <f>20 / 86400</f>
        <v>2.3148148148148149E-4</v>
      </c>
      <c r="I93" t="s">
        <v>132</v>
      </c>
      <c r="J93" t="s">
        <v>140</v>
      </c>
      <c r="K93" s="5">
        <f>32 / 86400</f>
        <v>3.7037037037037035E-4</v>
      </c>
      <c r="L93" s="5">
        <f>343 / 86400</f>
        <v>3.9699074074074072E-3</v>
      </c>
    </row>
    <row r="94" spans="1:12" x14ac:dyDescent="0.25">
      <c r="A94" s="3">
        <v>45695.821342592593</v>
      </c>
      <c r="B94" t="s">
        <v>18</v>
      </c>
      <c r="C94" s="3">
        <v>45695.822118055556</v>
      </c>
      <c r="D94" t="s">
        <v>18</v>
      </c>
      <c r="E94" s="4">
        <v>5.1999999999999998E-2</v>
      </c>
      <c r="F94" s="4">
        <v>513216.788</v>
      </c>
      <c r="G94" s="4">
        <v>513216.84</v>
      </c>
      <c r="H94" s="5">
        <f>0 / 86400</f>
        <v>0</v>
      </c>
      <c r="I94" t="s">
        <v>141</v>
      </c>
      <c r="J94" t="s">
        <v>140</v>
      </c>
      <c r="K94" s="5">
        <f>66 / 86400</f>
        <v>7.6388888888888893E-4</v>
      </c>
      <c r="L94" s="5">
        <f>15368 / 86400</f>
        <v>0.17787037037037037</v>
      </c>
    </row>
    <row r="95" spans="1:12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</row>
    <row r="96" spans="1:12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</row>
    <row r="97" spans="1:12" s="10" customFormat="1" ht="20.100000000000001" customHeight="1" x14ac:dyDescent="0.35">
      <c r="A97" s="12" t="s">
        <v>388</v>
      </c>
      <c r="B97" s="12"/>
      <c r="C97" s="12"/>
      <c r="D97" s="12"/>
      <c r="E97" s="12"/>
      <c r="F97" s="12"/>
      <c r="G97" s="12"/>
      <c r="H97" s="12"/>
      <c r="I97" s="12"/>
      <c r="J97" s="12"/>
    </row>
    <row r="98" spans="1:12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</row>
    <row r="99" spans="1:12" ht="30" x14ac:dyDescent="0.25">
      <c r="A99" s="2" t="s">
        <v>6</v>
      </c>
      <c r="B99" s="2" t="s">
        <v>7</v>
      </c>
      <c r="C99" s="2" t="s">
        <v>8</v>
      </c>
      <c r="D99" s="2" t="s">
        <v>9</v>
      </c>
      <c r="E99" s="2" t="s">
        <v>10</v>
      </c>
      <c r="F99" s="2" t="s">
        <v>11</v>
      </c>
      <c r="G99" s="2" t="s">
        <v>12</v>
      </c>
      <c r="H99" s="2" t="s">
        <v>13</v>
      </c>
      <c r="I99" s="2" t="s">
        <v>14</v>
      </c>
      <c r="J99" s="2" t="s">
        <v>15</v>
      </c>
      <c r="K99" s="2" t="s">
        <v>16</v>
      </c>
      <c r="L99" s="2" t="s">
        <v>17</v>
      </c>
    </row>
    <row r="100" spans="1:12" x14ac:dyDescent="0.25">
      <c r="A100" s="3">
        <v>45695.085775462961</v>
      </c>
      <c r="B100" t="s">
        <v>21</v>
      </c>
      <c r="C100" s="3">
        <v>45695.098113425927</v>
      </c>
      <c r="D100" t="s">
        <v>142</v>
      </c>
      <c r="E100" s="4">
        <v>0.68400000000000005</v>
      </c>
      <c r="F100" s="4">
        <v>17976.62</v>
      </c>
      <c r="G100" s="4">
        <v>17977.304</v>
      </c>
      <c r="H100" s="5">
        <f>799 / 86400</f>
        <v>9.2476851851851852E-3</v>
      </c>
      <c r="I100" t="s">
        <v>143</v>
      </c>
      <c r="J100" t="s">
        <v>87</v>
      </c>
      <c r="K100" s="5">
        <f>1065 / 86400</f>
        <v>1.2326388888888888E-2</v>
      </c>
      <c r="L100" s="5">
        <f>7758 / 86400</f>
        <v>8.9791666666666672E-2</v>
      </c>
    </row>
    <row r="101" spans="1:12" x14ac:dyDescent="0.25">
      <c r="A101" s="3">
        <v>45695.102129629631</v>
      </c>
      <c r="B101" t="s">
        <v>142</v>
      </c>
      <c r="C101" s="3">
        <v>45695.106979166667</v>
      </c>
      <c r="D101" t="s">
        <v>22</v>
      </c>
      <c r="E101" s="4">
        <v>0.34399999999999997</v>
      </c>
      <c r="F101" s="4">
        <v>17977.304</v>
      </c>
      <c r="G101" s="4">
        <v>17977.648000000001</v>
      </c>
      <c r="H101" s="5">
        <f>119 / 86400</f>
        <v>1.3773148148148147E-3</v>
      </c>
      <c r="I101" t="s">
        <v>91</v>
      </c>
      <c r="J101" t="s">
        <v>140</v>
      </c>
      <c r="K101" s="5">
        <f>418 / 86400</f>
        <v>4.8379629629629632E-3</v>
      </c>
      <c r="L101" s="5">
        <f>19 / 86400</f>
        <v>2.199074074074074E-4</v>
      </c>
    </row>
    <row r="102" spans="1:12" x14ac:dyDescent="0.25">
      <c r="A102" s="3">
        <v>45695.107199074075</v>
      </c>
      <c r="B102" t="s">
        <v>22</v>
      </c>
      <c r="C102" s="3">
        <v>45695.107604166667</v>
      </c>
      <c r="D102" t="s">
        <v>22</v>
      </c>
      <c r="E102" s="4">
        <v>1E-3</v>
      </c>
      <c r="F102" s="4">
        <v>17977.648000000001</v>
      </c>
      <c r="G102" s="4">
        <v>17977.649000000001</v>
      </c>
      <c r="H102" s="5">
        <f>19 / 86400</f>
        <v>2.199074074074074E-4</v>
      </c>
      <c r="I102" t="s">
        <v>129</v>
      </c>
      <c r="J102" t="s">
        <v>129</v>
      </c>
      <c r="K102" s="5">
        <f>35 / 86400</f>
        <v>4.0509259259259258E-4</v>
      </c>
      <c r="L102" s="5">
        <f>20461 / 86400</f>
        <v>0.23681712962962964</v>
      </c>
    </row>
    <row r="103" spans="1:12" x14ac:dyDescent="0.25">
      <c r="A103" s="3">
        <v>45695.344421296293</v>
      </c>
      <c r="B103" t="s">
        <v>22</v>
      </c>
      <c r="C103" s="3">
        <v>45695.348923611113</v>
      </c>
      <c r="D103" t="s">
        <v>128</v>
      </c>
      <c r="E103" s="4">
        <v>0.73099999999999998</v>
      </c>
      <c r="F103" s="4">
        <v>17977.649000000001</v>
      </c>
      <c r="G103" s="4">
        <v>17978.38</v>
      </c>
      <c r="H103" s="5">
        <f>119 / 86400</f>
        <v>1.3773148148148147E-3</v>
      </c>
      <c r="I103" t="s">
        <v>78</v>
      </c>
      <c r="J103" t="s">
        <v>91</v>
      </c>
      <c r="K103" s="5">
        <f>389 / 86400</f>
        <v>4.5023148148148149E-3</v>
      </c>
      <c r="L103" s="5">
        <f>3825 / 86400</f>
        <v>4.4270833333333336E-2</v>
      </c>
    </row>
    <row r="104" spans="1:12" x14ac:dyDescent="0.25">
      <c r="A104" s="3">
        <v>45695.393194444448</v>
      </c>
      <c r="B104" t="s">
        <v>128</v>
      </c>
      <c r="C104" s="3">
        <v>45695.643680555557</v>
      </c>
      <c r="D104" t="s">
        <v>128</v>
      </c>
      <c r="E104" s="4">
        <v>95.08</v>
      </c>
      <c r="F104" s="4">
        <v>17978.38</v>
      </c>
      <c r="G104" s="4">
        <v>18073.46</v>
      </c>
      <c r="H104" s="5">
        <f>7900 / 86400</f>
        <v>9.1435185185185189E-2</v>
      </c>
      <c r="I104" t="s">
        <v>23</v>
      </c>
      <c r="J104" t="s">
        <v>20</v>
      </c>
      <c r="K104" s="5">
        <f>21642 / 86400</f>
        <v>0.25048611111111113</v>
      </c>
      <c r="L104" s="5">
        <f>588 / 86400</f>
        <v>6.8055555555555551E-3</v>
      </c>
    </row>
    <row r="105" spans="1:12" x14ac:dyDescent="0.25">
      <c r="A105" s="3">
        <v>45695.65048611111</v>
      </c>
      <c r="B105" t="s">
        <v>128</v>
      </c>
      <c r="C105" s="3">
        <v>45695.652141203704</v>
      </c>
      <c r="D105" t="s">
        <v>128</v>
      </c>
      <c r="E105" s="4">
        <v>0.19</v>
      </c>
      <c r="F105" s="4">
        <v>18073.46</v>
      </c>
      <c r="G105" s="4">
        <v>18073.650000000001</v>
      </c>
      <c r="H105" s="5">
        <f>39 / 86400</f>
        <v>4.5138888888888887E-4</v>
      </c>
      <c r="I105" t="s">
        <v>57</v>
      </c>
      <c r="J105" t="s">
        <v>126</v>
      </c>
      <c r="K105" s="5">
        <f>143 / 86400</f>
        <v>1.6550925925925926E-3</v>
      </c>
      <c r="L105" s="5">
        <f>528 / 86400</f>
        <v>6.1111111111111114E-3</v>
      </c>
    </row>
    <row r="106" spans="1:12" x14ac:dyDescent="0.25">
      <c r="A106" s="3">
        <v>45695.65825231481</v>
      </c>
      <c r="B106" t="s">
        <v>128</v>
      </c>
      <c r="C106" s="3">
        <v>45695.662881944445</v>
      </c>
      <c r="D106" t="s">
        <v>21</v>
      </c>
      <c r="E106" s="4">
        <v>0.60799999999999998</v>
      </c>
      <c r="F106" s="4">
        <v>18073.650000000001</v>
      </c>
      <c r="G106" s="4">
        <v>18074.258000000002</v>
      </c>
      <c r="H106" s="5">
        <f>220 / 86400</f>
        <v>2.5462962962962965E-3</v>
      </c>
      <c r="I106" t="s">
        <v>144</v>
      </c>
      <c r="J106" t="s">
        <v>126</v>
      </c>
      <c r="K106" s="5">
        <f>400 / 86400</f>
        <v>4.6296296296296294E-3</v>
      </c>
      <c r="L106" s="5">
        <f>14813 / 86400</f>
        <v>0.17144675925925926</v>
      </c>
    </row>
    <row r="107" spans="1:12" x14ac:dyDescent="0.25">
      <c r="A107" s="3">
        <v>45695.834328703699</v>
      </c>
      <c r="B107" t="s">
        <v>21</v>
      </c>
      <c r="C107" s="3">
        <v>45695.835625</v>
      </c>
      <c r="D107" t="s">
        <v>22</v>
      </c>
      <c r="E107" s="4">
        <v>5.7000000000000002E-2</v>
      </c>
      <c r="F107" s="4">
        <v>18074.258000000002</v>
      </c>
      <c r="G107" s="4">
        <v>18074.314999999999</v>
      </c>
      <c r="H107" s="5">
        <f>39 / 86400</f>
        <v>4.5138888888888887E-4</v>
      </c>
      <c r="I107" t="s">
        <v>140</v>
      </c>
      <c r="J107" t="s">
        <v>87</v>
      </c>
      <c r="K107" s="5">
        <f>112 / 86400</f>
        <v>1.2962962962962963E-3</v>
      </c>
      <c r="L107" s="5">
        <f>14201 / 86400</f>
        <v>0.16436342592592593</v>
      </c>
    </row>
    <row r="108" spans="1:12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2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2" s="10" customFormat="1" ht="20.100000000000001" customHeight="1" x14ac:dyDescent="0.35">
      <c r="A110" s="12" t="s">
        <v>389</v>
      </c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1:12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2" ht="30" x14ac:dyDescent="0.25">
      <c r="A112" s="2" t="s">
        <v>6</v>
      </c>
      <c r="B112" s="2" t="s">
        <v>7</v>
      </c>
      <c r="C112" s="2" t="s">
        <v>8</v>
      </c>
      <c r="D112" s="2" t="s">
        <v>9</v>
      </c>
      <c r="E112" s="2" t="s">
        <v>10</v>
      </c>
      <c r="F112" s="2" t="s">
        <v>11</v>
      </c>
      <c r="G112" s="2" t="s">
        <v>12</v>
      </c>
      <c r="H112" s="2" t="s">
        <v>13</v>
      </c>
      <c r="I112" s="2" t="s">
        <v>14</v>
      </c>
      <c r="J112" s="2" t="s">
        <v>15</v>
      </c>
      <c r="K112" s="2" t="s">
        <v>16</v>
      </c>
      <c r="L112" s="2" t="s">
        <v>17</v>
      </c>
    </row>
    <row r="113" spans="1:12" x14ac:dyDescent="0.25">
      <c r="A113" s="3">
        <v>45695.269328703704</v>
      </c>
      <c r="B113" t="s">
        <v>25</v>
      </c>
      <c r="C113" s="3">
        <v>45695.269629629634</v>
      </c>
      <c r="D113" t="s">
        <v>25</v>
      </c>
      <c r="E113" s="4">
        <v>1.4E-2</v>
      </c>
      <c r="F113" s="4">
        <v>327480.58299999998</v>
      </c>
      <c r="G113" s="4">
        <v>327480.59700000001</v>
      </c>
      <c r="H113" s="5">
        <f>20 / 86400</f>
        <v>2.3148148148148149E-4</v>
      </c>
      <c r="I113" t="s">
        <v>129</v>
      </c>
      <c r="J113" t="s">
        <v>87</v>
      </c>
      <c r="K113" s="5">
        <f>26 / 86400</f>
        <v>3.0092592592592595E-4</v>
      </c>
      <c r="L113" s="5">
        <f>27632 / 86400</f>
        <v>0.31981481481481483</v>
      </c>
    </row>
    <row r="114" spans="1:12" x14ac:dyDescent="0.25">
      <c r="A114" s="3">
        <v>45695.320115740746</v>
      </c>
      <c r="B114" t="s">
        <v>81</v>
      </c>
      <c r="C114" s="3">
        <v>45695.322766203702</v>
      </c>
      <c r="D114" t="s">
        <v>145</v>
      </c>
      <c r="E114" s="4">
        <v>0.67300000000000004</v>
      </c>
      <c r="F114" s="4">
        <v>327480.59700000001</v>
      </c>
      <c r="G114" s="4">
        <v>327481.27</v>
      </c>
      <c r="H114" s="5">
        <f>80 / 86400</f>
        <v>9.2592592592592596E-4</v>
      </c>
      <c r="I114" t="s">
        <v>146</v>
      </c>
      <c r="J114" t="s">
        <v>112</v>
      </c>
      <c r="K114" s="5">
        <f>229 / 86400</f>
        <v>2.650462962962963E-3</v>
      </c>
      <c r="L114" s="5">
        <f>84 / 86400</f>
        <v>9.7222222222222219E-4</v>
      </c>
    </row>
    <row r="115" spans="1:12" x14ac:dyDescent="0.25">
      <c r="A115" s="3">
        <v>45695.323738425926</v>
      </c>
      <c r="B115" t="s">
        <v>145</v>
      </c>
      <c r="C115" s="3">
        <v>45695.36918981481</v>
      </c>
      <c r="D115" t="s">
        <v>128</v>
      </c>
      <c r="E115" s="4">
        <v>25.863</v>
      </c>
      <c r="F115" s="4">
        <v>327481.27</v>
      </c>
      <c r="G115" s="4">
        <v>327507.13299999997</v>
      </c>
      <c r="H115" s="5">
        <f>800 / 86400</f>
        <v>9.2592592592592587E-3</v>
      </c>
      <c r="I115" t="s">
        <v>111</v>
      </c>
      <c r="J115" t="s">
        <v>143</v>
      </c>
      <c r="K115" s="5">
        <f>3927 / 86400</f>
        <v>4.5451388888888888E-2</v>
      </c>
      <c r="L115" s="5">
        <f>493 / 86400</f>
        <v>5.7060185185185183E-3</v>
      </c>
    </row>
    <row r="116" spans="1:12" x14ac:dyDescent="0.25">
      <c r="A116" s="3">
        <v>45695.374895833331</v>
      </c>
      <c r="B116" t="s">
        <v>128</v>
      </c>
      <c r="C116" s="3">
        <v>45695.375671296293</v>
      </c>
      <c r="D116" t="s">
        <v>128</v>
      </c>
      <c r="E116" s="4">
        <v>3.7999999999999999E-2</v>
      </c>
      <c r="F116" s="4">
        <v>327507.13299999997</v>
      </c>
      <c r="G116" s="4">
        <v>327507.17099999997</v>
      </c>
      <c r="H116" s="5">
        <f>0 / 86400</f>
        <v>0</v>
      </c>
      <c r="I116" t="s">
        <v>132</v>
      </c>
      <c r="J116" t="s">
        <v>87</v>
      </c>
      <c r="K116" s="5">
        <f>66 / 86400</f>
        <v>7.6388888888888893E-4</v>
      </c>
      <c r="L116" s="5">
        <f>3197 / 86400</f>
        <v>3.7002314814814814E-2</v>
      </c>
    </row>
    <row r="117" spans="1:12" x14ac:dyDescent="0.25">
      <c r="A117" s="3">
        <v>45695.412673611107</v>
      </c>
      <c r="B117" t="s">
        <v>128</v>
      </c>
      <c r="C117" s="3">
        <v>45695.41337962963</v>
      </c>
      <c r="D117" t="s">
        <v>128</v>
      </c>
      <c r="E117" s="4">
        <v>2.7E-2</v>
      </c>
      <c r="F117" s="4">
        <v>327507.17099999997</v>
      </c>
      <c r="G117" s="4">
        <v>327507.19799999997</v>
      </c>
      <c r="H117" s="5">
        <f>19 / 86400</f>
        <v>2.199074074074074E-4</v>
      </c>
      <c r="I117" t="s">
        <v>91</v>
      </c>
      <c r="J117" t="s">
        <v>87</v>
      </c>
      <c r="K117" s="5">
        <f>60 / 86400</f>
        <v>6.9444444444444447E-4</v>
      </c>
      <c r="L117" s="5">
        <f>641 / 86400</f>
        <v>7.4189814814814813E-3</v>
      </c>
    </row>
    <row r="118" spans="1:12" x14ac:dyDescent="0.25">
      <c r="A118" s="3">
        <v>45695.420798611114</v>
      </c>
      <c r="B118" t="s">
        <v>128</v>
      </c>
      <c r="C118" s="3">
        <v>45695.421157407407</v>
      </c>
      <c r="D118" t="s">
        <v>128</v>
      </c>
      <c r="E118" s="4">
        <v>1.4E-2</v>
      </c>
      <c r="F118" s="4">
        <v>327507.19799999997</v>
      </c>
      <c r="G118" s="4">
        <v>327507.212</v>
      </c>
      <c r="H118" s="5">
        <f>19 / 86400</f>
        <v>2.199074074074074E-4</v>
      </c>
      <c r="I118" t="s">
        <v>132</v>
      </c>
      <c r="J118" t="s">
        <v>87</v>
      </c>
      <c r="K118" s="5">
        <f>30 / 86400</f>
        <v>3.4722222222222224E-4</v>
      </c>
      <c r="L118" s="5">
        <f>3174 / 86400</f>
        <v>3.6736111111111108E-2</v>
      </c>
    </row>
    <row r="119" spans="1:12" x14ac:dyDescent="0.25">
      <c r="A119" s="3">
        <v>45695.45789351852</v>
      </c>
      <c r="B119" t="s">
        <v>128</v>
      </c>
      <c r="C119" s="3">
        <v>45695.458344907413</v>
      </c>
      <c r="D119" t="s">
        <v>128</v>
      </c>
      <c r="E119" s="4">
        <v>2.1999999999999999E-2</v>
      </c>
      <c r="F119" s="4">
        <v>327507.212</v>
      </c>
      <c r="G119" s="4">
        <v>327507.234</v>
      </c>
      <c r="H119" s="5">
        <f>19 / 86400</f>
        <v>2.199074074074074E-4</v>
      </c>
      <c r="I119" t="s">
        <v>132</v>
      </c>
      <c r="J119" t="s">
        <v>87</v>
      </c>
      <c r="K119" s="5">
        <f>39 / 86400</f>
        <v>4.5138888888888887E-4</v>
      </c>
      <c r="L119" s="5">
        <f>639 / 86400</f>
        <v>7.3958333333333333E-3</v>
      </c>
    </row>
    <row r="120" spans="1:12" x14ac:dyDescent="0.25">
      <c r="A120" s="3">
        <v>45695.465740740736</v>
      </c>
      <c r="B120" t="s">
        <v>128</v>
      </c>
      <c r="C120" s="3">
        <v>45695.466249999998</v>
      </c>
      <c r="D120" t="s">
        <v>147</v>
      </c>
      <c r="E120" s="4">
        <v>0.10299999999999999</v>
      </c>
      <c r="F120" s="4">
        <v>327507.234</v>
      </c>
      <c r="G120" s="4">
        <v>327507.337</v>
      </c>
      <c r="H120" s="5">
        <f>0 / 86400</f>
        <v>0</v>
      </c>
      <c r="I120" t="s">
        <v>69</v>
      </c>
      <c r="J120" t="s">
        <v>71</v>
      </c>
      <c r="K120" s="5">
        <f>43 / 86400</f>
        <v>4.9768518518518521E-4</v>
      </c>
      <c r="L120" s="5">
        <f>2031 / 86400</f>
        <v>2.3506944444444445E-2</v>
      </c>
    </row>
    <row r="121" spans="1:12" x14ac:dyDescent="0.25">
      <c r="A121" s="3">
        <v>45695.489756944444</v>
      </c>
      <c r="B121" t="s">
        <v>147</v>
      </c>
      <c r="C121" s="3">
        <v>45695.602164351847</v>
      </c>
      <c r="D121" t="s">
        <v>148</v>
      </c>
      <c r="E121" s="4">
        <v>46.881999999999998</v>
      </c>
      <c r="F121" s="4">
        <v>327507.337</v>
      </c>
      <c r="G121" s="4">
        <v>327554.21899999998</v>
      </c>
      <c r="H121" s="5">
        <f>3659 / 86400</f>
        <v>4.234953703703704E-2</v>
      </c>
      <c r="I121" t="s">
        <v>27</v>
      </c>
      <c r="J121" t="s">
        <v>28</v>
      </c>
      <c r="K121" s="5">
        <f>9711 / 86400</f>
        <v>0.11239583333333333</v>
      </c>
      <c r="L121" s="5">
        <f>70 / 86400</f>
        <v>8.1018518518518516E-4</v>
      </c>
    </row>
    <row r="122" spans="1:12" x14ac:dyDescent="0.25">
      <c r="A122" s="3">
        <v>45695.602974537032</v>
      </c>
      <c r="B122" t="s">
        <v>149</v>
      </c>
      <c r="C122" s="3">
        <v>45695.717962962968</v>
      </c>
      <c r="D122" t="s">
        <v>150</v>
      </c>
      <c r="E122" s="4">
        <v>43.003</v>
      </c>
      <c r="F122" s="4">
        <v>327554.21899999998</v>
      </c>
      <c r="G122" s="4">
        <v>327597.22200000001</v>
      </c>
      <c r="H122" s="5">
        <f>4100 / 86400</f>
        <v>4.7453703703703706E-2</v>
      </c>
      <c r="I122" t="s">
        <v>44</v>
      </c>
      <c r="J122" t="s">
        <v>20</v>
      </c>
      <c r="K122" s="5">
        <f>9934 / 86400</f>
        <v>0.11497685185185186</v>
      </c>
      <c r="L122" s="5">
        <f>78 / 86400</f>
        <v>9.0277777777777774E-4</v>
      </c>
    </row>
    <row r="123" spans="1:12" x14ac:dyDescent="0.25">
      <c r="A123" s="3">
        <v>45695.718865740739</v>
      </c>
      <c r="B123" t="s">
        <v>150</v>
      </c>
      <c r="C123" s="3">
        <v>45695.889247685191</v>
      </c>
      <c r="D123" t="s">
        <v>88</v>
      </c>
      <c r="E123" s="4">
        <v>67.108999999999995</v>
      </c>
      <c r="F123" s="4">
        <v>327597.22200000001</v>
      </c>
      <c r="G123" s="4">
        <v>327664.33100000001</v>
      </c>
      <c r="H123" s="5">
        <f>5079 / 86400</f>
        <v>5.8784722222222224E-2</v>
      </c>
      <c r="I123" t="s">
        <v>23</v>
      </c>
      <c r="J123" t="s">
        <v>20</v>
      </c>
      <c r="K123" s="5">
        <f>14720 / 86400</f>
        <v>0.17037037037037037</v>
      </c>
      <c r="L123" s="5">
        <f>60 / 86400</f>
        <v>6.9444444444444447E-4</v>
      </c>
    </row>
    <row r="124" spans="1:12" x14ac:dyDescent="0.25">
      <c r="A124" s="3">
        <v>45695.88994212963</v>
      </c>
      <c r="B124" t="s">
        <v>88</v>
      </c>
      <c r="C124" s="3">
        <v>45695.890092592592</v>
      </c>
      <c r="D124" t="s">
        <v>88</v>
      </c>
      <c r="E124" s="4">
        <v>0</v>
      </c>
      <c r="F124" s="4">
        <v>327664.33100000001</v>
      </c>
      <c r="G124" s="4">
        <v>327664.33100000001</v>
      </c>
      <c r="H124" s="5">
        <f>11 / 86400</f>
        <v>1.273148148148148E-4</v>
      </c>
      <c r="I124" t="s">
        <v>129</v>
      </c>
      <c r="J124" t="s">
        <v>129</v>
      </c>
      <c r="K124" s="5">
        <f>13 / 86400</f>
        <v>1.5046296296296297E-4</v>
      </c>
      <c r="L124" s="5">
        <f>892 / 86400</f>
        <v>1.0324074074074074E-2</v>
      </c>
    </row>
    <row r="125" spans="1:12" x14ac:dyDescent="0.25">
      <c r="A125" s="3">
        <v>45695.900416666671</v>
      </c>
      <c r="B125" t="s">
        <v>88</v>
      </c>
      <c r="C125" s="3">
        <v>45695.916921296295</v>
      </c>
      <c r="D125" t="s">
        <v>26</v>
      </c>
      <c r="E125" s="4">
        <v>1.458</v>
      </c>
      <c r="F125" s="4">
        <v>327664.33100000001</v>
      </c>
      <c r="G125" s="4">
        <v>327665.78899999999</v>
      </c>
      <c r="H125" s="5">
        <f>1140 / 86400</f>
        <v>1.3194444444444444E-2</v>
      </c>
      <c r="I125" t="s">
        <v>151</v>
      </c>
      <c r="J125" t="s">
        <v>82</v>
      </c>
      <c r="K125" s="5">
        <f>1426 / 86400</f>
        <v>1.650462962962963E-2</v>
      </c>
      <c r="L125" s="5">
        <f>5 / 86400</f>
        <v>5.7870370370370373E-5</v>
      </c>
    </row>
    <row r="126" spans="1:12" x14ac:dyDescent="0.25">
      <c r="A126" s="3">
        <v>45695.916979166665</v>
      </c>
      <c r="B126" t="s">
        <v>26</v>
      </c>
      <c r="C126" s="3">
        <v>45695.917013888888</v>
      </c>
      <c r="D126" t="s">
        <v>26</v>
      </c>
      <c r="E126" s="4">
        <v>0</v>
      </c>
      <c r="F126" s="4">
        <v>327665.78899999999</v>
      </c>
      <c r="G126" s="4">
        <v>327665.78899999999</v>
      </c>
      <c r="H126" s="5">
        <f>0 / 86400</f>
        <v>0</v>
      </c>
      <c r="I126" t="s">
        <v>129</v>
      </c>
      <c r="J126" t="s">
        <v>129</v>
      </c>
      <c r="K126" s="5">
        <f>3 / 86400</f>
        <v>3.4722222222222222E-5</v>
      </c>
      <c r="L126" s="5">
        <f>7169 / 86400</f>
        <v>8.2974537037037041E-2</v>
      </c>
    </row>
    <row r="127" spans="1:12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</row>
    <row r="128" spans="1:12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 spans="1:12" s="10" customFormat="1" ht="20.100000000000001" customHeight="1" x14ac:dyDescent="0.35">
      <c r="A129" s="12" t="s">
        <v>390</v>
      </c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1:12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</row>
    <row r="131" spans="1:12" ht="30" x14ac:dyDescent="0.25">
      <c r="A131" s="2" t="s">
        <v>6</v>
      </c>
      <c r="B131" s="2" t="s">
        <v>7</v>
      </c>
      <c r="C131" s="2" t="s">
        <v>8</v>
      </c>
      <c r="D131" s="2" t="s">
        <v>9</v>
      </c>
      <c r="E131" s="2" t="s">
        <v>10</v>
      </c>
      <c r="F131" s="2" t="s">
        <v>11</v>
      </c>
      <c r="G131" s="2" t="s">
        <v>12</v>
      </c>
      <c r="H131" s="2" t="s">
        <v>13</v>
      </c>
      <c r="I131" s="2" t="s">
        <v>14</v>
      </c>
      <c r="J131" s="2" t="s">
        <v>15</v>
      </c>
      <c r="K131" s="2" t="s">
        <v>16</v>
      </c>
      <c r="L131" s="2" t="s">
        <v>17</v>
      </c>
    </row>
    <row r="132" spans="1:12" x14ac:dyDescent="0.25">
      <c r="A132" s="3">
        <v>45695.283657407403</v>
      </c>
      <c r="B132" t="s">
        <v>29</v>
      </c>
      <c r="C132" s="3">
        <v>45695.351099537038</v>
      </c>
      <c r="D132" t="s">
        <v>136</v>
      </c>
      <c r="E132" s="4">
        <v>30.143999999999998</v>
      </c>
      <c r="F132" s="4">
        <v>20281.109</v>
      </c>
      <c r="G132" s="4">
        <v>20311.253000000001</v>
      </c>
      <c r="H132" s="5">
        <f>1518 / 86400</f>
        <v>1.7569444444444443E-2</v>
      </c>
      <c r="I132" t="s">
        <v>99</v>
      </c>
      <c r="J132" t="s">
        <v>90</v>
      </c>
      <c r="K132" s="5">
        <f>5827 / 86400</f>
        <v>6.744212962962963E-2</v>
      </c>
      <c r="L132" s="5">
        <f>24694 / 86400</f>
        <v>0.28581018518518519</v>
      </c>
    </row>
    <row r="133" spans="1:12" x14ac:dyDescent="0.25">
      <c r="A133" s="3">
        <v>45695.353252314817</v>
      </c>
      <c r="B133" t="s">
        <v>136</v>
      </c>
      <c r="C133" s="3">
        <v>45695.353449074071</v>
      </c>
      <c r="D133" t="s">
        <v>136</v>
      </c>
      <c r="E133" s="4">
        <v>8.9999999999999993E-3</v>
      </c>
      <c r="F133" s="4">
        <v>20311.253000000001</v>
      </c>
      <c r="G133" s="4">
        <v>20311.261999999999</v>
      </c>
      <c r="H133" s="5">
        <f>0 / 86400</f>
        <v>0</v>
      </c>
      <c r="I133" t="s">
        <v>129</v>
      </c>
      <c r="J133" t="s">
        <v>87</v>
      </c>
      <c r="K133" s="5">
        <f>17 / 86400</f>
        <v>1.9675925925925926E-4</v>
      </c>
      <c r="L133" s="5">
        <f>249 / 86400</f>
        <v>2.8819444444444444E-3</v>
      </c>
    </row>
    <row r="134" spans="1:12" x14ac:dyDescent="0.25">
      <c r="A134" s="3">
        <v>45695.35633101852</v>
      </c>
      <c r="B134" t="s">
        <v>136</v>
      </c>
      <c r="C134" s="3">
        <v>45695.503831018519</v>
      </c>
      <c r="D134" t="s">
        <v>152</v>
      </c>
      <c r="E134" s="4">
        <v>50.009</v>
      </c>
      <c r="F134" s="4">
        <v>20311.261999999999</v>
      </c>
      <c r="G134" s="4">
        <v>20361.271000000001</v>
      </c>
      <c r="H134" s="5">
        <f>4880 / 86400</f>
        <v>5.648148148148148E-2</v>
      </c>
      <c r="I134" t="s">
        <v>153</v>
      </c>
      <c r="J134" t="s">
        <v>34</v>
      </c>
      <c r="K134" s="5">
        <f>12743 / 86400</f>
        <v>0.14748842592592593</v>
      </c>
      <c r="L134" s="5">
        <f>4083 / 86400</f>
        <v>4.7256944444444442E-2</v>
      </c>
    </row>
    <row r="135" spans="1:12" x14ac:dyDescent="0.25">
      <c r="A135" s="3">
        <v>45695.551087962958</v>
      </c>
      <c r="B135" t="s">
        <v>152</v>
      </c>
      <c r="C135" s="3">
        <v>45695.696087962962</v>
      </c>
      <c r="D135" t="s">
        <v>128</v>
      </c>
      <c r="E135" s="4">
        <v>50.365000000000002</v>
      </c>
      <c r="F135" s="4">
        <v>20361.271000000001</v>
      </c>
      <c r="G135" s="4">
        <v>20411.635999999999</v>
      </c>
      <c r="H135" s="5">
        <f>4198 / 86400</f>
        <v>4.8587962962962965E-2</v>
      </c>
      <c r="I135" t="s">
        <v>30</v>
      </c>
      <c r="J135" t="s">
        <v>34</v>
      </c>
      <c r="K135" s="5">
        <f>12527 / 86400</f>
        <v>0.14498842592592592</v>
      </c>
      <c r="L135" s="5">
        <f>209 / 86400</f>
        <v>2.4189814814814816E-3</v>
      </c>
    </row>
    <row r="136" spans="1:12" x14ac:dyDescent="0.25">
      <c r="A136" s="3">
        <v>45695.698506944449</v>
      </c>
      <c r="B136" t="s">
        <v>128</v>
      </c>
      <c r="C136" s="3">
        <v>45695.699629629627</v>
      </c>
      <c r="D136" t="s">
        <v>110</v>
      </c>
      <c r="E136" s="4">
        <v>0.21299999999999999</v>
      </c>
      <c r="F136" s="4">
        <v>20411.635999999999</v>
      </c>
      <c r="G136" s="4">
        <v>20411.848999999998</v>
      </c>
      <c r="H136" s="5">
        <f>0 / 86400</f>
        <v>0</v>
      </c>
      <c r="I136" t="s">
        <v>143</v>
      </c>
      <c r="J136" t="s">
        <v>141</v>
      </c>
      <c r="K136" s="5">
        <f>96 / 86400</f>
        <v>1.1111111111111111E-3</v>
      </c>
      <c r="L136" s="5">
        <f>211 / 86400</f>
        <v>2.4421296296296296E-3</v>
      </c>
    </row>
    <row r="137" spans="1:12" x14ac:dyDescent="0.25">
      <c r="A137" s="3">
        <v>45695.70207175926</v>
      </c>
      <c r="B137" t="s">
        <v>110</v>
      </c>
      <c r="C137" s="3">
        <v>45695.70449074074</v>
      </c>
      <c r="D137" t="s">
        <v>136</v>
      </c>
      <c r="E137" s="4">
        <v>0.64400000000000002</v>
      </c>
      <c r="F137" s="4">
        <v>20411.848999999998</v>
      </c>
      <c r="G137" s="4">
        <v>20412.492999999999</v>
      </c>
      <c r="H137" s="5">
        <f>0 / 86400</f>
        <v>0</v>
      </c>
      <c r="I137" t="s">
        <v>144</v>
      </c>
      <c r="J137" t="s">
        <v>112</v>
      </c>
      <c r="K137" s="5">
        <f>209 / 86400</f>
        <v>2.4189814814814816E-3</v>
      </c>
      <c r="L137" s="5">
        <f>552 / 86400</f>
        <v>6.3888888888888893E-3</v>
      </c>
    </row>
    <row r="138" spans="1:12" x14ac:dyDescent="0.25">
      <c r="A138" s="3">
        <v>45695.710879629631</v>
      </c>
      <c r="B138" t="s">
        <v>136</v>
      </c>
      <c r="C138" s="3">
        <v>45695.71125</v>
      </c>
      <c r="D138" t="s">
        <v>136</v>
      </c>
      <c r="E138" s="4">
        <v>1.0999999999999999E-2</v>
      </c>
      <c r="F138" s="4">
        <v>20412.492999999999</v>
      </c>
      <c r="G138" s="4">
        <v>20412.504000000001</v>
      </c>
      <c r="H138" s="5">
        <f>0 / 86400</f>
        <v>0</v>
      </c>
      <c r="I138" t="s">
        <v>82</v>
      </c>
      <c r="J138" t="s">
        <v>127</v>
      </c>
      <c r="K138" s="5">
        <f>31 / 86400</f>
        <v>3.5879629629629629E-4</v>
      </c>
      <c r="L138" s="5">
        <f>350 / 86400</f>
        <v>4.0509259259259257E-3</v>
      </c>
    </row>
    <row r="139" spans="1:12" x14ac:dyDescent="0.25">
      <c r="A139" s="3">
        <v>45695.715300925927</v>
      </c>
      <c r="B139" t="s">
        <v>136</v>
      </c>
      <c r="C139" s="3">
        <v>45695.715474537035</v>
      </c>
      <c r="D139" t="s">
        <v>136</v>
      </c>
      <c r="E139" s="4">
        <v>6.0000000000000001E-3</v>
      </c>
      <c r="F139" s="4">
        <v>20412.504000000001</v>
      </c>
      <c r="G139" s="4">
        <v>20412.509999999998</v>
      </c>
      <c r="H139" s="5">
        <f>0 / 86400</f>
        <v>0</v>
      </c>
      <c r="I139" t="s">
        <v>129</v>
      </c>
      <c r="J139" t="s">
        <v>87</v>
      </c>
      <c r="K139" s="5">
        <f>14 / 86400</f>
        <v>1.6203703703703703E-4</v>
      </c>
      <c r="L139" s="5">
        <f>440 / 86400</f>
        <v>5.092592592592593E-3</v>
      </c>
    </row>
    <row r="140" spans="1:12" x14ac:dyDescent="0.25">
      <c r="A140" s="3">
        <v>45695.720567129625</v>
      </c>
      <c r="B140" t="s">
        <v>136</v>
      </c>
      <c r="C140" s="3">
        <v>45695.72075231481</v>
      </c>
      <c r="D140" t="s">
        <v>136</v>
      </c>
      <c r="E140" s="4">
        <v>8.9999999999999993E-3</v>
      </c>
      <c r="F140" s="4">
        <v>20412.509999999998</v>
      </c>
      <c r="G140" s="4">
        <v>20412.519</v>
      </c>
      <c r="H140" s="5">
        <f>0 / 86400</f>
        <v>0</v>
      </c>
      <c r="I140" t="s">
        <v>129</v>
      </c>
      <c r="J140" t="s">
        <v>87</v>
      </c>
      <c r="K140" s="5">
        <f>16 / 86400</f>
        <v>1.8518518518518518E-4</v>
      </c>
      <c r="L140" s="5">
        <f>307 / 86400</f>
        <v>3.5532407407407409E-3</v>
      </c>
    </row>
    <row r="141" spans="1:12" x14ac:dyDescent="0.25">
      <c r="A141" s="3">
        <v>45695.724305555559</v>
      </c>
      <c r="B141" t="s">
        <v>136</v>
      </c>
      <c r="C141" s="3">
        <v>45695.725150462968</v>
      </c>
      <c r="D141" t="s">
        <v>136</v>
      </c>
      <c r="E141" s="4">
        <v>6.0000000000000001E-3</v>
      </c>
      <c r="F141" s="4">
        <v>20412.519</v>
      </c>
      <c r="G141" s="4">
        <v>20412.525000000001</v>
      </c>
      <c r="H141" s="5">
        <f>59 / 86400</f>
        <v>6.8287037037037036E-4</v>
      </c>
      <c r="I141" t="s">
        <v>129</v>
      </c>
      <c r="J141" t="s">
        <v>129</v>
      </c>
      <c r="K141" s="5">
        <f>73 / 86400</f>
        <v>8.4490740740740739E-4</v>
      </c>
      <c r="L141" s="5">
        <f>165 / 86400</f>
        <v>1.9097222222222222E-3</v>
      </c>
    </row>
    <row r="142" spans="1:12" x14ac:dyDescent="0.25">
      <c r="A142" s="3">
        <v>45695.727060185185</v>
      </c>
      <c r="B142" t="s">
        <v>154</v>
      </c>
      <c r="C142" s="3">
        <v>45695.881435185191</v>
      </c>
      <c r="D142" t="s">
        <v>29</v>
      </c>
      <c r="E142" s="4">
        <v>60.289000000000001</v>
      </c>
      <c r="F142" s="4">
        <v>20412.525000000001</v>
      </c>
      <c r="G142" s="4">
        <v>20472.813999999998</v>
      </c>
      <c r="H142" s="5">
        <f>4020 / 86400</f>
        <v>4.6527777777777779E-2</v>
      </c>
      <c r="I142" t="s">
        <v>30</v>
      </c>
      <c r="J142" t="s">
        <v>20</v>
      </c>
      <c r="K142" s="5">
        <f>13338 / 86400</f>
        <v>0.15437500000000001</v>
      </c>
      <c r="L142" s="5">
        <f>10243 / 86400</f>
        <v>0.11855324074074074</v>
      </c>
    </row>
    <row r="143" spans="1:12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2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2" s="10" customFormat="1" ht="20.100000000000001" customHeight="1" x14ac:dyDescent="0.35">
      <c r="A145" s="12" t="s">
        <v>391</v>
      </c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1:12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2" ht="30" x14ac:dyDescent="0.25">
      <c r="A147" s="2" t="s">
        <v>6</v>
      </c>
      <c r="B147" s="2" t="s">
        <v>7</v>
      </c>
      <c r="C147" s="2" t="s">
        <v>8</v>
      </c>
      <c r="D147" s="2" t="s">
        <v>9</v>
      </c>
      <c r="E147" s="2" t="s">
        <v>10</v>
      </c>
      <c r="F147" s="2" t="s">
        <v>11</v>
      </c>
      <c r="G147" s="2" t="s">
        <v>12</v>
      </c>
      <c r="H147" s="2" t="s">
        <v>13</v>
      </c>
      <c r="I147" s="2" t="s">
        <v>14</v>
      </c>
      <c r="J147" s="2" t="s">
        <v>15</v>
      </c>
      <c r="K147" s="2" t="s">
        <v>16</v>
      </c>
      <c r="L147" s="2" t="s">
        <v>17</v>
      </c>
    </row>
    <row r="148" spans="1:12" x14ac:dyDescent="0.25">
      <c r="A148" s="3">
        <v>45695.249675925923</v>
      </c>
      <c r="B148" t="s">
        <v>31</v>
      </c>
      <c r="C148" s="3">
        <v>45695.259641203702</v>
      </c>
      <c r="D148" t="s">
        <v>155</v>
      </c>
      <c r="E148" s="4">
        <v>0.69</v>
      </c>
      <c r="F148" s="4">
        <v>512118.74099999998</v>
      </c>
      <c r="G148" s="4">
        <v>512119.43099999998</v>
      </c>
      <c r="H148" s="5">
        <f>639 / 86400</f>
        <v>7.3958333333333333E-3</v>
      </c>
      <c r="I148" t="s">
        <v>143</v>
      </c>
      <c r="J148" t="s">
        <v>140</v>
      </c>
      <c r="K148" s="5">
        <f>860 / 86400</f>
        <v>9.9537037037037042E-3</v>
      </c>
      <c r="L148" s="5">
        <f>21591 / 86400</f>
        <v>0.24989583333333334</v>
      </c>
    </row>
    <row r="149" spans="1:12" x14ac:dyDescent="0.25">
      <c r="A149" s="3">
        <v>45695.25986111111</v>
      </c>
      <c r="B149" t="s">
        <v>155</v>
      </c>
      <c r="C149" s="3">
        <v>45695.268865740742</v>
      </c>
      <c r="D149" t="s">
        <v>156</v>
      </c>
      <c r="E149" s="4">
        <v>3.1160000000000001</v>
      </c>
      <c r="F149" s="4">
        <v>512119.43099999998</v>
      </c>
      <c r="G149" s="4">
        <v>512122.54700000002</v>
      </c>
      <c r="H149" s="5">
        <f>119 / 86400</f>
        <v>1.3773148148148147E-3</v>
      </c>
      <c r="I149" t="s">
        <v>157</v>
      </c>
      <c r="J149" t="s">
        <v>34</v>
      </c>
      <c r="K149" s="5">
        <f>777 / 86400</f>
        <v>8.9930555555555562E-3</v>
      </c>
      <c r="L149" s="5">
        <f>428 / 86400</f>
        <v>4.9537037037037041E-3</v>
      </c>
    </row>
    <row r="150" spans="1:12" x14ac:dyDescent="0.25">
      <c r="A150" s="3">
        <v>45695.273819444439</v>
      </c>
      <c r="B150" t="s">
        <v>156</v>
      </c>
      <c r="C150" s="3">
        <v>45695.321064814816</v>
      </c>
      <c r="D150" t="s">
        <v>158</v>
      </c>
      <c r="E150" s="4">
        <v>29.15</v>
      </c>
      <c r="F150" s="4">
        <v>512122.54700000002</v>
      </c>
      <c r="G150" s="4">
        <v>512151.69699999999</v>
      </c>
      <c r="H150" s="5">
        <f>500 / 86400</f>
        <v>5.7870370370370367E-3</v>
      </c>
      <c r="I150" t="s">
        <v>159</v>
      </c>
      <c r="J150" t="s">
        <v>160</v>
      </c>
      <c r="K150" s="5">
        <f>4082 / 86400</f>
        <v>4.7245370370370368E-2</v>
      </c>
      <c r="L150" s="5">
        <f>3810 / 86400</f>
        <v>4.4097222222222225E-2</v>
      </c>
    </row>
    <row r="151" spans="1:12" x14ac:dyDescent="0.25">
      <c r="A151" s="3">
        <v>45695.365162037036</v>
      </c>
      <c r="B151" t="s">
        <v>158</v>
      </c>
      <c r="C151" s="3">
        <v>45695.36928240741</v>
      </c>
      <c r="D151" t="s">
        <v>161</v>
      </c>
      <c r="E151" s="4">
        <v>0.90300000000000002</v>
      </c>
      <c r="F151" s="4">
        <v>512151.69699999999</v>
      </c>
      <c r="G151" s="4">
        <v>512152.6</v>
      </c>
      <c r="H151" s="5">
        <f>99 / 86400</f>
        <v>1.1458333333333333E-3</v>
      </c>
      <c r="I151" t="s">
        <v>143</v>
      </c>
      <c r="J151" t="s">
        <v>71</v>
      </c>
      <c r="K151" s="5">
        <f>355 / 86400</f>
        <v>4.1087962962962962E-3</v>
      </c>
      <c r="L151" s="5">
        <f>1033 / 86400</f>
        <v>1.1956018518518519E-2</v>
      </c>
    </row>
    <row r="152" spans="1:12" x14ac:dyDescent="0.25">
      <c r="A152" s="3">
        <v>45695.381238425922</v>
      </c>
      <c r="B152" t="s">
        <v>161</v>
      </c>
      <c r="C152" s="3">
        <v>45695.510706018518</v>
      </c>
      <c r="D152" t="s">
        <v>162</v>
      </c>
      <c r="E152" s="4">
        <v>51.024000000000001</v>
      </c>
      <c r="F152" s="4">
        <v>512152.6</v>
      </c>
      <c r="G152" s="4">
        <v>512203.62400000001</v>
      </c>
      <c r="H152" s="5">
        <f>3541 / 86400</f>
        <v>4.0983796296296296E-2</v>
      </c>
      <c r="I152" t="s">
        <v>68</v>
      </c>
      <c r="J152" t="s">
        <v>20</v>
      </c>
      <c r="K152" s="5">
        <f>11186 / 86400</f>
        <v>0.12946759259259261</v>
      </c>
      <c r="L152" s="5">
        <f>1388 / 86400</f>
        <v>1.6064814814814816E-2</v>
      </c>
    </row>
    <row r="153" spans="1:12" x14ac:dyDescent="0.25">
      <c r="A153" s="3">
        <v>45695.526770833334</v>
      </c>
      <c r="B153" t="s">
        <v>162</v>
      </c>
      <c r="C153" s="3">
        <v>45695.662557870368</v>
      </c>
      <c r="D153" t="s">
        <v>158</v>
      </c>
      <c r="E153" s="4">
        <v>51.606000000000002</v>
      </c>
      <c r="F153" s="4">
        <v>512203.62400000001</v>
      </c>
      <c r="G153" s="4">
        <v>512255.23</v>
      </c>
      <c r="H153" s="5">
        <f>3921 / 86400</f>
        <v>4.5381944444444447E-2</v>
      </c>
      <c r="I153" t="s">
        <v>36</v>
      </c>
      <c r="J153" t="s">
        <v>20</v>
      </c>
      <c r="K153" s="5">
        <f>11731 / 86400</f>
        <v>0.13577546296296297</v>
      </c>
      <c r="L153" s="5">
        <f>2718 / 86400</f>
        <v>3.1458333333333331E-2</v>
      </c>
    </row>
    <row r="154" spans="1:12" x14ac:dyDescent="0.25">
      <c r="A154" s="3">
        <v>45695.694016203706</v>
      </c>
      <c r="B154" t="s">
        <v>158</v>
      </c>
      <c r="C154" s="3">
        <v>45695.699050925927</v>
      </c>
      <c r="D154" t="s">
        <v>128</v>
      </c>
      <c r="E154" s="4">
        <v>0.90100000000000002</v>
      </c>
      <c r="F154" s="4">
        <v>512255.23</v>
      </c>
      <c r="G154" s="4">
        <v>512256.13099999999</v>
      </c>
      <c r="H154" s="5">
        <f>79 / 86400</f>
        <v>9.1435185185185185E-4</v>
      </c>
      <c r="I154" t="s">
        <v>37</v>
      </c>
      <c r="J154" t="s">
        <v>91</v>
      </c>
      <c r="K154" s="5">
        <f>435 / 86400</f>
        <v>5.0347222222222225E-3</v>
      </c>
      <c r="L154" s="5">
        <f>196 / 86400</f>
        <v>2.2685185185185187E-3</v>
      </c>
    </row>
    <row r="155" spans="1:12" x14ac:dyDescent="0.25">
      <c r="A155" s="3">
        <v>45695.701319444444</v>
      </c>
      <c r="B155" t="s">
        <v>128</v>
      </c>
      <c r="C155" s="3">
        <v>45695.791122685187</v>
      </c>
      <c r="D155" t="s">
        <v>163</v>
      </c>
      <c r="E155" s="4">
        <v>38.799999999999997</v>
      </c>
      <c r="F155" s="4">
        <v>512256.13099999999</v>
      </c>
      <c r="G155" s="4">
        <v>512294.93099999998</v>
      </c>
      <c r="H155" s="5">
        <f>2339 / 86400</f>
        <v>2.7071759259259261E-2</v>
      </c>
      <c r="I155" t="s">
        <v>23</v>
      </c>
      <c r="J155" t="s">
        <v>69</v>
      </c>
      <c r="K155" s="5">
        <f>7758 / 86400</f>
        <v>8.9791666666666672E-2</v>
      </c>
      <c r="L155" s="5">
        <f>108 / 86400</f>
        <v>1.25E-3</v>
      </c>
    </row>
    <row r="156" spans="1:12" x14ac:dyDescent="0.25">
      <c r="A156" s="3">
        <v>45695.792372685188</v>
      </c>
      <c r="B156" t="s">
        <v>163</v>
      </c>
      <c r="C156" s="3">
        <v>45695.9222337963</v>
      </c>
      <c r="D156" t="s">
        <v>164</v>
      </c>
      <c r="E156" s="4">
        <v>55.505000000000003</v>
      </c>
      <c r="F156" s="4">
        <v>512294.93099999998</v>
      </c>
      <c r="G156" s="4">
        <v>512350.43599999999</v>
      </c>
      <c r="H156" s="5">
        <f>3341 / 86400</f>
        <v>3.8668981481481485E-2</v>
      </c>
      <c r="I156" t="s">
        <v>32</v>
      </c>
      <c r="J156" t="s">
        <v>69</v>
      </c>
      <c r="K156" s="5">
        <f>11220 / 86400</f>
        <v>0.12986111111111112</v>
      </c>
      <c r="L156" s="5">
        <f>882 / 86400</f>
        <v>1.0208333333333333E-2</v>
      </c>
    </row>
    <row r="157" spans="1:12" x14ac:dyDescent="0.25">
      <c r="A157" s="3">
        <v>45695.932442129633</v>
      </c>
      <c r="B157" t="s">
        <v>164</v>
      </c>
      <c r="C157" s="3">
        <v>45695.941736111112</v>
      </c>
      <c r="D157" t="s">
        <v>155</v>
      </c>
      <c r="E157" s="4">
        <v>4.6219999999999999</v>
      </c>
      <c r="F157" s="4">
        <v>512350.43599999999</v>
      </c>
      <c r="G157" s="4">
        <v>512355.05800000002</v>
      </c>
      <c r="H157" s="5">
        <f>180 / 86400</f>
        <v>2.0833333333333333E-3</v>
      </c>
      <c r="I157" t="s">
        <v>86</v>
      </c>
      <c r="J157" t="s">
        <v>37</v>
      </c>
      <c r="K157" s="5">
        <f>802 / 86400</f>
        <v>9.2824074074074076E-3</v>
      </c>
      <c r="L157" s="5">
        <f>109 / 86400</f>
        <v>1.261574074074074E-3</v>
      </c>
    </row>
    <row r="158" spans="1:12" x14ac:dyDescent="0.25">
      <c r="A158" s="3">
        <v>45695.942997685182</v>
      </c>
      <c r="B158" t="s">
        <v>155</v>
      </c>
      <c r="C158" s="3">
        <v>45695.95684027778</v>
      </c>
      <c r="D158" t="s">
        <v>31</v>
      </c>
      <c r="E158" s="4">
        <v>2.702</v>
      </c>
      <c r="F158" s="4">
        <v>512355.05800000002</v>
      </c>
      <c r="G158" s="4">
        <v>512357.76</v>
      </c>
      <c r="H158" s="5">
        <f>460 / 86400</f>
        <v>5.324074074074074E-3</v>
      </c>
      <c r="I158" t="s">
        <v>144</v>
      </c>
      <c r="J158" t="s">
        <v>141</v>
      </c>
      <c r="K158" s="5">
        <f>1195 / 86400</f>
        <v>1.3831018518518519E-2</v>
      </c>
      <c r="L158" s="5">
        <f>3728 / 86400</f>
        <v>4.3148148148148151E-2</v>
      </c>
    </row>
    <row r="159" spans="1:12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2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2" s="10" customFormat="1" ht="20.100000000000001" customHeight="1" x14ac:dyDescent="0.35">
      <c r="A161" s="12" t="s">
        <v>392</v>
      </c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2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2" ht="30" x14ac:dyDescent="0.25">
      <c r="A163" s="2" t="s">
        <v>6</v>
      </c>
      <c r="B163" s="2" t="s">
        <v>7</v>
      </c>
      <c r="C163" s="2" t="s">
        <v>8</v>
      </c>
      <c r="D163" s="2" t="s">
        <v>9</v>
      </c>
      <c r="E163" s="2" t="s">
        <v>10</v>
      </c>
      <c r="F163" s="2" t="s">
        <v>11</v>
      </c>
      <c r="G163" s="2" t="s">
        <v>12</v>
      </c>
      <c r="H163" s="2" t="s">
        <v>13</v>
      </c>
      <c r="I163" s="2" t="s">
        <v>14</v>
      </c>
      <c r="J163" s="2" t="s">
        <v>15</v>
      </c>
      <c r="K163" s="2" t="s">
        <v>16</v>
      </c>
      <c r="L163" s="2" t="s">
        <v>17</v>
      </c>
    </row>
    <row r="164" spans="1:12" x14ac:dyDescent="0.25">
      <c r="A164" s="3">
        <v>45695.211458333331</v>
      </c>
      <c r="B164" t="s">
        <v>29</v>
      </c>
      <c r="C164" s="3">
        <v>45695.348506944443</v>
      </c>
      <c r="D164" t="s">
        <v>152</v>
      </c>
      <c r="E164" s="4">
        <v>44.106999999999999</v>
      </c>
      <c r="F164" s="4">
        <v>91424.615999999995</v>
      </c>
      <c r="G164" s="4">
        <v>91468.722999999998</v>
      </c>
      <c r="H164" s="5">
        <f>4820 / 86400</f>
        <v>5.5787037037037038E-2</v>
      </c>
      <c r="I164" t="s">
        <v>165</v>
      </c>
      <c r="J164" t="s">
        <v>53</v>
      </c>
      <c r="K164" s="5">
        <f>11841 / 86400</f>
        <v>0.13704861111111111</v>
      </c>
      <c r="L164" s="5">
        <f>19118 / 86400</f>
        <v>0.22127314814814814</v>
      </c>
    </row>
    <row r="165" spans="1:12" x14ac:dyDescent="0.25">
      <c r="A165" s="3">
        <v>45695.35832175926</v>
      </c>
      <c r="B165" t="s">
        <v>152</v>
      </c>
      <c r="C165" s="3">
        <v>45695.4528125</v>
      </c>
      <c r="D165" t="s">
        <v>166</v>
      </c>
      <c r="E165" s="4">
        <v>19.853000000000002</v>
      </c>
      <c r="F165" s="4">
        <v>91468.722999999998</v>
      </c>
      <c r="G165" s="4">
        <v>91488.576000000001</v>
      </c>
      <c r="H165" s="5">
        <f>4059 / 86400</f>
        <v>4.6979166666666669E-2</v>
      </c>
      <c r="I165" t="s">
        <v>159</v>
      </c>
      <c r="J165" t="s">
        <v>71</v>
      </c>
      <c r="K165" s="5">
        <f>8163 / 86400</f>
        <v>9.447916666666667E-2</v>
      </c>
      <c r="L165" s="5">
        <f>64 / 86400</f>
        <v>7.407407407407407E-4</v>
      </c>
    </row>
    <row r="166" spans="1:12" x14ac:dyDescent="0.25">
      <c r="A166" s="3">
        <v>45695.453553240739</v>
      </c>
      <c r="B166" t="s">
        <v>166</v>
      </c>
      <c r="C166" s="3">
        <v>45695.522777777776</v>
      </c>
      <c r="D166" t="s">
        <v>128</v>
      </c>
      <c r="E166" s="4">
        <v>29.477</v>
      </c>
      <c r="F166" s="4">
        <v>91488.576000000001</v>
      </c>
      <c r="G166" s="4">
        <v>91518.053</v>
      </c>
      <c r="H166" s="5">
        <f>1820 / 86400</f>
        <v>2.1064814814814814E-2</v>
      </c>
      <c r="I166" t="s">
        <v>64</v>
      </c>
      <c r="J166" t="s">
        <v>69</v>
      </c>
      <c r="K166" s="5">
        <f>5980 / 86400</f>
        <v>6.9212962962962962E-2</v>
      </c>
      <c r="L166" s="5">
        <f>1637 / 86400</f>
        <v>1.894675925925926E-2</v>
      </c>
    </row>
    <row r="167" spans="1:12" x14ac:dyDescent="0.25">
      <c r="A167" s="3">
        <v>45695.541724537034</v>
      </c>
      <c r="B167" t="s">
        <v>128</v>
      </c>
      <c r="C167" s="3">
        <v>45695.541932870372</v>
      </c>
      <c r="D167" t="s">
        <v>128</v>
      </c>
      <c r="E167" s="4">
        <v>1.2E-2</v>
      </c>
      <c r="F167" s="4">
        <v>91518.053</v>
      </c>
      <c r="G167" s="4">
        <v>91518.065000000002</v>
      </c>
      <c r="H167" s="5">
        <f>0 / 86400</f>
        <v>0</v>
      </c>
      <c r="I167" t="s">
        <v>126</v>
      </c>
      <c r="J167" t="s">
        <v>140</v>
      </c>
      <c r="K167" s="5">
        <f>17 / 86400</f>
        <v>1.9675925925925926E-4</v>
      </c>
      <c r="L167" s="5">
        <f>319 / 86400</f>
        <v>3.6921296296296298E-3</v>
      </c>
    </row>
    <row r="168" spans="1:12" x14ac:dyDescent="0.25">
      <c r="A168" s="3">
        <v>45695.545624999999</v>
      </c>
      <c r="B168" t="s">
        <v>128</v>
      </c>
      <c r="C168" s="3">
        <v>45695.55</v>
      </c>
      <c r="D168" t="s">
        <v>161</v>
      </c>
      <c r="E168" s="4">
        <v>1.33</v>
      </c>
      <c r="F168" s="4">
        <v>91518.065000000002</v>
      </c>
      <c r="G168" s="4">
        <v>91519.395000000004</v>
      </c>
      <c r="H168" s="5">
        <f>59 / 86400</f>
        <v>6.8287037037037036E-4</v>
      </c>
      <c r="I168" t="s">
        <v>144</v>
      </c>
      <c r="J168" t="s">
        <v>53</v>
      </c>
      <c r="K168" s="5">
        <f>377 / 86400</f>
        <v>4.363425925925926E-3</v>
      </c>
      <c r="L168" s="5">
        <f>1104 / 86400</f>
        <v>1.2777777777777779E-2</v>
      </c>
    </row>
    <row r="169" spans="1:12" x14ac:dyDescent="0.25">
      <c r="A169" s="3">
        <v>45695.562777777777</v>
      </c>
      <c r="B169" t="s">
        <v>161</v>
      </c>
      <c r="C169" s="3">
        <v>45695.814930555556</v>
      </c>
      <c r="D169" t="s">
        <v>167</v>
      </c>
      <c r="E169" s="4">
        <v>87.349000000000004</v>
      </c>
      <c r="F169" s="4">
        <v>91519.395000000004</v>
      </c>
      <c r="G169" s="4">
        <v>91606.744000000006</v>
      </c>
      <c r="H169" s="5">
        <f>7941 / 86400</f>
        <v>9.1909722222222226E-2</v>
      </c>
      <c r="I169" t="s">
        <v>33</v>
      </c>
      <c r="J169" t="s">
        <v>34</v>
      </c>
      <c r="K169" s="5">
        <f>21786 / 86400</f>
        <v>0.25215277777777778</v>
      </c>
      <c r="L169" s="5">
        <f>413 / 86400</f>
        <v>4.7800925925925927E-3</v>
      </c>
    </row>
    <row r="170" spans="1:12" x14ac:dyDescent="0.25">
      <c r="A170" s="3">
        <v>45695.819710648153</v>
      </c>
      <c r="B170" t="s">
        <v>167</v>
      </c>
      <c r="C170" s="3">
        <v>45695.831516203703</v>
      </c>
      <c r="D170" t="s">
        <v>168</v>
      </c>
      <c r="E170" s="4">
        <v>5.601</v>
      </c>
      <c r="F170" s="4">
        <v>91606.744000000006</v>
      </c>
      <c r="G170" s="4">
        <v>91612.345000000001</v>
      </c>
      <c r="H170" s="5">
        <f>120 / 86400</f>
        <v>1.3888888888888889E-3</v>
      </c>
      <c r="I170" t="s">
        <v>169</v>
      </c>
      <c r="J170" t="s">
        <v>78</v>
      </c>
      <c r="K170" s="5">
        <f>1019 / 86400</f>
        <v>1.1793981481481482E-2</v>
      </c>
      <c r="L170" s="5">
        <f>2897 / 86400</f>
        <v>3.3530092592592591E-2</v>
      </c>
    </row>
    <row r="171" spans="1:12" x14ac:dyDescent="0.25">
      <c r="A171" s="3">
        <v>45695.865046296298</v>
      </c>
      <c r="B171" t="s">
        <v>168</v>
      </c>
      <c r="C171" s="3">
        <v>45695.894479166665</v>
      </c>
      <c r="D171" t="s">
        <v>29</v>
      </c>
      <c r="E171" s="4">
        <v>7.4020000000000001</v>
      </c>
      <c r="F171" s="4">
        <v>91612.345000000001</v>
      </c>
      <c r="G171" s="4">
        <v>91619.747000000003</v>
      </c>
      <c r="H171" s="5">
        <f>860 / 86400</f>
        <v>9.9537037037037042E-3</v>
      </c>
      <c r="I171" t="s">
        <v>159</v>
      </c>
      <c r="J171" t="s">
        <v>45</v>
      </c>
      <c r="K171" s="5">
        <f>2542 / 86400</f>
        <v>2.9421296296296296E-2</v>
      </c>
      <c r="L171" s="5">
        <f>9116 / 86400</f>
        <v>0.10550925925925926</v>
      </c>
    </row>
    <row r="172" spans="1:12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 spans="1:12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 spans="1:12" s="10" customFormat="1" ht="20.100000000000001" customHeight="1" x14ac:dyDescent="0.35">
      <c r="A174" s="12" t="s">
        <v>393</v>
      </c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1:12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 spans="1:12" ht="30" x14ac:dyDescent="0.25">
      <c r="A176" s="2" t="s">
        <v>6</v>
      </c>
      <c r="B176" s="2" t="s">
        <v>7</v>
      </c>
      <c r="C176" s="2" t="s">
        <v>8</v>
      </c>
      <c r="D176" s="2" t="s">
        <v>9</v>
      </c>
      <c r="E176" s="2" t="s">
        <v>10</v>
      </c>
      <c r="F176" s="2" t="s">
        <v>11</v>
      </c>
      <c r="G176" s="2" t="s">
        <v>12</v>
      </c>
      <c r="H176" s="2" t="s">
        <v>13</v>
      </c>
      <c r="I176" s="2" t="s">
        <v>14</v>
      </c>
      <c r="J176" s="2" t="s">
        <v>15</v>
      </c>
      <c r="K176" s="2" t="s">
        <v>16</v>
      </c>
      <c r="L176" s="2" t="s">
        <v>17</v>
      </c>
    </row>
    <row r="177" spans="1:12" x14ac:dyDescent="0.25">
      <c r="A177" s="3">
        <v>45695.216273148151</v>
      </c>
      <c r="B177" t="s">
        <v>18</v>
      </c>
      <c r="C177" s="3">
        <v>45695.324687500004</v>
      </c>
      <c r="D177" t="s">
        <v>158</v>
      </c>
      <c r="E177" s="4">
        <v>49.476999999999997</v>
      </c>
      <c r="F177" s="4">
        <v>136435.02600000001</v>
      </c>
      <c r="G177" s="4">
        <v>136484.503</v>
      </c>
      <c r="H177" s="5">
        <f>2718 / 86400</f>
        <v>3.1458333333333331E-2</v>
      </c>
      <c r="I177" t="s">
        <v>111</v>
      </c>
      <c r="J177" t="s">
        <v>90</v>
      </c>
      <c r="K177" s="5">
        <f>9367 / 86400</f>
        <v>0.10841435185185185</v>
      </c>
      <c r="L177" s="5">
        <f>21284 / 86400</f>
        <v>0.24634259259259259</v>
      </c>
    </row>
    <row r="178" spans="1:12" x14ac:dyDescent="0.25">
      <c r="A178" s="3">
        <v>45695.354756944449</v>
      </c>
      <c r="B178" t="s">
        <v>158</v>
      </c>
      <c r="C178" s="3">
        <v>45695.598680555559</v>
      </c>
      <c r="D178" t="s">
        <v>128</v>
      </c>
      <c r="E178" s="4">
        <v>95.435000000000002</v>
      </c>
      <c r="F178" s="4">
        <v>136484.503</v>
      </c>
      <c r="G178" s="4">
        <v>136579.93799999999</v>
      </c>
      <c r="H178" s="5">
        <f>6901 / 86400</f>
        <v>7.9872685185185185E-2</v>
      </c>
      <c r="I178" t="s">
        <v>56</v>
      </c>
      <c r="J178" t="s">
        <v>20</v>
      </c>
      <c r="K178" s="5">
        <f>21074 / 86400</f>
        <v>0.24391203703703704</v>
      </c>
      <c r="L178" s="5">
        <f>255 / 86400</f>
        <v>2.9513888888888888E-3</v>
      </c>
    </row>
    <row r="179" spans="1:12" x14ac:dyDescent="0.25">
      <c r="A179" s="3">
        <v>45695.601631944446</v>
      </c>
      <c r="B179" t="s">
        <v>128</v>
      </c>
      <c r="C179" s="3">
        <v>45695.604398148149</v>
      </c>
      <c r="D179" t="s">
        <v>128</v>
      </c>
      <c r="E179" s="4">
        <v>0.16700000000000001</v>
      </c>
      <c r="F179" s="4">
        <v>136579.93799999999</v>
      </c>
      <c r="G179" s="4">
        <v>136580.10500000001</v>
      </c>
      <c r="H179" s="5">
        <f>100 / 86400</f>
        <v>1.1574074074074073E-3</v>
      </c>
      <c r="I179" t="s">
        <v>141</v>
      </c>
      <c r="J179" t="s">
        <v>140</v>
      </c>
      <c r="K179" s="5">
        <f>239 / 86400</f>
        <v>2.7662037037037039E-3</v>
      </c>
      <c r="L179" s="5">
        <f>143 / 86400</f>
        <v>1.6550925925925926E-3</v>
      </c>
    </row>
    <row r="180" spans="1:12" x14ac:dyDescent="0.25">
      <c r="A180" s="3">
        <v>45695.606053240743</v>
      </c>
      <c r="B180" t="s">
        <v>128</v>
      </c>
      <c r="C180" s="3">
        <v>45695.606388888889</v>
      </c>
      <c r="D180" t="s">
        <v>128</v>
      </c>
      <c r="E180" s="4">
        <v>0</v>
      </c>
      <c r="F180" s="4">
        <v>136580.10500000001</v>
      </c>
      <c r="G180" s="4">
        <v>136580.10500000001</v>
      </c>
      <c r="H180" s="5">
        <f>19 / 86400</f>
        <v>2.199074074074074E-4</v>
      </c>
      <c r="I180" t="s">
        <v>129</v>
      </c>
      <c r="J180" t="s">
        <v>129</v>
      </c>
      <c r="K180" s="5">
        <f>29 / 86400</f>
        <v>3.3564814814814812E-4</v>
      </c>
      <c r="L180" s="5">
        <f>804 / 86400</f>
        <v>9.3055555555555548E-3</v>
      </c>
    </row>
    <row r="181" spans="1:12" x14ac:dyDescent="0.25">
      <c r="A181" s="3">
        <v>45695.615694444445</v>
      </c>
      <c r="B181" t="s">
        <v>128</v>
      </c>
      <c r="C181" s="3">
        <v>45695.833680555559</v>
      </c>
      <c r="D181" t="s">
        <v>130</v>
      </c>
      <c r="E181" s="4">
        <v>67.536000000000001</v>
      </c>
      <c r="F181" s="4">
        <v>136580.10500000001</v>
      </c>
      <c r="G181" s="4">
        <v>136647.641</v>
      </c>
      <c r="H181" s="5">
        <f>8341 / 86400</f>
        <v>9.6539351851851848E-2</v>
      </c>
      <c r="I181" t="s">
        <v>32</v>
      </c>
      <c r="J181" t="s">
        <v>53</v>
      </c>
      <c r="K181" s="5">
        <f>18833 / 86400</f>
        <v>0.21797453703703704</v>
      </c>
      <c r="L181" s="5">
        <f>280 / 86400</f>
        <v>3.2407407407407406E-3</v>
      </c>
    </row>
    <row r="182" spans="1:12" x14ac:dyDescent="0.25">
      <c r="A182" s="3">
        <v>45695.836921296301</v>
      </c>
      <c r="B182" t="s">
        <v>138</v>
      </c>
      <c r="C182" s="3">
        <v>45695.838379629626</v>
      </c>
      <c r="D182" t="s">
        <v>170</v>
      </c>
      <c r="E182" s="4">
        <v>0.35199999999999998</v>
      </c>
      <c r="F182" s="4">
        <v>136647.641</v>
      </c>
      <c r="G182" s="4">
        <v>136647.99299999999</v>
      </c>
      <c r="H182" s="5">
        <f>20 / 86400</f>
        <v>2.3148148148148149E-4</v>
      </c>
      <c r="I182" t="s">
        <v>160</v>
      </c>
      <c r="J182" t="s">
        <v>45</v>
      </c>
      <c r="K182" s="5">
        <f>125 / 86400</f>
        <v>1.4467592592592592E-3</v>
      </c>
      <c r="L182" s="5">
        <f>373 / 86400</f>
        <v>4.31712962962963E-3</v>
      </c>
    </row>
    <row r="183" spans="1:12" x14ac:dyDescent="0.25">
      <c r="A183" s="3">
        <v>45695.84269675926</v>
      </c>
      <c r="B183" t="s">
        <v>170</v>
      </c>
      <c r="C183" s="3">
        <v>45695.846307870372</v>
      </c>
      <c r="D183" t="s">
        <v>18</v>
      </c>
      <c r="E183" s="4">
        <v>0.14799999999999999</v>
      </c>
      <c r="F183" s="4">
        <v>136647.99299999999</v>
      </c>
      <c r="G183" s="4">
        <v>136648.141</v>
      </c>
      <c r="H183" s="5">
        <f>220 / 86400</f>
        <v>2.5462962962962965E-3</v>
      </c>
      <c r="I183" t="s">
        <v>112</v>
      </c>
      <c r="J183" t="s">
        <v>87</v>
      </c>
      <c r="K183" s="5">
        <f>311 / 86400</f>
        <v>3.5995370370370369E-3</v>
      </c>
      <c r="L183" s="5">
        <f>7699 / 86400</f>
        <v>8.9108796296296297E-2</v>
      </c>
    </row>
    <row r="184" spans="1:12" x14ac:dyDescent="0.25">
      <c r="A184" s="3">
        <v>45695.935416666667</v>
      </c>
      <c r="B184" t="s">
        <v>18</v>
      </c>
      <c r="C184" s="3">
        <v>45695.937754629631</v>
      </c>
      <c r="D184" t="s">
        <v>18</v>
      </c>
      <c r="E184" s="4">
        <v>3.5000000000000003E-2</v>
      </c>
      <c r="F184" s="4">
        <v>136648.141</v>
      </c>
      <c r="G184" s="4">
        <v>136648.17600000001</v>
      </c>
      <c r="H184" s="5">
        <f>199 / 86400</f>
        <v>2.3032407407407407E-3</v>
      </c>
      <c r="I184" t="s">
        <v>129</v>
      </c>
      <c r="J184" t="s">
        <v>127</v>
      </c>
      <c r="K184" s="5">
        <f>202 / 86400</f>
        <v>2.3379629629629631E-3</v>
      </c>
      <c r="L184" s="5">
        <f>5377 / 86400</f>
        <v>6.2233796296296294E-2</v>
      </c>
    </row>
    <row r="185" spans="1:12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 spans="1:12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 spans="1:12" s="10" customFormat="1" ht="20.100000000000001" customHeight="1" x14ac:dyDescent="0.35">
      <c r="A187" s="12" t="s">
        <v>394</v>
      </c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1:12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 spans="1:12" ht="30" x14ac:dyDescent="0.25">
      <c r="A189" s="2" t="s">
        <v>6</v>
      </c>
      <c r="B189" s="2" t="s">
        <v>7</v>
      </c>
      <c r="C189" s="2" t="s">
        <v>8</v>
      </c>
      <c r="D189" s="2" t="s">
        <v>9</v>
      </c>
      <c r="E189" s="2" t="s">
        <v>10</v>
      </c>
      <c r="F189" s="2" t="s">
        <v>11</v>
      </c>
      <c r="G189" s="2" t="s">
        <v>12</v>
      </c>
      <c r="H189" s="2" t="s">
        <v>13</v>
      </c>
      <c r="I189" s="2" t="s">
        <v>14</v>
      </c>
      <c r="J189" s="2" t="s">
        <v>15</v>
      </c>
      <c r="K189" s="2" t="s">
        <v>16</v>
      </c>
      <c r="L189" s="2" t="s">
        <v>17</v>
      </c>
    </row>
    <row r="190" spans="1:12" x14ac:dyDescent="0.25">
      <c r="A190" s="3">
        <v>45695.261620370366</v>
      </c>
      <c r="B190" t="s">
        <v>29</v>
      </c>
      <c r="C190" s="3">
        <v>45695.265682870369</v>
      </c>
      <c r="D190" t="s">
        <v>122</v>
      </c>
      <c r="E190" s="4">
        <v>1.792204124569893</v>
      </c>
      <c r="F190" s="4">
        <v>346608.76752129052</v>
      </c>
      <c r="G190" s="4">
        <v>346610.55972541514</v>
      </c>
      <c r="H190" s="5">
        <f t="shared" ref="H190:H221" si="0">0 / 86400</f>
        <v>0</v>
      </c>
      <c r="I190" t="s">
        <v>171</v>
      </c>
      <c r="J190" t="s">
        <v>69</v>
      </c>
      <c r="K190" s="5">
        <f>351 / 86400</f>
        <v>4.0625000000000001E-3</v>
      </c>
      <c r="L190" s="5">
        <f>22624 / 86400</f>
        <v>0.26185185185185184</v>
      </c>
    </row>
    <row r="191" spans="1:12" x14ac:dyDescent="0.25">
      <c r="A191" s="3">
        <v>45695.265914351854</v>
      </c>
      <c r="B191" t="s">
        <v>172</v>
      </c>
      <c r="C191" s="3">
        <v>45695.27076388889</v>
      </c>
      <c r="D191" t="s">
        <v>173</v>
      </c>
      <c r="E191" s="4">
        <v>5.7862573109269144</v>
      </c>
      <c r="F191" s="4">
        <v>346610.6067375071</v>
      </c>
      <c r="G191" s="4">
        <v>346616.39299481804</v>
      </c>
      <c r="H191" s="5">
        <f t="shared" si="0"/>
        <v>0</v>
      </c>
      <c r="I191" t="s">
        <v>50</v>
      </c>
      <c r="J191" t="s">
        <v>174</v>
      </c>
      <c r="K191" s="5">
        <f>419 / 86400</f>
        <v>4.8495370370370368E-3</v>
      </c>
      <c r="L191" s="5">
        <f>14 / 86400</f>
        <v>1.6203703703703703E-4</v>
      </c>
    </row>
    <row r="192" spans="1:12" x14ac:dyDescent="0.25">
      <c r="A192" s="3">
        <v>45695.270925925928</v>
      </c>
      <c r="B192" t="s">
        <v>173</v>
      </c>
      <c r="C192" s="3">
        <v>45695.27208333333</v>
      </c>
      <c r="D192" t="s">
        <v>38</v>
      </c>
      <c r="E192" s="4">
        <v>1.4235719702243805</v>
      </c>
      <c r="F192" s="4">
        <v>346616.39674801077</v>
      </c>
      <c r="G192" s="4">
        <v>346617.82031998096</v>
      </c>
      <c r="H192" s="5">
        <f t="shared" si="0"/>
        <v>0</v>
      </c>
      <c r="I192" t="s">
        <v>52</v>
      </c>
      <c r="J192" t="s">
        <v>175</v>
      </c>
      <c r="K192" s="5">
        <f>100 / 86400</f>
        <v>1.1574074074074073E-3</v>
      </c>
      <c r="L192" s="5">
        <f>40 / 86400</f>
        <v>4.6296296296296298E-4</v>
      </c>
    </row>
    <row r="193" spans="1:12" x14ac:dyDescent="0.25">
      <c r="A193" s="3">
        <v>45695.272546296299</v>
      </c>
      <c r="B193" t="s">
        <v>38</v>
      </c>
      <c r="C193" s="3">
        <v>45695.273240740746</v>
      </c>
      <c r="D193" t="s">
        <v>176</v>
      </c>
      <c r="E193" s="4">
        <v>0.6590341812372208</v>
      </c>
      <c r="F193" s="4">
        <v>346617.85275472212</v>
      </c>
      <c r="G193" s="4">
        <v>346618.51178890333</v>
      </c>
      <c r="H193" s="5">
        <f t="shared" si="0"/>
        <v>0</v>
      </c>
      <c r="I193" t="s">
        <v>177</v>
      </c>
      <c r="J193" t="s">
        <v>151</v>
      </c>
      <c r="K193" s="5">
        <f>60 / 86400</f>
        <v>6.9444444444444447E-4</v>
      </c>
      <c r="L193" s="5">
        <f>20 / 86400</f>
        <v>2.3148148148148149E-4</v>
      </c>
    </row>
    <row r="194" spans="1:12" x14ac:dyDescent="0.25">
      <c r="A194" s="3">
        <v>45695.273472222223</v>
      </c>
      <c r="B194" t="s">
        <v>178</v>
      </c>
      <c r="C194" s="3">
        <v>45695.29278935185</v>
      </c>
      <c r="D194" t="s">
        <v>179</v>
      </c>
      <c r="E194" s="4">
        <v>1.8177034897804261</v>
      </c>
      <c r="F194" s="4">
        <v>346618.62923321588</v>
      </c>
      <c r="G194" s="4">
        <v>346620.44693670567</v>
      </c>
      <c r="H194" s="5">
        <f t="shared" si="0"/>
        <v>0</v>
      </c>
      <c r="I194" t="s">
        <v>180</v>
      </c>
      <c r="J194" t="s">
        <v>82</v>
      </c>
      <c r="K194" s="5">
        <f>1669 / 86400</f>
        <v>1.9317129629629629E-2</v>
      </c>
      <c r="L194" s="5">
        <f>7 / 86400</f>
        <v>8.1018518518518516E-5</v>
      </c>
    </row>
    <row r="195" spans="1:12" x14ac:dyDescent="0.25">
      <c r="A195" s="3">
        <v>45695.292870370366</v>
      </c>
      <c r="B195" t="s">
        <v>179</v>
      </c>
      <c r="C195" s="3">
        <v>45695.29310185185</v>
      </c>
      <c r="D195" t="s">
        <v>179</v>
      </c>
      <c r="E195" s="4">
        <v>4.038022470474243E-2</v>
      </c>
      <c r="F195" s="4">
        <v>346620.44911496947</v>
      </c>
      <c r="G195" s="4">
        <v>346620.48949519417</v>
      </c>
      <c r="H195" s="5">
        <f t="shared" si="0"/>
        <v>0</v>
      </c>
      <c r="I195" t="s">
        <v>126</v>
      </c>
      <c r="J195" t="s">
        <v>91</v>
      </c>
      <c r="K195" s="5">
        <f>20 / 86400</f>
        <v>2.3148148148148149E-4</v>
      </c>
      <c r="L195" s="5">
        <f>20 / 86400</f>
        <v>2.3148148148148149E-4</v>
      </c>
    </row>
    <row r="196" spans="1:12" x14ac:dyDescent="0.25">
      <c r="A196" s="3">
        <v>45695.293333333335</v>
      </c>
      <c r="B196" t="s">
        <v>179</v>
      </c>
      <c r="C196" s="3">
        <v>45695.296111111107</v>
      </c>
      <c r="D196" t="s">
        <v>181</v>
      </c>
      <c r="E196" s="4">
        <v>3.4155583965182306</v>
      </c>
      <c r="F196" s="4">
        <v>346620.64366940339</v>
      </c>
      <c r="G196" s="4">
        <v>346624.05922779988</v>
      </c>
      <c r="H196" s="5">
        <f t="shared" si="0"/>
        <v>0</v>
      </c>
      <c r="I196" t="s">
        <v>182</v>
      </c>
      <c r="J196" t="s">
        <v>175</v>
      </c>
      <c r="K196" s="5">
        <f>240 / 86400</f>
        <v>2.7777777777777779E-3</v>
      </c>
      <c r="L196" s="5">
        <f>40 / 86400</f>
        <v>4.6296296296296298E-4</v>
      </c>
    </row>
    <row r="197" spans="1:12" x14ac:dyDescent="0.25">
      <c r="A197" s="3">
        <v>45695.296574074076</v>
      </c>
      <c r="B197" t="s">
        <v>181</v>
      </c>
      <c r="C197" s="3">
        <v>45695.298425925925</v>
      </c>
      <c r="D197" t="s">
        <v>183</v>
      </c>
      <c r="E197" s="4">
        <v>2.2809579471349717</v>
      </c>
      <c r="F197" s="4">
        <v>346624.24160836218</v>
      </c>
      <c r="G197" s="4">
        <v>346626.52256630932</v>
      </c>
      <c r="H197" s="5">
        <f t="shared" si="0"/>
        <v>0</v>
      </c>
      <c r="I197" t="s">
        <v>36</v>
      </c>
      <c r="J197" t="s">
        <v>175</v>
      </c>
      <c r="K197" s="5">
        <f>160 / 86400</f>
        <v>1.8518518518518519E-3</v>
      </c>
      <c r="L197" s="5">
        <f>60 / 86400</f>
        <v>6.9444444444444447E-4</v>
      </c>
    </row>
    <row r="198" spans="1:12" x14ac:dyDescent="0.25">
      <c r="A198" s="3">
        <v>45695.299120370371</v>
      </c>
      <c r="B198" t="s">
        <v>184</v>
      </c>
      <c r="C198" s="3">
        <v>45695.302129629628</v>
      </c>
      <c r="D198" t="s">
        <v>122</v>
      </c>
      <c r="E198" s="4">
        <v>3.2308175863623618</v>
      </c>
      <c r="F198" s="4">
        <v>346626.64496060135</v>
      </c>
      <c r="G198" s="4">
        <v>346629.87577818771</v>
      </c>
      <c r="H198" s="5">
        <f t="shared" si="0"/>
        <v>0</v>
      </c>
      <c r="I198" t="s">
        <v>153</v>
      </c>
      <c r="J198" t="s">
        <v>185</v>
      </c>
      <c r="K198" s="5">
        <f>260 / 86400</f>
        <v>3.0092592592592593E-3</v>
      </c>
      <c r="L198" s="5">
        <f>40 / 86400</f>
        <v>4.6296296296296298E-4</v>
      </c>
    </row>
    <row r="199" spans="1:12" x14ac:dyDescent="0.25">
      <c r="A199" s="3">
        <v>45695.30259259259</v>
      </c>
      <c r="B199" t="s">
        <v>122</v>
      </c>
      <c r="C199" s="3">
        <v>45695.303287037037</v>
      </c>
      <c r="D199" t="s">
        <v>122</v>
      </c>
      <c r="E199" s="4">
        <v>0.6982843620181084</v>
      </c>
      <c r="F199" s="4">
        <v>346630.05647461116</v>
      </c>
      <c r="G199" s="4">
        <v>346630.7547589732</v>
      </c>
      <c r="H199" s="5">
        <f t="shared" si="0"/>
        <v>0</v>
      </c>
      <c r="I199" t="s">
        <v>182</v>
      </c>
      <c r="J199" t="s">
        <v>146</v>
      </c>
      <c r="K199" s="5">
        <f>60 / 86400</f>
        <v>6.9444444444444447E-4</v>
      </c>
      <c r="L199" s="5">
        <f>20 / 86400</f>
        <v>2.3148148148148149E-4</v>
      </c>
    </row>
    <row r="200" spans="1:12" x14ac:dyDescent="0.25">
      <c r="A200" s="3">
        <v>45695.303518518514</v>
      </c>
      <c r="B200" t="s">
        <v>122</v>
      </c>
      <c r="C200" s="3">
        <v>45695.305497685185</v>
      </c>
      <c r="D200" t="s">
        <v>29</v>
      </c>
      <c r="E200" s="4">
        <v>0.88975628876686097</v>
      </c>
      <c r="F200" s="4">
        <v>346630.82897104014</v>
      </c>
      <c r="G200" s="4">
        <v>346631.71872732887</v>
      </c>
      <c r="H200" s="5">
        <f t="shared" si="0"/>
        <v>0</v>
      </c>
      <c r="I200" t="s">
        <v>137</v>
      </c>
      <c r="J200" t="s">
        <v>90</v>
      </c>
      <c r="K200" s="5">
        <f>171 / 86400</f>
        <v>1.9791666666666668E-3</v>
      </c>
      <c r="L200" s="5">
        <f>33409 / 86400</f>
        <v>0.38667824074074075</v>
      </c>
    </row>
    <row r="201" spans="1:12" x14ac:dyDescent="0.25">
      <c r="A201" s="3">
        <v>45695.692175925928</v>
      </c>
      <c r="B201" t="s">
        <v>29</v>
      </c>
      <c r="C201" s="3">
        <v>45695.692569444444</v>
      </c>
      <c r="D201" t="s">
        <v>29</v>
      </c>
      <c r="E201" s="4">
        <v>2.9115246474742888E-2</v>
      </c>
      <c r="F201" s="4">
        <v>346631.72611926351</v>
      </c>
      <c r="G201" s="4">
        <v>346631.75523451</v>
      </c>
      <c r="H201" s="5">
        <f t="shared" si="0"/>
        <v>0</v>
      </c>
      <c r="I201" t="s">
        <v>126</v>
      </c>
      <c r="J201" t="s">
        <v>140</v>
      </c>
      <c r="K201" s="5">
        <f>34 / 86400</f>
        <v>3.9351851851851852E-4</v>
      </c>
      <c r="L201" s="5">
        <f>20 / 86400</f>
        <v>2.3148148148148149E-4</v>
      </c>
    </row>
    <row r="202" spans="1:12" x14ac:dyDescent="0.25">
      <c r="A202" s="3">
        <v>45695.692800925928</v>
      </c>
      <c r="B202" t="s">
        <v>29</v>
      </c>
      <c r="C202" s="3">
        <v>45695.693194444444</v>
      </c>
      <c r="D202" t="s">
        <v>29</v>
      </c>
      <c r="E202" s="4">
        <v>3.0576454341411589E-2</v>
      </c>
      <c r="F202" s="4">
        <v>346631.75985117728</v>
      </c>
      <c r="G202" s="4">
        <v>346631.79042763164</v>
      </c>
      <c r="H202" s="5">
        <f t="shared" si="0"/>
        <v>0</v>
      </c>
      <c r="I202" t="s">
        <v>91</v>
      </c>
      <c r="J202" t="s">
        <v>140</v>
      </c>
      <c r="K202" s="5">
        <f>34 / 86400</f>
        <v>3.9351851851851852E-4</v>
      </c>
      <c r="L202" s="5">
        <f>20 / 86400</f>
        <v>2.3148148148148149E-4</v>
      </c>
    </row>
    <row r="203" spans="1:12" x14ac:dyDescent="0.25">
      <c r="A203" s="3">
        <v>45695.693425925929</v>
      </c>
      <c r="B203" t="s">
        <v>29</v>
      </c>
      <c r="C203" s="3">
        <v>45695.696261574078</v>
      </c>
      <c r="D203" t="s">
        <v>186</v>
      </c>
      <c r="E203" s="4">
        <v>0.81951164382696151</v>
      </c>
      <c r="F203" s="4">
        <v>346631.80986900348</v>
      </c>
      <c r="G203" s="4">
        <v>346632.62938064733</v>
      </c>
      <c r="H203" s="5">
        <f t="shared" si="0"/>
        <v>0</v>
      </c>
      <c r="I203" t="s">
        <v>187</v>
      </c>
      <c r="J203" t="s">
        <v>57</v>
      </c>
      <c r="K203" s="5">
        <f>245 / 86400</f>
        <v>2.8356481481481483E-3</v>
      </c>
      <c r="L203" s="5">
        <f>20 / 86400</f>
        <v>2.3148148148148149E-4</v>
      </c>
    </row>
    <row r="204" spans="1:12" x14ac:dyDescent="0.25">
      <c r="A204" s="3">
        <v>45695.696493055555</v>
      </c>
      <c r="B204" t="s">
        <v>186</v>
      </c>
      <c r="C204" s="3">
        <v>45695.696724537032</v>
      </c>
      <c r="D204" t="s">
        <v>186</v>
      </c>
      <c r="E204" s="4">
        <v>5.8219311237335206E-3</v>
      </c>
      <c r="F204" s="4">
        <v>346632.65427803231</v>
      </c>
      <c r="G204" s="4">
        <v>346632.66009996342</v>
      </c>
      <c r="H204" s="5">
        <f t="shared" si="0"/>
        <v>0</v>
      </c>
      <c r="I204" t="s">
        <v>91</v>
      </c>
      <c r="J204" t="s">
        <v>127</v>
      </c>
      <c r="K204" s="5">
        <f>20 / 86400</f>
        <v>2.3148148148148149E-4</v>
      </c>
      <c r="L204" s="5">
        <f>40 / 86400</f>
        <v>4.6296296296296298E-4</v>
      </c>
    </row>
    <row r="205" spans="1:12" x14ac:dyDescent="0.25">
      <c r="A205" s="3">
        <v>45695.697187500002</v>
      </c>
      <c r="B205" t="s">
        <v>188</v>
      </c>
      <c r="C205" s="3">
        <v>45695.697418981479</v>
      </c>
      <c r="D205" t="s">
        <v>188</v>
      </c>
      <c r="E205" s="4">
        <v>3.7346921563148499E-3</v>
      </c>
      <c r="F205" s="4">
        <v>346632.67972505023</v>
      </c>
      <c r="G205" s="4">
        <v>346632.68345974234</v>
      </c>
      <c r="H205" s="5">
        <f t="shared" si="0"/>
        <v>0</v>
      </c>
      <c r="I205" t="s">
        <v>126</v>
      </c>
      <c r="J205" t="s">
        <v>127</v>
      </c>
      <c r="K205" s="5">
        <f>20 / 86400</f>
        <v>2.3148148148148149E-4</v>
      </c>
      <c r="L205" s="5">
        <f>60 / 86400</f>
        <v>6.9444444444444447E-4</v>
      </c>
    </row>
    <row r="206" spans="1:12" x14ac:dyDescent="0.25">
      <c r="A206" s="3">
        <v>45695.698113425926</v>
      </c>
      <c r="B206" t="s">
        <v>189</v>
      </c>
      <c r="C206" s="3">
        <v>45695.699803240743</v>
      </c>
      <c r="D206" t="s">
        <v>190</v>
      </c>
      <c r="E206" s="4">
        <v>0.86736973369121551</v>
      </c>
      <c r="F206" s="4">
        <v>346632.69851875637</v>
      </c>
      <c r="G206" s="4">
        <v>346633.56588849006</v>
      </c>
      <c r="H206" s="5">
        <f t="shared" si="0"/>
        <v>0</v>
      </c>
      <c r="I206" t="s">
        <v>191</v>
      </c>
      <c r="J206" t="s">
        <v>37</v>
      </c>
      <c r="K206" s="5">
        <f>146 / 86400</f>
        <v>1.6898148148148148E-3</v>
      </c>
      <c r="L206" s="5">
        <f>40 / 86400</f>
        <v>4.6296296296296298E-4</v>
      </c>
    </row>
    <row r="207" spans="1:12" x14ac:dyDescent="0.25">
      <c r="A207" s="3">
        <v>45695.700266203705</v>
      </c>
      <c r="B207" t="s">
        <v>190</v>
      </c>
      <c r="C207" s="3">
        <v>45695.701655092591</v>
      </c>
      <c r="D207" t="s">
        <v>88</v>
      </c>
      <c r="E207" s="4">
        <v>0.77181250864267348</v>
      </c>
      <c r="F207" s="4">
        <v>346633.57435775542</v>
      </c>
      <c r="G207" s="4">
        <v>346634.34617026406</v>
      </c>
      <c r="H207" s="5">
        <f t="shared" si="0"/>
        <v>0</v>
      </c>
      <c r="I207" t="s">
        <v>192</v>
      </c>
      <c r="J207" t="s">
        <v>135</v>
      </c>
      <c r="K207" s="5">
        <f>120 / 86400</f>
        <v>1.3888888888888889E-3</v>
      </c>
      <c r="L207" s="5">
        <f>40 / 86400</f>
        <v>4.6296296296296298E-4</v>
      </c>
    </row>
    <row r="208" spans="1:12" x14ac:dyDescent="0.25">
      <c r="A208" s="3">
        <v>45695.70211805556</v>
      </c>
      <c r="B208" t="s">
        <v>88</v>
      </c>
      <c r="C208" s="3">
        <v>45695.702384259261</v>
      </c>
      <c r="D208" t="s">
        <v>193</v>
      </c>
      <c r="E208" s="4">
        <v>6.5382531881332398E-3</v>
      </c>
      <c r="F208" s="4">
        <v>346634.35338343581</v>
      </c>
      <c r="G208" s="4">
        <v>346634.35992168897</v>
      </c>
      <c r="H208" s="5">
        <f t="shared" si="0"/>
        <v>0</v>
      </c>
      <c r="I208" t="s">
        <v>126</v>
      </c>
      <c r="J208" t="s">
        <v>127</v>
      </c>
      <c r="K208" s="5">
        <f>23 / 86400</f>
        <v>2.6620370370370372E-4</v>
      </c>
      <c r="L208" s="5">
        <f>40 / 86400</f>
        <v>4.6296296296296298E-4</v>
      </c>
    </row>
    <row r="209" spans="1:12" x14ac:dyDescent="0.25">
      <c r="A209" s="3">
        <v>45695.702847222223</v>
      </c>
      <c r="B209" t="s">
        <v>145</v>
      </c>
      <c r="C209" s="3">
        <v>45695.703078703707</v>
      </c>
      <c r="D209" t="s">
        <v>145</v>
      </c>
      <c r="E209" s="4">
        <v>2.0260750055313111E-3</v>
      </c>
      <c r="F209" s="4">
        <v>346634.3878128028</v>
      </c>
      <c r="G209" s="4">
        <v>346634.38983887777</v>
      </c>
      <c r="H209" s="5">
        <f t="shared" si="0"/>
        <v>0</v>
      </c>
      <c r="I209" t="s">
        <v>126</v>
      </c>
      <c r="J209" t="s">
        <v>129</v>
      </c>
      <c r="K209" s="5">
        <f>20 / 86400</f>
        <v>2.3148148148148149E-4</v>
      </c>
      <c r="L209" s="5">
        <f>71 / 86400</f>
        <v>8.2175925925925927E-4</v>
      </c>
    </row>
    <row r="210" spans="1:12" x14ac:dyDescent="0.25">
      <c r="A210" s="3">
        <v>45695.703900462962</v>
      </c>
      <c r="B210" t="s">
        <v>193</v>
      </c>
      <c r="C210" s="3">
        <v>45695.708067129628</v>
      </c>
      <c r="D210" t="s">
        <v>184</v>
      </c>
      <c r="E210" s="4">
        <v>2.4699127535820007</v>
      </c>
      <c r="F210" s="4">
        <v>346634.40278749989</v>
      </c>
      <c r="G210" s="4">
        <v>346636.8727002535</v>
      </c>
      <c r="H210" s="5">
        <f t="shared" si="0"/>
        <v>0</v>
      </c>
      <c r="I210" t="s">
        <v>194</v>
      </c>
      <c r="J210" t="s">
        <v>195</v>
      </c>
      <c r="K210" s="5">
        <f>360 / 86400</f>
        <v>4.1666666666666666E-3</v>
      </c>
      <c r="L210" s="5">
        <f>60 / 86400</f>
        <v>6.9444444444444447E-4</v>
      </c>
    </row>
    <row r="211" spans="1:12" x14ac:dyDescent="0.25">
      <c r="A211" s="3">
        <v>45695.708761574075</v>
      </c>
      <c r="B211" t="s">
        <v>183</v>
      </c>
      <c r="C211" s="3">
        <v>45695.708993055552</v>
      </c>
      <c r="D211" t="s">
        <v>183</v>
      </c>
      <c r="E211" s="4">
        <v>1.125454992055893E-2</v>
      </c>
      <c r="F211" s="4">
        <v>346636.93033923226</v>
      </c>
      <c r="G211" s="4">
        <v>346636.94159378216</v>
      </c>
      <c r="H211" s="5">
        <f t="shared" si="0"/>
        <v>0</v>
      </c>
      <c r="I211" t="s">
        <v>112</v>
      </c>
      <c r="J211" t="s">
        <v>87</v>
      </c>
      <c r="K211" s="5">
        <f>20 / 86400</f>
        <v>2.3148148148148149E-4</v>
      </c>
      <c r="L211" s="5">
        <f>80 / 86400</f>
        <v>9.2592592592592596E-4</v>
      </c>
    </row>
    <row r="212" spans="1:12" x14ac:dyDescent="0.25">
      <c r="A212" s="3">
        <v>45695.709918981476</v>
      </c>
      <c r="B212" t="s">
        <v>184</v>
      </c>
      <c r="C212" s="3">
        <v>45695.710613425923</v>
      </c>
      <c r="D212" t="s">
        <v>38</v>
      </c>
      <c r="E212" s="4">
        <v>0.54127081549167633</v>
      </c>
      <c r="F212" s="4">
        <v>346637.0193527232</v>
      </c>
      <c r="G212" s="4">
        <v>346637.56062353868</v>
      </c>
      <c r="H212" s="5">
        <f t="shared" si="0"/>
        <v>0</v>
      </c>
      <c r="I212" t="s">
        <v>169</v>
      </c>
      <c r="J212" t="s">
        <v>137</v>
      </c>
      <c r="K212" s="5">
        <f>60 / 86400</f>
        <v>6.9444444444444447E-4</v>
      </c>
      <c r="L212" s="5">
        <f>20 / 86400</f>
        <v>2.3148148148148149E-4</v>
      </c>
    </row>
    <row r="213" spans="1:12" x14ac:dyDescent="0.25">
      <c r="A213" s="3">
        <v>45695.710844907408</v>
      </c>
      <c r="B213" t="s">
        <v>173</v>
      </c>
      <c r="C213" s="3">
        <v>45695.71292824074</v>
      </c>
      <c r="D213" t="s">
        <v>173</v>
      </c>
      <c r="E213" s="4">
        <v>1.791727374792099</v>
      </c>
      <c r="F213" s="4">
        <v>346637.6261732757</v>
      </c>
      <c r="G213" s="4">
        <v>346639.41790065053</v>
      </c>
      <c r="H213" s="5">
        <f t="shared" si="0"/>
        <v>0</v>
      </c>
      <c r="I213" t="s">
        <v>165</v>
      </c>
      <c r="J213" t="s">
        <v>196</v>
      </c>
      <c r="K213" s="5">
        <f>180 / 86400</f>
        <v>2.0833333333333333E-3</v>
      </c>
      <c r="L213" s="5">
        <f>20 / 86400</f>
        <v>2.3148148148148149E-4</v>
      </c>
    </row>
    <row r="214" spans="1:12" x14ac:dyDescent="0.25">
      <c r="A214" s="3">
        <v>45695.713159722218</v>
      </c>
      <c r="B214" t="s">
        <v>173</v>
      </c>
      <c r="C214" s="3">
        <v>45695.716631944444</v>
      </c>
      <c r="D214" t="s">
        <v>197</v>
      </c>
      <c r="E214" s="4">
        <v>2.3919461462497713</v>
      </c>
      <c r="F214" s="4">
        <v>346639.5836304457</v>
      </c>
      <c r="G214" s="4">
        <v>346641.97557659197</v>
      </c>
      <c r="H214" s="5">
        <f t="shared" si="0"/>
        <v>0</v>
      </c>
      <c r="I214" t="s">
        <v>39</v>
      </c>
      <c r="J214" t="s">
        <v>139</v>
      </c>
      <c r="K214" s="5">
        <f>300 / 86400</f>
        <v>3.472222222222222E-3</v>
      </c>
      <c r="L214" s="5">
        <f>20 / 86400</f>
        <v>2.3148148148148149E-4</v>
      </c>
    </row>
    <row r="215" spans="1:12" x14ac:dyDescent="0.25">
      <c r="A215" s="3">
        <v>45695.716863425929</v>
      </c>
      <c r="B215" t="s">
        <v>198</v>
      </c>
      <c r="C215" s="3">
        <v>45695.717094907406</v>
      </c>
      <c r="D215" t="s">
        <v>198</v>
      </c>
      <c r="E215" s="4">
        <v>8.7347744286060333E-2</v>
      </c>
      <c r="F215" s="4">
        <v>346642.0281459922</v>
      </c>
      <c r="G215" s="4">
        <v>346642.11549373652</v>
      </c>
      <c r="H215" s="5">
        <f t="shared" si="0"/>
        <v>0</v>
      </c>
      <c r="I215" t="s">
        <v>69</v>
      </c>
      <c r="J215" t="s">
        <v>20</v>
      </c>
      <c r="K215" s="5">
        <f>20 / 86400</f>
        <v>2.3148148148148149E-4</v>
      </c>
      <c r="L215" s="5">
        <f>40 / 86400</f>
        <v>4.6296296296296298E-4</v>
      </c>
    </row>
    <row r="216" spans="1:12" x14ac:dyDescent="0.25">
      <c r="A216" s="3">
        <v>45695.717557870375</v>
      </c>
      <c r="B216" t="s">
        <v>199</v>
      </c>
      <c r="C216" s="3">
        <v>45695.718252314815</v>
      </c>
      <c r="D216" t="s">
        <v>200</v>
      </c>
      <c r="E216" s="4">
        <v>0.30271928369998929</v>
      </c>
      <c r="F216" s="4">
        <v>346642.16217167029</v>
      </c>
      <c r="G216" s="4">
        <v>346642.46489095403</v>
      </c>
      <c r="H216" s="5">
        <f t="shared" si="0"/>
        <v>0</v>
      </c>
      <c r="I216" t="s">
        <v>201</v>
      </c>
      <c r="J216" t="s">
        <v>69</v>
      </c>
      <c r="K216" s="5">
        <f>60 / 86400</f>
        <v>6.9444444444444447E-4</v>
      </c>
      <c r="L216" s="5">
        <f>20 / 86400</f>
        <v>2.3148148148148149E-4</v>
      </c>
    </row>
    <row r="217" spans="1:12" x14ac:dyDescent="0.25">
      <c r="A217" s="3">
        <v>45695.7184837963</v>
      </c>
      <c r="B217" t="s">
        <v>202</v>
      </c>
      <c r="C217" s="3">
        <v>45695.720335648148</v>
      </c>
      <c r="D217" t="s">
        <v>179</v>
      </c>
      <c r="E217" s="4">
        <v>0.85989326608181005</v>
      </c>
      <c r="F217" s="4">
        <v>346642.60649772774</v>
      </c>
      <c r="G217" s="4">
        <v>346643.46639099385</v>
      </c>
      <c r="H217" s="5">
        <f t="shared" si="0"/>
        <v>0</v>
      </c>
      <c r="I217" t="s">
        <v>203</v>
      </c>
      <c r="J217" t="s">
        <v>90</v>
      </c>
      <c r="K217" s="5">
        <f>160 / 86400</f>
        <v>1.8518518518518519E-3</v>
      </c>
      <c r="L217" s="5">
        <f>696 / 86400</f>
        <v>8.0555555555555554E-3</v>
      </c>
    </row>
    <row r="218" spans="1:12" x14ac:dyDescent="0.25">
      <c r="A218" s="3">
        <v>45695.728391203702</v>
      </c>
      <c r="B218" t="s">
        <v>179</v>
      </c>
      <c r="C218" s="3">
        <v>45695.730011574073</v>
      </c>
      <c r="D218" t="s">
        <v>179</v>
      </c>
      <c r="E218" s="4">
        <v>0.85899054139852526</v>
      </c>
      <c r="F218" s="4">
        <v>346643.4869928828</v>
      </c>
      <c r="G218" s="4">
        <v>346644.34598342417</v>
      </c>
      <c r="H218" s="5">
        <f t="shared" si="0"/>
        <v>0</v>
      </c>
      <c r="I218" t="s">
        <v>194</v>
      </c>
      <c r="J218" t="s">
        <v>187</v>
      </c>
      <c r="K218" s="5">
        <f>140 / 86400</f>
        <v>1.6203703703703703E-3</v>
      </c>
      <c r="L218" s="5">
        <f>200 / 86400</f>
        <v>2.3148148148148147E-3</v>
      </c>
    </row>
    <row r="219" spans="1:12" x14ac:dyDescent="0.25">
      <c r="A219" s="3">
        <v>45695.73232638889</v>
      </c>
      <c r="B219" t="s">
        <v>179</v>
      </c>
      <c r="C219" s="3">
        <v>45695.734629629631</v>
      </c>
      <c r="D219" t="s">
        <v>204</v>
      </c>
      <c r="E219" s="4">
        <v>1.2633687189817429</v>
      </c>
      <c r="F219" s="4">
        <v>346644.41398705088</v>
      </c>
      <c r="G219" s="4">
        <v>346645.67735576985</v>
      </c>
      <c r="H219" s="5">
        <f t="shared" si="0"/>
        <v>0</v>
      </c>
      <c r="I219" t="s">
        <v>134</v>
      </c>
      <c r="J219" t="s">
        <v>135</v>
      </c>
      <c r="K219" s="5">
        <f>199 / 86400</f>
        <v>2.3032407407407407E-3</v>
      </c>
      <c r="L219" s="5">
        <f>20 / 86400</f>
        <v>2.3148148148148149E-4</v>
      </c>
    </row>
    <row r="220" spans="1:12" x14ac:dyDescent="0.25">
      <c r="A220" s="3">
        <v>45695.734861111108</v>
      </c>
      <c r="B220" t="s">
        <v>204</v>
      </c>
      <c r="C220" s="3">
        <v>45695.741122685184</v>
      </c>
      <c r="D220" t="s">
        <v>205</v>
      </c>
      <c r="E220" s="4">
        <v>3.8895279431939125</v>
      </c>
      <c r="F220" s="4">
        <v>346645.68552771001</v>
      </c>
      <c r="G220" s="4">
        <v>346649.57505565323</v>
      </c>
      <c r="H220" s="5">
        <f t="shared" si="0"/>
        <v>0</v>
      </c>
      <c r="I220" t="s">
        <v>50</v>
      </c>
      <c r="J220" t="s">
        <v>160</v>
      </c>
      <c r="K220" s="5">
        <f>541 / 86400</f>
        <v>6.2615740740740739E-3</v>
      </c>
      <c r="L220" s="5">
        <f>72 / 86400</f>
        <v>8.3333333333333339E-4</v>
      </c>
    </row>
    <row r="221" spans="1:12" x14ac:dyDescent="0.25">
      <c r="A221" s="3">
        <v>45695.741956018523</v>
      </c>
      <c r="B221" t="s">
        <v>206</v>
      </c>
      <c r="C221" s="3">
        <v>45695.742418981477</v>
      </c>
      <c r="D221" t="s">
        <v>207</v>
      </c>
      <c r="E221" s="4">
        <v>3.1394345223903657E-2</v>
      </c>
      <c r="F221" s="4">
        <v>346649.59357428213</v>
      </c>
      <c r="G221" s="4">
        <v>346649.62496862735</v>
      </c>
      <c r="H221" s="5">
        <f t="shared" si="0"/>
        <v>0</v>
      </c>
      <c r="I221" t="s">
        <v>132</v>
      </c>
      <c r="J221" t="s">
        <v>140</v>
      </c>
      <c r="K221" s="5">
        <f>40 / 86400</f>
        <v>4.6296296296296298E-4</v>
      </c>
      <c r="L221" s="5">
        <f>60 / 86400</f>
        <v>6.9444444444444447E-4</v>
      </c>
    </row>
    <row r="222" spans="1:12" x14ac:dyDescent="0.25">
      <c r="A222" s="3">
        <v>45695.743113425924</v>
      </c>
      <c r="B222" t="s">
        <v>207</v>
      </c>
      <c r="C222" s="3">
        <v>45695.743344907409</v>
      </c>
      <c r="D222" t="s">
        <v>207</v>
      </c>
      <c r="E222" s="4">
        <v>1.9463473558425904E-3</v>
      </c>
      <c r="F222" s="4">
        <v>346649.6328502284</v>
      </c>
      <c r="G222" s="4">
        <v>346649.63479657576</v>
      </c>
      <c r="H222" s="5">
        <f t="shared" ref="H222:H253" si="1">0 / 86400</f>
        <v>0</v>
      </c>
      <c r="I222" t="s">
        <v>87</v>
      </c>
      <c r="J222" t="s">
        <v>129</v>
      </c>
      <c r="K222" s="5">
        <f>20 / 86400</f>
        <v>2.3148148148148149E-4</v>
      </c>
      <c r="L222" s="5">
        <f>7 / 86400</f>
        <v>8.1018518518518516E-5</v>
      </c>
    </row>
    <row r="223" spans="1:12" x14ac:dyDescent="0.25">
      <c r="A223" s="3">
        <v>45695.743425925924</v>
      </c>
      <c r="B223" t="s">
        <v>207</v>
      </c>
      <c r="C223" s="3">
        <v>45695.746597222227</v>
      </c>
      <c r="D223" t="s">
        <v>122</v>
      </c>
      <c r="E223" s="4">
        <v>2.5015051206350325</v>
      </c>
      <c r="F223" s="4">
        <v>346649.6377559856</v>
      </c>
      <c r="G223" s="4">
        <v>346652.13926110626</v>
      </c>
      <c r="H223" s="5">
        <f t="shared" si="1"/>
        <v>0</v>
      </c>
      <c r="I223" t="s">
        <v>208</v>
      </c>
      <c r="J223" t="s">
        <v>209</v>
      </c>
      <c r="K223" s="5">
        <f>274 / 86400</f>
        <v>3.1712962962962962E-3</v>
      </c>
      <c r="L223" s="5">
        <f>8 / 86400</f>
        <v>9.2592592592592588E-5</v>
      </c>
    </row>
    <row r="224" spans="1:12" x14ac:dyDescent="0.25">
      <c r="A224" s="3">
        <v>45695.746689814812</v>
      </c>
      <c r="B224" t="s">
        <v>210</v>
      </c>
      <c r="C224" s="3">
        <v>45695.747847222221</v>
      </c>
      <c r="D224" t="s">
        <v>122</v>
      </c>
      <c r="E224" s="4">
        <v>0.77546450722217564</v>
      </c>
      <c r="F224" s="4">
        <v>346652.14266043587</v>
      </c>
      <c r="G224" s="4">
        <v>346652.9181249431</v>
      </c>
      <c r="H224" s="5">
        <f t="shared" si="1"/>
        <v>0</v>
      </c>
      <c r="I224" t="s">
        <v>159</v>
      </c>
      <c r="J224" t="s">
        <v>144</v>
      </c>
      <c r="K224" s="5">
        <f>100 / 86400</f>
        <v>1.1574074074074073E-3</v>
      </c>
      <c r="L224" s="5">
        <f>60 / 86400</f>
        <v>6.9444444444444447E-4</v>
      </c>
    </row>
    <row r="225" spans="1:12" x14ac:dyDescent="0.25">
      <c r="A225" s="3">
        <v>45695.748541666668</v>
      </c>
      <c r="B225" t="s">
        <v>122</v>
      </c>
      <c r="C225" s="3">
        <v>45695.749236111107</v>
      </c>
      <c r="D225" t="s">
        <v>122</v>
      </c>
      <c r="E225" s="4">
        <v>4.7744084537029267E-2</v>
      </c>
      <c r="F225" s="4">
        <v>346652.93593856739</v>
      </c>
      <c r="G225" s="4">
        <v>346652.98368265195</v>
      </c>
      <c r="H225" s="5">
        <f t="shared" si="1"/>
        <v>0</v>
      </c>
      <c r="I225" t="s">
        <v>82</v>
      </c>
      <c r="J225" t="s">
        <v>140</v>
      </c>
      <c r="K225" s="5">
        <f>60 / 86400</f>
        <v>6.9444444444444447E-4</v>
      </c>
      <c r="L225" s="5">
        <f>40 / 86400</f>
        <v>4.6296296296296298E-4</v>
      </c>
    </row>
    <row r="226" spans="1:12" x14ac:dyDescent="0.25">
      <c r="A226" s="3">
        <v>45695.749699074076</v>
      </c>
      <c r="B226" t="s">
        <v>172</v>
      </c>
      <c r="C226" s="3">
        <v>45695.751122685186</v>
      </c>
      <c r="D226" t="s">
        <v>122</v>
      </c>
      <c r="E226" s="4">
        <v>0.93432821464538574</v>
      </c>
      <c r="F226" s="4">
        <v>346652.98682524823</v>
      </c>
      <c r="G226" s="4">
        <v>346653.9211534629</v>
      </c>
      <c r="H226" s="5">
        <f t="shared" si="1"/>
        <v>0</v>
      </c>
      <c r="I226" t="s">
        <v>211</v>
      </c>
      <c r="J226" t="s">
        <v>212</v>
      </c>
      <c r="K226" s="5">
        <f>123 / 86400</f>
        <v>1.4236111111111112E-3</v>
      </c>
      <c r="L226" s="5">
        <f>40 / 86400</f>
        <v>4.6296296296296298E-4</v>
      </c>
    </row>
    <row r="227" spans="1:12" x14ac:dyDescent="0.25">
      <c r="A227" s="3">
        <v>45695.751585648148</v>
      </c>
      <c r="B227" t="s">
        <v>156</v>
      </c>
      <c r="C227" s="3">
        <v>45695.753668981481</v>
      </c>
      <c r="D227" t="s">
        <v>156</v>
      </c>
      <c r="E227" s="4">
        <v>1.7679884654283524</v>
      </c>
      <c r="F227" s="4">
        <v>346654.05068980547</v>
      </c>
      <c r="G227" s="4">
        <v>346655.81867827085</v>
      </c>
      <c r="H227" s="5">
        <f t="shared" si="1"/>
        <v>0</v>
      </c>
      <c r="I227" t="s">
        <v>159</v>
      </c>
      <c r="J227" t="s">
        <v>157</v>
      </c>
      <c r="K227" s="5">
        <f>180 / 86400</f>
        <v>2.0833333333333333E-3</v>
      </c>
      <c r="L227" s="5">
        <f>40 / 86400</f>
        <v>4.6296296296296298E-4</v>
      </c>
    </row>
    <row r="228" spans="1:12" x14ac:dyDescent="0.25">
      <c r="A228" s="3">
        <v>45695.754131944443</v>
      </c>
      <c r="B228" t="s">
        <v>156</v>
      </c>
      <c r="C228" s="3">
        <v>45695.755752314813</v>
      </c>
      <c r="D228" t="s">
        <v>156</v>
      </c>
      <c r="E228" s="4">
        <v>1.1953831731677056</v>
      </c>
      <c r="F228" s="4">
        <v>346655.82428192993</v>
      </c>
      <c r="G228" s="4">
        <v>346657.01966510306</v>
      </c>
      <c r="H228" s="5">
        <f t="shared" si="1"/>
        <v>0</v>
      </c>
      <c r="I228" t="s">
        <v>174</v>
      </c>
      <c r="J228" t="s">
        <v>213</v>
      </c>
      <c r="K228" s="5">
        <f>140 / 86400</f>
        <v>1.6203703703703703E-3</v>
      </c>
      <c r="L228" s="5">
        <f>20 / 86400</f>
        <v>2.3148148148148149E-4</v>
      </c>
    </row>
    <row r="229" spans="1:12" x14ac:dyDescent="0.25">
      <c r="A229" s="3">
        <v>45695.755983796298</v>
      </c>
      <c r="B229" t="s">
        <v>156</v>
      </c>
      <c r="C229" s="3">
        <v>45695.757372685184</v>
      </c>
      <c r="D229" t="s">
        <v>156</v>
      </c>
      <c r="E229" s="4">
        <v>0.34645748406648635</v>
      </c>
      <c r="F229" s="4">
        <v>346657.05987530272</v>
      </c>
      <c r="G229" s="4">
        <v>346657.40633278678</v>
      </c>
      <c r="H229" s="5">
        <f t="shared" si="1"/>
        <v>0</v>
      </c>
      <c r="I229" t="s">
        <v>143</v>
      </c>
      <c r="J229" t="s">
        <v>45</v>
      </c>
      <c r="K229" s="5">
        <f>120 / 86400</f>
        <v>1.3888888888888889E-3</v>
      </c>
      <c r="L229" s="5">
        <f>20 / 86400</f>
        <v>2.3148148148148149E-4</v>
      </c>
    </row>
    <row r="230" spans="1:12" x14ac:dyDescent="0.25">
      <c r="A230" s="3">
        <v>45695.757604166662</v>
      </c>
      <c r="B230" t="s">
        <v>156</v>
      </c>
      <c r="C230" s="3">
        <v>45695.758530092593</v>
      </c>
      <c r="D230" t="s">
        <v>214</v>
      </c>
      <c r="E230" s="4">
        <v>0.12806861352920532</v>
      </c>
      <c r="F230" s="4">
        <v>346657.40907081909</v>
      </c>
      <c r="G230" s="4">
        <v>346657.53713943262</v>
      </c>
      <c r="H230" s="5">
        <f t="shared" si="1"/>
        <v>0</v>
      </c>
      <c r="I230" t="s">
        <v>78</v>
      </c>
      <c r="J230" t="s">
        <v>132</v>
      </c>
      <c r="K230" s="5">
        <f>80 / 86400</f>
        <v>9.2592592592592596E-4</v>
      </c>
      <c r="L230" s="5">
        <f>40 / 86400</f>
        <v>4.6296296296296298E-4</v>
      </c>
    </row>
    <row r="231" spans="1:12" x14ac:dyDescent="0.25">
      <c r="A231" s="3">
        <v>45695.758993055555</v>
      </c>
      <c r="B231" t="s">
        <v>214</v>
      </c>
      <c r="C231" s="3">
        <v>45695.759224537032</v>
      </c>
      <c r="D231" t="s">
        <v>214</v>
      </c>
      <c r="E231" s="4">
        <v>1.5345794796943665E-2</v>
      </c>
      <c r="F231" s="4">
        <v>346657.5428382603</v>
      </c>
      <c r="G231" s="4">
        <v>346657.55818405509</v>
      </c>
      <c r="H231" s="5">
        <f t="shared" si="1"/>
        <v>0</v>
      </c>
      <c r="I231" t="s">
        <v>82</v>
      </c>
      <c r="J231" t="s">
        <v>140</v>
      </c>
      <c r="K231" s="5">
        <f>20 / 86400</f>
        <v>2.3148148148148149E-4</v>
      </c>
      <c r="L231" s="5">
        <f>59 / 86400</f>
        <v>6.8287037037037036E-4</v>
      </c>
    </row>
    <row r="232" spans="1:12" x14ac:dyDescent="0.25">
      <c r="A232" s="3">
        <v>45695.75990740741</v>
      </c>
      <c r="B232" t="s">
        <v>215</v>
      </c>
      <c r="C232" s="3">
        <v>45695.760370370372</v>
      </c>
      <c r="D232" t="s">
        <v>156</v>
      </c>
      <c r="E232" s="4">
        <v>2.4577699542045594E-2</v>
      </c>
      <c r="F232" s="4">
        <v>346657.56589236384</v>
      </c>
      <c r="G232" s="4">
        <v>346657.59047006338</v>
      </c>
      <c r="H232" s="5">
        <f t="shared" si="1"/>
        <v>0</v>
      </c>
      <c r="I232" t="s">
        <v>126</v>
      </c>
      <c r="J232" t="s">
        <v>87</v>
      </c>
      <c r="K232" s="5">
        <f>40 / 86400</f>
        <v>4.6296296296296298E-4</v>
      </c>
      <c r="L232" s="5">
        <f>34 / 86400</f>
        <v>3.9351851851851852E-4</v>
      </c>
    </row>
    <row r="233" spans="1:12" x14ac:dyDescent="0.25">
      <c r="A233" s="3">
        <v>45695.760763888888</v>
      </c>
      <c r="B233" t="s">
        <v>156</v>
      </c>
      <c r="C233" s="3">
        <v>45695.762858796297</v>
      </c>
      <c r="D233" t="s">
        <v>166</v>
      </c>
      <c r="E233" s="4">
        <v>1.6819683421254159</v>
      </c>
      <c r="F233" s="4">
        <v>346657.59759177425</v>
      </c>
      <c r="G233" s="4">
        <v>346659.27956011635</v>
      </c>
      <c r="H233" s="5">
        <f t="shared" si="1"/>
        <v>0</v>
      </c>
      <c r="I233" t="s">
        <v>99</v>
      </c>
      <c r="J233" t="s">
        <v>209</v>
      </c>
      <c r="K233" s="5">
        <f>181 / 86400</f>
        <v>2.0949074074074073E-3</v>
      </c>
      <c r="L233" s="5">
        <f>7 / 86400</f>
        <v>8.1018518518518516E-5</v>
      </c>
    </row>
    <row r="234" spans="1:12" x14ac:dyDescent="0.25">
      <c r="A234" s="3">
        <v>45695.762939814813</v>
      </c>
      <c r="B234" t="s">
        <v>166</v>
      </c>
      <c r="C234" s="3">
        <v>45695.763402777782</v>
      </c>
      <c r="D234" t="s">
        <v>166</v>
      </c>
      <c r="E234" s="4">
        <v>7.2212579429149631E-2</v>
      </c>
      <c r="F234" s="4">
        <v>346659.28179221664</v>
      </c>
      <c r="G234" s="4">
        <v>346659.35400479607</v>
      </c>
      <c r="H234" s="5">
        <f t="shared" si="1"/>
        <v>0</v>
      </c>
      <c r="I234" t="s">
        <v>71</v>
      </c>
      <c r="J234" t="s">
        <v>132</v>
      </c>
      <c r="K234" s="5">
        <f>40 / 86400</f>
        <v>4.6296296296296298E-4</v>
      </c>
      <c r="L234" s="5">
        <f>20 / 86400</f>
        <v>2.3148148148148149E-4</v>
      </c>
    </row>
    <row r="235" spans="1:12" x14ac:dyDescent="0.25">
      <c r="A235" s="3">
        <v>45695.76363425926</v>
      </c>
      <c r="B235" t="s">
        <v>166</v>
      </c>
      <c r="C235" s="3">
        <v>45695.77034722222</v>
      </c>
      <c r="D235" t="s">
        <v>216</v>
      </c>
      <c r="E235" s="4">
        <v>2.9594744215011595</v>
      </c>
      <c r="F235" s="4">
        <v>346659.38861806632</v>
      </c>
      <c r="G235" s="4">
        <v>346662.34809248784</v>
      </c>
      <c r="H235" s="5">
        <f t="shared" si="1"/>
        <v>0</v>
      </c>
      <c r="I235" t="s">
        <v>194</v>
      </c>
      <c r="J235" t="s">
        <v>69</v>
      </c>
      <c r="K235" s="5">
        <f>580 / 86400</f>
        <v>6.7129629629629631E-3</v>
      </c>
      <c r="L235" s="5">
        <f>2 / 86400</f>
        <v>2.3148148148148147E-5</v>
      </c>
    </row>
    <row r="236" spans="1:12" x14ac:dyDescent="0.25">
      <c r="A236" s="3">
        <v>45695.770370370374</v>
      </c>
      <c r="B236" t="s">
        <v>216</v>
      </c>
      <c r="C236" s="3">
        <v>45695.771064814813</v>
      </c>
      <c r="D236" t="s">
        <v>216</v>
      </c>
      <c r="E236" s="4">
        <v>8.2251349329948431E-2</v>
      </c>
      <c r="F236" s="4">
        <v>346662.35148880817</v>
      </c>
      <c r="G236" s="4">
        <v>346662.43374015746</v>
      </c>
      <c r="H236" s="5">
        <f t="shared" si="1"/>
        <v>0</v>
      </c>
      <c r="I236" t="s">
        <v>91</v>
      </c>
      <c r="J236" t="s">
        <v>126</v>
      </c>
      <c r="K236" s="5">
        <f>60 / 86400</f>
        <v>6.9444444444444447E-4</v>
      </c>
      <c r="L236" s="5">
        <f>33 / 86400</f>
        <v>3.8194444444444446E-4</v>
      </c>
    </row>
    <row r="237" spans="1:12" x14ac:dyDescent="0.25">
      <c r="A237" s="3">
        <v>45695.77144675926</v>
      </c>
      <c r="B237" t="s">
        <v>217</v>
      </c>
      <c r="C237" s="3">
        <v>45695.771678240737</v>
      </c>
      <c r="D237" t="s">
        <v>216</v>
      </c>
      <c r="E237" s="4">
        <v>9.3128464818000786E-3</v>
      </c>
      <c r="F237" s="4">
        <v>346662.44229210576</v>
      </c>
      <c r="G237" s="4">
        <v>346662.45160495222</v>
      </c>
      <c r="H237" s="5">
        <f t="shared" si="1"/>
        <v>0</v>
      </c>
      <c r="I237" t="s">
        <v>126</v>
      </c>
      <c r="J237" t="s">
        <v>87</v>
      </c>
      <c r="K237" s="5">
        <f t="shared" ref="K237:K242" si="2">20 / 86400</f>
        <v>2.3148148148148149E-4</v>
      </c>
      <c r="L237" s="5">
        <f>100 / 86400</f>
        <v>1.1574074074074073E-3</v>
      </c>
    </row>
    <row r="238" spans="1:12" x14ac:dyDescent="0.25">
      <c r="A238" s="3">
        <v>45695.772835648153</v>
      </c>
      <c r="B238" t="s">
        <v>216</v>
      </c>
      <c r="C238" s="3">
        <v>45695.77306712963</v>
      </c>
      <c r="D238" t="s">
        <v>216</v>
      </c>
      <c r="E238" s="4">
        <v>1.0184043824672698E-2</v>
      </c>
      <c r="F238" s="4">
        <v>346662.47159327276</v>
      </c>
      <c r="G238" s="4">
        <v>346662.48177731654</v>
      </c>
      <c r="H238" s="5">
        <f t="shared" si="1"/>
        <v>0</v>
      </c>
      <c r="I238" t="s">
        <v>132</v>
      </c>
      <c r="J238" t="s">
        <v>87</v>
      </c>
      <c r="K238" s="5">
        <f t="shared" si="2"/>
        <v>2.3148148148148149E-4</v>
      </c>
      <c r="L238" s="5">
        <f>140 / 86400</f>
        <v>1.6203703703703703E-3</v>
      </c>
    </row>
    <row r="239" spans="1:12" x14ac:dyDescent="0.25">
      <c r="A239" s="3">
        <v>45695.774687500001</v>
      </c>
      <c r="B239" t="s">
        <v>216</v>
      </c>
      <c r="C239" s="3">
        <v>45695.774918981479</v>
      </c>
      <c r="D239" t="s">
        <v>216</v>
      </c>
      <c r="E239" s="4">
        <v>6.393198013305664E-3</v>
      </c>
      <c r="F239" s="4">
        <v>346662.5074194544</v>
      </c>
      <c r="G239" s="4">
        <v>346662.51381265238</v>
      </c>
      <c r="H239" s="5">
        <f t="shared" si="1"/>
        <v>0</v>
      </c>
      <c r="I239" t="s">
        <v>127</v>
      </c>
      <c r="J239" t="s">
        <v>127</v>
      </c>
      <c r="K239" s="5">
        <f t="shared" si="2"/>
        <v>2.3148148148148149E-4</v>
      </c>
      <c r="L239" s="5">
        <f>80 / 86400</f>
        <v>9.2592592592592596E-4</v>
      </c>
    </row>
    <row r="240" spans="1:12" x14ac:dyDescent="0.25">
      <c r="A240" s="3">
        <v>45695.775844907403</v>
      </c>
      <c r="B240" t="s">
        <v>216</v>
      </c>
      <c r="C240" s="3">
        <v>45695.776076388887</v>
      </c>
      <c r="D240" t="s">
        <v>216</v>
      </c>
      <c r="E240" s="4">
        <v>9.3011419773101813E-3</v>
      </c>
      <c r="F240" s="4">
        <v>346662.52743159072</v>
      </c>
      <c r="G240" s="4">
        <v>346662.53673273273</v>
      </c>
      <c r="H240" s="5">
        <f t="shared" si="1"/>
        <v>0</v>
      </c>
      <c r="I240" t="s">
        <v>140</v>
      </c>
      <c r="J240" t="s">
        <v>87</v>
      </c>
      <c r="K240" s="5">
        <f t="shared" si="2"/>
        <v>2.3148148148148149E-4</v>
      </c>
      <c r="L240" s="5">
        <f>80 / 86400</f>
        <v>9.2592592592592596E-4</v>
      </c>
    </row>
    <row r="241" spans="1:12" x14ac:dyDescent="0.25">
      <c r="A241" s="3">
        <v>45695.777002314819</v>
      </c>
      <c r="B241" t="s">
        <v>115</v>
      </c>
      <c r="C241" s="3">
        <v>45695.777233796296</v>
      </c>
      <c r="D241" t="s">
        <v>115</v>
      </c>
      <c r="E241" s="4">
        <v>1.0242534279823303E-2</v>
      </c>
      <c r="F241" s="4">
        <v>346662.57765052648</v>
      </c>
      <c r="G241" s="4">
        <v>346662.58789306076</v>
      </c>
      <c r="H241" s="5">
        <f t="shared" si="1"/>
        <v>0</v>
      </c>
      <c r="I241" t="s">
        <v>82</v>
      </c>
      <c r="J241" t="s">
        <v>87</v>
      </c>
      <c r="K241" s="5">
        <f t="shared" si="2"/>
        <v>2.3148148148148149E-4</v>
      </c>
      <c r="L241" s="5">
        <f>100 / 86400</f>
        <v>1.1574074074074073E-3</v>
      </c>
    </row>
    <row r="242" spans="1:12" x14ac:dyDescent="0.25">
      <c r="A242" s="3">
        <v>45695.778391203705</v>
      </c>
      <c r="B242" t="s">
        <v>218</v>
      </c>
      <c r="C242" s="3">
        <v>45695.778622685189</v>
      </c>
      <c r="D242" t="s">
        <v>218</v>
      </c>
      <c r="E242" s="4">
        <v>2.0421332716941834E-3</v>
      </c>
      <c r="F242" s="4">
        <v>346662.61432584695</v>
      </c>
      <c r="G242" s="4">
        <v>346662.61636798026</v>
      </c>
      <c r="H242" s="5">
        <f t="shared" si="1"/>
        <v>0</v>
      </c>
      <c r="I242" t="s">
        <v>82</v>
      </c>
      <c r="J242" t="s">
        <v>129</v>
      </c>
      <c r="K242" s="5">
        <f t="shared" si="2"/>
        <v>2.3148148148148149E-4</v>
      </c>
      <c r="L242" s="5">
        <f>120 / 86400</f>
        <v>1.3888888888888889E-3</v>
      </c>
    </row>
    <row r="243" spans="1:12" x14ac:dyDescent="0.25">
      <c r="A243" s="3">
        <v>45695.780011574076</v>
      </c>
      <c r="B243" t="s">
        <v>218</v>
      </c>
      <c r="C243" s="3">
        <v>45695.784409722226</v>
      </c>
      <c r="D243" t="s">
        <v>219</v>
      </c>
      <c r="E243" s="4">
        <v>2.9742907094359397</v>
      </c>
      <c r="F243" s="4">
        <v>346662.62599135644</v>
      </c>
      <c r="G243" s="4">
        <v>346665.60028206586</v>
      </c>
      <c r="H243" s="5">
        <f t="shared" si="1"/>
        <v>0</v>
      </c>
      <c r="I243" t="s">
        <v>171</v>
      </c>
      <c r="J243" t="s">
        <v>144</v>
      </c>
      <c r="K243" s="5">
        <f>380 / 86400</f>
        <v>4.3981481481481484E-3</v>
      </c>
      <c r="L243" s="5">
        <f>40 / 86400</f>
        <v>4.6296296296296298E-4</v>
      </c>
    </row>
    <row r="244" spans="1:12" x14ac:dyDescent="0.25">
      <c r="A244" s="3">
        <v>45695.784872685181</v>
      </c>
      <c r="B244" t="s">
        <v>219</v>
      </c>
      <c r="C244" s="3">
        <v>45695.786030092597</v>
      </c>
      <c r="D244" t="s">
        <v>219</v>
      </c>
      <c r="E244" s="4">
        <v>0.3498211359977722</v>
      </c>
      <c r="F244" s="4">
        <v>346665.60758467362</v>
      </c>
      <c r="G244" s="4">
        <v>346665.95740580966</v>
      </c>
      <c r="H244" s="5">
        <f t="shared" si="1"/>
        <v>0</v>
      </c>
      <c r="I244" t="s">
        <v>213</v>
      </c>
      <c r="J244" t="s">
        <v>53</v>
      </c>
      <c r="K244" s="5">
        <f>100 / 86400</f>
        <v>1.1574074074074073E-3</v>
      </c>
      <c r="L244" s="5">
        <f>4 / 86400</f>
        <v>4.6296296296296294E-5</v>
      </c>
    </row>
    <row r="245" spans="1:12" x14ac:dyDescent="0.25">
      <c r="A245" s="3">
        <v>45695.786076388889</v>
      </c>
      <c r="B245" t="s">
        <v>219</v>
      </c>
      <c r="C245" s="3">
        <v>45695.789317129631</v>
      </c>
      <c r="D245" t="s">
        <v>220</v>
      </c>
      <c r="E245" s="4">
        <v>1.5069214684963226</v>
      </c>
      <c r="F245" s="4">
        <v>346665.96115862398</v>
      </c>
      <c r="G245" s="4">
        <v>346667.46808009251</v>
      </c>
      <c r="H245" s="5">
        <f t="shared" si="1"/>
        <v>0</v>
      </c>
      <c r="I245" t="s">
        <v>194</v>
      </c>
      <c r="J245" t="s">
        <v>90</v>
      </c>
      <c r="K245" s="5">
        <f>280 / 86400</f>
        <v>3.2407407407407406E-3</v>
      </c>
      <c r="L245" s="5">
        <f>25 / 86400</f>
        <v>2.8935185185185184E-4</v>
      </c>
    </row>
    <row r="246" spans="1:12" x14ac:dyDescent="0.25">
      <c r="A246" s="3">
        <v>45695.789606481485</v>
      </c>
      <c r="B246" t="s">
        <v>221</v>
      </c>
      <c r="C246" s="3">
        <v>45695.790902777779</v>
      </c>
      <c r="D246" t="s">
        <v>222</v>
      </c>
      <c r="E246" s="4">
        <v>0.44458232188224794</v>
      </c>
      <c r="F246" s="4">
        <v>346667.52312887774</v>
      </c>
      <c r="G246" s="4">
        <v>346667.96771119966</v>
      </c>
      <c r="H246" s="5">
        <f t="shared" si="1"/>
        <v>0</v>
      </c>
      <c r="I246" t="s">
        <v>157</v>
      </c>
      <c r="J246" t="s">
        <v>34</v>
      </c>
      <c r="K246" s="5">
        <f>112 / 86400</f>
        <v>1.2962962962962963E-3</v>
      </c>
      <c r="L246" s="5">
        <f>20 / 86400</f>
        <v>2.3148148148148149E-4</v>
      </c>
    </row>
    <row r="247" spans="1:12" x14ac:dyDescent="0.25">
      <c r="A247" s="3">
        <v>45695.791134259256</v>
      </c>
      <c r="B247" t="s">
        <v>222</v>
      </c>
      <c r="C247" s="3">
        <v>45695.792650462958</v>
      </c>
      <c r="D247" t="s">
        <v>223</v>
      </c>
      <c r="E247" s="4">
        <v>0.84543991321325307</v>
      </c>
      <c r="F247" s="4">
        <v>346667.9779780354</v>
      </c>
      <c r="G247" s="4">
        <v>346668.82341794862</v>
      </c>
      <c r="H247" s="5">
        <f t="shared" si="1"/>
        <v>0</v>
      </c>
      <c r="I247" t="s">
        <v>201</v>
      </c>
      <c r="J247" t="s">
        <v>135</v>
      </c>
      <c r="K247" s="5">
        <f>131 / 86400</f>
        <v>1.5162037037037036E-3</v>
      </c>
      <c r="L247" s="5">
        <f>19 / 86400</f>
        <v>2.199074074074074E-4</v>
      </c>
    </row>
    <row r="248" spans="1:12" x14ac:dyDescent="0.25">
      <c r="A248" s="3">
        <v>45695.792870370366</v>
      </c>
      <c r="B248" t="s">
        <v>223</v>
      </c>
      <c r="C248" s="3">
        <v>45695.794386574074</v>
      </c>
      <c r="D248" t="s">
        <v>224</v>
      </c>
      <c r="E248" s="4">
        <v>0.78444655179977418</v>
      </c>
      <c r="F248" s="4">
        <v>346668.83338886494</v>
      </c>
      <c r="G248" s="4">
        <v>346669.61783541675</v>
      </c>
      <c r="H248" s="5">
        <f t="shared" si="1"/>
        <v>0</v>
      </c>
      <c r="I248" t="s">
        <v>194</v>
      </c>
      <c r="J248" t="s">
        <v>187</v>
      </c>
      <c r="K248" s="5">
        <f>131 / 86400</f>
        <v>1.5162037037037036E-3</v>
      </c>
      <c r="L248" s="5">
        <f>20 / 86400</f>
        <v>2.3148148148148149E-4</v>
      </c>
    </row>
    <row r="249" spans="1:12" x14ac:dyDescent="0.25">
      <c r="A249" s="3">
        <v>45695.794618055559</v>
      </c>
      <c r="B249" t="s">
        <v>225</v>
      </c>
      <c r="C249" s="3">
        <v>45695.794849537036</v>
      </c>
      <c r="D249" t="s">
        <v>224</v>
      </c>
      <c r="E249" s="4">
        <v>1.0723629415035248E-2</v>
      </c>
      <c r="F249" s="4">
        <v>346669.62996329647</v>
      </c>
      <c r="G249" s="4">
        <v>346669.64068692591</v>
      </c>
      <c r="H249" s="5">
        <f t="shared" si="1"/>
        <v>0</v>
      </c>
      <c r="I249" t="s">
        <v>140</v>
      </c>
      <c r="J249" t="s">
        <v>87</v>
      </c>
      <c r="K249" s="5">
        <f>20 / 86400</f>
        <v>2.3148148148148149E-4</v>
      </c>
      <c r="L249" s="5">
        <f>40 / 86400</f>
        <v>4.6296296296296298E-4</v>
      </c>
    </row>
    <row r="250" spans="1:12" x14ac:dyDescent="0.25">
      <c r="A250" s="3">
        <v>45695.795312499999</v>
      </c>
      <c r="B250" t="s">
        <v>226</v>
      </c>
      <c r="C250" s="3">
        <v>45695.795601851853</v>
      </c>
      <c r="D250" t="s">
        <v>227</v>
      </c>
      <c r="E250" s="4">
        <v>2.354581570625305E-2</v>
      </c>
      <c r="F250" s="4">
        <v>346669.65457459923</v>
      </c>
      <c r="G250" s="4">
        <v>346669.6781204149</v>
      </c>
      <c r="H250" s="5">
        <f t="shared" si="1"/>
        <v>0</v>
      </c>
      <c r="I250" t="s">
        <v>132</v>
      </c>
      <c r="J250" t="s">
        <v>140</v>
      </c>
      <c r="K250" s="5">
        <f>25 / 86400</f>
        <v>2.8935185185185184E-4</v>
      </c>
      <c r="L250" s="5">
        <f>9 / 86400</f>
        <v>1.0416666666666667E-4</v>
      </c>
    </row>
    <row r="251" spans="1:12" x14ac:dyDescent="0.25">
      <c r="A251" s="3">
        <v>45695.795706018514</v>
      </c>
      <c r="B251" t="s">
        <v>225</v>
      </c>
      <c r="C251" s="3">
        <v>45695.795925925922</v>
      </c>
      <c r="D251" t="s">
        <v>225</v>
      </c>
      <c r="E251" s="4">
        <v>1.0717155754566193E-2</v>
      </c>
      <c r="F251" s="4">
        <v>346669.69927111489</v>
      </c>
      <c r="G251" s="4">
        <v>346669.70998827065</v>
      </c>
      <c r="H251" s="5">
        <f t="shared" si="1"/>
        <v>0</v>
      </c>
      <c r="I251" t="s">
        <v>132</v>
      </c>
      <c r="J251" t="s">
        <v>87</v>
      </c>
      <c r="K251" s="5">
        <f>19 / 86400</f>
        <v>2.199074074074074E-4</v>
      </c>
      <c r="L251" s="5">
        <f>121 / 86400</f>
        <v>1.4004629629629629E-3</v>
      </c>
    </row>
    <row r="252" spans="1:12" x14ac:dyDescent="0.25">
      <c r="A252" s="3">
        <v>45695.797326388885</v>
      </c>
      <c r="B252" t="s">
        <v>225</v>
      </c>
      <c r="C252" s="3">
        <v>45695.798252314809</v>
      </c>
      <c r="D252" t="s">
        <v>225</v>
      </c>
      <c r="E252" s="4">
        <v>2.8962125420570372E-2</v>
      </c>
      <c r="F252" s="4">
        <v>346669.72935469751</v>
      </c>
      <c r="G252" s="4">
        <v>346669.75831682293</v>
      </c>
      <c r="H252" s="5">
        <f t="shared" si="1"/>
        <v>0</v>
      </c>
      <c r="I252" t="s">
        <v>87</v>
      </c>
      <c r="J252" t="s">
        <v>127</v>
      </c>
      <c r="K252" s="5">
        <f>80 / 86400</f>
        <v>9.2592592592592596E-4</v>
      </c>
      <c r="L252" s="5">
        <f>200 / 86400</f>
        <v>2.3148148148148147E-3</v>
      </c>
    </row>
    <row r="253" spans="1:12" x14ac:dyDescent="0.25">
      <c r="A253" s="3">
        <v>45695.800567129627</v>
      </c>
      <c r="B253" t="s">
        <v>225</v>
      </c>
      <c r="C253" s="3">
        <v>45695.800798611112</v>
      </c>
      <c r="D253" t="s">
        <v>225</v>
      </c>
      <c r="E253" s="4">
        <v>4.5440781712532043E-3</v>
      </c>
      <c r="F253" s="4">
        <v>346669.79718329845</v>
      </c>
      <c r="G253" s="4">
        <v>346669.80172737665</v>
      </c>
      <c r="H253" s="5">
        <f t="shared" si="1"/>
        <v>0</v>
      </c>
      <c r="I253" t="s">
        <v>87</v>
      </c>
      <c r="J253" t="s">
        <v>127</v>
      </c>
      <c r="K253" s="5">
        <f>20 / 86400</f>
        <v>2.3148148148148149E-4</v>
      </c>
      <c r="L253" s="5">
        <f>60 / 86400</f>
        <v>6.9444444444444447E-4</v>
      </c>
    </row>
    <row r="254" spans="1:12" x14ac:dyDescent="0.25">
      <c r="A254" s="3">
        <v>45695.801493055551</v>
      </c>
      <c r="B254" t="s">
        <v>225</v>
      </c>
      <c r="C254" s="3">
        <v>45695.802511574075</v>
      </c>
      <c r="D254" t="s">
        <v>225</v>
      </c>
      <c r="E254" s="4">
        <v>4.3498430132865903E-2</v>
      </c>
      <c r="F254" s="4">
        <v>346669.80691051262</v>
      </c>
      <c r="G254" s="4">
        <v>346669.85040894279</v>
      </c>
      <c r="H254" s="5">
        <f t="shared" ref="H254:H285" si="3">0 / 86400</f>
        <v>0</v>
      </c>
      <c r="I254" t="s">
        <v>126</v>
      </c>
      <c r="J254" t="s">
        <v>87</v>
      </c>
      <c r="K254" s="5">
        <f>88 / 86400</f>
        <v>1.0185185185185184E-3</v>
      </c>
      <c r="L254" s="5">
        <f>40 / 86400</f>
        <v>4.6296296296296298E-4</v>
      </c>
    </row>
    <row r="255" spans="1:12" x14ac:dyDescent="0.25">
      <c r="A255" s="3">
        <v>45695.802974537037</v>
      </c>
      <c r="B255" t="s">
        <v>227</v>
      </c>
      <c r="C255" s="3">
        <v>45695.803668981476</v>
      </c>
      <c r="D255" t="s">
        <v>226</v>
      </c>
      <c r="E255" s="4">
        <v>3.3208754360675809E-2</v>
      </c>
      <c r="F255" s="4">
        <v>346669.87323109398</v>
      </c>
      <c r="G255" s="4">
        <v>346669.90643984836</v>
      </c>
      <c r="H255" s="5">
        <f t="shared" si="3"/>
        <v>0</v>
      </c>
      <c r="I255" t="s">
        <v>82</v>
      </c>
      <c r="J255" t="s">
        <v>87</v>
      </c>
      <c r="K255" s="5">
        <f>60 / 86400</f>
        <v>6.9444444444444447E-4</v>
      </c>
      <c r="L255" s="5">
        <f>90 / 86400</f>
        <v>1.0416666666666667E-3</v>
      </c>
    </row>
    <row r="256" spans="1:12" x14ac:dyDescent="0.25">
      <c r="A256" s="3">
        <v>45695.804710648154</v>
      </c>
      <c r="B256" t="s">
        <v>101</v>
      </c>
      <c r="C256" s="3">
        <v>45695.805173611108</v>
      </c>
      <c r="D256" t="s">
        <v>101</v>
      </c>
      <c r="E256" s="4">
        <v>2.903945779800415E-2</v>
      </c>
      <c r="F256" s="4">
        <v>346669.99212134094</v>
      </c>
      <c r="G256" s="4">
        <v>346670.02116079873</v>
      </c>
      <c r="H256" s="5">
        <f t="shared" si="3"/>
        <v>0</v>
      </c>
      <c r="I256" t="s">
        <v>91</v>
      </c>
      <c r="J256" t="s">
        <v>140</v>
      </c>
      <c r="K256" s="5">
        <f>40 / 86400</f>
        <v>4.6296296296296298E-4</v>
      </c>
      <c r="L256" s="5">
        <f>100 / 86400</f>
        <v>1.1574074074074073E-3</v>
      </c>
    </row>
    <row r="257" spans="1:12" x14ac:dyDescent="0.25">
      <c r="A257" s="3">
        <v>45695.806331018517</v>
      </c>
      <c r="B257" t="s">
        <v>224</v>
      </c>
      <c r="C257" s="3">
        <v>45695.806562500002</v>
      </c>
      <c r="D257" t="s">
        <v>226</v>
      </c>
      <c r="E257" s="4">
        <v>1.5142161369323731E-2</v>
      </c>
      <c r="F257" s="4">
        <v>346670.05828643282</v>
      </c>
      <c r="G257" s="4">
        <v>346670.07342859416</v>
      </c>
      <c r="H257" s="5">
        <f t="shared" si="3"/>
        <v>0</v>
      </c>
      <c r="I257" t="s">
        <v>127</v>
      </c>
      <c r="J257" t="s">
        <v>140</v>
      </c>
      <c r="K257" s="5">
        <f>20 / 86400</f>
        <v>2.3148148148148149E-4</v>
      </c>
      <c r="L257" s="5">
        <f>25 / 86400</f>
        <v>2.8935185185185184E-4</v>
      </c>
    </row>
    <row r="258" spans="1:12" x14ac:dyDescent="0.25">
      <c r="A258" s="3">
        <v>45695.806851851856</v>
      </c>
      <c r="B258" t="s">
        <v>224</v>
      </c>
      <c r="C258" s="3">
        <v>45695.807083333333</v>
      </c>
      <c r="D258" t="s">
        <v>228</v>
      </c>
      <c r="E258" s="4">
        <v>1.4524178802967072E-2</v>
      </c>
      <c r="F258" s="4">
        <v>346670.10121240281</v>
      </c>
      <c r="G258" s="4">
        <v>346670.11573658162</v>
      </c>
      <c r="H258" s="5">
        <f t="shared" si="3"/>
        <v>0</v>
      </c>
      <c r="I258" t="s">
        <v>126</v>
      </c>
      <c r="J258" t="s">
        <v>140</v>
      </c>
      <c r="K258" s="5">
        <f>20 / 86400</f>
        <v>2.3148148148148149E-4</v>
      </c>
      <c r="L258" s="5">
        <f>100 / 86400</f>
        <v>1.1574074074074073E-3</v>
      </c>
    </row>
    <row r="259" spans="1:12" x14ac:dyDescent="0.25">
      <c r="A259" s="3">
        <v>45695.808240740742</v>
      </c>
      <c r="B259" t="s">
        <v>101</v>
      </c>
      <c r="C259" s="3">
        <v>45695.809120370366</v>
      </c>
      <c r="D259" t="s">
        <v>229</v>
      </c>
      <c r="E259" s="4">
        <v>0.26765281850099565</v>
      </c>
      <c r="F259" s="4">
        <v>346670.15323762089</v>
      </c>
      <c r="G259" s="4">
        <v>346670.42089043942</v>
      </c>
      <c r="H259" s="5">
        <f t="shared" si="3"/>
        <v>0</v>
      </c>
      <c r="I259" t="s">
        <v>230</v>
      </c>
      <c r="J259" t="s">
        <v>53</v>
      </c>
      <c r="K259" s="5">
        <f>76 / 86400</f>
        <v>8.7962962962962962E-4</v>
      </c>
      <c r="L259" s="5">
        <f>100 / 86400</f>
        <v>1.1574074074074073E-3</v>
      </c>
    </row>
    <row r="260" spans="1:12" x14ac:dyDescent="0.25">
      <c r="A260" s="3">
        <v>45695.810277777782</v>
      </c>
      <c r="B260" t="s">
        <v>229</v>
      </c>
      <c r="C260" s="3">
        <v>45695.811435185184</v>
      </c>
      <c r="D260" t="s">
        <v>231</v>
      </c>
      <c r="E260" s="4">
        <v>4.6808948814868925E-2</v>
      </c>
      <c r="F260" s="4">
        <v>346670.44797188515</v>
      </c>
      <c r="G260" s="4">
        <v>346670.49478083395</v>
      </c>
      <c r="H260" s="5">
        <f t="shared" si="3"/>
        <v>0</v>
      </c>
      <c r="I260" t="s">
        <v>126</v>
      </c>
      <c r="J260" t="s">
        <v>87</v>
      </c>
      <c r="K260" s="5">
        <f>100 / 86400</f>
        <v>1.1574074074074073E-3</v>
      </c>
      <c r="L260" s="5">
        <f>20 / 86400</f>
        <v>2.3148148148148149E-4</v>
      </c>
    </row>
    <row r="261" spans="1:12" x14ac:dyDescent="0.25">
      <c r="A261" s="3">
        <v>45695.811666666668</v>
      </c>
      <c r="B261" t="s">
        <v>231</v>
      </c>
      <c r="C261" s="3">
        <v>45695.812534722223</v>
      </c>
      <c r="D261" t="s">
        <v>231</v>
      </c>
      <c r="E261" s="4">
        <v>9.1811674952507014E-2</v>
      </c>
      <c r="F261" s="4">
        <v>346670.50676252105</v>
      </c>
      <c r="G261" s="4">
        <v>346670.59857419599</v>
      </c>
      <c r="H261" s="5">
        <f t="shared" si="3"/>
        <v>0</v>
      </c>
      <c r="I261" t="s">
        <v>141</v>
      </c>
      <c r="J261" t="s">
        <v>82</v>
      </c>
      <c r="K261" s="5">
        <f>75 / 86400</f>
        <v>8.6805555555555551E-4</v>
      </c>
      <c r="L261" s="5">
        <f>20 / 86400</f>
        <v>2.3148148148148149E-4</v>
      </c>
    </row>
    <row r="262" spans="1:12" x14ac:dyDescent="0.25">
      <c r="A262" s="3">
        <v>45695.8127662037</v>
      </c>
      <c r="B262" t="s">
        <v>232</v>
      </c>
      <c r="C262" s="3">
        <v>45695.812997685185</v>
      </c>
      <c r="D262" t="s">
        <v>232</v>
      </c>
      <c r="E262" s="4">
        <v>0</v>
      </c>
      <c r="F262" s="4">
        <v>346670.65476717014</v>
      </c>
      <c r="G262" s="4">
        <v>346670.65476717014</v>
      </c>
      <c r="H262" s="5">
        <f t="shared" si="3"/>
        <v>0</v>
      </c>
      <c r="I262" t="s">
        <v>37</v>
      </c>
      <c r="J262" t="s">
        <v>129</v>
      </c>
      <c r="K262" s="5">
        <f>20 / 86400</f>
        <v>2.3148148148148149E-4</v>
      </c>
      <c r="L262" s="5">
        <f>20 / 86400</f>
        <v>2.3148148148148149E-4</v>
      </c>
    </row>
    <row r="263" spans="1:12" x14ac:dyDescent="0.25">
      <c r="A263" s="3">
        <v>45695.81322916667</v>
      </c>
      <c r="B263" t="s">
        <v>233</v>
      </c>
      <c r="C263" s="3">
        <v>45695.815451388888</v>
      </c>
      <c r="D263" t="s">
        <v>234</v>
      </c>
      <c r="E263" s="4">
        <v>1.0661280295848847</v>
      </c>
      <c r="F263" s="4">
        <v>346671.06002554594</v>
      </c>
      <c r="G263" s="4">
        <v>346672.12615357555</v>
      </c>
      <c r="H263" s="5">
        <f t="shared" si="3"/>
        <v>0</v>
      </c>
      <c r="I263" t="s">
        <v>235</v>
      </c>
      <c r="J263" t="s">
        <v>78</v>
      </c>
      <c r="K263" s="5">
        <f>192 / 86400</f>
        <v>2.2222222222222222E-3</v>
      </c>
      <c r="L263" s="5">
        <f>95 / 86400</f>
        <v>1.0995370370370371E-3</v>
      </c>
    </row>
    <row r="264" spans="1:12" x14ac:dyDescent="0.25">
      <c r="A264" s="3">
        <v>45695.816550925927</v>
      </c>
      <c r="B264" t="s">
        <v>234</v>
      </c>
      <c r="C264" s="3">
        <v>45695.818020833336</v>
      </c>
      <c r="D264" t="s">
        <v>236</v>
      </c>
      <c r="E264" s="4">
        <v>0.67272785753011699</v>
      </c>
      <c r="F264" s="4">
        <v>346672.14232913149</v>
      </c>
      <c r="G264" s="4">
        <v>346672.81505698903</v>
      </c>
      <c r="H264" s="5">
        <f t="shared" si="3"/>
        <v>0</v>
      </c>
      <c r="I264" t="s">
        <v>213</v>
      </c>
      <c r="J264" t="s">
        <v>90</v>
      </c>
      <c r="K264" s="5">
        <f>127 / 86400</f>
        <v>1.4699074074074074E-3</v>
      </c>
      <c r="L264" s="5">
        <f>4 / 86400</f>
        <v>4.6296296296296294E-5</v>
      </c>
    </row>
    <row r="265" spans="1:12" x14ac:dyDescent="0.25">
      <c r="A265" s="3">
        <v>45695.818067129629</v>
      </c>
      <c r="B265" t="s">
        <v>236</v>
      </c>
      <c r="C265" s="3">
        <v>45695.818530092598</v>
      </c>
      <c r="D265" t="s">
        <v>237</v>
      </c>
      <c r="E265" s="4">
        <v>0.17959671580791473</v>
      </c>
      <c r="F265" s="4">
        <v>346672.82068595965</v>
      </c>
      <c r="G265" s="4">
        <v>346673.00028267544</v>
      </c>
      <c r="H265" s="5">
        <f t="shared" si="3"/>
        <v>0</v>
      </c>
      <c r="I265" t="s">
        <v>209</v>
      </c>
      <c r="J265" t="s">
        <v>20</v>
      </c>
      <c r="K265" s="5">
        <f>40 / 86400</f>
        <v>4.6296296296296298E-4</v>
      </c>
      <c r="L265" s="5">
        <f>20 / 86400</f>
        <v>2.3148148148148149E-4</v>
      </c>
    </row>
    <row r="266" spans="1:12" x14ac:dyDescent="0.25">
      <c r="A266" s="3">
        <v>45695.818761574075</v>
      </c>
      <c r="B266" t="s">
        <v>237</v>
      </c>
      <c r="C266" s="3">
        <v>45695.827187499999</v>
      </c>
      <c r="D266" t="s">
        <v>238</v>
      </c>
      <c r="E266" s="4">
        <v>3.0121001873016358</v>
      </c>
      <c r="F266" s="4">
        <v>346673.19912797812</v>
      </c>
      <c r="G266" s="4">
        <v>346676.21122816543</v>
      </c>
      <c r="H266" s="5">
        <f t="shared" si="3"/>
        <v>0</v>
      </c>
      <c r="I266" t="s">
        <v>203</v>
      </c>
      <c r="J266" t="s">
        <v>24</v>
      </c>
      <c r="K266" s="5">
        <f>728 / 86400</f>
        <v>8.4259259259259253E-3</v>
      </c>
      <c r="L266" s="5">
        <f>11 / 86400</f>
        <v>1.273148148148148E-4</v>
      </c>
    </row>
    <row r="267" spans="1:12" x14ac:dyDescent="0.25">
      <c r="A267" s="3">
        <v>45695.827314814815</v>
      </c>
      <c r="B267" t="s">
        <v>238</v>
      </c>
      <c r="C267" s="3">
        <v>45695.827546296292</v>
      </c>
      <c r="D267" t="s">
        <v>238</v>
      </c>
      <c r="E267" s="4">
        <v>1.6201486587524416E-2</v>
      </c>
      <c r="F267" s="4">
        <v>346676.21432764403</v>
      </c>
      <c r="G267" s="4">
        <v>346676.23052913061</v>
      </c>
      <c r="H267" s="5">
        <f t="shared" si="3"/>
        <v>0</v>
      </c>
      <c r="I267" t="s">
        <v>126</v>
      </c>
      <c r="J267" t="s">
        <v>140</v>
      </c>
      <c r="K267" s="5">
        <f>20 / 86400</f>
        <v>2.3148148148148149E-4</v>
      </c>
      <c r="L267" s="5">
        <f>3 / 86400</f>
        <v>3.4722222222222222E-5</v>
      </c>
    </row>
    <row r="268" spans="1:12" x14ac:dyDescent="0.25">
      <c r="A268" s="3">
        <v>45695.827581018515</v>
      </c>
      <c r="B268" t="s">
        <v>239</v>
      </c>
      <c r="C268" s="3">
        <v>45695.828356481477</v>
      </c>
      <c r="D268" t="s">
        <v>240</v>
      </c>
      <c r="E268" s="4">
        <v>0.17808284735679628</v>
      </c>
      <c r="F268" s="4">
        <v>346676.23640558094</v>
      </c>
      <c r="G268" s="4">
        <v>346676.41448842827</v>
      </c>
      <c r="H268" s="5">
        <f t="shared" si="3"/>
        <v>0</v>
      </c>
      <c r="I268" t="s">
        <v>28</v>
      </c>
      <c r="J268" t="s">
        <v>45</v>
      </c>
      <c r="K268" s="5">
        <f>67 / 86400</f>
        <v>7.7546296296296293E-4</v>
      </c>
      <c r="L268" s="5">
        <f>20 / 86400</f>
        <v>2.3148148148148149E-4</v>
      </c>
    </row>
    <row r="269" spans="1:12" x14ac:dyDescent="0.25">
      <c r="A269" s="3">
        <v>45695.828587962962</v>
      </c>
      <c r="B269" t="s">
        <v>241</v>
      </c>
      <c r="C269" s="3">
        <v>45695.828819444447</v>
      </c>
      <c r="D269" t="s">
        <v>241</v>
      </c>
      <c r="E269" s="4">
        <v>0</v>
      </c>
      <c r="F269" s="4">
        <v>346676.42227055662</v>
      </c>
      <c r="G269" s="4">
        <v>346676.42227055662</v>
      </c>
      <c r="H269" s="5">
        <f t="shared" si="3"/>
        <v>0</v>
      </c>
      <c r="I269" t="s">
        <v>127</v>
      </c>
      <c r="J269" t="s">
        <v>129</v>
      </c>
      <c r="K269" s="5">
        <f>20 / 86400</f>
        <v>2.3148148148148149E-4</v>
      </c>
      <c r="L269" s="5">
        <f>50 / 86400</f>
        <v>5.7870370370370367E-4</v>
      </c>
    </row>
    <row r="270" spans="1:12" x14ac:dyDescent="0.25">
      <c r="A270" s="3">
        <v>45695.829398148147</v>
      </c>
      <c r="B270" t="s">
        <v>242</v>
      </c>
      <c r="C270" s="3">
        <v>45695.830092592594</v>
      </c>
      <c r="D270" t="s">
        <v>243</v>
      </c>
      <c r="E270" s="4">
        <v>0.19182250463962555</v>
      </c>
      <c r="F270" s="4">
        <v>346676.44032993476</v>
      </c>
      <c r="G270" s="4">
        <v>346676.63215243944</v>
      </c>
      <c r="H270" s="5">
        <f t="shared" si="3"/>
        <v>0</v>
      </c>
      <c r="I270" t="s">
        <v>195</v>
      </c>
      <c r="J270" t="s">
        <v>57</v>
      </c>
      <c r="K270" s="5">
        <f>60 / 86400</f>
        <v>6.9444444444444447E-4</v>
      </c>
      <c r="L270" s="5">
        <f>20 / 86400</f>
        <v>2.3148148148148149E-4</v>
      </c>
    </row>
    <row r="271" spans="1:12" x14ac:dyDescent="0.25">
      <c r="A271" s="3">
        <v>45695.830324074079</v>
      </c>
      <c r="B271" t="s">
        <v>244</v>
      </c>
      <c r="C271" s="3">
        <v>45695.832141203704</v>
      </c>
      <c r="D271" t="s">
        <v>245</v>
      </c>
      <c r="E271" s="4">
        <v>1.3027970764636994</v>
      </c>
      <c r="F271" s="4">
        <v>346676.65097525966</v>
      </c>
      <c r="G271" s="4">
        <v>346677.95377233613</v>
      </c>
      <c r="H271" s="5">
        <f t="shared" si="3"/>
        <v>0</v>
      </c>
      <c r="I271" t="s">
        <v>174</v>
      </c>
      <c r="J271" t="s">
        <v>246</v>
      </c>
      <c r="K271" s="5">
        <f>157 / 86400</f>
        <v>1.8171296296296297E-3</v>
      </c>
      <c r="L271" s="5">
        <f>20 / 86400</f>
        <v>2.3148148148148149E-4</v>
      </c>
    </row>
    <row r="272" spans="1:12" x14ac:dyDescent="0.25">
      <c r="A272" s="3">
        <v>45695.832372685181</v>
      </c>
      <c r="B272" t="s">
        <v>247</v>
      </c>
      <c r="C272" s="3">
        <v>45695.833530092597</v>
      </c>
      <c r="D272" t="s">
        <v>248</v>
      </c>
      <c r="E272" s="4">
        <v>0.59418419116735455</v>
      </c>
      <c r="F272" s="4">
        <v>346678.02336741239</v>
      </c>
      <c r="G272" s="4">
        <v>346678.61755160353</v>
      </c>
      <c r="H272" s="5">
        <f t="shared" si="3"/>
        <v>0</v>
      </c>
      <c r="I272" t="s">
        <v>211</v>
      </c>
      <c r="J272" t="s">
        <v>37</v>
      </c>
      <c r="K272" s="5">
        <f>100 / 86400</f>
        <v>1.1574074074074073E-3</v>
      </c>
      <c r="L272" s="5">
        <f>20 / 86400</f>
        <v>2.3148148148148149E-4</v>
      </c>
    </row>
    <row r="273" spans="1:12" x14ac:dyDescent="0.25">
      <c r="A273" s="3">
        <v>45695.833761574075</v>
      </c>
      <c r="B273" t="s">
        <v>249</v>
      </c>
      <c r="C273" s="3">
        <v>45695.833993055552</v>
      </c>
      <c r="D273" t="s">
        <v>249</v>
      </c>
      <c r="E273" s="4">
        <v>9.6425158381462095E-3</v>
      </c>
      <c r="F273" s="4">
        <v>346678.93772909848</v>
      </c>
      <c r="G273" s="4">
        <v>346678.94737161434</v>
      </c>
      <c r="H273" s="5">
        <f t="shared" si="3"/>
        <v>0</v>
      </c>
      <c r="I273" t="s">
        <v>87</v>
      </c>
      <c r="J273" t="s">
        <v>87</v>
      </c>
      <c r="K273" s="5">
        <f>20 / 86400</f>
        <v>2.3148148148148149E-4</v>
      </c>
      <c r="L273" s="5">
        <f>12 / 86400</f>
        <v>1.3888888888888889E-4</v>
      </c>
    </row>
    <row r="274" spans="1:12" x14ac:dyDescent="0.25">
      <c r="A274" s="3">
        <v>45695.834131944444</v>
      </c>
      <c r="B274" t="s">
        <v>250</v>
      </c>
      <c r="C274" s="3">
        <v>45695.834826388891</v>
      </c>
      <c r="D274" t="s">
        <v>249</v>
      </c>
      <c r="E274" s="4">
        <v>3.0643241345882415E-2</v>
      </c>
      <c r="F274" s="4">
        <v>346678.95583667909</v>
      </c>
      <c r="G274" s="4">
        <v>346678.98647992045</v>
      </c>
      <c r="H274" s="5">
        <f t="shared" si="3"/>
        <v>0</v>
      </c>
      <c r="I274" t="s">
        <v>82</v>
      </c>
      <c r="J274" t="s">
        <v>87</v>
      </c>
      <c r="K274" s="5">
        <f>60 / 86400</f>
        <v>6.9444444444444447E-4</v>
      </c>
      <c r="L274" s="5">
        <f>39 / 86400</f>
        <v>4.5138888888888887E-4</v>
      </c>
    </row>
    <row r="275" spans="1:12" x14ac:dyDescent="0.25">
      <c r="A275" s="3">
        <v>45695.835277777776</v>
      </c>
      <c r="B275" t="s">
        <v>251</v>
      </c>
      <c r="C275" s="3">
        <v>45695.835717592592</v>
      </c>
      <c r="D275" t="s">
        <v>76</v>
      </c>
      <c r="E275" s="4">
        <v>0.10877218633890152</v>
      </c>
      <c r="F275" s="4">
        <v>346679.01983712037</v>
      </c>
      <c r="G275" s="4">
        <v>346679.1286093067</v>
      </c>
      <c r="H275" s="5">
        <f t="shared" si="3"/>
        <v>0</v>
      </c>
      <c r="I275" t="s">
        <v>69</v>
      </c>
      <c r="J275" t="s">
        <v>45</v>
      </c>
      <c r="K275" s="5">
        <f>38 / 86400</f>
        <v>4.3981481481481481E-4</v>
      </c>
      <c r="L275" s="5">
        <f>13 / 86400</f>
        <v>1.5046296296296297E-4</v>
      </c>
    </row>
    <row r="276" spans="1:12" x14ac:dyDescent="0.25">
      <c r="A276" s="3">
        <v>45695.835868055554</v>
      </c>
      <c r="B276" t="s">
        <v>76</v>
      </c>
      <c r="C276" s="3">
        <v>45695.837025462963</v>
      </c>
      <c r="D276" t="s">
        <v>252</v>
      </c>
      <c r="E276" s="4">
        <v>0.21452017587423325</v>
      </c>
      <c r="F276" s="4">
        <v>346679.13367691031</v>
      </c>
      <c r="G276" s="4">
        <v>346679.34819708613</v>
      </c>
      <c r="H276" s="5">
        <f t="shared" si="3"/>
        <v>0</v>
      </c>
      <c r="I276" t="s">
        <v>78</v>
      </c>
      <c r="J276" t="s">
        <v>141</v>
      </c>
      <c r="K276" s="5">
        <f>100 / 86400</f>
        <v>1.1574074074074073E-3</v>
      </c>
      <c r="L276" s="5">
        <f>13 / 86400</f>
        <v>1.5046296296296297E-4</v>
      </c>
    </row>
    <row r="277" spans="1:12" x14ac:dyDescent="0.25">
      <c r="A277" s="3">
        <v>45695.837175925924</v>
      </c>
      <c r="B277" t="s">
        <v>252</v>
      </c>
      <c r="C277" s="3">
        <v>45695.837407407409</v>
      </c>
      <c r="D277" t="s">
        <v>252</v>
      </c>
      <c r="E277" s="4">
        <v>1.7345851004123686E-2</v>
      </c>
      <c r="F277" s="4">
        <v>346679.35156012326</v>
      </c>
      <c r="G277" s="4">
        <v>346679.36890597426</v>
      </c>
      <c r="H277" s="5">
        <f t="shared" si="3"/>
        <v>0</v>
      </c>
      <c r="I277" t="s">
        <v>126</v>
      </c>
      <c r="J277" t="s">
        <v>140</v>
      </c>
      <c r="K277" s="5">
        <f>20 / 86400</f>
        <v>2.3148148148148149E-4</v>
      </c>
      <c r="L277" s="5">
        <f>11 / 86400</f>
        <v>1.273148148148148E-4</v>
      </c>
    </row>
    <row r="278" spans="1:12" x14ac:dyDescent="0.25">
      <c r="A278" s="3">
        <v>45695.837534722217</v>
      </c>
      <c r="B278" t="s">
        <v>252</v>
      </c>
      <c r="C278" s="3">
        <v>45695.838159722218</v>
      </c>
      <c r="D278" t="s">
        <v>252</v>
      </c>
      <c r="E278" s="4">
        <v>7.2852008283138273E-2</v>
      </c>
      <c r="F278" s="4">
        <v>346679.3752558243</v>
      </c>
      <c r="G278" s="4">
        <v>346679.44810783264</v>
      </c>
      <c r="H278" s="5">
        <f t="shared" si="3"/>
        <v>0</v>
      </c>
      <c r="I278" t="s">
        <v>112</v>
      </c>
      <c r="J278" t="s">
        <v>126</v>
      </c>
      <c r="K278" s="5">
        <f>54 / 86400</f>
        <v>6.2500000000000001E-4</v>
      </c>
      <c r="L278" s="5">
        <f>20 / 86400</f>
        <v>2.3148148148148149E-4</v>
      </c>
    </row>
    <row r="279" spans="1:12" x14ac:dyDescent="0.25">
      <c r="A279" s="3">
        <v>45695.838391203702</v>
      </c>
      <c r="B279" t="s">
        <v>253</v>
      </c>
      <c r="C279" s="3">
        <v>45695.838622685187</v>
      </c>
      <c r="D279" t="s">
        <v>253</v>
      </c>
      <c r="E279" s="4">
        <v>7.9886704802513128E-2</v>
      </c>
      <c r="F279" s="4">
        <v>346679.51922294905</v>
      </c>
      <c r="G279" s="4">
        <v>346679.59910965385</v>
      </c>
      <c r="H279" s="5">
        <f t="shared" si="3"/>
        <v>0</v>
      </c>
      <c r="I279" t="s">
        <v>90</v>
      </c>
      <c r="J279" t="s">
        <v>34</v>
      </c>
      <c r="K279" s="5">
        <f>20 / 86400</f>
        <v>2.3148148148148149E-4</v>
      </c>
      <c r="L279" s="5">
        <f>43 / 86400</f>
        <v>4.9768518518518521E-4</v>
      </c>
    </row>
    <row r="280" spans="1:12" x14ac:dyDescent="0.25">
      <c r="A280" s="3">
        <v>45695.839120370365</v>
      </c>
      <c r="B280" t="s">
        <v>253</v>
      </c>
      <c r="C280" s="3">
        <v>45695.839814814812</v>
      </c>
      <c r="D280" t="s">
        <v>254</v>
      </c>
      <c r="E280" s="4">
        <v>4.4639646232128141E-2</v>
      </c>
      <c r="F280" s="4">
        <v>346679.61081454117</v>
      </c>
      <c r="G280" s="4">
        <v>346679.65545418742</v>
      </c>
      <c r="H280" s="5">
        <f t="shared" si="3"/>
        <v>0</v>
      </c>
      <c r="I280" t="s">
        <v>126</v>
      </c>
      <c r="J280" t="s">
        <v>140</v>
      </c>
      <c r="K280" s="5">
        <f>60 / 86400</f>
        <v>6.9444444444444447E-4</v>
      </c>
      <c r="L280" s="5">
        <f>20 / 86400</f>
        <v>2.3148148148148149E-4</v>
      </c>
    </row>
    <row r="281" spans="1:12" x14ac:dyDescent="0.25">
      <c r="A281" s="3">
        <v>45695.840046296296</v>
      </c>
      <c r="B281" t="s">
        <v>254</v>
      </c>
      <c r="C281" s="3">
        <v>45695.840277777781</v>
      </c>
      <c r="D281" t="s">
        <v>254</v>
      </c>
      <c r="E281" s="4">
        <v>2.083836317062378E-3</v>
      </c>
      <c r="F281" s="4">
        <v>346679.66462361324</v>
      </c>
      <c r="G281" s="4">
        <v>346679.66670744953</v>
      </c>
      <c r="H281" s="5">
        <f t="shared" si="3"/>
        <v>0</v>
      </c>
      <c r="I281" t="s">
        <v>127</v>
      </c>
      <c r="J281" t="s">
        <v>129</v>
      </c>
      <c r="K281" s="5">
        <f>20 / 86400</f>
        <v>2.3148148148148149E-4</v>
      </c>
      <c r="L281" s="5">
        <f>20 / 86400</f>
        <v>2.3148148148148149E-4</v>
      </c>
    </row>
    <row r="282" spans="1:12" x14ac:dyDescent="0.25">
      <c r="A282" s="3">
        <v>45695.840509259258</v>
      </c>
      <c r="B282" t="s">
        <v>254</v>
      </c>
      <c r="C282" s="3">
        <v>45695.840740740736</v>
      </c>
      <c r="D282" t="s">
        <v>255</v>
      </c>
      <c r="E282" s="4">
        <v>8.0752832889556883E-3</v>
      </c>
      <c r="F282" s="4">
        <v>346679.67331835115</v>
      </c>
      <c r="G282" s="4">
        <v>346679.68139363441</v>
      </c>
      <c r="H282" s="5">
        <f t="shared" si="3"/>
        <v>0</v>
      </c>
      <c r="I282" t="s">
        <v>82</v>
      </c>
      <c r="J282" t="s">
        <v>127</v>
      </c>
      <c r="K282" s="5">
        <f>20 / 86400</f>
        <v>2.3148148148148149E-4</v>
      </c>
      <c r="L282" s="5">
        <f>40 / 86400</f>
        <v>4.6296296296296298E-4</v>
      </c>
    </row>
    <row r="283" spans="1:12" x14ac:dyDescent="0.25">
      <c r="A283" s="3">
        <v>45695.841203703705</v>
      </c>
      <c r="B283" t="s">
        <v>255</v>
      </c>
      <c r="C283" s="3">
        <v>45695.841435185182</v>
      </c>
      <c r="D283" t="s">
        <v>255</v>
      </c>
      <c r="E283" s="4">
        <v>3.4144666194915771E-3</v>
      </c>
      <c r="F283" s="4">
        <v>346679.68888015643</v>
      </c>
      <c r="G283" s="4">
        <v>346679.69229462306</v>
      </c>
      <c r="H283" s="5">
        <f t="shared" si="3"/>
        <v>0</v>
      </c>
      <c r="I283" t="s">
        <v>127</v>
      </c>
      <c r="J283" t="s">
        <v>127</v>
      </c>
      <c r="K283" s="5">
        <f>20 / 86400</f>
        <v>2.3148148148148149E-4</v>
      </c>
      <c r="L283" s="5">
        <f>23 / 86400</f>
        <v>2.6620370370370372E-4</v>
      </c>
    </row>
    <row r="284" spans="1:12" x14ac:dyDescent="0.25">
      <c r="A284" s="3">
        <v>45695.84170138889</v>
      </c>
      <c r="B284" t="s">
        <v>255</v>
      </c>
      <c r="C284" s="3">
        <v>45695.842164351852</v>
      </c>
      <c r="D284" t="s">
        <v>256</v>
      </c>
      <c r="E284" s="4">
        <v>9.424468439817428E-2</v>
      </c>
      <c r="F284" s="4">
        <v>346679.69660406304</v>
      </c>
      <c r="G284" s="4">
        <v>346679.79084874742</v>
      </c>
      <c r="H284" s="5">
        <f t="shared" si="3"/>
        <v>0</v>
      </c>
      <c r="I284" t="s">
        <v>132</v>
      </c>
      <c r="J284" t="s">
        <v>141</v>
      </c>
      <c r="K284" s="5">
        <f>40 / 86400</f>
        <v>4.6296296296296298E-4</v>
      </c>
      <c r="L284" s="5">
        <f>60 / 86400</f>
        <v>6.9444444444444447E-4</v>
      </c>
    </row>
    <row r="285" spans="1:12" x14ac:dyDescent="0.25">
      <c r="A285" s="3">
        <v>45695.842858796299</v>
      </c>
      <c r="B285" t="s">
        <v>254</v>
      </c>
      <c r="C285" s="3">
        <v>45695.843553240746</v>
      </c>
      <c r="D285" t="s">
        <v>254</v>
      </c>
      <c r="E285" s="4">
        <v>0.19238354408740999</v>
      </c>
      <c r="F285" s="4">
        <v>346679.82177000947</v>
      </c>
      <c r="G285" s="4">
        <v>346680.01415355352</v>
      </c>
      <c r="H285" s="5">
        <f t="shared" si="3"/>
        <v>0</v>
      </c>
      <c r="I285" t="s">
        <v>69</v>
      </c>
      <c r="J285" t="s">
        <v>57</v>
      </c>
      <c r="K285" s="5">
        <f>60 / 86400</f>
        <v>6.9444444444444447E-4</v>
      </c>
      <c r="L285" s="5">
        <f>40 / 86400</f>
        <v>4.6296296296296298E-4</v>
      </c>
    </row>
    <row r="286" spans="1:12" x14ac:dyDescent="0.25">
      <c r="A286" s="3">
        <v>45695.8440162037</v>
      </c>
      <c r="B286" t="s">
        <v>257</v>
      </c>
      <c r="C286" s="3">
        <v>45695.84447916667</v>
      </c>
      <c r="D286" t="s">
        <v>258</v>
      </c>
      <c r="E286" s="4">
        <v>0.10191491967439652</v>
      </c>
      <c r="F286" s="4">
        <v>346680.02682717051</v>
      </c>
      <c r="G286" s="4">
        <v>346680.12874209019</v>
      </c>
      <c r="H286" s="5">
        <f t="shared" ref="H286:H317" si="4">0 / 86400</f>
        <v>0</v>
      </c>
      <c r="I286" t="s">
        <v>28</v>
      </c>
      <c r="J286" t="s">
        <v>71</v>
      </c>
      <c r="K286" s="5">
        <f>40 / 86400</f>
        <v>4.6296296296296298E-4</v>
      </c>
      <c r="L286" s="5">
        <f>20 / 86400</f>
        <v>2.3148148148148149E-4</v>
      </c>
    </row>
    <row r="287" spans="1:12" x14ac:dyDescent="0.25">
      <c r="A287" s="3">
        <v>45695.844710648147</v>
      </c>
      <c r="B287" t="s">
        <v>258</v>
      </c>
      <c r="C287" s="3">
        <v>45695.845509259263</v>
      </c>
      <c r="D287" t="s">
        <v>259</v>
      </c>
      <c r="E287" s="4">
        <v>0.41506357043981551</v>
      </c>
      <c r="F287" s="4">
        <v>346680.15530624561</v>
      </c>
      <c r="G287" s="4">
        <v>346680.57036981604</v>
      </c>
      <c r="H287" s="5">
        <f t="shared" si="4"/>
        <v>0</v>
      </c>
      <c r="I287" t="s">
        <v>260</v>
      </c>
      <c r="J287" t="s">
        <v>187</v>
      </c>
      <c r="K287" s="5">
        <f>69 / 86400</f>
        <v>7.9861111111111116E-4</v>
      </c>
      <c r="L287" s="5">
        <f>40 / 86400</f>
        <v>4.6296296296296298E-4</v>
      </c>
    </row>
    <row r="288" spans="1:12" x14ac:dyDescent="0.25">
      <c r="A288" s="3">
        <v>45695.845972222218</v>
      </c>
      <c r="B288" t="s">
        <v>261</v>
      </c>
      <c r="C288" s="3">
        <v>45695.846828703703</v>
      </c>
      <c r="D288" t="s">
        <v>262</v>
      </c>
      <c r="E288" s="4">
        <v>0.1418046270608902</v>
      </c>
      <c r="F288" s="4">
        <v>346680.63213155058</v>
      </c>
      <c r="G288" s="4">
        <v>346680.7739361776</v>
      </c>
      <c r="H288" s="5">
        <f t="shared" si="4"/>
        <v>0</v>
      </c>
      <c r="I288" t="s">
        <v>143</v>
      </c>
      <c r="J288" t="s">
        <v>91</v>
      </c>
      <c r="K288" s="5">
        <f>74 / 86400</f>
        <v>8.564814814814815E-4</v>
      </c>
      <c r="L288" s="5">
        <f>60 / 86400</f>
        <v>6.9444444444444447E-4</v>
      </c>
    </row>
    <row r="289" spans="1:12" x14ac:dyDescent="0.25">
      <c r="A289" s="3">
        <v>45695.84752314815</v>
      </c>
      <c r="B289" t="s">
        <v>263</v>
      </c>
      <c r="C289" s="3">
        <v>45695.847754629634</v>
      </c>
      <c r="D289" t="s">
        <v>263</v>
      </c>
      <c r="E289" s="4">
        <v>7.6494237780570986E-3</v>
      </c>
      <c r="F289" s="4">
        <v>346680.80523348384</v>
      </c>
      <c r="G289" s="4">
        <v>346680.81288290763</v>
      </c>
      <c r="H289" s="5">
        <f t="shared" si="4"/>
        <v>0</v>
      </c>
      <c r="I289" t="s">
        <v>140</v>
      </c>
      <c r="J289" t="s">
        <v>127</v>
      </c>
      <c r="K289" s="5">
        <f>20 / 86400</f>
        <v>2.3148148148148149E-4</v>
      </c>
      <c r="L289" s="5">
        <f>16 / 86400</f>
        <v>1.8518518518518518E-4</v>
      </c>
    </row>
    <row r="290" spans="1:12" x14ac:dyDescent="0.25">
      <c r="A290" s="3">
        <v>45695.847939814819</v>
      </c>
      <c r="B290" t="s">
        <v>263</v>
      </c>
      <c r="C290" s="3">
        <v>45695.849826388891</v>
      </c>
      <c r="D290" t="s">
        <v>264</v>
      </c>
      <c r="E290" s="4">
        <v>0.47099981135129931</v>
      </c>
      <c r="F290" s="4">
        <v>346680.81529885717</v>
      </c>
      <c r="G290" s="4">
        <v>346681.28629866848</v>
      </c>
      <c r="H290" s="5">
        <f t="shared" si="4"/>
        <v>0</v>
      </c>
      <c r="I290" t="s">
        <v>28</v>
      </c>
      <c r="J290" t="s">
        <v>45</v>
      </c>
      <c r="K290" s="5">
        <f>163 / 86400</f>
        <v>1.8865740740740742E-3</v>
      </c>
      <c r="L290" s="5">
        <f>20 / 86400</f>
        <v>2.3148148148148149E-4</v>
      </c>
    </row>
    <row r="291" spans="1:12" x14ac:dyDescent="0.25">
      <c r="A291" s="3">
        <v>45695.850057870368</v>
      </c>
      <c r="B291" t="s">
        <v>264</v>
      </c>
      <c r="C291" s="3">
        <v>45695.852627314816</v>
      </c>
      <c r="D291" t="s">
        <v>265</v>
      </c>
      <c r="E291" s="4">
        <v>1.2927692825794219</v>
      </c>
      <c r="F291" s="4">
        <v>346681.29220261506</v>
      </c>
      <c r="G291" s="4">
        <v>346682.58497189765</v>
      </c>
      <c r="H291" s="5">
        <f t="shared" si="4"/>
        <v>0</v>
      </c>
      <c r="I291" t="s">
        <v>201</v>
      </c>
      <c r="J291" t="s">
        <v>37</v>
      </c>
      <c r="K291" s="5">
        <f>222 / 86400</f>
        <v>2.5694444444444445E-3</v>
      </c>
      <c r="L291" s="5">
        <f>40 / 86400</f>
        <v>4.6296296296296298E-4</v>
      </c>
    </row>
    <row r="292" spans="1:12" x14ac:dyDescent="0.25">
      <c r="A292" s="3">
        <v>45695.853090277778</v>
      </c>
      <c r="B292" t="s">
        <v>265</v>
      </c>
      <c r="C292" s="3">
        <v>45695.853784722218</v>
      </c>
      <c r="D292" t="s">
        <v>266</v>
      </c>
      <c r="E292" s="4">
        <v>8.9457012176513667E-2</v>
      </c>
      <c r="F292" s="4">
        <v>346682.60825147451</v>
      </c>
      <c r="G292" s="4">
        <v>346682.6977084867</v>
      </c>
      <c r="H292" s="5">
        <f t="shared" si="4"/>
        <v>0</v>
      </c>
      <c r="I292" t="s">
        <v>34</v>
      </c>
      <c r="J292" t="s">
        <v>126</v>
      </c>
      <c r="K292" s="5">
        <f>60 / 86400</f>
        <v>6.9444444444444447E-4</v>
      </c>
      <c r="L292" s="5">
        <f>20 / 86400</f>
        <v>2.3148148148148149E-4</v>
      </c>
    </row>
    <row r="293" spans="1:12" x14ac:dyDescent="0.25">
      <c r="A293" s="3">
        <v>45695.854016203702</v>
      </c>
      <c r="B293" t="s">
        <v>267</v>
      </c>
      <c r="C293" s="3">
        <v>45695.854479166665</v>
      </c>
      <c r="D293" t="s">
        <v>268</v>
      </c>
      <c r="E293" s="4">
        <v>7.2458736896514895E-3</v>
      </c>
      <c r="F293" s="4">
        <v>346682.69864512724</v>
      </c>
      <c r="G293" s="4">
        <v>346682.70589100092</v>
      </c>
      <c r="H293" s="5">
        <f t="shared" si="4"/>
        <v>0</v>
      </c>
      <c r="I293" t="s">
        <v>87</v>
      </c>
      <c r="J293" t="s">
        <v>127</v>
      </c>
      <c r="K293" s="5">
        <f>40 / 86400</f>
        <v>4.6296296296296298E-4</v>
      </c>
      <c r="L293" s="5">
        <f>20 / 86400</f>
        <v>2.3148148148148149E-4</v>
      </c>
    </row>
    <row r="294" spans="1:12" x14ac:dyDescent="0.25">
      <c r="A294" s="3">
        <v>45695.854710648149</v>
      </c>
      <c r="B294" t="s">
        <v>268</v>
      </c>
      <c r="C294" s="3">
        <v>45695.857442129629</v>
      </c>
      <c r="D294" t="s">
        <v>269</v>
      </c>
      <c r="E294" s="4">
        <v>0.68559844493865962</v>
      </c>
      <c r="F294" s="4">
        <v>346682.7378009258</v>
      </c>
      <c r="G294" s="4">
        <v>346683.42339937075</v>
      </c>
      <c r="H294" s="5">
        <f t="shared" si="4"/>
        <v>0</v>
      </c>
      <c r="I294" t="s">
        <v>213</v>
      </c>
      <c r="J294" t="s">
        <v>45</v>
      </c>
      <c r="K294" s="5">
        <f>236 / 86400</f>
        <v>2.7314814814814814E-3</v>
      </c>
      <c r="L294" s="5">
        <f>16 / 86400</f>
        <v>1.8518518518518518E-4</v>
      </c>
    </row>
    <row r="295" spans="1:12" x14ac:dyDescent="0.25">
      <c r="A295" s="3">
        <v>45695.857627314814</v>
      </c>
      <c r="B295" t="s">
        <v>270</v>
      </c>
      <c r="C295" s="3">
        <v>45695.858784722222</v>
      </c>
      <c r="D295" t="s">
        <v>271</v>
      </c>
      <c r="E295" s="4">
        <v>0.19643391448259354</v>
      </c>
      <c r="F295" s="4">
        <v>346683.43026880646</v>
      </c>
      <c r="G295" s="4">
        <v>346683.62670272094</v>
      </c>
      <c r="H295" s="5">
        <f t="shared" si="4"/>
        <v>0</v>
      </c>
      <c r="I295" t="s">
        <v>53</v>
      </c>
      <c r="J295" t="s">
        <v>91</v>
      </c>
      <c r="K295" s="5">
        <f>100 / 86400</f>
        <v>1.1574074074074073E-3</v>
      </c>
      <c r="L295" s="5">
        <f>60 / 86400</f>
        <v>6.9444444444444447E-4</v>
      </c>
    </row>
    <row r="296" spans="1:12" x14ac:dyDescent="0.25">
      <c r="A296" s="3">
        <v>45695.859479166669</v>
      </c>
      <c r="B296" t="s">
        <v>272</v>
      </c>
      <c r="C296" s="3">
        <v>45695.859942129631</v>
      </c>
      <c r="D296" t="s">
        <v>273</v>
      </c>
      <c r="E296" s="4">
        <v>0.19914827138185501</v>
      </c>
      <c r="F296" s="4">
        <v>346683.66362532653</v>
      </c>
      <c r="G296" s="4">
        <v>346683.86277359788</v>
      </c>
      <c r="H296" s="5">
        <f t="shared" si="4"/>
        <v>0</v>
      </c>
      <c r="I296" t="s">
        <v>160</v>
      </c>
      <c r="J296" t="s">
        <v>69</v>
      </c>
      <c r="K296" s="5">
        <f>40 / 86400</f>
        <v>4.6296296296296298E-4</v>
      </c>
      <c r="L296" s="5">
        <f>40 / 86400</f>
        <v>4.6296296296296298E-4</v>
      </c>
    </row>
    <row r="297" spans="1:12" x14ac:dyDescent="0.25">
      <c r="A297" s="3">
        <v>45695.860405092593</v>
      </c>
      <c r="B297" t="s">
        <v>274</v>
      </c>
      <c r="C297" s="3">
        <v>45695.861331018517</v>
      </c>
      <c r="D297" t="s">
        <v>275</v>
      </c>
      <c r="E297" s="4">
        <v>0.33485222184658048</v>
      </c>
      <c r="F297" s="4">
        <v>346683.93195427168</v>
      </c>
      <c r="G297" s="4">
        <v>346684.26680649351</v>
      </c>
      <c r="H297" s="5">
        <f t="shared" si="4"/>
        <v>0</v>
      </c>
      <c r="I297" t="s">
        <v>157</v>
      </c>
      <c r="J297" t="s">
        <v>24</v>
      </c>
      <c r="K297" s="5">
        <f>80 / 86400</f>
        <v>9.2592592592592596E-4</v>
      </c>
      <c r="L297" s="5">
        <f>45 / 86400</f>
        <v>5.2083333333333333E-4</v>
      </c>
    </row>
    <row r="298" spans="1:12" x14ac:dyDescent="0.25">
      <c r="A298" s="3">
        <v>45695.861851851849</v>
      </c>
      <c r="B298" t="s">
        <v>275</v>
      </c>
      <c r="C298" s="3">
        <v>45695.862523148149</v>
      </c>
      <c r="D298" t="s">
        <v>276</v>
      </c>
      <c r="E298" s="4">
        <v>0.44036715310811997</v>
      </c>
      <c r="F298" s="4">
        <v>346684.2748197164</v>
      </c>
      <c r="G298" s="4">
        <v>346684.71518686949</v>
      </c>
      <c r="H298" s="5">
        <f t="shared" si="4"/>
        <v>0</v>
      </c>
      <c r="I298" t="s">
        <v>151</v>
      </c>
      <c r="J298" t="s">
        <v>212</v>
      </c>
      <c r="K298" s="5">
        <f>58 / 86400</f>
        <v>6.7129629629629625E-4</v>
      </c>
      <c r="L298" s="5">
        <f>38 / 86400</f>
        <v>4.3981481481481481E-4</v>
      </c>
    </row>
    <row r="299" spans="1:12" x14ac:dyDescent="0.25">
      <c r="A299" s="3">
        <v>45695.862962962958</v>
      </c>
      <c r="B299" t="s">
        <v>277</v>
      </c>
      <c r="C299" s="3">
        <v>45695.86319444445</v>
      </c>
      <c r="D299" t="s">
        <v>278</v>
      </c>
      <c r="E299" s="4">
        <v>0.10988891142606735</v>
      </c>
      <c r="F299" s="4">
        <v>346684.7614634838</v>
      </c>
      <c r="G299" s="4">
        <v>346684.87135239522</v>
      </c>
      <c r="H299" s="5">
        <f t="shared" si="4"/>
        <v>0</v>
      </c>
      <c r="I299" t="s">
        <v>213</v>
      </c>
      <c r="J299" t="s">
        <v>78</v>
      </c>
      <c r="K299" s="5">
        <f>20 / 86400</f>
        <v>2.3148148148148149E-4</v>
      </c>
      <c r="L299" s="5">
        <f>60 / 86400</f>
        <v>6.9444444444444447E-4</v>
      </c>
    </row>
    <row r="300" spans="1:12" x14ac:dyDescent="0.25">
      <c r="A300" s="3">
        <v>45695.863888888889</v>
      </c>
      <c r="B300" t="s">
        <v>279</v>
      </c>
      <c r="C300" s="3">
        <v>45695.864756944444</v>
      </c>
      <c r="D300" t="s">
        <v>280</v>
      </c>
      <c r="E300" s="4">
        <v>0.10737970191240311</v>
      </c>
      <c r="F300" s="4">
        <v>346684.97114250419</v>
      </c>
      <c r="G300" s="4">
        <v>346685.07852220611</v>
      </c>
      <c r="H300" s="5">
        <f t="shared" si="4"/>
        <v>0</v>
      </c>
      <c r="I300" t="s">
        <v>28</v>
      </c>
      <c r="J300" t="s">
        <v>126</v>
      </c>
      <c r="K300" s="5">
        <f>75 / 86400</f>
        <v>8.6805555555555551E-4</v>
      </c>
      <c r="L300" s="5">
        <f>20 / 86400</f>
        <v>2.3148148148148149E-4</v>
      </c>
    </row>
    <row r="301" spans="1:12" x14ac:dyDescent="0.25">
      <c r="A301" s="3">
        <v>45695.864988425921</v>
      </c>
      <c r="B301" t="s">
        <v>280</v>
      </c>
      <c r="C301" s="3">
        <v>45695.865995370375</v>
      </c>
      <c r="D301" t="s">
        <v>254</v>
      </c>
      <c r="E301" s="4">
        <v>0.3124800567626953</v>
      </c>
      <c r="F301" s="4">
        <v>346685.08126849221</v>
      </c>
      <c r="G301" s="4">
        <v>346685.39374854899</v>
      </c>
      <c r="H301" s="5">
        <f t="shared" si="4"/>
        <v>0</v>
      </c>
      <c r="I301" t="s">
        <v>187</v>
      </c>
      <c r="J301" t="s">
        <v>53</v>
      </c>
      <c r="K301" s="5">
        <f>87 / 86400</f>
        <v>1.0069444444444444E-3</v>
      </c>
      <c r="L301" s="5">
        <f>40 / 86400</f>
        <v>4.6296296296296298E-4</v>
      </c>
    </row>
    <row r="302" spans="1:12" x14ac:dyDescent="0.25">
      <c r="A302" s="3">
        <v>45695.86645833333</v>
      </c>
      <c r="B302" t="s">
        <v>254</v>
      </c>
      <c r="C302" s="3">
        <v>45695.870011574079</v>
      </c>
      <c r="D302" t="s">
        <v>281</v>
      </c>
      <c r="E302" s="4">
        <v>0.72591201609373091</v>
      </c>
      <c r="F302" s="4">
        <v>346685.4007644279</v>
      </c>
      <c r="G302" s="4">
        <v>346686.12667644402</v>
      </c>
      <c r="H302" s="5">
        <f t="shared" si="4"/>
        <v>0</v>
      </c>
      <c r="I302" t="s">
        <v>230</v>
      </c>
      <c r="J302" t="s">
        <v>71</v>
      </c>
      <c r="K302" s="5">
        <f>307 / 86400</f>
        <v>3.5532407407407409E-3</v>
      </c>
      <c r="L302" s="5">
        <f>10 / 86400</f>
        <v>1.1574074074074075E-4</v>
      </c>
    </row>
    <row r="303" spans="1:12" x14ac:dyDescent="0.25">
      <c r="A303" s="3">
        <v>45695.870127314818</v>
      </c>
      <c r="B303" t="s">
        <v>282</v>
      </c>
      <c r="C303" s="3">
        <v>45695.87054398148</v>
      </c>
      <c r="D303" t="s">
        <v>283</v>
      </c>
      <c r="E303" s="4">
        <v>0.24571985864639281</v>
      </c>
      <c r="F303" s="4">
        <v>346686.34322105936</v>
      </c>
      <c r="G303" s="4">
        <v>346686.58894091804</v>
      </c>
      <c r="H303" s="5">
        <f t="shared" si="4"/>
        <v>0</v>
      </c>
      <c r="I303" t="s">
        <v>191</v>
      </c>
      <c r="J303" t="s">
        <v>195</v>
      </c>
      <c r="K303" s="5">
        <f>36 / 86400</f>
        <v>4.1666666666666669E-4</v>
      </c>
      <c r="L303" s="5">
        <f>15 / 86400</f>
        <v>1.7361111111111112E-4</v>
      </c>
    </row>
    <row r="304" spans="1:12" x14ac:dyDescent="0.25">
      <c r="A304" s="3">
        <v>45695.870717592596</v>
      </c>
      <c r="B304" t="s">
        <v>283</v>
      </c>
      <c r="C304" s="3">
        <v>45695.870949074073</v>
      </c>
      <c r="D304" t="s">
        <v>284</v>
      </c>
      <c r="E304" s="4">
        <v>5.9719397664070133E-2</v>
      </c>
      <c r="F304" s="4">
        <v>346686.59476086829</v>
      </c>
      <c r="G304" s="4">
        <v>346686.65448026598</v>
      </c>
      <c r="H304" s="5">
        <f t="shared" si="4"/>
        <v>0</v>
      </c>
      <c r="I304" t="s">
        <v>141</v>
      </c>
      <c r="J304" t="s">
        <v>112</v>
      </c>
      <c r="K304" s="5">
        <f>20 / 86400</f>
        <v>2.3148148148148149E-4</v>
      </c>
      <c r="L304" s="5">
        <f>60 / 86400</f>
        <v>6.9444444444444447E-4</v>
      </c>
    </row>
    <row r="305" spans="1:12" x14ac:dyDescent="0.25">
      <c r="A305" s="3">
        <v>45695.87164351852</v>
      </c>
      <c r="B305" t="s">
        <v>285</v>
      </c>
      <c r="C305" s="3">
        <v>45695.872569444444</v>
      </c>
      <c r="D305" t="s">
        <v>286</v>
      </c>
      <c r="E305" s="4">
        <v>0.41918624871969223</v>
      </c>
      <c r="F305" s="4">
        <v>346686.69447628624</v>
      </c>
      <c r="G305" s="4">
        <v>346687.11366253498</v>
      </c>
      <c r="H305" s="5">
        <f t="shared" si="4"/>
        <v>0</v>
      </c>
      <c r="I305" t="s">
        <v>171</v>
      </c>
      <c r="J305" t="s">
        <v>90</v>
      </c>
      <c r="K305" s="5">
        <f>80 / 86400</f>
        <v>9.2592592592592596E-4</v>
      </c>
      <c r="L305" s="5">
        <f>80 / 86400</f>
        <v>9.2592592592592596E-4</v>
      </c>
    </row>
    <row r="306" spans="1:12" x14ac:dyDescent="0.25">
      <c r="A306" s="3">
        <v>45695.873495370368</v>
      </c>
      <c r="B306" t="s">
        <v>287</v>
      </c>
      <c r="C306" s="3">
        <v>45695.875578703708</v>
      </c>
      <c r="D306" t="s">
        <v>288</v>
      </c>
      <c r="E306" s="4">
        <v>1.2094648241400718</v>
      </c>
      <c r="F306" s="4">
        <v>346687.21143616497</v>
      </c>
      <c r="G306" s="4">
        <v>346688.42090098909</v>
      </c>
      <c r="H306" s="5">
        <f t="shared" si="4"/>
        <v>0</v>
      </c>
      <c r="I306" t="s">
        <v>194</v>
      </c>
      <c r="J306" t="s">
        <v>143</v>
      </c>
      <c r="K306" s="5">
        <f>180 / 86400</f>
        <v>2.0833333333333333E-3</v>
      </c>
      <c r="L306" s="5">
        <f>20 / 86400</f>
        <v>2.3148148148148149E-4</v>
      </c>
    </row>
    <row r="307" spans="1:12" x14ac:dyDescent="0.25">
      <c r="A307" s="3">
        <v>45695.875810185185</v>
      </c>
      <c r="B307" t="s">
        <v>244</v>
      </c>
      <c r="C307" s="3">
        <v>45695.876157407409</v>
      </c>
      <c r="D307" t="s">
        <v>289</v>
      </c>
      <c r="E307" s="4">
        <v>2.8802276313304901E-2</v>
      </c>
      <c r="F307" s="4">
        <v>346688.43742590246</v>
      </c>
      <c r="G307" s="4">
        <v>346688.46622817882</v>
      </c>
      <c r="H307" s="5">
        <f t="shared" si="4"/>
        <v>0</v>
      </c>
      <c r="I307" t="s">
        <v>132</v>
      </c>
      <c r="J307" t="s">
        <v>140</v>
      </c>
      <c r="K307" s="5">
        <f>30 / 86400</f>
        <v>3.4722222222222224E-4</v>
      </c>
      <c r="L307" s="5">
        <f>20 / 86400</f>
        <v>2.3148148148148149E-4</v>
      </c>
    </row>
    <row r="308" spans="1:12" x14ac:dyDescent="0.25">
      <c r="A308" s="3">
        <v>45695.876388888893</v>
      </c>
      <c r="B308" t="s">
        <v>289</v>
      </c>
      <c r="C308" s="3">
        <v>45695.87672453704</v>
      </c>
      <c r="D308" t="s">
        <v>289</v>
      </c>
      <c r="E308" s="4">
        <v>1.7463628649711609E-3</v>
      </c>
      <c r="F308" s="4">
        <v>346688.49921628786</v>
      </c>
      <c r="G308" s="4">
        <v>346688.50096265069</v>
      </c>
      <c r="H308" s="5">
        <f t="shared" si="4"/>
        <v>0</v>
      </c>
      <c r="I308" t="s">
        <v>126</v>
      </c>
      <c r="J308" t="s">
        <v>129</v>
      </c>
      <c r="K308" s="5">
        <f>29 / 86400</f>
        <v>3.3564814814814812E-4</v>
      </c>
      <c r="L308" s="5">
        <f>140 / 86400</f>
        <v>1.6203703703703703E-3</v>
      </c>
    </row>
    <row r="309" spans="1:12" x14ac:dyDescent="0.25">
      <c r="A309" s="3">
        <v>45695.878344907411</v>
      </c>
      <c r="B309" t="s">
        <v>289</v>
      </c>
      <c r="C309" s="3">
        <v>45695.882268518515</v>
      </c>
      <c r="D309" t="s">
        <v>290</v>
      </c>
      <c r="E309" s="4">
        <v>1.9236840333342553</v>
      </c>
      <c r="F309" s="4">
        <v>346688.64581731905</v>
      </c>
      <c r="G309" s="4">
        <v>346690.56950135238</v>
      </c>
      <c r="H309" s="5">
        <f t="shared" si="4"/>
        <v>0</v>
      </c>
      <c r="I309" t="s">
        <v>209</v>
      </c>
      <c r="J309" t="s">
        <v>78</v>
      </c>
      <c r="K309" s="5">
        <f>339 / 86400</f>
        <v>3.9236111111111112E-3</v>
      </c>
      <c r="L309" s="5">
        <f>15 / 86400</f>
        <v>1.7361111111111112E-4</v>
      </c>
    </row>
    <row r="310" spans="1:12" x14ac:dyDescent="0.25">
      <c r="A310" s="3">
        <v>45695.88244212963</v>
      </c>
      <c r="B310" t="s">
        <v>290</v>
      </c>
      <c r="C310" s="3">
        <v>45695.883229166662</v>
      </c>
      <c r="D310" t="s">
        <v>63</v>
      </c>
      <c r="E310" s="4">
        <v>0.55898112523555754</v>
      </c>
      <c r="F310" s="4">
        <v>346690.600111829</v>
      </c>
      <c r="G310" s="4">
        <v>346691.15909295424</v>
      </c>
      <c r="H310" s="5">
        <f t="shared" si="4"/>
        <v>0</v>
      </c>
      <c r="I310" t="s">
        <v>177</v>
      </c>
      <c r="J310" t="s">
        <v>246</v>
      </c>
      <c r="K310" s="5">
        <f>68 / 86400</f>
        <v>7.8703703703703705E-4</v>
      </c>
      <c r="L310" s="5">
        <f>18 / 86400</f>
        <v>2.0833333333333335E-4</v>
      </c>
    </row>
    <row r="311" spans="1:12" x14ac:dyDescent="0.25">
      <c r="A311" s="3">
        <v>45695.883437500001</v>
      </c>
      <c r="B311" t="s">
        <v>63</v>
      </c>
      <c r="C311" s="3">
        <v>45695.887361111112</v>
      </c>
      <c r="D311" t="s">
        <v>291</v>
      </c>
      <c r="E311" s="4">
        <v>2.5847483100295068</v>
      </c>
      <c r="F311" s="4">
        <v>346691.16388310329</v>
      </c>
      <c r="G311" s="4">
        <v>346693.74863141333</v>
      </c>
      <c r="H311" s="5">
        <f t="shared" si="4"/>
        <v>0</v>
      </c>
      <c r="I311" t="s">
        <v>171</v>
      </c>
      <c r="J311" t="s">
        <v>212</v>
      </c>
      <c r="K311" s="5">
        <f>339 / 86400</f>
        <v>3.9236111111111112E-3</v>
      </c>
      <c r="L311" s="5">
        <f>100 / 86400</f>
        <v>1.1574074074074073E-3</v>
      </c>
    </row>
    <row r="312" spans="1:12" x14ac:dyDescent="0.25">
      <c r="A312" s="3">
        <v>45695.888518518521</v>
      </c>
      <c r="B312" t="s">
        <v>292</v>
      </c>
      <c r="C312" s="3">
        <v>45695.889849537038</v>
      </c>
      <c r="D312" t="s">
        <v>293</v>
      </c>
      <c r="E312" s="4">
        <v>0.28386365073919295</v>
      </c>
      <c r="F312" s="4">
        <v>346694.41722734849</v>
      </c>
      <c r="G312" s="4">
        <v>346694.70109099924</v>
      </c>
      <c r="H312" s="5">
        <f t="shared" si="4"/>
        <v>0</v>
      </c>
      <c r="I312" t="s">
        <v>78</v>
      </c>
      <c r="J312" t="s">
        <v>71</v>
      </c>
      <c r="K312" s="5">
        <f>115 / 86400</f>
        <v>1.3310185185185185E-3</v>
      </c>
      <c r="L312" s="5">
        <f>111 / 86400</f>
        <v>1.2847222222222223E-3</v>
      </c>
    </row>
    <row r="313" spans="1:12" x14ac:dyDescent="0.25">
      <c r="A313" s="3">
        <v>45695.891134259262</v>
      </c>
      <c r="B313" t="s">
        <v>293</v>
      </c>
      <c r="C313" s="3">
        <v>45695.892523148148</v>
      </c>
      <c r="D313" t="s">
        <v>294</v>
      </c>
      <c r="E313" s="4">
        <v>0.77990365749597546</v>
      </c>
      <c r="F313" s="4">
        <v>346694.7183665614</v>
      </c>
      <c r="G313" s="4">
        <v>346695.4982702189</v>
      </c>
      <c r="H313" s="5">
        <f t="shared" si="4"/>
        <v>0</v>
      </c>
      <c r="I313" t="s">
        <v>134</v>
      </c>
      <c r="J313" t="s">
        <v>135</v>
      </c>
      <c r="K313" s="5">
        <f>120 / 86400</f>
        <v>1.3888888888888889E-3</v>
      </c>
      <c r="L313" s="5">
        <f>80 / 86400</f>
        <v>9.2592592592592596E-4</v>
      </c>
    </row>
    <row r="314" spans="1:12" x14ac:dyDescent="0.25">
      <c r="A314" s="3">
        <v>45695.893449074079</v>
      </c>
      <c r="B314" t="s">
        <v>294</v>
      </c>
      <c r="C314" s="3">
        <v>45695.893680555557</v>
      </c>
      <c r="D314" t="s">
        <v>294</v>
      </c>
      <c r="E314" s="4">
        <v>2.7676481604576109E-3</v>
      </c>
      <c r="F314" s="4">
        <v>346695.52257113584</v>
      </c>
      <c r="G314" s="4">
        <v>346695.52533878398</v>
      </c>
      <c r="H314" s="5">
        <f t="shared" si="4"/>
        <v>0</v>
      </c>
      <c r="I314" t="s">
        <v>127</v>
      </c>
      <c r="J314" t="s">
        <v>129</v>
      </c>
      <c r="K314" s="5">
        <f>20 / 86400</f>
        <v>2.3148148148148149E-4</v>
      </c>
      <c r="L314" s="5">
        <f>5 / 86400</f>
        <v>5.7870370370370373E-5</v>
      </c>
    </row>
    <row r="315" spans="1:12" x14ac:dyDescent="0.25">
      <c r="A315" s="3">
        <v>45695.893738425926</v>
      </c>
      <c r="B315" t="s">
        <v>294</v>
      </c>
      <c r="C315" s="3">
        <v>45695.893969907411</v>
      </c>
      <c r="D315" t="s">
        <v>294</v>
      </c>
      <c r="E315" s="4">
        <v>3.3630381226539613E-3</v>
      </c>
      <c r="F315" s="4">
        <v>346695.52864857175</v>
      </c>
      <c r="G315" s="4">
        <v>346695.53201160987</v>
      </c>
      <c r="H315" s="5">
        <f t="shared" si="4"/>
        <v>0</v>
      </c>
      <c r="I315" t="s">
        <v>126</v>
      </c>
      <c r="J315" t="s">
        <v>127</v>
      </c>
      <c r="K315" s="5">
        <f>20 / 86400</f>
        <v>2.3148148148148149E-4</v>
      </c>
      <c r="L315" s="5">
        <f>80 / 86400</f>
        <v>9.2592592592592596E-4</v>
      </c>
    </row>
    <row r="316" spans="1:12" x14ac:dyDescent="0.25">
      <c r="A316" s="3">
        <v>45695.894895833335</v>
      </c>
      <c r="B316" t="s">
        <v>295</v>
      </c>
      <c r="C316" s="3">
        <v>45695.896886574075</v>
      </c>
      <c r="D316" t="s">
        <v>222</v>
      </c>
      <c r="E316" s="4">
        <v>1.068895665705204</v>
      </c>
      <c r="F316" s="4">
        <v>346695.54651224351</v>
      </c>
      <c r="G316" s="4">
        <v>346696.61540790921</v>
      </c>
      <c r="H316" s="5">
        <f t="shared" si="4"/>
        <v>0</v>
      </c>
      <c r="I316" t="s">
        <v>201</v>
      </c>
      <c r="J316" t="s">
        <v>187</v>
      </c>
      <c r="K316" s="5">
        <f>172 / 86400</f>
        <v>1.9907407407407408E-3</v>
      </c>
      <c r="L316" s="5">
        <f>20 / 86400</f>
        <v>2.3148148148148149E-4</v>
      </c>
    </row>
    <row r="317" spans="1:12" x14ac:dyDescent="0.25">
      <c r="A317" s="3">
        <v>45695.897118055553</v>
      </c>
      <c r="B317" t="s">
        <v>222</v>
      </c>
      <c r="C317" s="3">
        <v>45695.898194444446</v>
      </c>
      <c r="D317" t="s">
        <v>222</v>
      </c>
      <c r="E317" s="4">
        <v>0.43097585409879685</v>
      </c>
      <c r="F317" s="4">
        <v>346696.63123326009</v>
      </c>
      <c r="G317" s="4">
        <v>346697.0622091142</v>
      </c>
      <c r="H317" s="5">
        <f t="shared" si="4"/>
        <v>0</v>
      </c>
      <c r="I317" t="s">
        <v>213</v>
      </c>
      <c r="J317" t="s">
        <v>28</v>
      </c>
      <c r="K317" s="5">
        <f>93 / 86400</f>
        <v>1.0763888888888889E-3</v>
      </c>
      <c r="L317" s="5">
        <f>46 / 86400</f>
        <v>5.3240740740740744E-4</v>
      </c>
    </row>
    <row r="318" spans="1:12" x14ac:dyDescent="0.25">
      <c r="A318" s="3">
        <v>45695.898726851854</v>
      </c>
      <c r="B318" t="s">
        <v>222</v>
      </c>
      <c r="C318" s="3">
        <v>45695.902592592596</v>
      </c>
      <c r="D318" t="s">
        <v>296</v>
      </c>
      <c r="E318" s="4">
        <v>2.2442766093611719</v>
      </c>
      <c r="F318" s="4">
        <v>346697.08595487737</v>
      </c>
      <c r="G318" s="4">
        <v>346699.33023148676</v>
      </c>
      <c r="H318" s="5">
        <f t="shared" ref="H318:H349" si="5">0 / 86400</f>
        <v>0</v>
      </c>
      <c r="I318" t="s">
        <v>86</v>
      </c>
      <c r="J318" t="s">
        <v>143</v>
      </c>
      <c r="K318" s="5">
        <f>334 / 86400</f>
        <v>3.8657407407407408E-3</v>
      </c>
      <c r="L318" s="5">
        <f>20 / 86400</f>
        <v>2.3148148148148149E-4</v>
      </c>
    </row>
    <row r="319" spans="1:12" x14ac:dyDescent="0.25">
      <c r="A319" s="3">
        <v>45695.902824074074</v>
      </c>
      <c r="B319" t="s">
        <v>219</v>
      </c>
      <c r="C319" s="3">
        <v>45695.903055555551</v>
      </c>
      <c r="D319" t="s">
        <v>219</v>
      </c>
      <c r="E319" s="4">
        <v>0.14521849364042283</v>
      </c>
      <c r="F319" s="4">
        <v>346699.4288448054</v>
      </c>
      <c r="G319" s="4">
        <v>346699.57406329905</v>
      </c>
      <c r="H319" s="5">
        <f t="shared" si="5"/>
        <v>0</v>
      </c>
      <c r="I319" t="s">
        <v>209</v>
      </c>
      <c r="J319" t="s">
        <v>160</v>
      </c>
      <c r="K319" s="5">
        <f>20 / 86400</f>
        <v>2.3148148148148149E-4</v>
      </c>
      <c r="L319" s="5">
        <f>60 / 86400</f>
        <v>6.9444444444444447E-4</v>
      </c>
    </row>
    <row r="320" spans="1:12" x14ac:dyDescent="0.25">
      <c r="A320" s="3">
        <v>45695.903749999998</v>
      </c>
      <c r="B320" t="s">
        <v>296</v>
      </c>
      <c r="C320" s="3">
        <v>45695.904675925922</v>
      </c>
      <c r="D320" t="s">
        <v>296</v>
      </c>
      <c r="E320" s="4">
        <v>0.69838750815391537</v>
      </c>
      <c r="F320" s="4">
        <v>346699.63691049052</v>
      </c>
      <c r="G320" s="4">
        <v>346700.33529799868</v>
      </c>
      <c r="H320" s="5">
        <f t="shared" si="5"/>
        <v>0</v>
      </c>
      <c r="I320" t="s">
        <v>174</v>
      </c>
      <c r="J320" t="s">
        <v>213</v>
      </c>
      <c r="K320" s="5">
        <f>80 / 86400</f>
        <v>9.2592592592592596E-4</v>
      </c>
      <c r="L320" s="5">
        <f>20 / 86400</f>
        <v>2.3148148148148149E-4</v>
      </c>
    </row>
    <row r="321" spans="1:12" x14ac:dyDescent="0.25">
      <c r="A321" s="3">
        <v>45695.904907407406</v>
      </c>
      <c r="B321" t="s">
        <v>115</v>
      </c>
      <c r="C321" s="3">
        <v>45695.905833333338</v>
      </c>
      <c r="D321" t="s">
        <v>115</v>
      </c>
      <c r="E321" s="4">
        <v>0.37283796036243438</v>
      </c>
      <c r="F321" s="4">
        <v>346700.43948543206</v>
      </c>
      <c r="G321" s="4">
        <v>346700.81232339237</v>
      </c>
      <c r="H321" s="5">
        <f t="shared" si="5"/>
        <v>0</v>
      </c>
      <c r="I321" t="s">
        <v>192</v>
      </c>
      <c r="J321" t="s">
        <v>28</v>
      </c>
      <c r="K321" s="5">
        <f>80 / 86400</f>
        <v>9.2592592592592596E-4</v>
      </c>
      <c r="L321" s="5">
        <f>40 / 86400</f>
        <v>4.6296296296296298E-4</v>
      </c>
    </row>
    <row r="322" spans="1:12" x14ac:dyDescent="0.25">
      <c r="A322" s="3">
        <v>45695.906296296293</v>
      </c>
      <c r="B322" t="s">
        <v>115</v>
      </c>
      <c r="C322" s="3">
        <v>45695.910381944443</v>
      </c>
      <c r="D322" t="s">
        <v>297</v>
      </c>
      <c r="E322" s="4">
        <v>1.6031317448616027</v>
      </c>
      <c r="F322" s="4">
        <v>346700.86584778421</v>
      </c>
      <c r="G322" s="4">
        <v>346702.46897952911</v>
      </c>
      <c r="H322" s="5">
        <f t="shared" si="5"/>
        <v>0</v>
      </c>
      <c r="I322" t="s">
        <v>174</v>
      </c>
      <c r="J322" t="s">
        <v>20</v>
      </c>
      <c r="K322" s="5">
        <f>353 / 86400</f>
        <v>4.0856481481481481E-3</v>
      </c>
      <c r="L322" s="5">
        <f>40 / 86400</f>
        <v>4.6296296296296298E-4</v>
      </c>
    </row>
    <row r="323" spans="1:12" x14ac:dyDescent="0.25">
      <c r="A323" s="3">
        <v>45695.910844907412</v>
      </c>
      <c r="B323" t="s">
        <v>133</v>
      </c>
      <c r="C323" s="3">
        <v>45695.914456018523</v>
      </c>
      <c r="D323" t="s">
        <v>298</v>
      </c>
      <c r="E323" s="4">
        <v>1.2705977650284768</v>
      </c>
      <c r="F323" s="4">
        <v>346702.51862891536</v>
      </c>
      <c r="G323" s="4">
        <v>346703.78922668041</v>
      </c>
      <c r="H323" s="5">
        <f t="shared" si="5"/>
        <v>0</v>
      </c>
      <c r="I323" t="s">
        <v>151</v>
      </c>
      <c r="J323" t="s">
        <v>24</v>
      </c>
      <c r="K323" s="5">
        <f>312 / 86400</f>
        <v>3.6111111111111109E-3</v>
      </c>
      <c r="L323" s="5">
        <f>18 / 86400</f>
        <v>2.0833333333333335E-4</v>
      </c>
    </row>
    <row r="324" spans="1:12" x14ac:dyDescent="0.25">
      <c r="A324" s="3">
        <v>45695.914664351847</v>
      </c>
      <c r="B324" t="s">
        <v>133</v>
      </c>
      <c r="C324" s="3">
        <v>45695.916516203702</v>
      </c>
      <c r="D324" t="s">
        <v>299</v>
      </c>
      <c r="E324" s="4">
        <v>0.78391280752420422</v>
      </c>
      <c r="F324" s="4">
        <v>346703.79347143276</v>
      </c>
      <c r="G324" s="4">
        <v>346704.57738424029</v>
      </c>
      <c r="H324" s="5">
        <f t="shared" si="5"/>
        <v>0</v>
      </c>
      <c r="I324" t="s">
        <v>300</v>
      </c>
      <c r="J324" t="s">
        <v>69</v>
      </c>
      <c r="K324" s="5">
        <f>160 / 86400</f>
        <v>1.8518518518518519E-3</v>
      </c>
      <c r="L324" s="5">
        <f>6 / 86400</f>
        <v>6.9444444444444444E-5</v>
      </c>
    </row>
    <row r="325" spans="1:12" x14ac:dyDescent="0.25">
      <c r="A325" s="3">
        <v>45695.916585648149</v>
      </c>
      <c r="B325" t="s">
        <v>299</v>
      </c>
      <c r="C325" s="3">
        <v>45695.917280092588</v>
      </c>
      <c r="D325" t="s">
        <v>166</v>
      </c>
      <c r="E325" s="4">
        <v>0.43153333634138108</v>
      </c>
      <c r="F325" s="4">
        <v>346704.57894473197</v>
      </c>
      <c r="G325" s="4">
        <v>346705.01047806832</v>
      </c>
      <c r="H325" s="5">
        <f t="shared" si="5"/>
        <v>0</v>
      </c>
      <c r="I325" t="s">
        <v>194</v>
      </c>
      <c r="J325" t="s">
        <v>160</v>
      </c>
      <c r="K325" s="5">
        <f>60 / 86400</f>
        <v>6.9444444444444447E-4</v>
      </c>
      <c r="L325" s="5">
        <f>7 / 86400</f>
        <v>8.1018518518518516E-5</v>
      </c>
    </row>
    <row r="326" spans="1:12" x14ac:dyDescent="0.25">
      <c r="A326" s="3">
        <v>45695.917361111111</v>
      </c>
      <c r="B326" t="s">
        <v>166</v>
      </c>
      <c r="C326" s="3">
        <v>45695.91805555555</v>
      </c>
      <c r="D326" t="s">
        <v>166</v>
      </c>
      <c r="E326" s="4">
        <v>0.22239786595106126</v>
      </c>
      <c r="F326" s="4">
        <v>346705.01406092342</v>
      </c>
      <c r="G326" s="4">
        <v>346705.23645878932</v>
      </c>
      <c r="H326" s="5">
        <f t="shared" si="5"/>
        <v>0</v>
      </c>
      <c r="I326" t="s">
        <v>90</v>
      </c>
      <c r="J326" t="s">
        <v>53</v>
      </c>
      <c r="K326" s="5">
        <f>60 / 86400</f>
        <v>6.9444444444444447E-4</v>
      </c>
      <c r="L326" s="5">
        <f>20 / 86400</f>
        <v>2.3148148148148149E-4</v>
      </c>
    </row>
    <row r="327" spans="1:12" x14ac:dyDescent="0.25">
      <c r="A327" s="3">
        <v>45695.918287037042</v>
      </c>
      <c r="B327" t="s">
        <v>166</v>
      </c>
      <c r="C327" s="3">
        <v>45695.918981481482</v>
      </c>
      <c r="D327" t="s">
        <v>156</v>
      </c>
      <c r="E327" s="4">
        <v>0.57879422140121461</v>
      </c>
      <c r="F327" s="4">
        <v>346705.31331506674</v>
      </c>
      <c r="G327" s="4">
        <v>346705.89210928814</v>
      </c>
      <c r="H327" s="5">
        <f t="shared" si="5"/>
        <v>0</v>
      </c>
      <c r="I327" t="s">
        <v>194</v>
      </c>
      <c r="J327" t="s">
        <v>157</v>
      </c>
      <c r="K327" s="5">
        <f>60 / 86400</f>
        <v>6.9444444444444447E-4</v>
      </c>
      <c r="L327" s="5">
        <f>2 / 86400</f>
        <v>2.3148148148148147E-5</v>
      </c>
    </row>
    <row r="328" spans="1:12" x14ac:dyDescent="0.25">
      <c r="A328" s="3">
        <v>45695.919004629628</v>
      </c>
      <c r="B328" t="s">
        <v>156</v>
      </c>
      <c r="C328" s="3">
        <v>45695.919699074075</v>
      </c>
      <c r="D328" t="s">
        <v>156</v>
      </c>
      <c r="E328" s="4">
        <v>0.50103746175765995</v>
      </c>
      <c r="F328" s="4">
        <v>346705.89570233447</v>
      </c>
      <c r="G328" s="4">
        <v>346706.39673979621</v>
      </c>
      <c r="H328" s="5">
        <f t="shared" si="5"/>
        <v>0</v>
      </c>
      <c r="I328" t="s">
        <v>171</v>
      </c>
      <c r="J328" t="s">
        <v>246</v>
      </c>
      <c r="K328" s="5">
        <f>60 / 86400</f>
        <v>6.9444444444444447E-4</v>
      </c>
      <c r="L328" s="5">
        <f>20 / 86400</f>
        <v>2.3148148148148149E-4</v>
      </c>
    </row>
    <row r="329" spans="1:12" x14ac:dyDescent="0.25">
      <c r="A329" s="3">
        <v>45695.919930555552</v>
      </c>
      <c r="B329" t="s">
        <v>156</v>
      </c>
      <c r="C329" s="3">
        <v>45695.921087962968</v>
      </c>
      <c r="D329" t="s">
        <v>156</v>
      </c>
      <c r="E329" s="4">
        <v>0.14582166767120361</v>
      </c>
      <c r="F329" s="4">
        <v>346706.4127836827</v>
      </c>
      <c r="G329" s="4">
        <v>346706.55860535038</v>
      </c>
      <c r="H329" s="5">
        <f t="shared" si="5"/>
        <v>0</v>
      </c>
      <c r="I329" t="s">
        <v>71</v>
      </c>
      <c r="J329" t="s">
        <v>126</v>
      </c>
      <c r="K329" s="5">
        <f>100 / 86400</f>
        <v>1.1574074074074073E-3</v>
      </c>
      <c r="L329" s="5">
        <f>20 / 86400</f>
        <v>2.3148148148148149E-4</v>
      </c>
    </row>
    <row r="330" spans="1:12" x14ac:dyDescent="0.25">
      <c r="A330" s="3">
        <v>45695.921319444446</v>
      </c>
      <c r="B330" t="s">
        <v>156</v>
      </c>
      <c r="C330" s="3">
        <v>45695.9222337963</v>
      </c>
      <c r="D330" t="s">
        <v>301</v>
      </c>
      <c r="E330" s="4">
        <v>0.21436953139305115</v>
      </c>
      <c r="F330" s="4">
        <v>346706.60210332024</v>
      </c>
      <c r="G330" s="4">
        <v>346706.81647285161</v>
      </c>
      <c r="H330" s="5">
        <f t="shared" si="5"/>
        <v>0</v>
      </c>
      <c r="I330" t="s">
        <v>20</v>
      </c>
      <c r="J330" t="s">
        <v>45</v>
      </c>
      <c r="K330" s="5">
        <f>79 / 86400</f>
        <v>9.1435185185185185E-4</v>
      </c>
      <c r="L330" s="5">
        <f>40 / 86400</f>
        <v>4.6296296296296298E-4</v>
      </c>
    </row>
    <row r="331" spans="1:12" x14ac:dyDescent="0.25">
      <c r="A331" s="3">
        <v>45695.922696759255</v>
      </c>
      <c r="B331" t="s">
        <v>301</v>
      </c>
      <c r="C331" s="3">
        <v>45695.923761574071</v>
      </c>
      <c r="D331" t="s">
        <v>156</v>
      </c>
      <c r="E331" s="4">
        <v>0.1125796355009079</v>
      </c>
      <c r="F331" s="4">
        <v>346706.8365022642</v>
      </c>
      <c r="G331" s="4">
        <v>346706.94908189971</v>
      </c>
      <c r="H331" s="5">
        <f t="shared" si="5"/>
        <v>0</v>
      </c>
      <c r="I331" t="s">
        <v>126</v>
      </c>
      <c r="J331" t="s">
        <v>82</v>
      </c>
      <c r="K331" s="5">
        <f>92 / 86400</f>
        <v>1.0648148148148149E-3</v>
      </c>
      <c r="L331" s="5">
        <f>45 / 86400</f>
        <v>5.2083333333333333E-4</v>
      </c>
    </row>
    <row r="332" spans="1:12" x14ac:dyDescent="0.25">
      <c r="A332" s="3">
        <v>45695.924282407403</v>
      </c>
      <c r="B332" t="s">
        <v>156</v>
      </c>
      <c r="C332" s="3">
        <v>45695.925300925926</v>
      </c>
      <c r="D332" t="s">
        <v>156</v>
      </c>
      <c r="E332" s="4">
        <v>0.11385912472009659</v>
      </c>
      <c r="F332" s="4">
        <v>346706.96131848451</v>
      </c>
      <c r="G332" s="4">
        <v>346707.07517760922</v>
      </c>
      <c r="H332" s="5">
        <f t="shared" si="5"/>
        <v>0</v>
      </c>
      <c r="I332" t="s">
        <v>91</v>
      </c>
      <c r="J332" t="s">
        <v>126</v>
      </c>
      <c r="K332" s="5">
        <f>88 / 86400</f>
        <v>1.0185185185185184E-3</v>
      </c>
      <c r="L332" s="5">
        <f>60 / 86400</f>
        <v>6.9444444444444447E-4</v>
      </c>
    </row>
    <row r="333" spans="1:12" x14ac:dyDescent="0.25">
      <c r="A333" s="3">
        <v>45695.925995370373</v>
      </c>
      <c r="B333" t="s">
        <v>156</v>
      </c>
      <c r="C333" s="3">
        <v>45695.926226851851</v>
      </c>
      <c r="D333" t="s">
        <v>156</v>
      </c>
      <c r="E333" s="4">
        <v>1.7080629348754883E-2</v>
      </c>
      <c r="F333" s="4">
        <v>346707.10044777446</v>
      </c>
      <c r="G333" s="4">
        <v>346707.11752840382</v>
      </c>
      <c r="H333" s="5">
        <f t="shared" si="5"/>
        <v>0</v>
      </c>
      <c r="I333" t="s">
        <v>112</v>
      </c>
      <c r="J333" t="s">
        <v>140</v>
      </c>
      <c r="K333" s="5">
        <f>20 / 86400</f>
        <v>2.3148148148148149E-4</v>
      </c>
      <c r="L333" s="5">
        <f>40 / 86400</f>
        <v>4.6296296296296298E-4</v>
      </c>
    </row>
    <row r="334" spans="1:12" x14ac:dyDescent="0.25">
      <c r="A334" s="3">
        <v>45695.92668981482</v>
      </c>
      <c r="B334" t="s">
        <v>156</v>
      </c>
      <c r="C334" s="3">
        <v>45695.926921296297</v>
      </c>
      <c r="D334" t="s">
        <v>156</v>
      </c>
      <c r="E334" s="4">
        <v>2.2057871818542481E-3</v>
      </c>
      <c r="F334" s="4">
        <v>346707.1222133761</v>
      </c>
      <c r="G334" s="4">
        <v>346707.12441916327</v>
      </c>
      <c r="H334" s="5">
        <f t="shared" si="5"/>
        <v>0</v>
      </c>
      <c r="I334" t="s">
        <v>87</v>
      </c>
      <c r="J334" t="s">
        <v>129</v>
      </c>
      <c r="K334" s="5">
        <f>20 / 86400</f>
        <v>2.3148148148148149E-4</v>
      </c>
      <c r="L334" s="5">
        <f>40 / 86400</f>
        <v>4.6296296296296298E-4</v>
      </c>
    </row>
    <row r="335" spans="1:12" x14ac:dyDescent="0.25">
      <c r="A335" s="3">
        <v>45695.927384259259</v>
      </c>
      <c r="B335" t="s">
        <v>214</v>
      </c>
      <c r="C335" s="3">
        <v>45695.93178240741</v>
      </c>
      <c r="D335" t="s">
        <v>156</v>
      </c>
      <c r="E335" s="4">
        <v>3.5031335743665695</v>
      </c>
      <c r="F335" s="4">
        <v>346707.14266165957</v>
      </c>
      <c r="G335" s="4">
        <v>346710.64579523396</v>
      </c>
      <c r="H335" s="5">
        <f t="shared" si="5"/>
        <v>0</v>
      </c>
      <c r="I335" t="s">
        <v>159</v>
      </c>
      <c r="J335" t="s">
        <v>209</v>
      </c>
      <c r="K335" s="5">
        <f>380 / 86400</f>
        <v>4.3981481481481484E-3</v>
      </c>
      <c r="L335" s="5">
        <f>20 / 86400</f>
        <v>2.3148148148148149E-4</v>
      </c>
    </row>
    <row r="336" spans="1:12" x14ac:dyDescent="0.25">
      <c r="A336" s="3">
        <v>45695.932013888887</v>
      </c>
      <c r="B336" t="s">
        <v>156</v>
      </c>
      <c r="C336" s="3">
        <v>45695.933634259258</v>
      </c>
      <c r="D336" t="s">
        <v>122</v>
      </c>
      <c r="E336" s="4">
        <v>0.91157265508174901</v>
      </c>
      <c r="F336" s="4">
        <v>346710.69910603162</v>
      </c>
      <c r="G336" s="4">
        <v>346711.6106786867</v>
      </c>
      <c r="H336" s="5">
        <f t="shared" si="5"/>
        <v>0</v>
      </c>
      <c r="I336" t="s">
        <v>174</v>
      </c>
      <c r="J336" t="s">
        <v>135</v>
      </c>
      <c r="K336" s="5">
        <f>140 / 86400</f>
        <v>1.6203703703703703E-3</v>
      </c>
      <c r="L336" s="5">
        <f>20 / 86400</f>
        <v>2.3148148148148149E-4</v>
      </c>
    </row>
    <row r="337" spans="1:12" x14ac:dyDescent="0.25">
      <c r="A337" s="3">
        <v>45695.933865740742</v>
      </c>
      <c r="B337" t="s">
        <v>189</v>
      </c>
      <c r="C337" s="3">
        <v>45695.935046296298</v>
      </c>
      <c r="D337" t="s">
        <v>88</v>
      </c>
      <c r="E337" s="4">
        <v>0.81899397879838942</v>
      </c>
      <c r="F337" s="4">
        <v>346711.62127090321</v>
      </c>
      <c r="G337" s="4">
        <v>346712.44026488205</v>
      </c>
      <c r="H337" s="5">
        <f t="shared" si="5"/>
        <v>0</v>
      </c>
      <c r="I337" t="s">
        <v>180</v>
      </c>
      <c r="J337" t="s">
        <v>139</v>
      </c>
      <c r="K337" s="5">
        <f>102 / 86400</f>
        <v>1.1805555555555556E-3</v>
      </c>
      <c r="L337" s="5">
        <f>10 / 86400</f>
        <v>1.1574074074074075E-4</v>
      </c>
    </row>
    <row r="338" spans="1:12" x14ac:dyDescent="0.25">
      <c r="A338" s="3">
        <v>45695.935162037036</v>
      </c>
      <c r="B338" t="s">
        <v>88</v>
      </c>
      <c r="C338" s="3">
        <v>45695.936909722222</v>
      </c>
      <c r="D338" t="s">
        <v>302</v>
      </c>
      <c r="E338" s="4">
        <v>0.6792720194458961</v>
      </c>
      <c r="F338" s="4">
        <v>346712.44486615213</v>
      </c>
      <c r="G338" s="4">
        <v>346713.12413817155</v>
      </c>
      <c r="H338" s="5">
        <f t="shared" si="5"/>
        <v>0</v>
      </c>
      <c r="I338" t="s">
        <v>187</v>
      </c>
      <c r="J338" t="s">
        <v>20</v>
      </c>
      <c r="K338" s="5">
        <f>151 / 86400</f>
        <v>1.7476851851851852E-3</v>
      </c>
      <c r="L338" s="5">
        <f>3 / 86400</f>
        <v>3.4722222222222222E-5</v>
      </c>
    </row>
    <row r="339" spans="1:12" x14ac:dyDescent="0.25">
      <c r="A339" s="3">
        <v>45695.936944444446</v>
      </c>
      <c r="B339" t="s">
        <v>302</v>
      </c>
      <c r="C339" s="3">
        <v>45695.939270833333</v>
      </c>
      <c r="D339" t="s">
        <v>303</v>
      </c>
      <c r="E339" s="4">
        <v>1.7659774989485741</v>
      </c>
      <c r="F339" s="4">
        <v>346713.12863722449</v>
      </c>
      <c r="G339" s="4">
        <v>346714.89461472345</v>
      </c>
      <c r="H339" s="5">
        <f t="shared" si="5"/>
        <v>0</v>
      </c>
      <c r="I339" t="s">
        <v>171</v>
      </c>
      <c r="J339" t="s">
        <v>137</v>
      </c>
      <c r="K339" s="5">
        <f>201 / 86400</f>
        <v>2.3263888888888887E-3</v>
      </c>
      <c r="L339" s="5">
        <f>3 / 86400</f>
        <v>3.4722222222222222E-5</v>
      </c>
    </row>
    <row r="340" spans="1:12" x14ac:dyDescent="0.25">
      <c r="A340" s="3">
        <v>45695.939305555556</v>
      </c>
      <c r="B340" t="s">
        <v>303</v>
      </c>
      <c r="C340" s="3">
        <v>45695.94</v>
      </c>
      <c r="D340" t="s">
        <v>183</v>
      </c>
      <c r="E340" s="4">
        <v>0.4124872771501541</v>
      </c>
      <c r="F340" s="4">
        <v>346714.89690366224</v>
      </c>
      <c r="G340" s="4">
        <v>346715.30939093942</v>
      </c>
      <c r="H340" s="5">
        <f t="shared" si="5"/>
        <v>0</v>
      </c>
      <c r="I340" t="s">
        <v>304</v>
      </c>
      <c r="J340" t="s">
        <v>195</v>
      </c>
      <c r="K340" s="5">
        <f>60 / 86400</f>
        <v>6.9444444444444447E-4</v>
      </c>
      <c r="L340" s="5">
        <f>20 / 86400</f>
        <v>2.3148148148148149E-4</v>
      </c>
    </row>
    <row r="341" spans="1:12" x14ac:dyDescent="0.25">
      <c r="A341" s="3">
        <v>45695.94023148148</v>
      </c>
      <c r="B341" t="s">
        <v>183</v>
      </c>
      <c r="C341" s="3">
        <v>45695.941851851851</v>
      </c>
      <c r="D341" t="s">
        <v>173</v>
      </c>
      <c r="E341" s="4">
        <v>1.3529860932826996</v>
      </c>
      <c r="F341" s="4">
        <v>346715.31756111624</v>
      </c>
      <c r="G341" s="4">
        <v>346716.67054720951</v>
      </c>
      <c r="H341" s="5">
        <f t="shared" si="5"/>
        <v>0</v>
      </c>
      <c r="I341" t="s">
        <v>131</v>
      </c>
      <c r="J341" t="s">
        <v>157</v>
      </c>
      <c r="K341" s="5">
        <f>140 / 86400</f>
        <v>1.6203703703703703E-3</v>
      </c>
      <c r="L341" s="5">
        <f>20 / 86400</f>
        <v>2.3148148148148149E-4</v>
      </c>
    </row>
    <row r="342" spans="1:12" x14ac:dyDescent="0.25">
      <c r="A342" s="3">
        <v>45695.942083333328</v>
      </c>
      <c r="B342" t="s">
        <v>173</v>
      </c>
      <c r="C342" s="3">
        <v>45695.943935185191</v>
      </c>
      <c r="D342" t="s">
        <v>181</v>
      </c>
      <c r="E342" s="4">
        <v>1.7614937550425529</v>
      </c>
      <c r="F342" s="4">
        <v>346716.73156730755</v>
      </c>
      <c r="G342" s="4">
        <v>346718.49306106259</v>
      </c>
      <c r="H342" s="5">
        <f t="shared" si="5"/>
        <v>0</v>
      </c>
      <c r="I342" t="s">
        <v>44</v>
      </c>
      <c r="J342" t="s">
        <v>151</v>
      </c>
      <c r="K342" s="5">
        <f>160 / 86400</f>
        <v>1.8518518518518519E-3</v>
      </c>
      <c r="L342" s="5">
        <f>20 / 86400</f>
        <v>2.3148148148148149E-4</v>
      </c>
    </row>
    <row r="343" spans="1:12" x14ac:dyDescent="0.25">
      <c r="A343" s="3">
        <v>45695.944166666668</v>
      </c>
      <c r="B343" t="s">
        <v>173</v>
      </c>
      <c r="C343" s="3">
        <v>45695.948796296296</v>
      </c>
      <c r="D343" t="s">
        <v>305</v>
      </c>
      <c r="E343" s="4">
        <v>3.8140915828347208</v>
      </c>
      <c r="F343" s="4">
        <v>346718.64816972887</v>
      </c>
      <c r="G343" s="4">
        <v>346722.46226131171</v>
      </c>
      <c r="H343" s="5">
        <f t="shared" si="5"/>
        <v>0</v>
      </c>
      <c r="I343" t="s">
        <v>177</v>
      </c>
      <c r="J343" t="s">
        <v>304</v>
      </c>
      <c r="K343" s="5">
        <f>400 / 86400</f>
        <v>4.6296296296296294E-3</v>
      </c>
      <c r="L343" s="5">
        <f>40 / 86400</f>
        <v>4.6296296296296298E-4</v>
      </c>
    </row>
    <row r="344" spans="1:12" x14ac:dyDescent="0.25">
      <c r="A344" s="3">
        <v>45695.949259259258</v>
      </c>
      <c r="B344" t="s">
        <v>305</v>
      </c>
      <c r="C344" s="3">
        <v>45695.950868055559</v>
      </c>
      <c r="D344" t="s">
        <v>197</v>
      </c>
      <c r="E344" s="4">
        <v>0.56556811821460728</v>
      </c>
      <c r="F344" s="4">
        <v>346722.47766151989</v>
      </c>
      <c r="G344" s="4">
        <v>346723.04322963807</v>
      </c>
      <c r="H344" s="5">
        <f t="shared" si="5"/>
        <v>0</v>
      </c>
      <c r="I344" t="s">
        <v>160</v>
      </c>
      <c r="J344" t="s">
        <v>24</v>
      </c>
      <c r="K344" s="5">
        <f>139 / 86400</f>
        <v>1.6087962962962963E-3</v>
      </c>
      <c r="L344" s="5">
        <f>40 / 86400</f>
        <v>4.6296296296296298E-4</v>
      </c>
    </row>
    <row r="345" spans="1:12" x14ac:dyDescent="0.25">
      <c r="A345" s="3">
        <v>45695.951331018514</v>
      </c>
      <c r="B345" t="s">
        <v>197</v>
      </c>
      <c r="C345" s="3">
        <v>45695.95248842593</v>
      </c>
      <c r="D345" t="s">
        <v>179</v>
      </c>
      <c r="E345" s="4">
        <v>0.68242384833097458</v>
      </c>
      <c r="F345" s="4">
        <v>346723.13883862412</v>
      </c>
      <c r="G345" s="4">
        <v>346723.82126247243</v>
      </c>
      <c r="H345" s="5">
        <f t="shared" si="5"/>
        <v>0</v>
      </c>
      <c r="I345" t="s">
        <v>209</v>
      </c>
      <c r="J345" t="s">
        <v>195</v>
      </c>
      <c r="K345" s="5">
        <f>100 / 86400</f>
        <v>1.1574074074074073E-3</v>
      </c>
      <c r="L345" s="5">
        <f>20 / 86400</f>
        <v>2.3148148148148149E-4</v>
      </c>
    </row>
    <row r="346" spans="1:12" x14ac:dyDescent="0.25">
      <c r="A346" s="3">
        <v>45695.952719907407</v>
      </c>
      <c r="B346" t="s">
        <v>179</v>
      </c>
      <c r="C346" s="3">
        <v>45695.953645833331</v>
      </c>
      <c r="D346" t="s">
        <v>179</v>
      </c>
      <c r="E346" s="4">
        <v>0.4107699315547943</v>
      </c>
      <c r="F346" s="4">
        <v>346724.0005679708</v>
      </c>
      <c r="G346" s="4">
        <v>346724.41133790236</v>
      </c>
      <c r="H346" s="5">
        <f t="shared" si="5"/>
        <v>0</v>
      </c>
      <c r="I346" t="s">
        <v>151</v>
      </c>
      <c r="J346" t="s">
        <v>69</v>
      </c>
      <c r="K346" s="5">
        <f>80 / 86400</f>
        <v>9.2592592592592596E-4</v>
      </c>
      <c r="L346" s="5">
        <f>100 / 86400</f>
        <v>1.1574074074074073E-3</v>
      </c>
    </row>
    <row r="347" spans="1:12" x14ac:dyDescent="0.25">
      <c r="A347" s="3">
        <v>45695.95480324074</v>
      </c>
      <c r="B347" t="s">
        <v>179</v>
      </c>
      <c r="C347" s="3">
        <v>45695.955034722225</v>
      </c>
      <c r="D347" t="s">
        <v>179</v>
      </c>
      <c r="E347" s="4">
        <v>2.1147965550422667E-2</v>
      </c>
      <c r="F347" s="4">
        <v>346724.43861210806</v>
      </c>
      <c r="G347" s="4">
        <v>346724.45976007363</v>
      </c>
      <c r="H347" s="5">
        <f t="shared" si="5"/>
        <v>0</v>
      </c>
      <c r="I347" t="s">
        <v>87</v>
      </c>
      <c r="J347" t="s">
        <v>82</v>
      </c>
      <c r="K347" s="5">
        <f>20 / 86400</f>
        <v>2.3148148148148149E-4</v>
      </c>
      <c r="L347" s="5">
        <f>20 / 86400</f>
        <v>2.3148148148148149E-4</v>
      </c>
    </row>
    <row r="348" spans="1:12" x14ac:dyDescent="0.25">
      <c r="A348" s="3">
        <v>45695.955266203702</v>
      </c>
      <c r="B348" t="s">
        <v>179</v>
      </c>
      <c r="C348" s="3">
        <v>45695.955729166672</v>
      </c>
      <c r="D348" t="s">
        <v>179</v>
      </c>
      <c r="E348" s="4">
        <v>0.21545072412490845</v>
      </c>
      <c r="F348" s="4">
        <v>346724.56397320138</v>
      </c>
      <c r="G348" s="4">
        <v>346724.7794239255</v>
      </c>
      <c r="H348" s="5">
        <f t="shared" si="5"/>
        <v>0</v>
      </c>
      <c r="I348" t="s">
        <v>201</v>
      </c>
      <c r="J348" t="s">
        <v>90</v>
      </c>
      <c r="K348" s="5">
        <f>40 / 86400</f>
        <v>4.6296296296296298E-4</v>
      </c>
      <c r="L348" s="5">
        <f>20 / 86400</f>
        <v>2.3148148148148149E-4</v>
      </c>
    </row>
    <row r="349" spans="1:12" x14ac:dyDescent="0.25">
      <c r="A349" s="3">
        <v>45695.955960648149</v>
      </c>
      <c r="B349" t="s">
        <v>197</v>
      </c>
      <c r="C349" s="3">
        <v>45695.956192129626</v>
      </c>
      <c r="D349" t="s">
        <v>197</v>
      </c>
      <c r="E349" s="4">
        <v>0.13004918503761292</v>
      </c>
      <c r="F349" s="4">
        <v>346724.90602684696</v>
      </c>
      <c r="G349" s="4">
        <v>346725.03607603197</v>
      </c>
      <c r="H349" s="5">
        <f t="shared" si="5"/>
        <v>0</v>
      </c>
      <c r="I349" t="s">
        <v>230</v>
      </c>
      <c r="J349" t="s">
        <v>135</v>
      </c>
      <c r="K349" s="5">
        <f>20 / 86400</f>
        <v>2.3148148148148149E-4</v>
      </c>
      <c r="L349" s="5">
        <f>40 / 86400</f>
        <v>4.6296296296296298E-4</v>
      </c>
    </row>
    <row r="350" spans="1:12" x14ac:dyDescent="0.25">
      <c r="A350" s="3">
        <v>45695.956655092596</v>
      </c>
      <c r="B350" t="s">
        <v>197</v>
      </c>
      <c r="C350" s="3">
        <v>45695.95758101852</v>
      </c>
      <c r="D350" t="s">
        <v>181</v>
      </c>
      <c r="E350" s="4">
        <v>0.63225925141572947</v>
      </c>
      <c r="F350" s="4">
        <v>346725.09574889997</v>
      </c>
      <c r="G350" s="4">
        <v>346725.7280081514</v>
      </c>
      <c r="H350" s="5">
        <f t="shared" ref="H350:H370" si="6">0 / 86400</f>
        <v>0</v>
      </c>
      <c r="I350" t="s">
        <v>203</v>
      </c>
      <c r="J350" t="s">
        <v>144</v>
      </c>
      <c r="K350" s="5">
        <f>80 / 86400</f>
        <v>9.2592592592592596E-4</v>
      </c>
      <c r="L350" s="5">
        <f>60 / 86400</f>
        <v>6.9444444444444447E-4</v>
      </c>
    </row>
    <row r="351" spans="1:12" x14ac:dyDescent="0.25">
      <c r="A351" s="3">
        <v>45695.958275462966</v>
      </c>
      <c r="B351" t="s">
        <v>181</v>
      </c>
      <c r="C351" s="3">
        <v>45695.959895833337</v>
      </c>
      <c r="D351" t="s">
        <v>181</v>
      </c>
      <c r="E351" s="4">
        <v>1.5690327003002167</v>
      </c>
      <c r="F351" s="4">
        <v>346725.87301139394</v>
      </c>
      <c r="G351" s="4">
        <v>346727.44204409426</v>
      </c>
      <c r="H351" s="5">
        <f t="shared" si="6"/>
        <v>0</v>
      </c>
      <c r="I351" t="s">
        <v>85</v>
      </c>
      <c r="J351" t="s">
        <v>151</v>
      </c>
      <c r="K351" s="5">
        <f>140 / 86400</f>
        <v>1.6203703703703703E-3</v>
      </c>
      <c r="L351" s="5">
        <f>20 / 86400</f>
        <v>2.3148148148148149E-4</v>
      </c>
    </row>
    <row r="352" spans="1:12" x14ac:dyDescent="0.25">
      <c r="A352" s="3">
        <v>45695.960127314815</v>
      </c>
      <c r="B352" t="s">
        <v>173</v>
      </c>
      <c r="C352" s="3">
        <v>45695.961979166663</v>
      </c>
      <c r="D352" t="s">
        <v>173</v>
      </c>
      <c r="E352" s="4">
        <v>1.4575018211603166</v>
      </c>
      <c r="F352" s="4">
        <v>346727.59635998844</v>
      </c>
      <c r="G352" s="4">
        <v>346729.0538618096</v>
      </c>
      <c r="H352" s="5">
        <f t="shared" si="6"/>
        <v>0</v>
      </c>
      <c r="I352" t="s">
        <v>235</v>
      </c>
      <c r="J352" t="s">
        <v>209</v>
      </c>
      <c r="K352" s="5">
        <f>160 / 86400</f>
        <v>1.8518518518518519E-3</v>
      </c>
      <c r="L352" s="5">
        <f>20 / 86400</f>
        <v>2.3148148148148149E-4</v>
      </c>
    </row>
    <row r="353" spans="1:12" x14ac:dyDescent="0.25">
      <c r="A353" s="3">
        <v>45695.962210648147</v>
      </c>
      <c r="B353" t="s">
        <v>173</v>
      </c>
      <c r="C353" s="3">
        <v>45695.963136574079</v>
      </c>
      <c r="D353" t="s">
        <v>183</v>
      </c>
      <c r="E353" s="4">
        <v>0.38861246061325072</v>
      </c>
      <c r="F353" s="4">
        <v>346729.23259650246</v>
      </c>
      <c r="G353" s="4">
        <v>346729.6212089631</v>
      </c>
      <c r="H353" s="5">
        <f t="shared" si="6"/>
        <v>0</v>
      </c>
      <c r="I353" t="s">
        <v>192</v>
      </c>
      <c r="J353" t="s">
        <v>28</v>
      </c>
      <c r="K353" s="5">
        <f>80 / 86400</f>
        <v>9.2592592592592596E-4</v>
      </c>
      <c r="L353" s="5">
        <f>20 / 86400</f>
        <v>2.3148148148148149E-4</v>
      </c>
    </row>
    <row r="354" spans="1:12" x14ac:dyDescent="0.25">
      <c r="A354" s="3">
        <v>45695.963368055556</v>
      </c>
      <c r="B354" t="s">
        <v>183</v>
      </c>
      <c r="C354" s="3">
        <v>45695.963599537034</v>
      </c>
      <c r="D354" t="s">
        <v>183</v>
      </c>
      <c r="E354" s="4">
        <v>9.8599642515182504E-4</v>
      </c>
      <c r="F354" s="4">
        <v>346729.66593677655</v>
      </c>
      <c r="G354" s="4">
        <v>346729.666922773</v>
      </c>
      <c r="H354" s="5">
        <f t="shared" si="6"/>
        <v>0</v>
      </c>
      <c r="I354" t="s">
        <v>140</v>
      </c>
      <c r="J354" t="s">
        <v>129</v>
      </c>
      <c r="K354" s="5">
        <f>20 / 86400</f>
        <v>2.3148148148148149E-4</v>
      </c>
      <c r="L354" s="5">
        <f>200 / 86400</f>
        <v>2.3148148148148147E-3</v>
      </c>
    </row>
    <row r="355" spans="1:12" x14ac:dyDescent="0.25">
      <c r="A355" s="3">
        <v>45695.965914351851</v>
      </c>
      <c r="B355" t="s">
        <v>184</v>
      </c>
      <c r="C355" s="3">
        <v>45695.969444444447</v>
      </c>
      <c r="D355" t="s">
        <v>210</v>
      </c>
      <c r="E355" s="4">
        <v>2.3797219992280008</v>
      </c>
      <c r="F355" s="4">
        <v>346729.78874332161</v>
      </c>
      <c r="G355" s="4">
        <v>346732.16846532084</v>
      </c>
      <c r="H355" s="5">
        <f t="shared" si="6"/>
        <v>0</v>
      </c>
      <c r="I355" t="s">
        <v>131</v>
      </c>
      <c r="J355" t="s">
        <v>144</v>
      </c>
      <c r="K355" s="5">
        <f>305 / 86400</f>
        <v>3.5300925925925925E-3</v>
      </c>
      <c r="L355" s="5">
        <f>40 / 86400</f>
        <v>4.6296296296296298E-4</v>
      </c>
    </row>
    <row r="356" spans="1:12" x14ac:dyDescent="0.25">
      <c r="A356" s="3">
        <v>45695.969907407409</v>
      </c>
      <c r="B356" t="s">
        <v>210</v>
      </c>
      <c r="C356" s="3">
        <v>45695.971296296295</v>
      </c>
      <c r="D356" t="s">
        <v>122</v>
      </c>
      <c r="E356" s="4">
        <v>0.80601876372098924</v>
      </c>
      <c r="F356" s="4">
        <v>346732.17226716905</v>
      </c>
      <c r="G356" s="4">
        <v>346732.9782859328</v>
      </c>
      <c r="H356" s="5">
        <f t="shared" si="6"/>
        <v>0</v>
      </c>
      <c r="I356" t="s">
        <v>134</v>
      </c>
      <c r="J356" t="s">
        <v>143</v>
      </c>
      <c r="K356" s="5">
        <f>120 / 86400</f>
        <v>1.3888888888888889E-3</v>
      </c>
      <c r="L356" s="5">
        <f>40 / 86400</f>
        <v>4.6296296296296298E-4</v>
      </c>
    </row>
    <row r="357" spans="1:12" x14ac:dyDescent="0.25">
      <c r="A357" s="3">
        <v>45695.971759259264</v>
      </c>
      <c r="B357" t="s">
        <v>122</v>
      </c>
      <c r="C357" s="3">
        <v>45695.977314814816</v>
      </c>
      <c r="D357" t="s">
        <v>156</v>
      </c>
      <c r="E357" s="4">
        <v>4.3203561232686045</v>
      </c>
      <c r="F357" s="4">
        <v>346732.98470546474</v>
      </c>
      <c r="G357" s="4">
        <v>346737.30506158801</v>
      </c>
      <c r="H357" s="5">
        <f t="shared" si="6"/>
        <v>0</v>
      </c>
      <c r="I357" t="s">
        <v>39</v>
      </c>
      <c r="J357" t="s">
        <v>137</v>
      </c>
      <c r="K357" s="5">
        <f>480 / 86400</f>
        <v>5.5555555555555558E-3</v>
      </c>
      <c r="L357" s="5">
        <f>6 / 86400</f>
        <v>6.9444444444444444E-5</v>
      </c>
    </row>
    <row r="358" spans="1:12" x14ac:dyDescent="0.25">
      <c r="A358" s="3">
        <v>45695.977384259255</v>
      </c>
      <c r="B358" t="s">
        <v>156</v>
      </c>
      <c r="C358" s="3">
        <v>45695.977847222224</v>
      </c>
      <c r="D358" t="s">
        <v>156</v>
      </c>
      <c r="E358" s="4">
        <v>3.2861311197280883E-2</v>
      </c>
      <c r="F358" s="4">
        <v>346737.31394987763</v>
      </c>
      <c r="G358" s="4">
        <v>346737.34681118879</v>
      </c>
      <c r="H358" s="5">
        <f t="shared" si="6"/>
        <v>0</v>
      </c>
      <c r="I358" t="s">
        <v>126</v>
      </c>
      <c r="J358" t="s">
        <v>140</v>
      </c>
      <c r="K358" s="5">
        <f>40 / 86400</f>
        <v>4.6296296296296298E-4</v>
      </c>
      <c r="L358" s="5">
        <f>39 / 86400</f>
        <v>4.5138888888888887E-4</v>
      </c>
    </row>
    <row r="359" spans="1:12" x14ac:dyDescent="0.25">
      <c r="A359" s="3">
        <v>45695.978298611109</v>
      </c>
      <c r="B359" t="s">
        <v>306</v>
      </c>
      <c r="C359" s="3">
        <v>45695.978530092594</v>
      </c>
      <c r="D359" t="s">
        <v>156</v>
      </c>
      <c r="E359" s="4">
        <v>2.9098796010017396E-2</v>
      </c>
      <c r="F359" s="4">
        <v>346737.3538953411</v>
      </c>
      <c r="G359" s="4">
        <v>346737.38299413712</v>
      </c>
      <c r="H359" s="5">
        <f t="shared" si="6"/>
        <v>0</v>
      </c>
      <c r="I359" t="s">
        <v>132</v>
      </c>
      <c r="J359" t="s">
        <v>126</v>
      </c>
      <c r="K359" s="5">
        <f>20 / 86400</f>
        <v>2.3148148148148149E-4</v>
      </c>
      <c r="L359" s="5">
        <f>40 / 86400</f>
        <v>4.6296296296296298E-4</v>
      </c>
    </row>
    <row r="360" spans="1:12" x14ac:dyDescent="0.25">
      <c r="A360" s="3">
        <v>45695.978993055556</v>
      </c>
      <c r="B360" t="s">
        <v>156</v>
      </c>
      <c r="C360" s="3">
        <v>45695.979224537034</v>
      </c>
      <c r="D360" t="s">
        <v>156</v>
      </c>
      <c r="E360" s="4">
        <v>1.0259523272514344E-2</v>
      </c>
      <c r="F360" s="4">
        <v>346737.40351329488</v>
      </c>
      <c r="G360" s="4">
        <v>346737.41377281817</v>
      </c>
      <c r="H360" s="5">
        <f t="shared" si="6"/>
        <v>0</v>
      </c>
      <c r="I360" t="s">
        <v>91</v>
      </c>
      <c r="J360" t="s">
        <v>87</v>
      </c>
      <c r="K360" s="5">
        <f>20 / 86400</f>
        <v>2.3148148148148149E-4</v>
      </c>
      <c r="L360" s="5">
        <f>60 / 86400</f>
        <v>6.9444444444444447E-4</v>
      </c>
    </row>
    <row r="361" spans="1:12" x14ac:dyDescent="0.25">
      <c r="A361" s="3">
        <v>45695.97991898148</v>
      </c>
      <c r="B361" t="s">
        <v>156</v>
      </c>
      <c r="C361" s="3">
        <v>45695.98038194445</v>
      </c>
      <c r="D361" t="s">
        <v>214</v>
      </c>
      <c r="E361" s="4">
        <v>7.1281460285186768E-2</v>
      </c>
      <c r="F361" s="4">
        <v>346737.43620549102</v>
      </c>
      <c r="G361" s="4">
        <v>346737.5074869513</v>
      </c>
      <c r="H361" s="5">
        <f t="shared" si="6"/>
        <v>0</v>
      </c>
      <c r="I361" t="s">
        <v>71</v>
      </c>
      <c r="J361" t="s">
        <v>132</v>
      </c>
      <c r="K361" s="5">
        <f>40 / 86400</f>
        <v>4.6296296296296298E-4</v>
      </c>
      <c r="L361" s="5">
        <f>20 / 86400</f>
        <v>2.3148148148148149E-4</v>
      </c>
    </row>
    <row r="362" spans="1:12" x14ac:dyDescent="0.25">
      <c r="A362" s="3">
        <v>45695.980613425927</v>
      </c>
      <c r="B362" t="s">
        <v>214</v>
      </c>
      <c r="C362" s="3">
        <v>45695.980891203704</v>
      </c>
      <c r="D362" t="s">
        <v>214</v>
      </c>
      <c r="E362" s="4">
        <v>1.4306628704071045E-2</v>
      </c>
      <c r="F362" s="4">
        <v>346737.51238987793</v>
      </c>
      <c r="G362" s="4">
        <v>346737.5266965066</v>
      </c>
      <c r="H362" s="5">
        <f t="shared" si="6"/>
        <v>0</v>
      </c>
      <c r="I362" t="s">
        <v>126</v>
      </c>
      <c r="J362" t="s">
        <v>87</v>
      </c>
      <c r="K362" s="5">
        <f>24 / 86400</f>
        <v>2.7777777777777778E-4</v>
      </c>
      <c r="L362" s="5">
        <f>40 / 86400</f>
        <v>4.6296296296296298E-4</v>
      </c>
    </row>
    <row r="363" spans="1:12" x14ac:dyDescent="0.25">
      <c r="A363" s="3">
        <v>45695.981354166666</v>
      </c>
      <c r="B363" t="s">
        <v>214</v>
      </c>
      <c r="C363" s="3">
        <v>45695.981585648144</v>
      </c>
      <c r="D363" t="s">
        <v>214</v>
      </c>
      <c r="E363" s="4">
        <v>8.6800383925437919E-3</v>
      </c>
      <c r="F363" s="4">
        <v>346737.53665588191</v>
      </c>
      <c r="G363" s="4">
        <v>346737.54533592029</v>
      </c>
      <c r="H363" s="5">
        <f t="shared" si="6"/>
        <v>0</v>
      </c>
      <c r="I363" t="s">
        <v>82</v>
      </c>
      <c r="J363" t="s">
        <v>87</v>
      </c>
      <c r="K363" s="5">
        <f>20 / 86400</f>
        <v>2.3148148148148149E-4</v>
      </c>
      <c r="L363" s="5">
        <f>40 / 86400</f>
        <v>4.6296296296296298E-4</v>
      </c>
    </row>
    <row r="364" spans="1:12" x14ac:dyDescent="0.25">
      <c r="A364" s="3">
        <v>45695.982048611113</v>
      </c>
      <c r="B364" t="s">
        <v>214</v>
      </c>
      <c r="C364" s="3">
        <v>45695.98228009259</v>
      </c>
      <c r="D364" t="s">
        <v>214</v>
      </c>
      <c r="E364" s="4">
        <v>5.2269818186759945E-3</v>
      </c>
      <c r="F364" s="4">
        <v>346737.55593445915</v>
      </c>
      <c r="G364" s="4">
        <v>346737.56116144097</v>
      </c>
      <c r="H364" s="5">
        <f t="shared" si="6"/>
        <v>0</v>
      </c>
      <c r="I364" t="s">
        <v>127</v>
      </c>
      <c r="J364" t="s">
        <v>127</v>
      </c>
      <c r="K364" s="5">
        <f>20 / 86400</f>
        <v>2.3148148148148149E-4</v>
      </c>
      <c r="L364" s="5">
        <f>40 / 86400</f>
        <v>4.6296296296296298E-4</v>
      </c>
    </row>
    <row r="365" spans="1:12" x14ac:dyDescent="0.25">
      <c r="A365" s="3">
        <v>45695.98274305556</v>
      </c>
      <c r="B365" t="s">
        <v>214</v>
      </c>
      <c r="C365" s="3">
        <v>45695.982974537037</v>
      </c>
      <c r="D365" t="s">
        <v>214</v>
      </c>
      <c r="E365" s="4">
        <v>7.8101688623428344E-3</v>
      </c>
      <c r="F365" s="4">
        <v>346737.56597017084</v>
      </c>
      <c r="G365" s="4">
        <v>346737.57378033974</v>
      </c>
      <c r="H365" s="5">
        <f t="shared" si="6"/>
        <v>0</v>
      </c>
      <c r="I365" t="s">
        <v>127</v>
      </c>
      <c r="J365" t="s">
        <v>127</v>
      </c>
      <c r="K365" s="5">
        <f>20 / 86400</f>
        <v>2.3148148148148149E-4</v>
      </c>
      <c r="L365" s="5">
        <f>14 / 86400</f>
        <v>1.6203703703703703E-4</v>
      </c>
    </row>
    <row r="366" spans="1:12" x14ac:dyDescent="0.25">
      <c r="A366" s="3">
        <v>45695.983136574076</v>
      </c>
      <c r="B366" t="s">
        <v>214</v>
      </c>
      <c r="C366" s="3">
        <v>45695.983402777776</v>
      </c>
      <c r="D366" t="s">
        <v>156</v>
      </c>
      <c r="E366" s="4">
        <v>1.1733718633651734E-2</v>
      </c>
      <c r="F366" s="4">
        <v>346737.58077633689</v>
      </c>
      <c r="G366" s="4">
        <v>346737.59251005552</v>
      </c>
      <c r="H366" s="5">
        <f t="shared" si="6"/>
        <v>0</v>
      </c>
      <c r="I366" t="s">
        <v>132</v>
      </c>
      <c r="J366" t="s">
        <v>87</v>
      </c>
      <c r="K366" s="5">
        <f>23 / 86400</f>
        <v>2.6620370370370372E-4</v>
      </c>
      <c r="L366" s="5">
        <f>121 / 86400</f>
        <v>1.4004629629629629E-3</v>
      </c>
    </row>
    <row r="367" spans="1:12" x14ac:dyDescent="0.25">
      <c r="A367" s="3">
        <v>45695.984803240739</v>
      </c>
      <c r="B367" t="s">
        <v>156</v>
      </c>
      <c r="C367" s="3">
        <v>45695.990115740744</v>
      </c>
      <c r="D367" t="s">
        <v>307</v>
      </c>
      <c r="E367" s="4">
        <v>3.9541269943118094</v>
      </c>
      <c r="F367" s="4">
        <v>346737.6357468646</v>
      </c>
      <c r="G367" s="4">
        <v>346741.5898738589</v>
      </c>
      <c r="H367" s="5">
        <f t="shared" si="6"/>
        <v>0</v>
      </c>
      <c r="I367" t="s">
        <v>36</v>
      </c>
      <c r="J367" t="s">
        <v>213</v>
      </c>
      <c r="K367" s="5">
        <f>459 / 86400</f>
        <v>5.3125000000000004E-3</v>
      </c>
      <c r="L367" s="5">
        <f>20 / 86400</f>
        <v>2.3148148148148149E-4</v>
      </c>
    </row>
    <row r="368" spans="1:12" x14ac:dyDescent="0.25">
      <c r="A368" s="3">
        <v>45695.990347222221</v>
      </c>
      <c r="B368" t="s">
        <v>308</v>
      </c>
      <c r="C368" s="3">
        <v>45695.992905092593</v>
      </c>
      <c r="D368" t="s">
        <v>218</v>
      </c>
      <c r="E368" s="4">
        <v>1.0642137006521224</v>
      </c>
      <c r="F368" s="4">
        <v>346741.61575555219</v>
      </c>
      <c r="G368" s="4">
        <v>346742.67996925284</v>
      </c>
      <c r="H368" s="5">
        <f t="shared" si="6"/>
        <v>0</v>
      </c>
      <c r="I368" t="s">
        <v>212</v>
      </c>
      <c r="J368" t="s">
        <v>28</v>
      </c>
      <c r="K368" s="5">
        <f>221 / 86400</f>
        <v>2.5578703703703705E-3</v>
      </c>
      <c r="L368" s="5">
        <f>140 / 86400</f>
        <v>1.6203703703703703E-3</v>
      </c>
    </row>
    <row r="369" spans="1:12" x14ac:dyDescent="0.25">
      <c r="A369" s="3">
        <v>45695.994525462964</v>
      </c>
      <c r="B369" t="s">
        <v>115</v>
      </c>
      <c r="C369" s="3">
        <v>45695.996377314819</v>
      </c>
      <c r="D369" t="s">
        <v>115</v>
      </c>
      <c r="E369" s="4">
        <v>0.86153908514976496</v>
      </c>
      <c r="F369" s="4">
        <v>346742.76943555637</v>
      </c>
      <c r="G369" s="4">
        <v>346743.63097464148</v>
      </c>
      <c r="H369" s="5">
        <f t="shared" si="6"/>
        <v>0</v>
      </c>
      <c r="I369" t="s">
        <v>304</v>
      </c>
      <c r="J369" t="s">
        <v>90</v>
      </c>
      <c r="K369" s="5">
        <f>160 / 86400</f>
        <v>1.8518518518518519E-3</v>
      </c>
      <c r="L369" s="5">
        <f>20 / 86400</f>
        <v>2.3148148148148149E-4</v>
      </c>
    </row>
    <row r="370" spans="1:12" x14ac:dyDescent="0.25">
      <c r="A370" s="3">
        <v>45695.996608796297</v>
      </c>
      <c r="B370" t="s">
        <v>115</v>
      </c>
      <c r="C370" s="3">
        <v>45695.998460648145</v>
      </c>
      <c r="D370" t="s">
        <v>35</v>
      </c>
      <c r="E370" s="4">
        <v>1.363484755396843</v>
      </c>
      <c r="F370" s="4">
        <v>346743.6993994462</v>
      </c>
      <c r="G370" s="4">
        <v>346745.06288420159</v>
      </c>
      <c r="H370" s="5">
        <f t="shared" si="6"/>
        <v>0</v>
      </c>
      <c r="I370" t="s">
        <v>86</v>
      </c>
      <c r="J370" t="s">
        <v>213</v>
      </c>
      <c r="K370" s="5">
        <f>160 / 86400</f>
        <v>1.8518518518518519E-3</v>
      </c>
      <c r="L370" s="5">
        <f>132 / 86400</f>
        <v>1.5277777777777779E-3</v>
      </c>
    </row>
    <row r="371" spans="1:12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 spans="1:12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 spans="1:12" s="10" customFormat="1" ht="20.100000000000001" customHeight="1" x14ac:dyDescent="0.35">
      <c r="A373" s="12" t="s">
        <v>395</v>
      </c>
      <c r="B373" s="12"/>
      <c r="C373" s="12"/>
      <c r="D373" s="12"/>
      <c r="E373" s="12"/>
      <c r="F373" s="12"/>
      <c r="G373" s="12"/>
      <c r="H373" s="12"/>
      <c r="I373" s="12"/>
      <c r="J373" s="12"/>
    </row>
    <row r="374" spans="1:12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 spans="1:12" ht="30" x14ac:dyDescent="0.25">
      <c r="A375" s="2" t="s">
        <v>6</v>
      </c>
      <c r="B375" s="2" t="s">
        <v>7</v>
      </c>
      <c r="C375" s="2" t="s">
        <v>8</v>
      </c>
      <c r="D375" s="2" t="s">
        <v>9</v>
      </c>
      <c r="E375" s="2" t="s">
        <v>10</v>
      </c>
      <c r="F375" s="2" t="s">
        <v>11</v>
      </c>
      <c r="G375" s="2" t="s">
        <v>12</v>
      </c>
      <c r="H375" s="2" t="s">
        <v>13</v>
      </c>
      <c r="I375" s="2" t="s">
        <v>14</v>
      </c>
      <c r="J375" s="2" t="s">
        <v>15</v>
      </c>
      <c r="K375" s="2" t="s">
        <v>16</v>
      </c>
      <c r="L375" s="2" t="s">
        <v>17</v>
      </c>
    </row>
    <row r="376" spans="1:12" x14ac:dyDescent="0.25">
      <c r="A376" s="3">
        <v>45695.173379629632</v>
      </c>
      <c r="B376" t="s">
        <v>38</v>
      </c>
      <c r="C376" s="3">
        <v>45695.214409722219</v>
      </c>
      <c r="D376" t="s">
        <v>38</v>
      </c>
      <c r="E376" s="4">
        <v>16.648</v>
      </c>
      <c r="F376" s="4">
        <v>483476.10600000003</v>
      </c>
      <c r="G376" s="4">
        <v>483492.75400000002</v>
      </c>
      <c r="H376" s="5">
        <f>1019 / 86400</f>
        <v>1.1793981481481482E-2</v>
      </c>
      <c r="I376" t="s">
        <v>39</v>
      </c>
      <c r="J376" t="s">
        <v>28</v>
      </c>
      <c r="K376" s="5">
        <f>3545 / 86400</f>
        <v>4.103009259259259E-2</v>
      </c>
      <c r="L376" s="5">
        <f>82854 / 86400</f>
        <v>0.95895833333333336</v>
      </c>
    </row>
    <row r="377" spans="1:12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 spans="1:12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 spans="1:12" s="10" customFormat="1" ht="20.100000000000001" customHeight="1" x14ac:dyDescent="0.35">
      <c r="A379" s="12" t="s">
        <v>396</v>
      </c>
      <c r="B379" s="12"/>
      <c r="C379" s="12"/>
      <c r="D379" s="12"/>
      <c r="E379" s="12"/>
      <c r="F379" s="12"/>
      <c r="G379" s="12"/>
      <c r="H379" s="12"/>
      <c r="I379" s="12"/>
      <c r="J379" s="12"/>
    </row>
    <row r="380" spans="1:12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 spans="1:12" ht="30" x14ac:dyDescent="0.25">
      <c r="A381" s="2" t="s">
        <v>6</v>
      </c>
      <c r="B381" s="2" t="s">
        <v>7</v>
      </c>
      <c r="C381" s="2" t="s">
        <v>8</v>
      </c>
      <c r="D381" s="2" t="s">
        <v>9</v>
      </c>
      <c r="E381" s="2" t="s">
        <v>10</v>
      </c>
      <c r="F381" s="2" t="s">
        <v>11</v>
      </c>
      <c r="G381" s="2" t="s">
        <v>12</v>
      </c>
      <c r="H381" s="2" t="s">
        <v>13</v>
      </c>
      <c r="I381" s="2" t="s">
        <v>14</v>
      </c>
      <c r="J381" s="2" t="s">
        <v>15</v>
      </c>
      <c r="K381" s="2" t="s">
        <v>16</v>
      </c>
      <c r="L381" s="2" t="s">
        <v>17</v>
      </c>
    </row>
    <row r="382" spans="1:12" x14ac:dyDescent="0.25">
      <c r="A382" s="3">
        <v>45695.129803240736</v>
      </c>
      <c r="B382" t="s">
        <v>40</v>
      </c>
      <c r="C382" s="3">
        <v>45695.140960648147</v>
      </c>
      <c r="D382" t="s">
        <v>136</v>
      </c>
      <c r="E382" s="4">
        <v>2.956</v>
      </c>
      <c r="F382" s="4">
        <v>507117.43699999998</v>
      </c>
      <c r="G382" s="4">
        <v>507120.39299999998</v>
      </c>
      <c r="H382" s="5">
        <f>319 / 86400</f>
        <v>3.6921296296296298E-3</v>
      </c>
      <c r="I382" t="s">
        <v>137</v>
      </c>
      <c r="J382" t="s">
        <v>112</v>
      </c>
      <c r="K382" s="5">
        <f>963 / 86400</f>
        <v>1.1145833333333334E-2</v>
      </c>
      <c r="L382" s="5">
        <f>11302 / 86400</f>
        <v>0.1308101851851852</v>
      </c>
    </row>
    <row r="383" spans="1:12" x14ac:dyDescent="0.25">
      <c r="A383" s="3">
        <v>45695.141967592594</v>
      </c>
      <c r="B383" t="s">
        <v>136</v>
      </c>
      <c r="C383" s="3">
        <v>45695.221226851849</v>
      </c>
      <c r="D383" t="s">
        <v>267</v>
      </c>
      <c r="E383" s="4">
        <v>51.695999999999998</v>
      </c>
      <c r="F383" s="4">
        <v>507120.39299999998</v>
      </c>
      <c r="G383" s="4">
        <v>507172.08899999998</v>
      </c>
      <c r="H383" s="5">
        <f>1140 / 86400</f>
        <v>1.3194444444444444E-2</v>
      </c>
      <c r="I383" t="s">
        <v>42</v>
      </c>
      <c r="J383" t="s">
        <v>212</v>
      </c>
      <c r="K383" s="5">
        <f>6847 / 86400</f>
        <v>7.9247685185185185E-2</v>
      </c>
      <c r="L383" s="5">
        <f>79 / 86400</f>
        <v>9.1435185185185185E-4</v>
      </c>
    </row>
    <row r="384" spans="1:12" x14ac:dyDescent="0.25">
      <c r="A384" s="3">
        <v>45695.222141203703</v>
      </c>
      <c r="B384" t="s">
        <v>268</v>
      </c>
      <c r="C384" s="3">
        <v>45695.222604166665</v>
      </c>
      <c r="D384" t="s">
        <v>268</v>
      </c>
      <c r="E384" s="4">
        <v>3.0000000000000001E-3</v>
      </c>
      <c r="F384" s="4">
        <v>507172.08899999998</v>
      </c>
      <c r="G384" s="4">
        <v>507172.092</v>
      </c>
      <c r="H384" s="5">
        <f>19 / 86400</f>
        <v>2.199074074074074E-4</v>
      </c>
      <c r="I384" t="s">
        <v>129</v>
      </c>
      <c r="J384" t="s">
        <v>129</v>
      </c>
      <c r="K384" s="5">
        <f>40 / 86400</f>
        <v>4.6296296296296298E-4</v>
      </c>
      <c r="L384" s="5">
        <f>299 / 86400</f>
        <v>3.460648148148148E-3</v>
      </c>
    </row>
    <row r="385" spans="1:12" x14ac:dyDescent="0.25">
      <c r="A385" s="3">
        <v>45695.226064814815</v>
      </c>
      <c r="B385" t="s">
        <v>268</v>
      </c>
      <c r="C385" s="3">
        <v>45695.226493055554</v>
      </c>
      <c r="D385" t="s">
        <v>268</v>
      </c>
      <c r="E385" s="4">
        <v>3.0000000000000001E-3</v>
      </c>
      <c r="F385" s="4">
        <v>507172.092</v>
      </c>
      <c r="G385" s="4">
        <v>507172.09499999997</v>
      </c>
      <c r="H385" s="5">
        <f>19 / 86400</f>
        <v>2.199074074074074E-4</v>
      </c>
      <c r="I385" t="s">
        <v>129</v>
      </c>
      <c r="J385" t="s">
        <v>129</v>
      </c>
      <c r="K385" s="5">
        <f>37 / 86400</f>
        <v>4.2824074074074075E-4</v>
      </c>
      <c r="L385" s="5">
        <f>101 / 86400</f>
        <v>1.1689814814814816E-3</v>
      </c>
    </row>
    <row r="386" spans="1:12" x14ac:dyDescent="0.25">
      <c r="A386" s="3">
        <v>45695.227662037039</v>
      </c>
      <c r="B386" t="s">
        <v>268</v>
      </c>
      <c r="C386" s="3">
        <v>45695.228171296301</v>
      </c>
      <c r="D386" t="s">
        <v>309</v>
      </c>
      <c r="E386" s="4">
        <v>1.2E-2</v>
      </c>
      <c r="F386" s="4">
        <v>507172.09499999997</v>
      </c>
      <c r="G386" s="4">
        <v>507172.10700000002</v>
      </c>
      <c r="H386" s="5">
        <f>39 / 86400</f>
        <v>4.5138888888888887E-4</v>
      </c>
      <c r="I386" t="s">
        <v>129</v>
      </c>
      <c r="J386" t="s">
        <v>127</v>
      </c>
      <c r="K386" s="5">
        <f>44 / 86400</f>
        <v>5.0925925925925921E-4</v>
      </c>
      <c r="L386" s="5">
        <f>52 / 86400</f>
        <v>6.018518518518519E-4</v>
      </c>
    </row>
    <row r="387" spans="1:12" x14ac:dyDescent="0.25">
      <c r="A387" s="3">
        <v>45695.228773148148</v>
      </c>
      <c r="B387" t="s">
        <v>309</v>
      </c>
      <c r="C387" s="3">
        <v>45695.286770833336</v>
      </c>
      <c r="D387" t="s">
        <v>166</v>
      </c>
      <c r="E387" s="4">
        <v>21.334</v>
      </c>
      <c r="F387" s="4">
        <v>507172.10700000002</v>
      </c>
      <c r="G387" s="4">
        <v>507193.44099999999</v>
      </c>
      <c r="H387" s="5">
        <f>1620 / 86400</f>
        <v>1.8749999999999999E-2</v>
      </c>
      <c r="I387" t="s">
        <v>30</v>
      </c>
      <c r="J387" t="s">
        <v>24</v>
      </c>
      <c r="K387" s="5">
        <f>5011 / 86400</f>
        <v>5.7997685185185187E-2</v>
      </c>
      <c r="L387" s="5">
        <f>60 / 86400</f>
        <v>6.9444444444444447E-4</v>
      </c>
    </row>
    <row r="388" spans="1:12" x14ac:dyDescent="0.25">
      <c r="A388" s="3">
        <v>45695.287465277783</v>
      </c>
      <c r="B388" t="s">
        <v>166</v>
      </c>
      <c r="C388" s="3">
        <v>45695.287719907406</v>
      </c>
      <c r="D388" t="s">
        <v>166</v>
      </c>
      <c r="E388" s="4">
        <v>1.0999999999999999E-2</v>
      </c>
      <c r="F388" s="4">
        <v>507193.44099999999</v>
      </c>
      <c r="G388" s="4">
        <v>507193.45199999999</v>
      </c>
      <c r="H388" s="5">
        <f>20 / 86400</f>
        <v>2.3148148148148149E-4</v>
      </c>
      <c r="I388" t="s">
        <v>129</v>
      </c>
      <c r="J388" t="s">
        <v>87</v>
      </c>
      <c r="K388" s="5">
        <f>22 / 86400</f>
        <v>2.5462962962962961E-4</v>
      </c>
      <c r="L388" s="5">
        <f>133 / 86400</f>
        <v>1.5393518518518519E-3</v>
      </c>
    </row>
    <row r="389" spans="1:12" x14ac:dyDescent="0.25">
      <c r="A389" s="3">
        <v>45695.289259259254</v>
      </c>
      <c r="B389" t="s">
        <v>166</v>
      </c>
      <c r="C389" s="3">
        <v>45695.357847222222</v>
      </c>
      <c r="D389" t="s">
        <v>310</v>
      </c>
      <c r="E389" s="4">
        <v>30.853000000000002</v>
      </c>
      <c r="F389" s="4">
        <v>507193.45199999999</v>
      </c>
      <c r="G389" s="4">
        <v>507224.30499999999</v>
      </c>
      <c r="H389" s="5">
        <f>1818 / 86400</f>
        <v>2.1041666666666667E-2</v>
      </c>
      <c r="I389" t="s">
        <v>50</v>
      </c>
      <c r="J389" t="s">
        <v>90</v>
      </c>
      <c r="K389" s="5">
        <f>5925 / 86400</f>
        <v>6.8576388888888895E-2</v>
      </c>
      <c r="L389" s="5">
        <f>5395 / 86400</f>
        <v>6.2442129629629632E-2</v>
      </c>
    </row>
    <row r="390" spans="1:12" x14ac:dyDescent="0.25">
      <c r="A390" s="3">
        <v>45695.420289351852</v>
      </c>
      <c r="B390" t="s">
        <v>310</v>
      </c>
      <c r="C390" s="3">
        <v>45695.42763888889</v>
      </c>
      <c r="D390" t="s">
        <v>48</v>
      </c>
      <c r="E390" s="4">
        <v>0.83199999999999996</v>
      </c>
      <c r="F390" s="4">
        <v>507224.30499999999</v>
      </c>
      <c r="G390" s="4">
        <v>507225.13699999999</v>
      </c>
      <c r="H390" s="5">
        <f>360 / 86400</f>
        <v>4.1666666666666666E-3</v>
      </c>
      <c r="I390" t="s">
        <v>90</v>
      </c>
      <c r="J390" t="s">
        <v>126</v>
      </c>
      <c r="K390" s="5">
        <f>635 / 86400</f>
        <v>7.3495370370370372E-3</v>
      </c>
      <c r="L390" s="5">
        <f>9881 / 86400</f>
        <v>0.11436342592592592</v>
      </c>
    </row>
    <row r="391" spans="1:12" x14ac:dyDescent="0.25">
      <c r="A391" s="3">
        <v>45695.542002314818</v>
      </c>
      <c r="B391" t="s">
        <v>48</v>
      </c>
      <c r="C391" s="3">
        <v>45695.676504629635</v>
      </c>
      <c r="D391" t="s">
        <v>311</v>
      </c>
      <c r="E391" s="4">
        <v>50.640999999999998</v>
      </c>
      <c r="F391" s="4">
        <v>507225.13699999999</v>
      </c>
      <c r="G391" s="4">
        <v>507275.77799999999</v>
      </c>
      <c r="H391" s="5">
        <f>4220 / 86400</f>
        <v>4.884259259259259E-2</v>
      </c>
      <c r="I391" t="s">
        <v>64</v>
      </c>
      <c r="J391" t="s">
        <v>20</v>
      </c>
      <c r="K391" s="5">
        <f>11621 / 86400</f>
        <v>0.13450231481481481</v>
      </c>
      <c r="L391" s="5">
        <f>294 / 86400</f>
        <v>3.4027777777777776E-3</v>
      </c>
    </row>
    <row r="392" spans="1:12" x14ac:dyDescent="0.25">
      <c r="A392" s="3">
        <v>45695.679907407408</v>
      </c>
      <c r="B392" t="s">
        <v>312</v>
      </c>
      <c r="C392" s="3">
        <v>45695.679930555554</v>
      </c>
      <c r="D392" t="s">
        <v>312</v>
      </c>
      <c r="E392" s="4">
        <v>0</v>
      </c>
      <c r="F392" s="4">
        <v>507275.77799999999</v>
      </c>
      <c r="G392" s="4">
        <v>507275.77799999999</v>
      </c>
      <c r="H392" s="5">
        <f>0 / 86400</f>
        <v>0</v>
      </c>
      <c r="I392" t="s">
        <v>129</v>
      </c>
      <c r="J392" t="s">
        <v>129</v>
      </c>
      <c r="K392" s="5">
        <f>2 / 86400</f>
        <v>2.3148148148148147E-5</v>
      </c>
      <c r="L392" s="5">
        <f>13 / 86400</f>
        <v>1.5046296296296297E-4</v>
      </c>
    </row>
    <row r="393" spans="1:12" x14ac:dyDescent="0.25">
      <c r="A393" s="3">
        <v>45695.680081018523</v>
      </c>
      <c r="B393" t="s">
        <v>312</v>
      </c>
      <c r="C393" s="3">
        <v>45695.842708333337</v>
      </c>
      <c r="D393" t="s">
        <v>128</v>
      </c>
      <c r="E393" s="4">
        <v>50.533999999999999</v>
      </c>
      <c r="F393" s="4">
        <v>507275.77799999999</v>
      </c>
      <c r="G393" s="4">
        <v>507326.31199999998</v>
      </c>
      <c r="H393" s="5">
        <f>5284 / 86400</f>
        <v>6.115740740740741E-2</v>
      </c>
      <c r="I393" t="s">
        <v>208</v>
      </c>
      <c r="J393" t="s">
        <v>53</v>
      </c>
      <c r="K393" s="5">
        <f>14051 / 86400</f>
        <v>0.16262731481481482</v>
      </c>
      <c r="L393" s="5">
        <f>659 / 86400</f>
        <v>7.6273148148148151E-3</v>
      </c>
    </row>
    <row r="394" spans="1:12" x14ac:dyDescent="0.25">
      <c r="A394" s="3">
        <v>45695.850335648152</v>
      </c>
      <c r="B394" t="s">
        <v>128</v>
      </c>
      <c r="C394" s="3">
        <v>45695.857361111106</v>
      </c>
      <c r="D394" t="s">
        <v>41</v>
      </c>
      <c r="E394" s="4">
        <v>1.222</v>
      </c>
      <c r="F394" s="4">
        <v>507326.31199999998</v>
      </c>
      <c r="G394" s="4">
        <v>507327.53399999999</v>
      </c>
      <c r="H394" s="5">
        <f>293 / 86400</f>
        <v>3.3912037037037036E-3</v>
      </c>
      <c r="I394" t="s">
        <v>209</v>
      </c>
      <c r="J394" t="s">
        <v>91</v>
      </c>
      <c r="K394" s="5">
        <f>606 / 86400</f>
        <v>7.013888888888889E-3</v>
      </c>
      <c r="L394" s="5">
        <f>12323 / 86400</f>
        <v>0.1426273148148148</v>
      </c>
    </row>
    <row r="395" spans="1:12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 spans="1:12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 spans="1:12" s="10" customFormat="1" ht="20.100000000000001" customHeight="1" x14ac:dyDescent="0.35">
      <c r="A397" s="12" t="s">
        <v>397</v>
      </c>
      <c r="B397" s="12"/>
      <c r="C397" s="12"/>
      <c r="D397" s="12"/>
      <c r="E397" s="12"/>
      <c r="F397" s="12"/>
      <c r="G397" s="12"/>
      <c r="H397" s="12"/>
      <c r="I397" s="12"/>
      <c r="J397" s="12"/>
    </row>
    <row r="398" spans="1:12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 spans="1:12" ht="30" x14ac:dyDescent="0.25">
      <c r="A399" s="2" t="s">
        <v>6</v>
      </c>
      <c r="B399" s="2" t="s">
        <v>7</v>
      </c>
      <c r="C399" s="2" t="s">
        <v>8</v>
      </c>
      <c r="D399" s="2" t="s">
        <v>9</v>
      </c>
      <c r="E399" s="2" t="s">
        <v>10</v>
      </c>
      <c r="F399" s="2" t="s">
        <v>11</v>
      </c>
      <c r="G399" s="2" t="s">
        <v>12</v>
      </c>
      <c r="H399" s="2" t="s">
        <v>13</v>
      </c>
      <c r="I399" s="2" t="s">
        <v>14</v>
      </c>
      <c r="J399" s="2" t="s">
        <v>15</v>
      </c>
      <c r="K399" s="2" t="s">
        <v>16</v>
      </c>
      <c r="L399" s="2" t="s">
        <v>17</v>
      </c>
    </row>
    <row r="400" spans="1:12" x14ac:dyDescent="0.25">
      <c r="A400" s="3">
        <v>45695.237638888888</v>
      </c>
      <c r="B400" t="s">
        <v>43</v>
      </c>
      <c r="C400" s="3">
        <v>45695.245509259257</v>
      </c>
      <c r="D400" t="s">
        <v>161</v>
      </c>
      <c r="E400" s="4">
        <v>1.621</v>
      </c>
      <c r="F400" s="4">
        <v>407066.06199999998</v>
      </c>
      <c r="G400" s="4">
        <v>407067.68300000002</v>
      </c>
      <c r="H400" s="5">
        <f>219 / 86400</f>
        <v>2.5347222222222221E-3</v>
      </c>
      <c r="I400" t="s">
        <v>187</v>
      </c>
      <c r="J400" t="s">
        <v>71</v>
      </c>
      <c r="K400" s="5">
        <f>679 / 86400</f>
        <v>7.858796296296296E-3</v>
      </c>
      <c r="L400" s="5">
        <f>21356 / 86400</f>
        <v>0.24717592592592594</v>
      </c>
    </row>
    <row r="401" spans="1:12" x14ac:dyDescent="0.25">
      <c r="A401" s="3">
        <v>45695.255046296297</v>
      </c>
      <c r="B401" t="s">
        <v>161</v>
      </c>
      <c r="C401" s="3">
        <v>45695.431342592594</v>
      </c>
      <c r="D401" t="s">
        <v>152</v>
      </c>
      <c r="E401" s="4">
        <v>50.905999999999999</v>
      </c>
      <c r="F401" s="4">
        <v>407067.68300000002</v>
      </c>
      <c r="G401" s="4">
        <v>407118.58899999998</v>
      </c>
      <c r="H401" s="5">
        <f>6798 / 86400</f>
        <v>7.8680555555555559E-2</v>
      </c>
      <c r="I401" t="s">
        <v>44</v>
      </c>
      <c r="J401" t="s">
        <v>57</v>
      </c>
      <c r="K401" s="5">
        <f>15231 / 86400</f>
        <v>0.17628472222222222</v>
      </c>
      <c r="L401" s="5">
        <f>2415 / 86400</f>
        <v>2.795138888888889E-2</v>
      </c>
    </row>
    <row r="402" spans="1:12" x14ac:dyDescent="0.25">
      <c r="A402" s="3">
        <v>45695.459293981483</v>
      </c>
      <c r="B402" t="s">
        <v>152</v>
      </c>
      <c r="C402" s="3">
        <v>45695.609074074076</v>
      </c>
      <c r="D402" t="s">
        <v>128</v>
      </c>
      <c r="E402" s="4">
        <v>50.360999999999997</v>
      </c>
      <c r="F402" s="4">
        <v>407118.58899999998</v>
      </c>
      <c r="G402" s="4">
        <v>407168.95</v>
      </c>
      <c r="H402" s="5">
        <f>4900 / 86400</f>
        <v>5.6712962962962965E-2</v>
      </c>
      <c r="I402" t="s">
        <v>171</v>
      </c>
      <c r="J402" t="s">
        <v>34</v>
      </c>
      <c r="K402" s="5">
        <f>12941 / 86400</f>
        <v>0.14978009259259259</v>
      </c>
      <c r="L402" s="5">
        <f>2791 / 86400</f>
        <v>3.2303240740740743E-2</v>
      </c>
    </row>
    <row r="403" spans="1:12" x14ac:dyDescent="0.25">
      <c r="A403" s="3">
        <v>45695.641377314816</v>
      </c>
      <c r="B403" t="s">
        <v>128</v>
      </c>
      <c r="C403" s="3">
        <v>45695.641493055555</v>
      </c>
      <c r="D403" t="s">
        <v>128</v>
      </c>
      <c r="E403" s="4">
        <v>0</v>
      </c>
      <c r="F403" s="4">
        <v>407168.95</v>
      </c>
      <c r="G403" s="4">
        <v>407168.95</v>
      </c>
      <c r="H403" s="5">
        <f>0 / 86400</f>
        <v>0</v>
      </c>
      <c r="I403" t="s">
        <v>129</v>
      </c>
      <c r="J403" t="s">
        <v>129</v>
      </c>
      <c r="K403" s="5">
        <f>10 / 86400</f>
        <v>1.1574074074074075E-4</v>
      </c>
      <c r="L403" s="5">
        <f>937 / 86400</f>
        <v>1.0844907407407407E-2</v>
      </c>
    </row>
    <row r="404" spans="1:12" x14ac:dyDescent="0.25">
      <c r="A404" s="3">
        <v>45695.652337962965</v>
      </c>
      <c r="B404" t="s">
        <v>128</v>
      </c>
      <c r="C404" s="3">
        <v>45695.655081018514</v>
      </c>
      <c r="D404" t="s">
        <v>147</v>
      </c>
      <c r="E404" s="4">
        <v>5.0999999999999997E-2</v>
      </c>
      <c r="F404" s="4">
        <v>407168.95</v>
      </c>
      <c r="G404" s="4">
        <v>407169.00099999999</v>
      </c>
      <c r="H404" s="5">
        <f>179 / 86400</f>
        <v>2.0717592592592593E-3</v>
      </c>
      <c r="I404" t="s">
        <v>91</v>
      </c>
      <c r="J404" t="s">
        <v>127</v>
      </c>
      <c r="K404" s="5">
        <f>237 / 86400</f>
        <v>2.7430555555555554E-3</v>
      </c>
      <c r="L404" s="5">
        <f>771 / 86400</f>
        <v>8.9236111111111113E-3</v>
      </c>
    </row>
    <row r="405" spans="1:12" x14ac:dyDescent="0.25">
      <c r="A405" s="3">
        <v>45695.664004629631</v>
      </c>
      <c r="B405" t="s">
        <v>147</v>
      </c>
      <c r="C405" s="3">
        <v>45695.665254629625</v>
      </c>
      <c r="D405" t="s">
        <v>128</v>
      </c>
      <c r="E405" s="4">
        <v>7.6999999999999999E-2</v>
      </c>
      <c r="F405" s="4">
        <v>407169.00099999999</v>
      </c>
      <c r="G405" s="4">
        <v>407169.07799999998</v>
      </c>
      <c r="H405" s="5">
        <f>40 / 86400</f>
        <v>4.6296296296296298E-4</v>
      </c>
      <c r="I405" t="s">
        <v>126</v>
      </c>
      <c r="J405" t="s">
        <v>140</v>
      </c>
      <c r="K405" s="5">
        <f>107 / 86400</f>
        <v>1.238425925925926E-3</v>
      </c>
      <c r="L405" s="5">
        <f>907 / 86400</f>
        <v>1.0497685185185185E-2</v>
      </c>
    </row>
    <row r="406" spans="1:12" x14ac:dyDescent="0.25">
      <c r="A406" s="3">
        <v>45695.675752314812</v>
      </c>
      <c r="B406" t="s">
        <v>128</v>
      </c>
      <c r="C406" s="3">
        <v>45695.677210648151</v>
      </c>
      <c r="D406" t="s">
        <v>110</v>
      </c>
      <c r="E406" s="4">
        <v>0.187</v>
      </c>
      <c r="F406" s="4">
        <v>407169.07799999998</v>
      </c>
      <c r="G406" s="4">
        <v>407169.26500000001</v>
      </c>
      <c r="H406" s="5">
        <f>59 / 86400</f>
        <v>6.8287037037037036E-4</v>
      </c>
      <c r="I406" t="s">
        <v>45</v>
      </c>
      <c r="J406" t="s">
        <v>126</v>
      </c>
      <c r="K406" s="5">
        <f>125 / 86400</f>
        <v>1.4467592592592592E-3</v>
      </c>
      <c r="L406" s="5">
        <f>3 / 86400</f>
        <v>3.4722222222222222E-5</v>
      </c>
    </row>
    <row r="407" spans="1:12" x14ac:dyDescent="0.25">
      <c r="A407" s="3">
        <v>45695.677245370374</v>
      </c>
      <c r="B407" t="s">
        <v>110</v>
      </c>
      <c r="C407" s="3">
        <v>45695.678900462968</v>
      </c>
      <c r="D407" t="s">
        <v>110</v>
      </c>
      <c r="E407" s="4">
        <v>0</v>
      </c>
      <c r="F407" s="4">
        <v>407169.26500000001</v>
      </c>
      <c r="G407" s="4">
        <v>407169.26500000001</v>
      </c>
      <c r="H407" s="5">
        <f>134 / 86400</f>
        <v>1.5509259259259259E-3</v>
      </c>
      <c r="I407" t="s">
        <v>129</v>
      </c>
      <c r="J407" t="s">
        <v>129</v>
      </c>
      <c r="K407" s="5">
        <f>143 / 86400</f>
        <v>1.6550925925925926E-3</v>
      </c>
      <c r="L407" s="5">
        <f>363 / 86400</f>
        <v>4.2013888888888891E-3</v>
      </c>
    </row>
    <row r="408" spans="1:12" x14ac:dyDescent="0.25">
      <c r="A408" s="3">
        <v>45695.683101851857</v>
      </c>
      <c r="B408" t="s">
        <v>110</v>
      </c>
      <c r="C408" s="3">
        <v>45695.689097222217</v>
      </c>
      <c r="D408" t="s">
        <v>121</v>
      </c>
      <c r="E408" s="4">
        <v>0.88</v>
      </c>
      <c r="F408" s="4">
        <v>407169.26500000001</v>
      </c>
      <c r="G408" s="4">
        <v>407170.14500000002</v>
      </c>
      <c r="H408" s="5">
        <f>299 / 86400</f>
        <v>3.460648148148148E-3</v>
      </c>
      <c r="I408" t="s">
        <v>144</v>
      </c>
      <c r="J408" t="s">
        <v>132</v>
      </c>
      <c r="K408" s="5">
        <f>518 / 86400</f>
        <v>5.9953703703703705E-3</v>
      </c>
      <c r="L408" s="5">
        <f>112 / 86400</f>
        <v>1.2962962962962963E-3</v>
      </c>
    </row>
    <row r="409" spans="1:12" x14ac:dyDescent="0.25">
      <c r="A409" s="3">
        <v>45695.690393518518</v>
      </c>
      <c r="B409" t="s">
        <v>121</v>
      </c>
      <c r="C409" s="3">
        <v>45695.692997685182</v>
      </c>
      <c r="D409" t="s">
        <v>121</v>
      </c>
      <c r="E409" s="4">
        <v>0</v>
      </c>
      <c r="F409" s="4">
        <v>407170.14500000002</v>
      </c>
      <c r="G409" s="4">
        <v>407170.14500000002</v>
      </c>
      <c r="H409" s="5">
        <f>219 / 86400</f>
        <v>2.5347222222222221E-3</v>
      </c>
      <c r="I409" t="s">
        <v>129</v>
      </c>
      <c r="J409" t="s">
        <v>129</v>
      </c>
      <c r="K409" s="5">
        <f>225 / 86400</f>
        <v>2.6041666666666665E-3</v>
      </c>
      <c r="L409" s="5">
        <f>11 / 86400</f>
        <v>1.273148148148148E-4</v>
      </c>
    </row>
    <row r="410" spans="1:12" x14ac:dyDescent="0.25">
      <c r="A410" s="3">
        <v>45695.693125000005</v>
      </c>
      <c r="B410" t="s">
        <v>121</v>
      </c>
      <c r="C410" s="3">
        <v>45695.787048611106</v>
      </c>
      <c r="D410" t="s">
        <v>121</v>
      </c>
      <c r="E410" s="4">
        <v>0</v>
      </c>
      <c r="F410" s="4">
        <v>407170.14500000002</v>
      </c>
      <c r="G410" s="4">
        <v>407170.14500000002</v>
      </c>
      <c r="H410" s="5">
        <f>8103 / 86400</f>
        <v>9.3784722222222228E-2</v>
      </c>
      <c r="I410" t="s">
        <v>129</v>
      </c>
      <c r="J410" t="s">
        <v>129</v>
      </c>
      <c r="K410" s="5">
        <f>8115 / 86400</f>
        <v>9.392361111111111E-2</v>
      </c>
      <c r="L410" s="5">
        <f>45 / 86400</f>
        <v>5.2083333333333333E-4</v>
      </c>
    </row>
    <row r="411" spans="1:12" x14ac:dyDescent="0.25">
      <c r="A411" s="3">
        <v>45695.787569444445</v>
      </c>
      <c r="B411" t="s">
        <v>121</v>
      </c>
      <c r="C411" s="3">
        <v>45695.795798611114</v>
      </c>
      <c r="D411" t="s">
        <v>128</v>
      </c>
      <c r="E411" s="4">
        <v>1.085</v>
      </c>
      <c r="F411" s="4">
        <v>407170.14500000002</v>
      </c>
      <c r="G411" s="4">
        <v>407171.23</v>
      </c>
      <c r="H411" s="5">
        <f>440 / 86400</f>
        <v>5.092592592592593E-3</v>
      </c>
      <c r="I411" t="s">
        <v>137</v>
      </c>
      <c r="J411" t="s">
        <v>126</v>
      </c>
      <c r="K411" s="5">
        <f>711 / 86400</f>
        <v>8.2291666666666659E-3</v>
      </c>
      <c r="L411" s="5">
        <f>542 / 86400</f>
        <v>6.2731481481481484E-3</v>
      </c>
    </row>
    <row r="412" spans="1:12" x14ac:dyDescent="0.25">
      <c r="A412" s="3">
        <v>45695.802071759259</v>
      </c>
      <c r="B412" t="s">
        <v>128</v>
      </c>
      <c r="C412" s="3">
        <v>45695.807604166665</v>
      </c>
      <c r="D412" t="s">
        <v>43</v>
      </c>
      <c r="E412" s="4">
        <v>1.478</v>
      </c>
      <c r="F412" s="4">
        <v>407171.23</v>
      </c>
      <c r="G412" s="4">
        <v>407172.70799999998</v>
      </c>
      <c r="H412" s="5">
        <f>80 / 86400</f>
        <v>9.2592592592592596E-4</v>
      </c>
      <c r="I412" t="s">
        <v>212</v>
      </c>
      <c r="J412" t="s">
        <v>112</v>
      </c>
      <c r="K412" s="5">
        <f>477 / 86400</f>
        <v>5.5208333333333333E-3</v>
      </c>
      <c r="L412" s="5">
        <f>16622 / 86400</f>
        <v>0.19238425925925925</v>
      </c>
    </row>
    <row r="413" spans="1:12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 spans="1:12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 spans="1:12" s="10" customFormat="1" ht="20.100000000000001" customHeight="1" x14ac:dyDescent="0.35">
      <c r="A415" s="12" t="s">
        <v>398</v>
      </c>
      <c r="B415" s="12"/>
      <c r="C415" s="12"/>
      <c r="D415" s="12"/>
      <c r="E415" s="12"/>
      <c r="F415" s="12"/>
      <c r="G415" s="12"/>
      <c r="H415" s="12"/>
      <c r="I415" s="12"/>
      <c r="J415" s="12"/>
    </row>
    <row r="416" spans="1:12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 spans="1:12" ht="30" x14ac:dyDescent="0.25">
      <c r="A417" s="2" t="s">
        <v>6</v>
      </c>
      <c r="B417" s="2" t="s">
        <v>7</v>
      </c>
      <c r="C417" s="2" t="s">
        <v>8</v>
      </c>
      <c r="D417" s="2" t="s">
        <v>9</v>
      </c>
      <c r="E417" s="2" t="s">
        <v>10</v>
      </c>
      <c r="F417" s="2" t="s">
        <v>11</v>
      </c>
      <c r="G417" s="2" t="s">
        <v>12</v>
      </c>
      <c r="H417" s="2" t="s">
        <v>13</v>
      </c>
      <c r="I417" s="2" t="s">
        <v>14</v>
      </c>
      <c r="J417" s="2" t="s">
        <v>15</v>
      </c>
      <c r="K417" s="2" t="s">
        <v>16</v>
      </c>
      <c r="L417" s="2" t="s">
        <v>17</v>
      </c>
    </row>
    <row r="418" spans="1:12" x14ac:dyDescent="0.25">
      <c r="A418" s="3">
        <v>45695.215682870374</v>
      </c>
      <c r="B418" t="s">
        <v>46</v>
      </c>
      <c r="C418" s="3">
        <v>45695.288229166668</v>
      </c>
      <c r="D418" t="s">
        <v>156</v>
      </c>
      <c r="E418" s="4">
        <v>29.478000000000002</v>
      </c>
      <c r="F418" s="4">
        <v>436502.83600000001</v>
      </c>
      <c r="G418" s="4">
        <v>436532.31400000001</v>
      </c>
      <c r="H418" s="5">
        <f>2577 / 86400</f>
        <v>2.9826388888888888E-2</v>
      </c>
      <c r="I418" t="s">
        <v>44</v>
      </c>
      <c r="J418" t="s">
        <v>28</v>
      </c>
      <c r="K418" s="5">
        <f>6268 / 86400</f>
        <v>7.2546296296296303E-2</v>
      </c>
      <c r="L418" s="5">
        <f>18685 / 86400</f>
        <v>0.21626157407407406</v>
      </c>
    </row>
    <row r="419" spans="1:12" x14ac:dyDescent="0.25">
      <c r="A419" s="3">
        <v>45695.288807870369</v>
      </c>
      <c r="B419" t="s">
        <v>156</v>
      </c>
      <c r="C419" s="3">
        <v>45695.448969907404</v>
      </c>
      <c r="D419" t="s">
        <v>313</v>
      </c>
      <c r="E419" s="4">
        <v>42.655000000000001</v>
      </c>
      <c r="F419" s="4">
        <v>436532.31400000001</v>
      </c>
      <c r="G419" s="4">
        <v>436574.96899999998</v>
      </c>
      <c r="H419" s="5">
        <f>5960 / 86400</f>
        <v>6.8981481481481477E-2</v>
      </c>
      <c r="I419" t="s">
        <v>165</v>
      </c>
      <c r="J419" t="s">
        <v>112</v>
      </c>
      <c r="K419" s="5">
        <f>13837 / 86400</f>
        <v>0.16015046296296295</v>
      </c>
      <c r="L419" s="5">
        <f>113 / 86400</f>
        <v>1.3078703703703703E-3</v>
      </c>
    </row>
    <row r="420" spans="1:12" x14ac:dyDescent="0.25">
      <c r="A420" s="3">
        <v>45695.450277777782</v>
      </c>
      <c r="B420" t="s">
        <v>313</v>
      </c>
      <c r="C420" s="3">
        <v>45695.459756944445</v>
      </c>
      <c r="D420" t="s">
        <v>313</v>
      </c>
      <c r="E420" s="4">
        <v>5.7000000000000002E-2</v>
      </c>
      <c r="F420" s="4">
        <v>436574.96899999998</v>
      </c>
      <c r="G420" s="4">
        <v>436575.02600000001</v>
      </c>
      <c r="H420" s="5">
        <f>739 / 86400</f>
        <v>8.5532407407407415E-3</v>
      </c>
      <c r="I420" t="s">
        <v>126</v>
      </c>
      <c r="J420" t="s">
        <v>129</v>
      </c>
      <c r="K420" s="5">
        <f>818 / 86400</f>
        <v>9.4675925925925934E-3</v>
      </c>
      <c r="L420" s="5">
        <f>28 / 86400</f>
        <v>3.2407407407407406E-4</v>
      </c>
    </row>
    <row r="421" spans="1:12" x14ac:dyDescent="0.25">
      <c r="A421" s="3">
        <v>45695.460081018522</v>
      </c>
      <c r="B421" t="s">
        <v>313</v>
      </c>
      <c r="C421" s="3">
        <v>45695.547986111109</v>
      </c>
      <c r="D421" t="s">
        <v>147</v>
      </c>
      <c r="E421" s="4">
        <v>32.51</v>
      </c>
      <c r="F421" s="4">
        <v>436575.02600000001</v>
      </c>
      <c r="G421" s="4">
        <v>436607.53600000002</v>
      </c>
      <c r="H421" s="5">
        <f>2856 / 86400</f>
        <v>3.3055555555555553E-2</v>
      </c>
      <c r="I421" t="s">
        <v>39</v>
      </c>
      <c r="J421" t="s">
        <v>24</v>
      </c>
      <c r="K421" s="5">
        <f>7595 / 86400</f>
        <v>8.790509259259259E-2</v>
      </c>
      <c r="L421" s="5">
        <f>2761 / 86400</f>
        <v>3.1956018518518516E-2</v>
      </c>
    </row>
    <row r="422" spans="1:12" x14ac:dyDescent="0.25">
      <c r="A422" s="3">
        <v>45695.579942129625</v>
      </c>
      <c r="B422" t="s">
        <v>147</v>
      </c>
      <c r="C422" s="3">
        <v>45695.825509259259</v>
      </c>
      <c r="D422" t="s">
        <v>128</v>
      </c>
      <c r="E422" s="4">
        <v>93.894000000000005</v>
      </c>
      <c r="F422" s="4">
        <v>436607.53600000002</v>
      </c>
      <c r="G422" s="4">
        <v>436701.43</v>
      </c>
      <c r="H422" s="5">
        <f>7218 / 86400</f>
        <v>8.3541666666666667E-2</v>
      </c>
      <c r="I422" t="s">
        <v>182</v>
      </c>
      <c r="J422" t="s">
        <v>20</v>
      </c>
      <c r="K422" s="5">
        <f>21217 / 86400</f>
        <v>0.24556712962962962</v>
      </c>
      <c r="L422" s="5">
        <f>752 / 86400</f>
        <v>8.7037037037037031E-3</v>
      </c>
    </row>
    <row r="423" spans="1:12" x14ac:dyDescent="0.25">
      <c r="A423" s="3">
        <v>45695.83421296296</v>
      </c>
      <c r="B423" t="s">
        <v>128</v>
      </c>
      <c r="C423" s="3">
        <v>45695.835462962961</v>
      </c>
      <c r="D423" t="s">
        <v>128</v>
      </c>
      <c r="E423" s="4">
        <v>2.1999999999999999E-2</v>
      </c>
      <c r="F423" s="4">
        <v>436701.43</v>
      </c>
      <c r="G423" s="4">
        <v>436701.45199999999</v>
      </c>
      <c r="H423" s="5">
        <f>80 / 86400</f>
        <v>9.2592592592592596E-4</v>
      </c>
      <c r="I423" t="s">
        <v>126</v>
      </c>
      <c r="J423" t="s">
        <v>127</v>
      </c>
      <c r="K423" s="5">
        <f>107 / 86400</f>
        <v>1.238425925925926E-3</v>
      </c>
      <c r="L423" s="5">
        <f>3108 / 86400</f>
        <v>3.5972222222222225E-2</v>
      </c>
    </row>
    <row r="424" spans="1:12" x14ac:dyDescent="0.25">
      <c r="A424" s="3">
        <v>45695.871435185181</v>
      </c>
      <c r="B424" t="s">
        <v>147</v>
      </c>
      <c r="C424" s="3">
        <v>45695.874710648146</v>
      </c>
      <c r="D424" t="s">
        <v>46</v>
      </c>
      <c r="E424" s="4">
        <v>0.95099999999999996</v>
      </c>
      <c r="F424" s="4">
        <v>436701.45199999999</v>
      </c>
      <c r="G424" s="4">
        <v>436702.40299999999</v>
      </c>
      <c r="H424" s="5">
        <f>59 / 86400</f>
        <v>6.8287037037037036E-4</v>
      </c>
      <c r="I424" t="s">
        <v>137</v>
      </c>
      <c r="J424" t="s">
        <v>57</v>
      </c>
      <c r="K424" s="5">
        <f>282 / 86400</f>
        <v>3.2638888888888891E-3</v>
      </c>
      <c r="L424" s="5">
        <f>10824 / 86400</f>
        <v>0.12527777777777777</v>
      </c>
    </row>
    <row r="425" spans="1:12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 spans="1:12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 spans="1:12" s="10" customFormat="1" ht="20.100000000000001" customHeight="1" x14ac:dyDescent="0.35">
      <c r="A427" s="12" t="s">
        <v>399</v>
      </c>
      <c r="B427" s="12"/>
      <c r="C427" s="12"/>
      <c r="D427" s="12"/>
      <c r="E427" s="12"/>
      <c r="F427" s="12"/>
      <c r="G427" s="12"/>
      <c r="H427" s="12"/>
      <c r="I427" s="12"/>
      <c r="J427" s="12"/>
    </row>
    <row r="428" spans="1:12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 spans="1:12" ht="30" x14ac:dyDescent="0.25">
      <c r="A429" s="2" t="s">
        <v>6</v>
      </c>
      <c r="B429" s="2" t="s">
        <v>7</v>
      </c>
      <c r="C429" s="2" t="s">
        <v>8</v>
      </c>
      <c r="D429" s="2" t="s">
        <v>9</v>
      </c>
      <c r="E429" s="2" t="s">
        <v>10</v>
      </c>
      <c r="F429" s="2" t="s">
        <v>11</v>
      </c>
      <c r="G429" s="2" t="s">
        <v>12</v>
      </c>
      <c r="H429" s="2" t="s">
        <v>13</v>
      </c>
      <c r="I429" s="2" t="s">
        <v>14</v>
      </c>
      <c r="J429" s="2" t="s">
        <v>15</v>
      </c>
      <c r="K429" s="2" t="s">
        <v>16</v>
      </c>
      <c r="L429" s="2" t="s">
        <v>17</v>
      </c>
    </row>
    <row r="430" spans="1:12" x14ac:dyDescent="0.25">
      <c r="A430" s="3">
        <v>45695.131562499999</v>
      </c>
      <c r="B430" t="s">
        <v>21</v>
      </c>
      <c r="C430" s="3">
        <v>45695.133784722224</v>
      </c>
      <c r="D430" t="s">
        <v>110</v>
      </c>
      <c r="E430" s="4">
        <v>0.71499999999999997</v>
      </c>
      <c r="F430" s="4">
        <v>52890.3</v>
      </c>
      <c r="G430" s="4">
        <v>52891.014999999999</v>
      </c>
      <c r="H430" s="5">
        <f>20 / 86400</f>
        <v>2.3148148148148149E-4</v>
      </c>
      <c r="I430" t="s">
        <v>212</v>
      </c>
      <c r="J430" t="s">
        <v>53</v>
      </c>
      <c r="K430" s="5">
        <f>191 / 86400</f>
        <v>2.2106481481481482E-3</v>
      </c>
      <c r="L430" s="5">
        <f>11536 / 86400</f>
        <v>0.13351851851851851</v>
      </c>
    </row>
    <row r="431" spans="1:12" x14ac:dyDescent="0.25">
      <c r="A431" s="3">
        <v>45695.135740740741</v>
      </c>
      <c r="B431" t="s">
        <v>110</v>
      </c>
      <c r="C431" s="3">
        <v>45695.316307870366</v>
      </c>
      <c r="D431" t="s">
        <v>161</v>
      </c>
      <c r="E431" s="4">
        <v>106.898</v>
      </c>
      <c r="F431" s="4">
        <v>52891.014999999999</v>
      </c>
      <c r="G431" s="4">
        <v>52997.913</v>
      </c>
      <c r="H431" s="5">
        <f>3380 / 86400</f>
        <v>3.9120370370370368E-2</v>
      </c>
      <c r="I431" t="s">
        <v>47</v>
      </c>
      <c r="J431" t="s">
        <v>195</v>
      </c>
      <c r="K431" s="5">
        <f>15601 / 86400</f>
        <v>0.18056712962962962</v>
      </c>
      <c r="L431" s="5">
        <f>673 / 86400</f>
        <v>7.789351851851852E-3</v>
      </c>
    </row>
    <row r="432" spans="1:12" x14ac:dyDescent="0.25">
      <c r="A432" s="3">
        <v>45695.324097222227</v>
      </c>
      <c r="B432" t="s">
        <v>161</v>
      </c>
      <c r="C432" s="3">
        <v>45695.324687500004</v>
      </c>
      <c r="D432" t="s">
        <v>161</v>
      </c>
      <c r="E432" s="4">
        <v>0.06</v>
      </c>
      <c r="F432" s="4">
        <v>52997.913</v>
      </c>
      <c r="G432" s="4">
        <v>52997.972999999998</v>
      </c>
      <c r="H432" s="5">
        <f>0 / 86400</f>
        <v>0</v>
      </c>
      <c r="I432" t="s">
        <v>141</v>
      </c>
      <c r="J432" t="s">
        <v>82</v>
      </c>
      <c r="K432" s="5">
        <f>51 / 86400</f>
        <v>5.9027777777777778E-4</v>
      </c>
      <c r="L432" s="5">
        <f>123 / 86400</f>
        <v>1.4236111111111112E-3</v>
      </c>
    </row>
    <row r="433" spans="1:12" x14ac:dyDescent="0.25">
      <c r="A433" s="3">
        <v>45695.326111111106</v>
      </c>
      <c r="B433" t="s">
        <v>161</v>
      </c>
      <c r="C433" s="3">
        <v>45695.327256944445</v>
      </c>
      <c r="D433" t="s">
        <v>314</v>
      </c>
      <c r="E433" s="4">
        <v>0.38600000000000001</v>
      </c>
      <c r="F433" s="4">
        <v>52997.972999999998</v>
      </c>
      <c r="G433" s="4">
        <v>52998.358999999997</v>
      </c>
      <c r="H433" s="5">
        <f>0 / 86400</f>
        <v>0</v>
      </c>
      <c r="I433" t="s">
        <v>37</v>
      </c>
      <c r="J433" t="s">
        <v>34</v>
      </c>
      <c r="K433" s="5">
        <f>99 / 86400</f>
        <v>1.1458333333333333E-3</v>
      </c>
      <c r="L433" s="5">
        <f>781 / 86400</f>
        <v>9.0393518518518522E-3</v>
      </c>
    </row>
    <row r="434" spans="1:12" x14ac:dyDescent="0.25">
      <c r="A434" s="3">
        <v>45695.3362962963</v>
      </c>
      <c r="B434" t="s">
        <v>314</v>
      </c>
      <c r="C434" s="3">
        <v>45695.338263888887</v>
      </c>
      <c r="D434" t="s">
        <v>110</v>
      </c>
      <c r="E434" s="4">
        <v>0.71499999999999997</v>
      </c>
      <c r="F434" s="4">
        <v>52998.358999999997</v>
      </c>
      <c r="G434" s="4">
        <v>52999.074000000001</v>
      </c>
      <c r="H434" s="5">
        <f>20 / 86400</f>
        <v>2.3148148148148149E-4</v>
      </c>
      <c r="I434" t="s">
        <v>139</v>
      </c>
      <c r="J434" t="s">
        <v>24</v>
      </c>
      <c r="K434" s="5">
        <f>169 / 86400</f>
        <v>1.9560185185185184E-3</v>
      </c>
      <c r="L434" s="5">
        <f>161 / 86400</f>
        <v>1.8634259259259259E-3</v>
      </c>
    </row>
    <row r="435" spans="1:12" x14ac:dyDescent="0.25">
      <c r="A435" s="3">
        <v>45695.340127314819</v>
      </c>
      <c r="B435" t="s">
        <v>92</v>
      </c>
      <c r="C435" s="3">
        <v>45695.618379629625</v>
      </c>
      <c r="D435" t="s">
        <v>128</v>
      </c>
      <c r="E435" s="4">
        <v>99.995000000000005</v>
      </c>
      <c r="F435" s="4">
        <v>52999.074000000001</v>
      </c>
      <c r="G435" s="4">
        <v>53099.069000000003</v>
      </c>
      <c r="H435" s="5">
        <f>10076 / 86400</f>
        <v>0.11662037037037037</v>
      </c>
      <c r="I435" t="s">
        <v>55</v>
      </c>
      <c r="J435" t="s">
        <v>24</v>
      </c>
      <c r="K435" s="5">
        <f>24041 / 86400</f>
        <v>0.27825231481481483</v>
      </c>
      <c r="L435" s="5">
        <f>358 / 86400</f>
        <v>4.1435185185185186E-3</v>
      </c>
    </row>
    <row r="436" spans="1:12" x14ac:dyDescent="0.25">
      <c r="A436" s="3">
        <v>45695.622523148151</v>
      </c>
      <c r="B436" t="s">
        <v>128</v>
      </c>
      <c r="C436" s="3">
        <v>45695.623831018514</v>
      </c>
      <c r="D436" t="s">
        <v>110</v>
      </c>
      <c r="E436" s="4">
        <v>0.188</v>
      </c>
      <c r="F436" s="4">
        <v>53099.069000000003</v>
      </c>
      <c r="G436" s="4">
        <v>53099.256999999998</v>
      </c>
      <c r="H436" s="5">
        <f>39 / 86400</f>
        <v>4.5138888888888887E-4</v>
      </c>
      <c r="I436" t="s">
        <v>78</v>
      </c>
      <c r="J436" t="s">
        <v>132</v>
      </c>
      <c r="K436" s="5">
        <f>113 / 86400</f>
        <v>1.3078703703703703E-3</v>
      </c>
      <c r="L436" s="5">
        <f>255 / 86400</f>
        <v>2.9513888888888888E-3</v>
      </c>
    </row>
    <row r="437" spans="1:12" x14ac:dyDescent="0.25">
      <c r="A437" s="3">
        <v>45695.626782407402</v>
      </c>
      <c r="B437" t="s">
        <v>110</v>
      </c>
      <c r="C437" s="3">
        <v>45695.627662037034</v>
      </c>
      <c r="D437" t="s">
        <v>147</v>
      </c>
      <c r="E437" s="4">
        <v>0.17399999999999999</v>
      </c>
      <c r="F437" s="4">
        <v>53099.256999999998</v>
      </c>
      <c r="G437" s="4">
        <v>53099.430999999997</v>
      </c>
      <c r="H437" s="5">
        <f>20 / 86400</f>
        <v>2.3148148148148149E-4</v>
      </c>
      <c r="I437" t="s">
        <v>112</v>
      </c>
      <c r="J437" t="s">
        <v>141</v>
      </c>
      <c r="K437" s="5">
        <f>75 / 86400</f>
        <v>8.6805555555555551E-4</v>
      </c>
      <c r="L437" s="5">
        <f>101 / 86400</f>
        <v>1.1689814814814816E-3</v>
      </c>
    </row>
    <row r="438" spans="1:12" x14ac:dyDescent="0.25">
      <c r="A438" s="3">
        <v>45695.628831018519</v>
      </c>
      <c r="B438" t="s">
        <v>147</v>
      </c>
      <c r="C438" s="3">
        <v>45695.63003472222</v>
      </c>
      <c r="D438" t="s">
        <v>315</v>
      </c>
      <c r="E438" s="4">
        <v>0.26500000000000001</v>
      </c>
      <c r="F438" s="4">
        <v>53099.430999999997</v>
      </c>
      <c r="G438" s="4">
        <v>53099.696000000004</v>
      </c>
      <c r="H438" s="5">
        <f>0 / 86400</f>
        <v>0</v>
      </c>
      <c r="I438" t="s">
        <v>53</v>
      </c>
      <c r="J438" t="s">
        <v>71</v>
      </c>
      <c r="K438" s="5">
        <f>104 / 86400</f>
        <v>1.2037037037037038E-3</v>
      </c>
      <c r="L438" s="5">
        <f>698 / 86400</f>
        <v>8.0787037037037043E-3</v>
      </c>
    </row>
    <row r="439" spans="1:12" x14ac:dyDescent="0.25">
      <c r="A439" s="3">
        <v>45695.638113425928</v>
      </c>
      <c r="B439" t="s">
        <v>315</v>
      </c>
      <c r="C439" s="3">
        <v>45695.756122685183</v>
      </c>
      <c r="D439" t="s">
        <v>281</v>
      </c>
      <c r="E439" s="4">
        <v>47.046999999999997</v>
      </c>
      <c r="F439" s="4">
        <v>53099.696000000004</v>
      </c>
      <c r="G439" s="4">
        <v>53146.743000000002</v>
      </c>
      <c r="H439" s="5">
        <f>3319 / 86400</f>
        <v>3.8414351851851852E-2</v>
      </c>
      <c r="I439" t="s">
        <v>23</v>
      </c>
      <c r="J439" t="s">
        <v>28</v>
      </c>
      <c r="K439" s="5">
        <f>10196 / 86400</f>
        <v>0.11800925925925926</v>
      </c>
      <c r="L439" s="5">
        <f>88 / 86400</f>
        <v>1.0185185185185184E-3</v>
      </c>
    </row>
    <row r="440" spans="1:12" x14ac:dyDescent="0.25">
      <c r="A440" s="3">
        <v>45695.757141203707</v>
      </c>
      <c r="B440" t="s">
        <v>281</v>
      </c>
      <c r="C440" s="3">
        <v>45695.901006944448</v>
      </c>
      <c r="D440" t="s">
        <v>95</v>
      </c>
      <c r="E440" s="4">
        <v>47.167000000000002</v>
      </c>
      <c r="F440" s="4">
        <v>53146.743000000002</v>
      </c>
      <c r="G440" s="4">
        <v>53193.91</v>
      </c>
      <c r="H440" s="5">
        <f>4840 / 86400</f>
        <v>5.6018518518518516E-2</v>
      </c>
      <c r="I440" t="s">
        <v>111</v>
      </c>
      <c r="J440" t="s">
        <v>34</v>
      </c>
      <c r="K440" s="5">
        <f>12429 / 86400</f>
        <v>0.14385416666666667</v>
      </c>
      <c r="L440" s="5">
        <f>647 / 86400</f>
        <v>7.4884259259259262E-3</v>
      </c>
    </row>
    <row r="441" spans="1:12" x14ac:dyDescent="0.25">
      <c r="A441" s="3">
        <v>45695.908495370371</v>
      </c>
      <c r="B441" t="s">
        <v>95</v>
      </c>
      <c r="C441" s="3">
        <v>45695.910810185189</v>
      </c>
      <c r="D441" t="s">
        <v>21</v>
      </c>
      <c r="E441" s="4">
        <v>0.28999999999999998</v>
      </c>
      <c r="F441" s="4">
        <v>53193.91</v>
      </c>
      <c r="G441" s="4">
        <v>53194.2</v>
      </c>
      <c r="H441" s="5">
        <f>60 / 86400</f>
        <v>6.9444444444444447E-4</v>
      </c>
      <c r="I441" t="s">
        <v>34</v>
      </c>
      <c r="J441" t="s">
        <v>126</v>
      </c>
      <c r="K441" s="5">
        <f>200 / 86400</f>
        <v>2.3148148148148147E-3</v>
      </c>
      <c r="L441" s="5">
        <f>81 / 86400</f>
        <v>9.3749999999999997E-4</v>
      </c>
    </row>
    <row r="442" spans="1:12" x14ac:dyDescent="0.25">
      <c r="A442" s="3">
        <v>45695.911747685182</v>
      </c>
      <c r="B442" t="s">
        <v>21</v>
      </c>
      <c r="C442" s="3">
        <v>45695.911851851852</v>
      </c>
      <c r="D442" t="s">
        <v>21</v>
      </c>
      <c r="E442" s="4">
        <v>2E-3</v>
      </c>
      <c r="F442" s="4">
        <v>53194.2</v>
      </c>
      <c r="G442" s="4">
        <v>53194.201999999997</v>
      </c>
      <c r="H442" s="5">
        <f>0 / 86400</f>
        <v>0</v>
      </c>
      <c r="I442" t="s">
        <v>129</v>
      </c>
      <c r="J442" t="s">
        <v>127</v>
      </c>
      <c r="K442" s="5">
        <f>8 / 86400</f>
        <v>9.2592592592592588E-5</v>
      </c>
      <c r="L442" s="5">
        <f>7615 / 86400</f>
        <v>8.8136574074074076E-2</v>
      </c>
    </row>
    <row r="443" spans="1:12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 spans="1:12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 spans="1:12" s="10" customFormat="1" ht="20.100000000000001" customHeight="1" x14ac:dyDescent="0.35">
      <c r="A445" s="12" t="s">
        <v>400</v>
      </c>
      <c r="B445" s="12"/>
      <c r="C445" s="12"/>
      <c r="D445" s="12"/>
      <c r="E445" s="12"/>
      <c r="F445" s="12"/>
      <c r="G445" s="12"/>
      <c r="H445" s="12"/>
      <c r="I445" s="12"/>
      <c r="J445" s="12"/>
    </row>
    <row r="446" spans="1:12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 spans="1:12" ht="30" x14ac:dyDescent="0.25">
      <c r="A447" s="2" t="s">
        <v>6</v>
      </c>
      <c r="B447" s="2" t="s">
        <v>7</v>
      </c>
      <c r="C447" s="2" t="s">
        <v>8</v>
      </c>
      <c r="D447" s="2" t="s">
        <v>9</v>
      </c>
      <c r="E447" s="2" t="s">
        <v>10</v>
      </c>
      <c r="F447" s="2" t="s">
        <v>11</v>
      </c>
      <c r="G447" s="2" t="s">
        <v>12</v>
      </c>
      <c r="H447" s="2" t="s">
        <v>13</v>
      </c>
      <c r="I447" s="2" t="s">
        <v>14</v>
      </c>
      <c r="J447" s="2" t="s">
        <v>15</v>
      </c>
      <c r="K447" s="2" t="s">
        <v>16</v>
      </c>
      <c r="L447" s="2" t="s">
        <v>17</v>
      </c>
    </row>
    <row r="448" spans="1:12" x14ac:dyDescent="0.25">
      <c r="A448" s="3">
        <v>45695.210844907408</v>
      </c>
      <c r="B448" t="s">
        <v>48</v>
      </c>
      <c r="C448" s="3">
        <v>45695.210914351846</v>
      </c>
      <c r="D448" t="s">
        <v>48</v>
      </c>
      <c r="E448" s="4">
        <v>0</v>
      </c>
      <c r="F448" s="4">
        <v>214766.76500000001</v>
      </c>
      <c r="G448" s="4">
        <v>214766.76500000001</v>
      </c>
      <c r="H448" s="5">
        <f>0 / 86400</f>
        <v>0</v>
      </c>
      <c r="I448" t="s">
        <v>129</v>
      </c>
      <c r="J448" t="s">
        <v>129</v>
      </c>
      <c r="K448" s="5">
        <f>5 / 86400</f>
        <v>5.7870370370370373E-5</v>
      </c>
      <c r="L448" s="5">
        <f>18579 / 86400</f>
        <v>0.21503472222222222</v>
      </c>
    </row>
    <row r="449" spans="1:12" x14ac:dyDescent="0.25">
      <c r="A449" s="3">
        <v>45695.215104166666</v>
      </c>
      <c r="B449" t="s">
        <v>48</v>
      </c>
      <c r="C449" s="3">
        <v>45695.215219907404</v>
      </c>
      <c r="D449" t="s">
        <v>48</v>
      </c>
      <c r="E449" s="4">
        <v>0</v>
      </c>
      <c r="F449" s="4">
        <v>214766.76500000001</v>
      </c>
      <c r="G449" s="4">
        <v>214766.76500000001</v>
      </c>
      <c r="H449" s="5">
        <f>0 / 86400</f>
        <v>0</v>
      </c>
      <c r="I449" t="s">
        <v>129</v>
      </c>
      <c r="J449" t="s">
        <v>129</v>
      </c>
      <c r="K449" s="5">
        <f>10 / 86400</f>
        <v>1.1574074074074075E-4</v>
      </c>
      <c r="L449" s="5">
        <f>1181 / 86400</f>
        <v>1.3668981481481482E-2</v>
      </c>
    </row>
    <row r="450" spans="1:12" x14ac:dyDescent="0.25">
      <c r="A450" s="3">
        <v>45695.228888888887</v>
      </c>
      <c r="B450" t="s">
        <v>48</v>
      </c>
      <c r="C450" s="3">
        <v>45695.238611111112</v>
      </c>
      <c r="D450" t="s">
        <v>316</v>
      </c>
      <c r="E450" s="4">
        <v>1.585</v>
      </c>
      <c r="F450" s="4">
        <v>214766.76500000001</v>
      </c>
      <c r="G450" s="4">
        <v>214768.35</v>
      </c>
      <c r="H450" s="5">
        <f>399 / 86400</f>
        <v>4.6180555555555558E-3</v>
      </c>
      <c r="I450" t="s">
        <v>143</v>
      </c>
      <c r="J450" t="s">
        <v>91</v>
      </c>
      <c r="K450" s="5">
        <f>840 / 86400</f>
        <v>9.7222222222222224E-3</v>
      </c>
      <c r="L450" s="5">
        <f>911 / 86400</f>
        <v>1.0543981481481482E-2</v>
      </c>
    </row>
    <row r="451" spans="1:12" x14ac:dyDescent="0.25">
      <c r="A451" s="3">
        <v>45695.249155092592</v>
      </c>
      <c r="B451" t="s">
        <v>316</v>
      </c>
      <c r="C451" s="3">
        <v>45695.556458333333</v>
      </c>
      <c r="D451" t="s">
        <v>128</v>
      </c>
      <c r="E451" s="4">
        <v>100.28400000000001</v>
      </c>
      <c r="F451" s="4">
        <v>214768.35</v>
      </c>
      <c r="G451" s="4">
        <v>214868.63399999999</v>
      </c>
      <c r="H451" s="5">
        <f>10892 / 86400</f>
        <v>0.12606481481481482</v>
      </c>
      <c r="I451" t="s">
        <v>32</v>
      </c>
      <c r="J451" t="s">
        <v>34</v>
      </c>
      <c r="K451" s="5">
        <f>26551 / 86400</f>
        <v>0.30730324074074072</v>
      </c>
      <c r="L451" s="5">
        <f>6 / 86400</f>
        <v>6.9444444444444444E-5</v>
      </c>
    </row>
    <row r="452" spans="1:12" x14ac:dyDescent="0.25">
      <c r="A452" s="3">
        <v>45695.556527777779</v>
      </c>
      <c r="B452" t="s">
        <v>128</v>
      </c>
      <c r="C452" s="3">
        <v>45695.858506944445</v>
      </c>
      <c r="D452" t="s">
        <v>128</v>
      </c>
      <c r="E452" s="4">
        <v>101.858</v>
      </c>
      <c r="F452" s="4">
        <v>214868.63399999999</v>
      </c>
      <c r="G452" s="4">
        <v>214970.492</v>
      </c>
      <c r="H452" s="5">
        <f>10148 / 86400</f>
        <v>0.1174537037037037</v>
      </c>
      <c r="I452" t="s">
        <v>85</v>
      </c>
      <c r="J452" t="s">
        <v>34</v>
      </c>
      <c r="K452" s="5">
        <f>26090 / 86400</f>
        <v>0.30196759259259259</v>
      </c>
      <c r="L452" s="5">
        <f>705 / 86400</f>
        <v>8.1597222222222227E-3</v>
      </c>
    </row>
    <row r="453" spans="1:12" x14ac:dyDescent="0.25">
      <c r="A453" s="3">
        <v>45695.866666666669</v>
      </c>
      <c r="B453" t="s">
        <v>128</v>
      </c>
      <c r="C453" s="3">
        <v>45695.871053240742</v>
      </c>
      <c r="D453" t="s">
        <v>48</v>
      </c>
      <c r="E453" s="4">
        <v>0.90200000000000002</v>
      </c>
      <c r="F453" s="4">
        <v>214970.492</v>
      </c>
      <c r="G453" s="4">
        <v>214971.394</v>
      </c>
      <c r="H453" s="5">
        <f>120 / 86400</f>
        <v>1.3888888888888889E-3</v>
      </c>
      <c r="I453" t="s">
        <v>212</v>
      </c>
      <c r="J453" t="s">
        <v>71</v>
      </c>
      <c r="K453" s="5">
        <f>379 / 86400</f>
        <v>4.386574074074074E-3</v>
      </c>
      <c r="L453" s="5">
        <f>13 / 86400</f>
        <v>1.5046296296296297E-4</v>
      </c>
    </row>
    <row r="454" spans="1:12" x14ac:dyDescent="0.25">
      <c r="A454" s="3">
        <v>45695.871203703704</v>
      </c>
      <c r="B454" t="s">
        <v>48</v>
      </c>
      <c r="C454" s="3">
        <v>45695.871388888889</v>
      </c>
      <c r="D454" t="s">
        <v>48</v>
      </c>
      <c r="E454" s="4">
        <v>0</v>
      </c>
      <c r="F454" s="4">
        <v>214971.394</v>
      </c>
      <c r="G454" s="4">
        <v>214971.394</v>
      </c>
      <c r="H454" s="5">
        <f>0 / 86400</f>
        <v>0</v>
      </c>
      <c r="I454" t="s">
        <v>129</v>
      </c>
      <c r="J454" t="s">
        <v>129</v>
      </c>
      <c r="K454" s="5">
        <f>15 / 86400</f>
        <v>1.7361111111111112E-4</v>
      </c>
      <c r="L454" s="5">
        <f>11111 / 86400</f>
        <v>0.12859953703703703</v>
      </c>
    </row>
    <row r="455" spans="1:12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 spans="1:12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 spans="1:12" s="10" customFormat="1" ht="20.100000000000001" customHeight="1" x14ac:dyDescent="0.35">
      <c r="A457" s="12" t="s">
        <v>401</v>
      </c>
      <c r="B457" s="12"/>
      <c r="C457" s="12"/>
      <c r="D457" s="12"/>
      <c r="E457" s="12"/>
      <c r="F457" s="12"/>
      <c r="G457" s="12"/>
      <c r="H457" s="12"/>
      <c r="I457" s="12"/>
      <c r="J457" s="12"/>
    </row>
    <row r="458" spans="1:12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 spans="1:12" ht="30" x14ac:dyDescent="0.25">
      <c r="A459" s="2" t="s">
        <v>6</v>
      </c>
      <c r="B459" s="2" t="s">
        <v>7</v>
      </c>
      <c r="C459" s="2" t="s">
        <v>8</v>
      </c>
      <c r="D459" s="2" t="s">
        <v>9</v>
      </c>
      <c r="E459" s="2" t="s">
        <v>10</v>
      </c>
      <c r="F459" s="2" t="s">
        <v>11</v>
      </c>
      <c r="G459" s="2" t="s">
        <v>12</v>
      </c>
      <c r="H459" s="2" t="s">
        <v>13</v>
      </c>
      <c r="I459" s="2" t="s">
        <v>14</v>
      </c>
      <c r="J459" s="2" t="s">
        <v>15</v>
      </c>
      <c r="K459" s="2" t="s">
        <v>16</v>
      </c>
      <c r="L459" s="2" t="s">
        <v>17</v>
      </c>
    </row>
    <row r="460" spans="1:12" x14ac:dyDescent="0.25">
      <c r="A460" s="3">
        <v>45695.262071759258</v>
      </c>
      <c r="B460" t="s">
        <v>49</v>
      </c>
      <c r="C460" s="3">
        <v>45695.270925925928</v>
      </c>
      <c r="D460" t="s">
        <v>173</v>
      </c>
      <c r="E460" s="4">
        <v>1.6240000000000001</v>
      </c>
      <c r="F460" s="4">
        <v>524060.89899999998</v>
      </c>
      <c r="G460" s="4">
        <v>524062.52299999999</v>
      </c>
      <c r="H460" s="5">
        <f>359 / 86400</f>
        <v>4.1550925925925922E-3</v>
      </c>
      <c r="I460" t="s">
        <v>317</v>
      </c>
      <c r="J460" t="s">
        <v>141</v>
      </c>
      <c r="K460" s="5">
        <f>765 / 86400</f>
        <v>8.8541666666666664E-3</v>
      </c>
      <c r="L460" s="5">
        <f>25226 / 86400</f>
        <v>0.29196759259259258</v>
      </c>
    </row>
    <row r="461" spans="1:12" x14ac:dyDescent="0.25">
      <c r="A461" s="3">
        <v>45695.300821759258</v>
      </c>
      <c r="B461" t="s">
        <v>38</v>
      </c>
      <c r="C461" s="3">
        <v>45695.360659722224</v>
      </c>
      <c r="D461" t="s">
        <v>166</v>
      </c>
      <c r="E461" s="4">
        <v>9.9469999999999992</v>
      </c>
      <c r="F461" s="4">
        <v>524062.52299999999</v>
      </c>
      <c r="G461" s="4">
        <v>524072.47</v>
      </c>
      <c r="H461" s="5">
        <f>3621 / 86400</f>
        <v>4.1909722222222223E-2</v>
      </c>
      <c r="I461" t="s">
        <v>159</v>
      </c>
      <c r="J461" t="s">
        <v>91</v>
      </c>
      <c r="K461" s="5">
        <f>5170 / 86400</f>
        <v>5.9837962962962961E-2</v>
      </c>
      <c r="L461" s="5">
        <f>69 / 86400</f>
        <v>7.9861111111111116E-4</v>
      </c>
    </row>
    <row r="462" spans="1:12" x14ac:dyDescent="0.25">
      <c r="A462" s="3">
        <v>45695.361458333333</v>
      </c>
      <c r="B462" t="s">
        <v>166</v>
      </c>
      <c r="C462" s="3">
        <v>45695.422280092593</v>
      </c>
      <c r="D462" t="s">
        <v>265</v>
      </c>
      <c r="E462" s="4">
        <v>20.555</v>
      </c>
      <c r="F462" s="4">
        <v>524072.47</v>
      </c>
      <c r="G462" s="4">
        <v>524093.02500000002</v>
      </c>
      <c r="H462" s="5">
        <f>1799 / 86400</f>
        <v>2.0821759259259259E-2</v>
      </c>
      <c r="I462" t="s">
        <v>39</v>
      </c>
      <c r="J462" t="s">
        <v>34</v>
      </c>
      <c r="K462" s="5">
        <f>5255 / 86400</f>
        <v>6.0821759259259256E-2</v>
      </c>
      <c r="L462" s="5">
        <f>258 / 86400</f>
        <v>2.9861111111111113E-3</v>
      </c>
    </row>
    <row r="463" spans="1:12" x14ac:dyDescent="0.25">
      <c r="A463" s="3">
        <v>45695.425266203703</v>
      </c>
      <c r="B463" t="s">
        <v>265</v>
      </c>
      <c r="C463" s="3">
        <v>45695.641585648147</v>
      </c>
      <c r="D463" t="s">
        <v>265</v>
      </c>
      <c r="E463" s="4">
        <v>71.632999999999996</v>
      </c>
      <c r="F463" s="4">
        <v>524093.02500000002</v>
      </c>
      <c r="G463" s="4">
        <v>524164.658</v>
      </c>
      <c r="H463" s="5">
        <f>7788 / 86400</f>
        <v>9.0138888888888893E-2</v>
      </c>
      <c r="I463" t="s">
        <v>50</v>
      </c>
      <c r="J463" t="s">
        <v>34</v>
      </c>
      <c r="K463" s="5">
        <f>18689 / 86400</f>
        <v>0.21630787037037036</v>
      </c>
      <c r="L463" s="5">
        <f>401 / 86400</f>
        <v>4.6412037037037038E-3</v>
      </c>
    </row>
    <row r="464" spans="1:12" x14ac:dyDescent="0.25">
      <c r="A464" s="3">
        <v>45695.646226851852</v>
      </c>
      <c r="B464" t="s">
        <v>265</v>
      </c>
      <c r="C464" s="3">
        <v>45695.7893287037</v>
      </c>
      <c r="D464" t="s">
        <v>128</v>
      </c>
      <c r="E464" s="4">
        <v>50.56</v>
      </c>
      <c r="F464" s="4">
        <v>524164.658</v>
      </c>
      <c r="G464" s="4">
        <v>524215.21799999999</v>
      </c>
      <c r="H464" s="5">
        <f>3819 / 86400</f>
        <v>4.4201388888888887E-2</v>
      </c>
      <c r="I464" t="s">
        <v>50</v>
      </c>
      <c r="J464" t="s">
        <v>24</v>
      </c>
      <c r="K464" s="5">
        <f>12364 / 86400</f>
        <v>0.14310185185185184</v>
      </c>
      <c r="L464" s="5">
        <f>543 / 86400</f>
        <v>6.2847222222222219E-3</v>
      </c>
    </row>
    <row r="465" spans="1:12" x14ac:dyDescent="0.25">
      <c r="A465" s="3">
        <v>45695.795613425929</v>
      </c>
      <c r="B465" t="s">
        <v>128</v>
      </c>
      <c r="C465" s="3">
        <v>45695.836562500001</v>
      </c>
      <c r="D465" t="s">
        <v>49</v>
      </c>
      <c r="E465" s="4">
        <v>19.658000000000001</v>
      </c>
      <c r="F465" s="4">
        <v>524215.21799999999</v>
      </c>
      <c r="G465" s="4">
        <v>524234.87599999999</v>
      </c>
      <c r="H465" s="5">
        <f>1079 / 86400</f>
        <v>1.2488425925925925E-2</v>
      </c>
      <c r="I465" t="s">
        <v>318</v>
      </c>
      <c r="J465" t="s">
        <v>78</v>
      </c>
      <c r="K465" s="5">
        <f>3538 / 86400</f>
        <v>4.0949074074074075E-2</v>
      </c>
      <c r="L465" s="5">
        <f>14120 / 86400</f>
        <v>0.16342592592592592</v>
      </c>
    </row>
    <row r="466" spans="1:12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 spans="1:12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 spans="1:12" s="10" customFormat="1" ht="20.100000000000001" customHeight="1" x14ac:dyDescent="0.35">
      <c r="A468" s="12" t="s">
        <v>402</v>
      </c>
      <c r="B468" s="12"/>
      <c r="C468" s="12"/>
      <c r="D468" s="12"/>
      <c r="E468" s="12"/>
      <c r="F468" s="12"/>
      <c r="G468" s="12"/>
      <c r="H468" s="12"/>
      <c r="I468" s="12"/>
      <c r="J468" s="12"/>
    </row>
    <row r="469" spans="1:12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 spans="1:12" ht="30" x14ac:dyDescent="0.25">
      <c r="A470" s="2" t="s">
        <v>6</v>
      </c>
      <c r="B470" s="2" t="s">
        <v>7</v>
      </c>
      <c r="C470" s="2" t="s">
        <v>8</v>
      </c>
      <c r="D470" s="2" t="s">
        <v>9</v>
      </c>
      <c r="E470" s="2" t="s">
        <v>10</v>
      </c>
      <c r="F470" s="2" t="s">
        <v>11</v>
      </c>
      <c r="G470" s="2" t="s">
        <v>12</v>
      </c>
      <c r="H470" s="2" t="s">
        <v>13</v>
      </c>
      <c r="I470" s="2" t="s">
        <v>14</v>
      </c>
      <c r="J470" s="2" t="s">
        <v>15</v>
      </c>
      <c r="K470" s="2" t="s">
        <v>16</v>
      </c>
      <c r="L470" s="2" t="s">
        <v>17</v>
      </c>
    </row>
    <row r="471" spans="1:12" x14ac:dyDescent="0.25">
      <c r="A471" s="3">
        <v>45695.25236111111</v>
      </c>
      <c r="B471" t="s">
        <v>51</v>
      </c>
      <c r="C471" s="3">
        <v>45695.256238425922</v>
      </c>
      <c r="D471" t="s">
        <v>319</v>
      </c>
      <c r="E471" s="4">
        <v>0.33900000000000002</v>
      </c>
      <c r="F471" s="4">
        <v>424942.78899999999</v>
      </c>
      <c r="G471" s="4">
        <v>424943.12800000003</v>
      </c>
      <c r="H471" s="5">
        <f>219 / 86400</f>
        <v>2.5347222222222221E-3</v>
      </c>
      <c r="I471" t="s">
        <v>20</v>
      </c>
      <c r="J471" t="s">
        <v>82</v>
      </c>
      <c r="K471" s="5">
        <f>335 / 86400</f>
        <v>3.8773148148148148E-3</v>
      </c>
      <c r="L471" s="5">
        <f>22191 / 86400</f>
        <v>0.25684027777777779</v>
      </c>
    </row>
    <row r="472" spans="1:12" x14ac:dyDescent="0.25">
      <c r="A472" s="3">
        <v>45695.260717592595</v>
      </c>
      <c r="B472" t="s">
        <v>319</v>
      </c>
      <c r="C472" s="3">
        <v>45695.360787037032</v>
      </c>
      <c r="D472" t="s">
        <v>147</v>
      </c>
      <c r="E472" s="4">
        <v>45.975999999999999</v>
      </c>
      <c r="F472" s="4">
        <v>424943.12800000003</v>
      </c>
      <c r="G472" s="4">
        <v>424989.10399999999</v>
      </c>
      <c r="H472" s="5">
        <f>2324 / 86400</f>
        <v>2.6898148148148147E-2</v>
      </c>
      <c r="I472" t="s">
        <v>39</v>
      </c>
      <c r="J472" t="s">
        <v>90</v>
      </c>
      <c r="K472" s="5">
        <f>8646 / 86400</f>
        <v>0.10006944444444445</v>
      </c>
      <c r="L472" s="5">
        <f>1014 / 86400</f>
        <v>1.173611111111111E-2</v>
      </c>
    </row>
    <row r="473" spans="1:12" x14ac:dyDescent="0.25">
      <c r="A473" s="3">
        <v>45695.372523148151</v>
      </c>
      <c r="B473" t="s">
        <v>147</v>
      </c>
      <c r="C473" s="3">
        <v>45695.374594907407</v>
      </c>
      <c r="D473" t="s">
        <v>147</v>
      </c>
      <c r="E473" s="4">
        <v>0.193</v>
      </c>
      <c r="F473" s="4">
        <v>424989.10399999999</v>
      </c>
      <c r="G473" s="4">
        <v>424989.29700000002</v>
      </c>
      <c r="H473" s="5">
        <f>0 / 86400</f>
        <v>0</v>
      </c>
      <c r="I473" t="s">
        <v>57</v>
      </c>
      <c r="J473" t="s">
        <v>82</v>
      </c>
      <c r="K473" s="5">
        <f>178 / 86400</f>
        <v>2.0601851851851853E-3</v>
      </c>
      <c r="L473" s="5">
        <f>1203 / 86400</f>
        <v>1.3923611111111111E-2</v>
      </c>
    </row>
    <row r="474" spans="1:12" x14ac:dyDescent="0.25">
      <c r="A474" s="3">
        <v>45695.388518518521</v>
      </c>
      <c r="B474" t="s">
        <v>147</v>
      </c>
      <c r="C474" s="3">
        <v>45695.391944444447</v>
      </c>
      <c r="D474" t="s">
        <v>161</v>
      </c>
      <c r="E474" s="4">
        <v>1.246</v>
      </c>
      <c r="F474" s="4">
        <v>424989.29700000002</v>
      </c>
      <c r="G474" s="4">
        <v>424990.54300000001</v>
      </c>
      <c r="H474" s="5">
        <f>20 / 86400</f>
        <v>2.3148148148148149E-4</v>
      </c>
      <c r="I474" t="s">
        <v>195</v>
      </c>
      <c r="J474" t="s">
        <v>24</v>
      </c>
      <c r="K474" s="5">
        <f>295 / 86400</f>
        <v>3.414351851851852E-3</v>
      </c>
      <c r="L474" s="5">
        <f>1150 / 86400</f>
        <v>1.3310185185185185E-2</v>
      </c>
    </row>
    <row r="475" spans="1:12" x14ac:dyDescent="0.25">
      <c r="A475" s="3">
        <v>45695.40525462963</v>
      </c>
      <c r="B475" t="s">
        <v>161</v>
      </c>
      <c r="C475" s="3">
        <v>45695.530798611115</v>
      </c>
      <c r="D475" t="s">
        <v>320</v>
      </c>
      <c r="E475" s="4">
        <v>51.890999999999998</v>
      </c>
      <c r="F475" s="4">
        <v>424990.54300000001</v>
      </c>
      <c r="G475" s="4">
        <v>425042.43400000001</v>
      </c>
      <c r="H475" s="5">
        <f>3657 / 86400</f>
        <v>4.2326388888888886E-2</v>
      </c>
      <c r="I475" t="s">
        <v>30</v>
      </c>
      <c r="J475" t="s">
        <v>28</v>
      </c>
      <c r="K475" s="5">
        <f>10846 / 86400</f>
        <v>0.1255324074074074</v>
      </c>
      <c r="L475" s="5">
        <f>455 / 86400</f>
        <v>5.2662037037037035E-3</v>
      </c>
    </row>
    <row r="476" spans="1:12" x14ac:dyDescent="0.25">
      <c r="A476" s="3">
        <v>45695.53606481482</v>
      </c>
      <c r="B476" t="s">
        <v>320</v>
      </c>
      <c r="C476" s="3">
        <v>45695.666701388887</v>
      </c>
      <c r="D476" t="s">
        <v>128</v>
      </c>
      <c r="E476" s="4">
        <v>50.598999999999997</v>
      </c>
      <c r="F476" s="4">
        <v>425042.43400000001</v>
      </c>
      <c r="G476" s="4">
        <v>425093.033</v>
      </c>
      <c r="H476" s="5">
        <f>3560 / 86400</f>
        <v>4.1203703703703701E-2</v>
      </c>
      <c r="I476" t="s">
        <v>165</v>
      </c>
      <c r="J476" t="s">
        <v>20</v>
      </c>
      <c r="K476" s="5">
        <f>11286 / 86400</f>
        <v>0.13062499999999999</v>
      </c>
      <c r="L476" s="5">
        <f>585 / 86400</f>
        <v>6.7708333333333336E-3</v>
      </c>
    </row>
    <row r="477" spans="1:12" x14ac:dyDescent="0.25">
      <c r="A477" s="3">
        <v>45695.673472222217</v>
      </c>
      <c r="B477" t="s">
        <v>128</v>
      </c>
      <c r="C477" s="3">
        <v>45695.674490740741</v>
      </c>
      <c r="D477" t="s">
        <v>128</v>
      </c>
      <c r="E477" s="4">
        <v>2.5000000000000001E-2</v>
      </c>
      <c r="F477" s="4">
        <v>425093.033</v>
      </c>
      <c r="G477" s="4">
        <v>425093.05800000002</v>
      </c>
      <c r="H477" s="5">
        <f>40 / 86400</f>
        <v>4.6296296296296298E-4</v>
      </c>
      <c r="I477" t="s">
        <v>132</v>
      </c>
      <c r="J477" t="s">
        <v>127</v>
      </c>
      <c r="K477" s="5">
        <f>87 / 86400</f>
        <v>1.0069444444444444E-3</v>
      </c>
      <c r="L477" s="5">
        <f>530 / 86400</f>
        <v>6.1342592592592594E-3</v>
      </c>
    </row>
    <row r="478" spans="1:12" x14ac:dyDescent="0.25">
      <c r="A478" s="3">
        <v>45695.680625000001</v>
      </c>
      <c r="B478" t="s">
        <v>128</v>
      </c>
      <c r="C478" s="3">
        <v>45695.681446759263</v>
      </c>
      <c r="D478" t="s">
        <v>128</v>
      </c>
      <c r="E478" s="4">
        <v>1.7000000000000001E-2</v>
      </c>
      <c r="F478" s="4">
        <v>425093.05800000002</v>
      </c>
      <c r="G478" s="4">
        <v>425093.07500000001</v>
      </c>
      <c r="H478" s="5">
        <f>40 / 86400</f>
        <v>4.6296296296296298E-4</v>
      </c>
      <c r="I478" t="s">
        <v>87</v>
      </c>
      <c r="J478" t="s">
        <v>127</v>
      </c>
      <c r="K478" s="5">
        <f>70 / 86400</f>
        <v>8.1018518518518516E-4</v>
      </c>
      <c r="L478" s="5">
        <f>361 / 86400</f>
        <v>4.178240740740741E-3</v>
      </c>
    </row>
    <row r="479" spans="1:12" x14ac:dyDescent="0.25">
      <c r="A479" s="3">
        <v>45695.685624999998</v>
      </c>
      <c r="B479" t="s">
        <v>128</v>
      </c>
      <c r="C479" s="3">
        <v>45695.686319444445</v>
      </c>
      <c r="D479" t="s">
        <v>128</v>
      </c>
      <c r="E479" s="4">
        <v>1.4E-2</v>
      </c>
      <c r="F479" s="4">
        <v>425093.07500000001</v>
      </c>
      <c r="G479" s="4">
        <v>425093.08899999998</v>
      </c>
      <c r="H479" s="5">
        <f>40 / 86400</f>
        <v>4.6296296296296298E-4</v>
      </c>
      <c r="I479" t="s">
        <v>126</v>
      </c>
      <c r="J479" t="s">
        <v>127</v>
      </c>
      <c r="K479" s="5">
        <f>59 / 86400</f>
        <v>6.8287037037037036E-4</v>
      </c>
      <c r="L479" s="5">
        <f>4399 / 86400</f>
        <v>5.091435185185185E-2</v>
      </c>
    </row>
    <row r="480" spans="1:12" x14ac:dyDescent="0.25">
      <c r="A480" s="3">
        <v>45695.737233796295</v>
      </c>
      <c r="B480" t="s">
        <v>128</v>
      </c>
      <c r="C480" s="3">
        <v>45695.816736111112</v>
      </c>
      <c r="D480" t="s">
        <v>321</v>
      </c>
      <c r="E480" s="4">
        <v>36.298999999999999</v>
      </c>
      <c r="F480" s="4">
        <v>425093.08899999998</v>
      </c>
      <c r="G480" s="4">
        <v>425129.38799999998</v>
      </c>
      <c r="H480" s="5">
        <f>1638 / 86400</f>
        <v>1.8958333333333334E-2</v>
      </c>
      <c r="I480" t="s">
        <v>30</v>
      </c>
      <c r="J480" t="s">
        <v>90</v>
      </c>
      <c r="K480" s="5">
        <f>6869 / 86400</f>
        <v>7.9502314814814817E-2</v>
      </c>
      <c r="L480" s="5">
        <f>391 / 86400</f>
        <v>4.5254629629629629E-3</v>
      </c>
    </row>
    <row r="481" spans="1:12" x14ac:dyDescent="0.25">
      <c r="A481" s="3">
        <v>45695.821261574078</v>
      </c>
      <c r="B481" t="s">
        <v>321</v>
      </c>
      <c r="C481" s="3">
        <v>45695.825381944444</v>
      </c>
      <c r="D481" t="s">
        <v>51</v>
      </c>
      <c r="E481" s="4">
        <v>0.26400000000000001</v>
      </c>
      <c r="F481" s="4">
        <v>425129.38799999998</v>
      </c>
      <c r="G481" s="4">
        <v>425129.652</v>
      </c>
      <c r="H481" s="5">
        <f>219 / 86400</f>
        <v>2.5347222222222221E-3</v>
      </c>
      <c r="I481" t="s">
        <v>112</v>
      </c>
      <c r="J481" t="s">
        <v>140</v>
      </c>
      <c r="K481" s="5">
        <f>356 / 86400</f>
        <v>4.1203703703703706E-3</v>
      </c>
      <c r="L481" s="5">
        <f>15086 / 86400</f>
        <v>0.17460648148148147</v>
      </c>
    </row>
    <row r="482" spans="1:12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 spans="1:12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 spans="1:12" s="10" customFormat="1" ht="20.100000000000001" customHeight="1" x14ac:dyDescent="0.35">
      <c r="A484" s="12" t="s">
        <v>403</v>
      </c>
      <c r="B484" s="12"/>
      <c r="C484" s="12"/>
      <c r="D484" s="12"/>
      <c r="E484" s="12"/>
      <c r="F484" s="12"/>
      <c r="G484" s="12"/>
      <c r="H484" s="12"/>
      <c r="I484" s="12"/>
      <c r="J484" s="12"/>
    </row>
    <row r="485" spans="1:12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 spans="1:12" ht="30" x14ac:dyDescent="0.25">
      <c r="A486" s="2" t="s">
        <v>6</v>
      </c>
      <c r="B486" s="2" t="s">
        <v>7</v>
      </c>
      <c r="C486" s="2" t="s">
        <v>8</v>
      </c>
      <c r="D486" s="2" t="s">
        <v>9</v>
      </c>
      <c r="E486" s="2" t="s">
        <v>10</v>
      </c>
      <c r="F486" s="2" t="s">
        <v>11</v>
      </c>
      <c r="G486" s="2" t="s">
        <v>12</v>
      </c>
      <c r="H486" s="2" t="s">
        <v>13</v>
      </c>
      <c r="I486" s="2" t="s">
        <v>14</v>
      </c>
      <c r="J486" s="2" t="s">
        <v>15</v>
      </c>
      <c r="K486" s="2" t="s">
        <v>16</v>
      </c>
      <c r="L486" s="2" t="s">
        <v>17</v>
      </c>
    </row>
    <row r="487" spans="1:12" x14ac:dyDescent="0.25">
      <c r="A487" s="3">
        <v>45695.232754629629</v>
      </c>
      <c r="B487" t="s">
        <v>29</v>
      </c>
      <c r="C487" s="3">
        <v>45695.329432870371</v>
      </c>
      <c r="D487" t="s">
        <v>265</v>
      </c>
      <c r="E487" s="4">
        <v>31.922000000000001</v>
      </c>
      <c r="F487" s="4">
        <v>11760.489</v>
      </c>
      <c r="G487" s="4">
        <v>11792.411</v>
      </c>
      <c r="H487" s="5">
        <f>3478 / 86400</f>
        <v>4.0254629629629626E-2</v>
      </c>
      <c r="I487" t="s">
        <v>52</v>
      </c>
      <c r="J487" t="s">
        <v>34</v>
      </c>
      <c r="K487" s="5">
        <f>8352 / 86400</f>
        <v>9.6666666666666665E-2</v>
      </c>
      <c r="L487" s="5">
        <f>20202 / 86400</f>
        <v>0.23381944444444444</v>
      </c>
    </row>
    <row r="488" spans="1:12" x14ac:dyDescent="0.25">
      <c r="A488" s="3">
        <v>45695.330497685187</v>
      </c>
      <c r="B488" t="s">
        <v>265</v>
      </c>
      <c r="C488" s="3">
        <v>45695.498414351852</v>
      </c>
      <c r="D488" t="s">
        <v>322</v>
      </c>
      <c r="E488" s="4">
        <v>44.847999999999999</v>
      </c>
      <c r="F488" s="4">
        <v>11792.411</v>
      </c>
      <c r="G488" s="4">
        <v>11837.259</v>
      </c>
      <c r="H488" s="5">
        <f>6781 / 86400</f>
        <v>7.8483796296296301E-2</v>
      </c>
      <c r="I488" t="s">
        <v>182</v>
      </c>
      <c r="J488" t="s">
        <v>112</v>
      </c>
      <c r="K488" s="5">
        <f>14508 / 86400</f>
        <v>0.16791666666666666</v>
      </c>
      <c r="L488" s="5">
        <f>516 / 86400</f>
        <v>5.9722222222222225E-3</v>
      </c>
    </row>
    <row r="489" spans="1:12" x14ac:dyDescent="0.25">
      <c r="A489" s="3">
        <v>45695.504386574074</v>
      </c>
      <c r="B489" t="s">
        <v>322</v>
      </c>
      <c r="C489" s="3">
        <v>45695.504525462966</v>
      </c>
      <c r="D489" t="s">
        <v>322</v>
      </c>
      <c r="E489" s="4">
        <v>0.01</v>
      </c>
      <c r="F489" s="4">
        <v>11837.259</v>
      </c>
      <c r="G489" s="4">
        <v>11837.269</v>
      </c>
      <c r="H489" s="5">
        <f>0 / 86400</f>
        <v>0</v>
      </c>
      <c r="I489" t="s">
        <v>129</v>
      </c>
      <c r="J489" t="s">
        <v>140</v>
      </c>
      <c r="K489" s="5">
        <f>12 / 86400</f>
        <v>1.3888888888888889E-4</v>
      </c>
      <c r="L489" s="5">
        <f>991 / 86400</f>
        <v>1.1469907407407408E-2</v>
      </c>
    </row>
    <row r="490" spans="1:12" x14ac:dyDescent="0.25">
      <c r="A490" s="3">
        <v>45695.51599537037</v>
      </c>
      <c r="B490" t="s">
        <v>322</v>
      </c>
      <c r="C490" s="3">
        <v>45695.524050925931</v>
      </c>
      <c r="D490" t="s">
        <v>323</v>
      </c>
      <c r="E490" s="4">
        <v>0.28899999999999998</v>
      </c>
      <c r="F490" s="4">
        <v>11837.269</v>
      </c>
      <c r="G490" s="4">
        <v>11837.558000000001</v>
      </c>
      <c r="H490" s="5">
        <f>540 / 86400</f>
        <v>6.2500000000000003E-3</v>
      </c>
      <c r="I490" t="s">
        <v>69</v>
      </c>
      <c r="J490" t="s">
        <v>127</v>
      </c>
      <c r="K490" s="5">
        <f>696 / 86400</f>
        <v>8.0555555555555554E-3</v>
      </c>
      <c r="L490" s="5">
        <f>58 / 86400</f>
        <v>6.7129629629629625E-4</v>
      </c>
    </row>
    <row r="491" spans="1:12" x14ac:dyDescent="0.25">
      <c r="A491" s="3">
        <v>45695.524722222224</v>
      </c>
      <c r="B491" t="s">
        <v>323</v>
      </c>
      <c r="C491" s="3">
        <v>45695.702164351853</v>
      </c>
      <c r="D491" t="s">
        <v>128</v>
      </c>
      <c r="E491" s="4">
        <v>62.003999999999998</v>
      </c>
      <c r="F491" s="4">
        <v>11837.558000000001</v>
      </c>
      <c r="G491" s="4">
        <v>11899.562</v>
      </c>
      <c r="H491" s="5">
        <f>6889 / 86400</f>
        <v>7.9733796296296303E-2</v>
      </c>
      <c r="I491" t="s">
        <v>182</v>
      </c>
      <c r="J491" t="s">
        <v>24</v>
      </c>
      <c r="K491" s="5">
        <f>15331 / 86400</f>
        <v>0.17744212962962963</v>
      </c>
      <c r="L491" s="5">
        <f>124 / 86400</f>
        <v>1.4351851851851852E-3</v>
      </c>
    </row>
    <row r="492" spans="1:12" x14ac:dyDescent="0.25">
      <c r="A492" s="3">
        <v>45695.703599537039</v>
      </c>
      <c r="B492" t="s">
        <v>128</v>
      </c>
      <c r="C492" s="3">
        <v>45695.706585648149</v>
      </c>
      <c r="D492" t="s">
        <v>121</v>
      </c>
      <c r="E492" s="4">
        <v>0.92</v>
      </c>
      <c r="F492" s="4">
        <v>11899.562</v>
      </c>
      <c r="G492" s="4">
        <v>11900.482</v>
      </c>
      <c r="H492" s="5">
        <f>60 / 86400</f>
        <v>6.9444444444444447E-4</v>
      </c>
      <c r="I492" t="s">
        <v>151</v>
      </c>
      <c r="J492" t="s">
        <v>53</v>
      </c>
      <c r="K492" s="5">
        <f>257 / 86400</f>
        <v>2.9745370370370373E-3</v>
      </c>
      <c r="L492" s="5">
        <f>428 / 86400</f>
        <v>4.9537037037037041E-3</v>
      </c>
    </row>
    <row r="493" spans="1:12" x14ac:dyDescent="0.25">
      <c r="A493" s="3">
        <v>45695.711539351847</v>
      </c>
      <c r="B493" t="s">
        <v>121</v>
      </c>
      <c r="C493" s="3">
        <v>45695.712743055556</v>
      </c>
      <c r="D493" t="s">
        <v>121</v>
      </c>
      <c r="E493" s="4">
        <v>0.22800000000000001</v>
      </c>
      <c r="F493" s="4">
        <v>11900.482</v>
      </c>
      <c r="G493" s="4">
        <v>11900.71</v>
      </c>
      <c r="H493" s="5">
        <f>40 / 86400</f>
        <v>4.6296296296296298E-4</v>
      </c>
      <c r="I493" t="s">
        <v>187</v>
      </c>
      <c r="J493" t="s">
        <v>141</v>
      </c>
      <c r="K493" s="5">
        <f>103 / 86400</f>
        <v>1.1921296296296296E-3</v>
      </c>
      <c r="L493" s="5">
        <f>75 / 86400</f>
        <v>8.6805555555555551E-4</v>
      </c>
    </row>
    <row r="494" spans="1:12" x14ac:dyDescent="0.25">
      <c r="A494" s="3">
        <v>45695.71361111111</v>
      </c>
      <c r="B494" t="s">
        <v>121</v>
      </c>
      <c r="C494" s="3">
        <v>45695.713703703703</v>
      </c>
      <c r="D494" t="s">
        <v>121</v>
      </c>
      <c r="E494" s="4">
        <v>0</v>
      </c>
      <c r="F494" s="4">
        <v>11900.71</v>
      </c>
      <c r="G494" s="4">
        <v>11900.71</v>
      </c>
      <c r="H494" s="5">
        <f>0 / 86400</f>
        <v>0</v>
      </c>
      <c r="I494" t="s">
        <v>129</v>
      </c>
      <c r="J494" t="s">
        <v>129</v>
      </c>
      <c r="K494" s="5">
        <f>7 / 86400</f>
        <v>8.1018518518518516E-5</v>
      </c>
      <c r="L494" s="5">
        <f>49 / 86400</f>
        <v>5.6712962962962967E-4</v>
      </c>
    </row>
    <row r="495" spans="1:12" x14ac:dyDescent="0.25">
      <c r="A495" s="3">
        <v>45695.714270833334</v>
      </c>
      <c r="B495" t="s">
        <v>121</v>
      </c>
      <c r="C495" s="3">
        <v>45695.714675925927</v>
      </c>
      <c r="D495" t="s">
        <v>121</v>
      </c>
      <c r="E495" s="4">
        <v>1.7000000000000001E-2</v>
      </c>
      <c r="F495" s="4">
        <v>11900.71</v>
      </c>
      <c r="G495" s="4">
        <v>11900.727000000001</v>
      </c>
      <c r="H495" s="5">
        <f>0 / 86400</f>
        <v>0</v>
      </c>
      <c r="I495" t="s">
        <v>126</v>
      </c>
      <c r="J495" t="s">
        <v>87</v>
      </c>
      <c r="K495" s="5">
        <f>35 / 86400</f>
        <v>4.0509259259259258E-4</v>
      </c>
      <c r="L495" s="5">
        <f>2532 / 86400</f>
        <v>2.9305555555555557E-2</v>
      </c>
    </row>
    <row r="496" spans="1:12" x14ac:dyDescent="0.25">
      <c r="A496" s="3">
        <v>45695.743981481486</v>
      </c>
      <c r="B496" t="s">
        <v>121</v>
      </c>
      <c r="C496" s="3">
        <v>45695.798622685186</v>
      </c>
      <c r="D496" t="s">
        <v>25</v>
      </c>
      <c r="E496" s="4">
        <v>23.928999999999998</v>
      </c>
      <c r="F496" s="4">
        <v>11900.727000000001</v>
      </c>
      <c r="G496" s="4">
        <v>11924.656000000001</v>
      </c>
      <c r="H496" s="5">
        <f>1219 / 86400</f>
        <v>1.4108796296296296E-2</v>
      </c>
      <c r="I496" t="s">
        <v>208</v>
      </c>
      <c r="J496" t="s">
        <v>69</v>
      </c>
      <c r="K496" s="5">
        <f>4721 / 86400</f>
        <v>5.4641203703703706E-2</v>
      </c>
      <c r="L496" s="5">
        <f>185 / 86400</f>
        <v>2.1412037037037038E-3</v>
      </c>
    </row>
    <row r="497" spans="1:12" x14ac:dyDescent="0.25">
      <c r="A497" s="3">
        <v>45695.800763888888</v>
      </c>
      <c r="B497" t="s">
        <v>25</v>
      </c>
      <c r="C497" s="3">
        <v>45695.802361111113</v>
      </c>
      <c r="D497" t="s">
        <v>25</v>
      </c>
      <c r="E497" s="4">
        <v>0.214</v>
      </c>
      <c r="F497" s="4">
        <v>11924.656000000001</v>
      </c>
      <c r="G497" s="4">
        <v>11924.87</v>
      </c>
      <c r="H497" s="5">
        <f>59 / 86400</f>
        <v>6.8287037037037036E-4</v>
      </c>
      <c r="I497" t="s">
        <v>24</v>
      </c>
      <c r="J497" t="s">
        <v>132</v>
      </c>
      <c r="K497" s="5">
        <f>137 / 86400</f>
        <v>1.5856481481481481E-3</v>
      </c>
      <c r="L497" s="5">
        <f>247 / 86400</f>
        <v>2.8587962962962963E-3</v>
      </c>
    </row>
    <row r="498" spans="1:12" x14ac:dyDescent="0.25">
      <c r="A498" s="3">
        <v>45695.805219907408</v>
      </c>
      <c r="B498" t="s">
        <v>25</v>
      </c>
      <c r="C498" s="3">
        <v>45695.808148148149</v>
      </c>
      <c r="D498" t="s">
        <v>29</v>
      </c>
      <c r="E498" s="4">
        <v>0.29199999999999998</v>
      </c>
      <c r="F498" s="4">
        <v>11924.87</v>
      </c>
      <c r="G498" s="4">
        <v>11925.162</v>
      </c>
      <c r="H498" s="5">
        <f>140 / 86400</f>
        <v>1.6203703703703703E-3</v>
      </c>
      <c r="I498" t="s">
        <v>112</v>
      </c>
      <c r="J498" t="s">
        <v>82</v>
      </c>
      <c r="K498" s="5">
        <f>252 / 86400</f>
        <v>2.9166666666666668E-3</v>
      </c>
      <c r="L498" s="5">
        <f>330 / 86400</f>
        <v>3.8194444444444443E-3</v>
      </c>
    </row>
    <row r="499" spans="1:12" x14ac:dyDescent="0.25">
      <c r="A499" s="3">
        <v>45695.811967592592</v>
      </c>
      <c r="B499" t="s">
        <v>29</v>
      </c>
      <c r="C499" s="3">
        <v>45695.812997685185</v>
      </c>
      <c r="D499" t="s">
        <v>29</v>
      </c>
      <c r="E499" s="4">
        <v>1.2999999999999999E-2</v>
      </c>
      <c r="F499" s="4">
        <v>11925.162</v>
      </c>
      <c r="G499" s="4">
        <v>11925.174999999999</v>
      </c>
      <c r="H499" s="5">
        <f>40 / 86400</f>
        <v>4.6296296296296298E-4</v>
      </c>
      <c r="I499" t="s">
        <v>126</v>
      </c>
      <c r="J499" t="s">
        <v>127</v>
      </c>
      <c r="K499" s="5">
        <f>89 / 86400</f>
        <v>1.0300925925925926E-3</v>
      </c>
      <c r="L499" s="5">
        <f>16156 / 86400</f>
        <v>0.18699074074074074</v>
      </c>
    </row>
    <row r="500" spans="1:12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 spans="1:12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 spans="1:12" s="10" customFormat="1" ht="20.100000000000001" customHeight="1" x14ac:dyDescent="0.35">
      <c r="A502" s="12" t="s">
        <v>404</v>
      </c>
      <c r="B502" s="12"/>
      <c r="C502" s="12"/>
      <c r="D502" s="12"/>
      <c r="E502" s="12"/>
      <c r="F502" s="12"/>
      <c r="G502" s="12"/>
      <c r="H502" s="12"/>
      <c r="I502" s="12"/>
      <c r="J502" s="12"/>
    </row>
    <row r="503" spans="1:12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 spans="1:12" ht="30" x14ac:dyDescent="0.25">
      <c r="A504" s="2" t="s">
        <v>6</v>
      </c>
      <c r="B504" s="2" t="s">
        <v>7</v>
      </c>
      <c r="C504" s="2" t="s">
        <v>8</v>
      </c>
      <c r="D504" s="2" t="s">
        <v>9</v>
      </c>
      <c r="E504" s="2" t="s">
        <v>10</v>
      </c>
      <c r="F504" s="2" t="s">
        <v>11</v>
      </c>
      <c r="G504" s="2" t="s">
        <v>12</v>
      </c>
      <c r="H504" s="2" t="s">
        <v>13</v>
      </c>
      <c r="I504" s="2" t="s">
        <v>14</v>
      </c>
      <c r="J504" s="2" t="s">
        <v>15</v>
      </c>
      <c r="K504" s="2" t="s">
        <v>16</v>
      </c>
      <c r="L504" s="2" t="s">
        <v>17</v>
      </c>
    </row>
    <row r="505" spans="1:12" x14ac:dyDescent="0.25">
      <c r="A505" s="3">
        <v>45695.145520833335</v>
      </c>
      <c r="B505" t="s">
        <v>54</v>
      </c>
      <c r="C505" s="3">
        <v>45695.162731481483</v>
      </c>
      <c r="D505" t="s">
        <v>183</v>
      </c>
      <c r="E505" s="4">
        <v>6.45</v>
      </c>
      <c r="F505" s="4">
        <v>137921.87899999999</v>
      </c>
      <c r="G505" s="4">
        <v>137928.329</v>
      </c>
      <c r="H505" s="5">
        <f>579 / 86400</f>
        <v>6.7013888888888887E-3</v>
      </c>
      <c r="I505" t="s">
        <v>324</v>
      </c>
      <c r="J505" t="s">
        <v>20</v>
      </c>
      <c r="K505" s="5">
        <f>1486 / 86400</f>
        <v>1.7199074074074075E-2</v>
      </c>
      <c r="L505" s="5">
        <f>12760 / 86400</f>
        <v>0.1476851851851852</v>
      </c>
    </row>
    <row r="506" spans="1:12" x14ac:dyDescent="0.25">
      <c r="A506" s="3">
        <v>45695.164895833332</v>
      </c>
      <c r="B506" t="s">
        <v>183</v>
      </c>
      <c r="C506" s="3">
        <v>45695.165300925924</v>
      </c>
      <c r="D506" t="s">
        <v>183</v>
      </c>
      <c r="E506" s="4">
        <v>8.0000000000000002E-3</v>
      </c>
      <c r="F506" s="4">
        <v>137928.329</v>
      </c>
      <c r="G506" s="4">
        <v>137928.337</v>
      </c>
      <c r="H506" s="5">
        <f>19 / 86400</f>
        <v>2.199074074074074E-4</v>
      </c>
      <c r="I506" t="s">
        <v>129</v>
      </c>
      <c r="J506" t="s">
        <v>127</v>
      </c>
      <c r="K506" s="5">
        <f>34 / 86400</f>
        <v>3.9351851851851852E-4</v>
      </c>
      <c r="L506" s="5">
        <f>28 / 86400</f>
        <v>3.2407407407407406E-4</v>
      </c>
    </row>
    <row r="507" spans="1:12" x14ac:dyDescent="0.25">
      <c r="A507" s="3">
        <v>45695.165625000001</v>
      </c>
      <c r="B507" t="s">
        <v>183</v>
      </c>
      <c r="C507" s="3">
        <v>45695.240983796291</v>
      </c>
      <c r="D507" t="s">
        <v>265</v>
      </c>
      <c r="E507" s="4">
        <v>31.782</v>
      </c>
      <c r="F507" s="4">
        <v>137928.337</v>
      </c>
      <c r="G507" s="4">
        <v>137960.11900000001</v>
      </c>
      <c r="H507" s="5">
        <f>2159 / 86400</f>
        <v>2.4988425925925924E-2</v>
      </c>
      <c r="I507" t="s">
        <v>30</v>
      </c>
      <c r="J507" t="s">
        <v>69</v>
      </c>
      <c r="K507" s="5">
        <f>6511 / 86400</f>
        <v>7.5358796296296299E-2</v>
      </c>
      <c r="L507" s="5">
        <f>287 / 86400</f>
        <v>3.3217592592592591E-3</v>
      </c>
    </row>
    <row r="508" spans="1:12" x14ac:dyDescent="0.25">
      <c r="A508" s="3">
        <v>45695.244305555556</v>
      </c>
      <c r="B508" t="s">
        <v>265</v>
      </c>
      <c r="C508" s="3">
        <v>45695.366967592592</v>
      </c>
      <c r="D508" t="s">
        <v>128</v>
      </c>
      <c r="E508" s="4">
        <v>50.781999999999996</v>
      </c>
      <c r="F508" s="4">
        <v>137960.11900000001</v>
      </c>
      <c r="G508" s="4">
        <v>138010.90100000001</v>
      </c>
      <c r="H508" s="5">
        <f>3419 / 86400</f>
        <v>3.9571759259259258E-2</v>
      </c>
      <c r="I508" t="s">
        <v>55</v>
      </c>
      <c r="J508" t="s">
        <v>28</v>
      </c>
      <c r="K508" s="5">
        <f>10597 / 86400</f>
        <v>0.12265046296296296</v>
      </c>
      <c r="L508" s="5">
        <f>965 / 86400</f>
        <v>1.1168981481481481E-2</v>
      </c>
    </row>
    <row r="509" spans="1:12" x14ac:dyDescent="0.25">
      <c r="A509" s="3">
        <v>45695.378136574072</v>
      </c>
      <c r="B509" t="s">
        <v>128</v>
      </c>
      <c r="C509" s="3">
        <v>45695.380219907413</v>
      </c>
      <c r="D509" t="s">
        <v>147</v>
      </c>
      <c r="E509" s="4">
        <v>0.16200000000000001</v>
      </c>
      <c r="F509" s="4">
        <v>138010.90100000001</v>
      </c>
      <c r="G509" s="4">
        <v>138011.06299999999</v>
      </c>
      <c r="H509" s="5">
        <f>119 / 86400</f>
        <v>1.3773148148148147E-3</v>
      </c>
      <c r="I509" t="s">
        <v>45</v>
      </c>
      <c r="J509" t="s">
        <v>140</v>
      </c>
      <c r="K509" s="5">
        <f>180 / 86400</f>
        <v>2.0833333333333333E-3</v>
      </c>
      <c r="L509" s="5">
        <f>70 / 86400</f>
        <v>8.1018518518518516E-4</v>
      </c>
    </row>
    <row r="510" spans="1:12" x14ac:dyDescent="0.25">
      <c r="A510" s="3">
        <v>45695.381030092598</v>
      </c>
      <c r="B510" t="s">
        <v>147</v>
      </c>
      <c r="C510" s="3">
        <v>45695.38113425926</v>
      </c>
      <c r="D510" t="s">
        <v>147</v>
      </c>
      <c r="E510" s="4">
        <v>0</v>
      </c>
      <c r="F510" s="4">
        <v>138011.06299999999</v>
      </c>
      <c r="G510" s="4">
        <v>138011.06299999999</v>
      </c>
      <c r="H510" s="5">
        <f>0 / 86400</f>
        <v>0</v>
      </c>
      <c r="I510" t="s">
        <v>129</v>
      </c>
      <c r="J510" t="s">
        <v>129</v>
      </c>
      <c r="K510" s="5">
        <f>8 / 86400</f>
        <v>9.2592592592592588E-5</v>
      </c>
      <c r="L510" s="5">
        <f>96 / 86400</f>
        <v>1.1111111111111111E-3</v>
      </c>
    </row>
    <row r="511" spans="1:12" x14ac:dyDescent="0.25">
      <c r="A511" s="3">
        <v>45695.382245370369</v>
      </c>
      <c r="B511" t="s">
        <v>147</v>
      </c>
      <c r="C511" s="3">
        <v>45695.602939814809</v>
      </c>
      <c r="D511" t="s">
        <v>88</v>
      </c>
      <c r="E511" s="4">
        <v>77.733999999999995</v>
      </c>
      <c r="F511" s="4">
        <v>138011.06299999999</v>
      </c>
      <c r="G511" s="4">
        <v>138088.79699999999</v>
      </c>
      <c r="H511" s="5">
        <f>7220 / 86400</f>
        <v>8.3564814814814814E-2</v>
      </c>
      <c r="I511" t="s">
        <v>318</v>
      </c>
      <c r="J511" t="s">
        <v>24</v>
      </c>
      <c r="K511" s="5">
        <f>19067 / 86400</f>
        <v>0.22068287037037038</v>
      </c>
      <c r="L511" s="5">
        <f>233 / 86400</f>
        <v>2.6967592592592594E-3</v>
      </c>
    </row>
    <row r="512" spans="1:12" x14ac:dyDescent="0.25">
      <c r="A512" s="3">
        <v>45695.605636574073</v>
      </c>
      <c r="B512" t="s">
        <v>88</v>
      </c>
      <c r="C512" s="3">
        <v>45695.6175</v>
      </c>
      <c r="D512" t="s">
        <v>54</v>
      </c>
      <c r="E512" s="4">
        <v>5.3079999999999998</v>
      </c>
      <c r="F512" s="4">
        <v>138088.79699999999</v>
      </c>
      <c r="G512" s="4">
        <v>138094.10500000001</v>
      </c>
      <c r="H512" s="5">
        <f>200 / 86400</f>
        <v>2.3148148148148147E-3</v>
      </c>
      <c r="I512" t="s">
        <v>36</v>
      </c>
      <c r="J512" t="s">
        <v>90</v>
      </c>
      <c r="K512" s="5">
        <f>1025 / 86400</f>
        <v>1.1863425925925927E-2</v>
      </c>
      <c r="L512" s="5">
        <f>33047 / 86400</f>
        <v>0.38248842592592591</v>
      </c>
    </row>
    <row r="513" spans="1:12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 spans="1:12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 spans="1:12" s="10" customFormat="1" ht="20.100000000000001" customHeight="1" x14ac:dyDescent="0.35">
      <c r="A515" s="12" t="s">
        <v>405</v>
      </c>
      <c r="B515" s="12"/>
      <c r="C515" s="12"/>
      <c r="D515" s="12"/>
      <c r="E515" s="12"/>
      <c r="F515" s="12"/>
      <c r="G515" s="12"/>
      <c r="H515" s="12"/>
      <c r="I515" s="12"/>
      <c r="J515" s="12"/>
    </row>
    <row r="516" spans="1:12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 spans="1:12" ht="30" x14ac:dyDescent="0.25">
      <c r="A517" s="2" t="s">
        <v>6</v>
      </c>
      <c r="B517" s="2" t="s">
        <v>7</v>
      </c>
      <c r="C517" s="2" t="s">
        <v>8</v>
      </c>
      <c r="D517" s="2" t="s">
        <v>9</v>
      </c>
      <c r="E517" s="2" t="s">
        <v>10</v>
      </c>
      <c r="F517" s="2" t="s">
        <v>11</v>
      </c>
      <c r="G517" s="2" t="s">
        <v>12</v>
      </c>
      <c r="H517" s="2" t="s">
        <v>13</v>
      </c>
      <c r="I517" s="2" t="s">
        <v>14</v>
      </c>
      <c r="J517" s="2" t="s">
        <v>15</v>
      </c>
      <c r="K517" s="2" t="s">
        <v>16</v>
      </c>
      <c r="L517" s="2" t="s">
        <v>17</v>
      </c>
    </row>
    <row r="518" spans="1:12" x14ac:dyDescent="0.25">
      <c r="A518" s="3">
        <v>45695.232812499999</v>
      </c>
      <c r="B518" t="s">
        <v>29</v>
      </c>
      <c r="C518" s="3">
        <v>45695.236770833333</v>
      </c>
      <c r="D518" t="s">
        <v>29</v>
      </c>
      <c r="E518" s="4">
        <v>1.2E-2</v>
      </c>
      <c r="F518" s="4">
        <v>4743.24</v>
      </c>
      <c r="G518" s="4">
        <v>4743.2520000000004</v>
      </c>
      <c r="H518" s="5">
        <f>339 / 86400</f>
        <v>3.9236111111111112E-3</v>
      </c>
      <c r="I518" t="s">
        <v>129</v>
      </c>
      <c r="J518" t="s">
        <v>129</v>
      </c>
      <c r="K518" s="5">
        <f>342 / 86400</f>
        <v>3.9583333333333337E-3</v>
      </c>
      <c r="L518" s="5">
        <f>23087 / 86400</f>
        <v>0.26721064814814816</v>
      </c>
    </row>
    <row r="519" spans="1:12" x14ac:dyDescent="0.25">
      <c r="A519" s="3">
        <v>45695.271168981482</v>
      </c>
      <c r="B519" t="s">
        <v>29</v>
      </c>
      <c r="C519" s="3">
        <v>45695.437847222223</v>
      </c>
      <c r="D519" t="s">
        <v>325</v>
      </c>
      <c r="E519" s="4">
        <v>32.781999999999996</v>
      </c>
      <c r="F519" s="4">
        <v>4743.2520000000004</v>
      </c>
      <c r="G519" s="4">
        <v>4776.0339999999997</v>
      </c>
      <c r="H519" s="5">
        <f>8781 / 86400</f>
        <v>0.10163194444444444</v>
      </c>
      <c r="I519" t="s">
        <v>64</v>
      </c>
      <c r="J519" t="s">
        <v>141</v>
      </c>
      <c r="K519" s="5">
        <f>14401 / 86400</f>
        <v>0.16667824074074075</v>
      </c>
      <c r="L519" s="5">
        <f>98 / 86400</f>
        <v>1.1342592592592593E-3</v>
      </c>
    </row>
    <row r="520" spans="1:12" x14ac:dyDescent="0.25">
      <c r="A520" s="3">
        <v>45695.438981481479</v>
      </c>
      <c r="B520" t="s">
        <v>326</v>
      </c>
      <c r="C520" s="3">
        <v>45695.579143518524</v>
      </c>
      <c r="D520" t="s">
        <v>128</v>
      </c>
      <c r="E520" s="4">
        <v>50.231999999999999</v>
      </c>
      <c r="F520" s="4">
        <v>4776.0339999999997</v>
      </c>
      <c r="G520" s="4">
        <v>4826.2659999999996</v>
      </c>
      <c r="H520" s="5">
        <f>4861 / 86400</f>
        <v>5.6261574074074075E-2</v>
      </c>
      <c r="I520" t="s">
        <v>44</v>
      </c>
      <c r="J520" t="s">
        <v>24</v>
      </c>
      <c r="K520" s="5">
        <f>12110 / 86400</f>
        <v>0.14016203703703703</v>
      </c>
      <c r="L520" s="5">
        <f>302 / 86400</f>
        <v>3.4953703703703705E-3</v>
      </c>
    </row>
    <row r="521" spans="1:12" x14ac:dyDescent="0.25">
      <c r="A521" s="3">
        <v>45695.582638888889</v>
      </c>
      <c r="B521" t="s">
        <v>128</v>
      </c>
      <c r="C521" s="3">
        <v>45695.587152777778</v>
      </c>
      <c r="D521" t="s">
        <v>161</v>
      </c>
      <c r="E521" s="4">
        <v>1.321</v>
      </c>
      <c r="F521" s="4">
        <v>4826.2659999999996</v>
      </c>
      <c r="G521" s="4">
        <v>4827.5870000000004</v>
      </c>
      <c r="H521" s="5">
        <f>21 / 86400</f>
        <v>2.4305555555555555E-4</v>
      </c>
      <c r="I521" t="s">
        <v>246</v>
      </c>
      <c r="J521" t="s">
        <v>57</v>
      </c>
      <c r="K521" s="5">
        <f>390 / 86400</f>
        <v>4.5138888888888885E-3</v>
      </c>
      <c r="L521" s="5">
        <f>1299 / 86400</f>
        <v>1.5034722222222222E-2</v>
      </c>
    </row>
    <row r="522" spans="1:12" x14ac:dyDescent="0.25">
      <c r="A522" s="3">
        <v>45695.602187500001</v>
      </c>
      <c r="B522" t="s">
        <v>161</v>
      </c>
      <c r="C522" s="3">
        <v>45695.604363425926</v>
      </c>
      <c r="D522" t="s">
        <v>316</v>
      </c>
      <c r="E522" s="4">
        <v>0.62</v>
      </c>
      <c r="F522" s="4">
        <v>4827.5870000000004</v>
      </c>
      <c r="G522" s="4">
        <v>4828.2070000000003</v>
      </c>
      <c r="H522" s="5">
        <f>40 / 86400</f>
        <v>4.6296296296296298E-4</v>
      </c>
      <c r="I522" t="s">
        <v>69</v>
      </c>
      <c r="J522" t="s">
        <v>57</v>
      </c>
      <c r="K522" s="5">
        <f>187 / 86400</f>
        <v>2.1643518518518518E-3</v>
      </c>
      <c r="L522" s="5">
        <f>3327 / 86400</f>
        <v>3.8506944444444448E-2</v>
      </c>
    </row>
    <row r="523" spans="1:12" x14ac:dyDescent="0.25">
      <c r="A523" s="3">
        <v>45695.642870370371</v>
      </c>
      <c r="B523" t="s">
        <v>316</v>
      </c>
      <c r="C523" s="3">
        <v>45695.945613425924</v>
      </c>
      <c r="D523" t="s">
        <v>25</v>
      </c>
      <c r="E523" s="4">
        <v>97.537000000000006</v>
      </c>
      <c r="F523" s="4">
        <v>4828.2070000000003</v>
      </c>
      <c r="G523" s="4">
        <v>4925.7439999999997</v>
      </c>
      <c r="H523" s="5">
        <f>13570 / 86400</f>
        <v>0.15706018518518519</v>
      </c>
      <c r="I523" t="s">
        <v>56</v>
      </c>
      <c r="J523" t="s">
        <v>53</v>
      </c>
      <c r="K523" s="5">
        <f>26156 / 86400</f>
        <v>0.30273148148148149</v>
      </c>
      <c r="L523" s="5">
        <f>796 / 86400</f>
        <v>9.2129629629629627E-3</v>
      </c>
    </row>
    <row r="524" spans="1:12" x14ac:dyDescent="0.25">
      <c r="A524" s="3">
        <v>45695.954826388886</v>
      </c>
      <c r="B524" t="s">
        <v>25</v>
      </c>
      <c r="C524" s="3">
        <v>45695.959189814814</v>
      </c>
      <c r="D524" t="s">
        <v>29</v>
      </c>
      <c r="E524" s="4">
        <v>0.42899999999999999</v>
      </c>
      <c r="F524" s="4">
        <v>4925.7439999999997</v>
      </c>
      <c r="G524" s="4">
        <v>4926.1729999999998</v>
      </c>
      <c r="H524" s="5">
        <f>220 / 86400</f>
        <v>2.5462962962962965E-3</v>
      </c>
      <c r="I524" t="s">
        <v>24</v>
      </c>
      <c r="J524" t="s">
        <v>82</v>
      </c>
      <c r="K524" s="5">
        <f>376 / 86400</f>
        <v>4.3518518518518515E-3</v>
      </c>
      <c r="L524" s="5">
        <f>3525 / 86400</f>
        <v>4.0798611111111112E-2</v>
      </c>
    </row>
    <row r="525" spans="1:12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 spans="1:12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 spans="1:12" s="10" customFormat="1" ht="20.100000000000001" customHeight="1" x14ac:dyDescent="0.35">
      <c r="A527" s="12" t="s">
        <v>406</v>
      </c>
      <c r="B527" s="12"/>
      <c r="C527" s="12"/>
      <c r="D527" s="12"/>
      <c r="E527" s="12"/>
      <c r="F527" s="12"/>
      <c r="G527" s="12"/>
      <c r="H527" s="12"/>
      <c r="I527" s="12"/>
      <c r="J527" s="12"/>
    </row>
    <row r="528" spans="1:12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 spans="1:12" ht="30" x14ac:dyDescent="0.25">
      <c r="A529" s="2" t="s">
        <v>6</v>
      </c>
      <c r="B529" s="2" t="s">
        <v>7</v>
      </c>
      <c r="C529" s="2" t="s">
        <v>8</v>
      </c>
      <c r="D529" s="2" t="s">
        <v>9</v>
      </c>
      <c r="E529" s="2" t="s">
        <v>10</v>
      </c>
      <c r="F529" s="2" t="s">
        <v>11</v>
      </c>
      <c r="G529" s="2" t="s">
        <v>12</v>
      </c>
      <c r="H529" s="2" t="s">
        <v>13</v>
      </c>
      <c r="I529" s="2" t="s">
        <v>14</v>
      </c>
      <c r="J529" s="2" t="s">
        <v>15</v>
      </c>
      <c r="K529" s="2" t="s">
        <v>16</v>
      </c>
      <c r="L529" s="2" t="s">
        <v>17</v>
      </c>
    </row>
    <row r="530" spans="1:12" x14ac:dyDescent="0.25">
      <c r="A530" s="3">
        <v>45695.208460648151</v>
      </c>
      <c r="B530" t="s">
        <v>38</v>
      </c>
      <c r="C530" s="3">
        <v>45695.489247685182</v>
      </c>
      <c r="D530" t="s">
        <v>128</v>
      </c>
      <c r="E530" s="4">
        <v>81.741</v>
      </c>
      <c r="F530" s="4">
        <v>386003.95699999999</v>
      </c>
      <c r="G530" s="4">
        <v>386085.69799999997</v>
      </c>
      <c r="H530" s="5">
        <f>11220 / 86400</f>
        <v>0.12986111111111112</v>
      </c>
      <c r="I530" t="s">
        <v>27</v>
      </c>
      <c r="J530" t="s">
        <v>57</v>
      </c>
      <c r="K530" s="5">
        <f>24260 / 86400</f>
        <v>0.28078703703703706</v>
      </c>
      <c r="L530" s="5">
        <f>19246 / 86400</f>
        <v>0.22275462962962964</v>
      </c>
    </row>
    <row r="531" spans="1:12" x14ac:dyDescent="0.25">
      <c r="A531" s="3">
        <v>45695.503541666665</v>
      </c>
      <c r="B531" t="s">
        <v>128</v>
      </c>
      <c r="C531" s="3">
        <v>45695.506145833337</v>
      </c>
      <c r="D531" t="s">
        <v>121</v>
      </c>
      <c r="E531" s="4">
        <v>0.97799999999999998</v>
      </c>
      <c r="F531" s="4">
        <v>386085.69799999997</v>
      </c>
      <c r="G531" s="4">
        <v>386086.67599999998</v>
      </c>
      <c r="H531" s="5">
        <f>20 / 86400</f>
        <v>2.3148148148148149E-4</v>
      </c>
      <c r="I531" t="s">
        <v>157</v>
      </c>
      <c r="J531" t="s">
        <v>20</v>
      </c>
      <c r="K531" s="5">
        <f>225 / 86400</f>
        <v>2.6041666666666665E-3</v>
      </c>
      <c r="L531" s="5">
        <f>1609 / 86400</f>
        <v>1.8622685185185187E-2</v>
      </c>
    </row>
    <row r="532" spans="1:12" x14ac:dyDescent="0.25">
      <c r="A532" s="3">
        <v>45695.524768518517</v>
      </c>
      <c r="B532" t="s">
        <v>121</v>
      </c>
      <c r="C532" s="3">
        <v>45695.52548611111</v>
      </c>
      <c r="D532" t="s">
        <v>121</v>
      </c>
      <c r="E532" s="4">
        <v>9.6000000000000002E-2</v>
      </c>
      <c r="F532" s="4">
        <v>386086.67599999998</v>
      </c>
      <c r="G532" s="4">
        <v>386086.772</v>
      </c>
      <c r="H532" s="5">
        <f>0 / 86400</f>
        <v>0</v>
      </c>
      <c r="I532" t="s">
        <v>45</v>
      </c>
      <c r="J532" t="s">
        <v>132</v>
      </c>
      <c r="K532" s="5">
        <f>61 / 86400</f>
        <v>7.0601851851851847E-4</v>
      </c>
      <c r="L532" s="5">
        <f>437 / 86400</f>
        <v>5.0578703703703706E-3</v>
      </c>
    </row>
    <row r="533" spans="1:12" x14ac:dyDescent="0.25">
      <c r="A533" s="3">
        <v>45695.530543981484</v>
      </c>
      <c r="B533" t="s">
        <v>121</v>
      </c>
      <c r="C533" s="3">
        <v>45695.53696759259</v>
      </c>
      <c r="D533" t="s">
        <v>310</v>
      </c>
      <c r="E533" s="4">
        <v>1.224</v>
      </c>
      <c r="F533" s="4">
        <v>386086.772</v>
      </c>
      <c r="G533" s="4">
        <v>386087.99599999998</v>
      </c>
      <c r="H533" s="5">
        <f>200 / 86400</f>
        <v>2.3148148148148147E-3</v>
      </c>
      <c r="I533" t="s">
        <v>213</v>
      </c>
      <c r="J533" t="s">
        <v>141</v>
      </c>
      <c r="K533" s="5">
        <f>555 / 86400</f>
        <v>6.4236111111111108E-3</v>
      </c>
      <c r="L533" s="5">
        <f>181 / 86400</f>
        <v>2.0949074074074073E-3</v>
      </c>
    </row>
    <row r="534" spans="1:12" x14ac:dyDescent="0.25">
      <c r="A534" s="3">
        <v>45695.5390625</v>
      </c>
      <c r="B534" t="s">
        <v>310</v>
      </c>
      <c r="C534" s="3">
        <v>45695.57199074074</v>
      </c>
      <c r="D534" t="s">
        <v>173</v>
      </c>
      <c r="E534" s="4">
        <v>19.719000000000001</v>
      </c>
      <c r="F534" s="4">
        <v>386087.99599999998</v>
      </c>
      <c r="G534" s="4">
        <v>386107.71500000003</v>
      </c>
      <c r="H534" s="5">
        <f>419 / 86400</f>
        <v>4.8495370370370368E-3</v>
      </c>
      <c r="I534" t="s">
        <v>64</v>
      </c>
      <c r="J534" t="s">
        <v>195</v>
      </c>
      <c r="K534" s="5">
        <f>2844 / 86400</f>
        <v>3.2916666666666664E-2</v>
      </c>
      <c r="L534" s="5">
        <f>3 / 86400</f>
        <v>3.4722222222222222E-5</v>
      </c>
    </row>
    <row r="535" spans="1:12" x14ac:dyDescent="0.25">
      <c r="A535" s="3">
        <v>45695.572025462963</v>
      </c>
      <c r="B535" t="s">
        <v>173</v>
      </c>
      <c r="C535" s="3">
        <v>45695.572210648148</v>
      </c>
      <c r="D535" t="s">
        <v>173</v>
      </c>
      <c r="E535" s="4">
        <v>1E-3</v>
      </c>
      <c r="F535" s="4">
        <v>386107.71500000003</v>
      </c>
      <c r="G535" s="4">
        <v>386107.71600000001</v>
      </c>
      <c r="H535" s="5">
        <f>12 / 86400</f>
        <v>1.3888888888888889E-4</v>
      </c>
      <c r="I535" t="s">
        <v>129</v>
      </c>
      <c r="J535" t="s">
        <v>129</v>
      </c>
      <c r="K535" s="5">
        <f>16 / 86400</f>
        <v>1.8518518518518518E-4</v>
      </c>
      <c r="L535" s="5">
        <f>4 / 86400</f>
        <v>4.6296296296296294E-5</v>
      </c>
    </row>
    <row r="536" spans="1:12" x14ac:dyDescent="0.25">
      <c r="A536" s="3">
        <v>45695.572256944448</v>
      </c>
      <c r="B536" t="s">
        <v>173</v>
      </c>
      <c r="C536" s="3">
        <v>45695.575567129628</v>
      </c>
      <c r="D536" t="s">
        <v>184</v>
      </c>
      <c r="E536" s="4">
        <v>0.69</v>
      </c>
      <c r="F536" s="4">
        <v>386107.71600000001</v>
      </c>
      <c r="G536" s="4">
        <v>386108.40600000002</v>
      </c>
      <c r="H536" s="5">
        <f>112 / 86400</f>
        <v>1.2962962962962963E-3</v>
      </c>
      <c r="I536" t="s">
        <v>192</v>
      </c>
      <c r="J536" t="s">
        <v>71</v>
      </c>
      <c r="K536" s="5">
        <f>286 / 86400</f>
        <v>3.3101851851851851E-3</v>
      </c>
      <c r="L536" s="5">
        <f>3 / 86400</f>
        <v>3.4722222222222222E-5</v>
      </c>
    </row>
    <row r="537" spans="1:12" x14ac:dyDescent="0.25">
      <c r="A537" s="3">
        <v>45695.575601851851</v>
      </c>
      <c r="B537" t="s">
        <v>184</v>
      </c>
      <c r="C537" s="3">
        <v>45695.576944444445</v>
      </c>
      <c r="D537" t="s">
        <v>184</v>
      </c>
      <c r="E537" s="4">
        <v>0.124</v>
      </c>
      <c r="F537" s="4">
        <v>386108.40600000002</v>
      </c>
      <c r="G537" s="4">
        <v>386108.53</v>
      </c>
      <c r="H537" s="5">
        <f>43 / 86400</f>
        <v>4.9768518518518521E-4</v>
      </c>
      <c r="I537" t="s">
        <v>78</v>
      </c>
      <c r="J537" t="s">
        <v>82</v>
      </c>
      <c r="K537" s="5">
        <f>116 / 86400</f>
        <v>1.3425925925925925E-3</v>
      </c>
      <c r="L537" s="5">
        <f>7 / 86400</f>
        <v>8.1018518518518516E-5</v>
      </c>
    </row>
    <row r="538" spans="1:12" x14ac:dyDescent="0.25">
      <c r="A538" s="3">
        <v>45695.577025462961</v>
      </c>
      <c r="B538" t="s">
        <v>184</v>
      </c>
      <c r="C538" s="3">
        <v>45695.577048611114</v>
      </c>
      <c r="D538" t="s">
        <v>184</v>
      </c>
      <c r="E538" s="4">
        <v>6.0000000000000001E-3</v>
      </c>
      <c r="F538" s="4">
        <v>386108.533</v>
      </c>
      <c r="G538" s="4">
        <v>386108.53899999999</v>
      </c>
      <c r="H538" s="5">
        <f t="shared" ref="H538:H543" si="7">0 / 86400</f>
        <v>0</v>
      </c>
      <c r="I538" t="s">
        <v>112</v>
      </c>
      <c r="J538" t="s">
        <v>112</v>
      </c>
      <c r="K538" s="5">
        <f>2 / 86400</f>
        <v>2.3148148148148147E-5</v>
      </c>
      <c r="L538" s="5">
        <f>1 / 86400</f>
        <v>1.1574074074074073E-5</v>
      </c>
    </row>
    <row r="539" spans="1:12" x14ac:dyDescent="0.25">
      <c r="A539" s="3">
        <v>45695.577060185184</v>
      </c>
      <c r="B539" t="s">
        <v>184</v>
      </c>
      <c r="C539" s="3">
        <v>45695.577083333337</v>
      </c>
      <c r="D539" t="s">
        <v>184</v>
      </c>
      <c r="E539" s="4">
        <v>4.0000000000000001E-3</v>
      </c>
      <c r="F539" s="4">
        <v>386108.54200000002</v>
      </c>
      <c r="G539" s="4">
        <v>386108.54599999997</v>
      </c>
      <c r="H539" s="5">
        <f t="shared" si="7"/>
        <v>0</v>
      </c>
      <c r="I539" t="s">
        <v>57</v>
      </c>
      <c r="J539" t="s">
        <v>91</v>
      </c>
      <c r="K539" s="5">
        <f>2 / 86400</f>
        <v>2.3148148148148147E-5</v>
      </c>
      <c r="L539" s="5">
        <f>3 / 86400</f>
        <v>3.4722222222222222E-5</v>
      </c>
    </row>
    <row r="540" spans="1:12" x14ac:dyDescent="0.25">
      <c r="A540" s="3">
        <v>45695.57711805556</v>
      </c>
      <c r="B540" t="s">
        <v>184</v>
      </c>
      <c r="C540" s="3">
        <v>45695.57739583333</v>
      </c>
      <c r="D540" t="s">
        <v>184</v>
      </c>
      <c r="E540" s="4">
        <v>8.8999999999999996E-2</v>
      </c>
      <c r="F540" s="4">
        <v>386108.55</v>
      </c>
      <c r="G540" s="4">
        <v>386108.63900000002</v>
      </c>
      <c r="H540" s="5">
        <f t="shared" si="7"/>
        <v>0</v>
      </c>
      <c r="I540" t="s">
        <v>20</v>
      </c>
      <c r="J540" t="s">
        <v>53</v>
      </c>
      <c r="K540" s="5">
        <f>24 / 86400</f>
        <v>2.7777777777777778E-4</v>
      </c>
      <c r="L540" s="5">
        <f>5 / 86400</f>
        <v>5.7870370370370373E-5</v>
      </c>
    </row>
    <row r="541" spans="1:12" x14ac:dyDescent="0.25">
      <c r="A541" s="3">
        <v>45695.577453703707</v>
      </c>
      <c r="B541" t="s">
        <v>184</v>
      </c>
      <c r="C541" s="3">
        <v>45695.577465277776</v>
      </c>
      <c r="D541" t="s">
        <v>184</v>
      </c>
      <c r="E541" s="4">
        <v>0</v>
      </c>
      <c r="F541" s="4">
        <v>386108.64399999997</v>
      </c>
      <c r="G541" s="4">
        <v>386108.64399999997</v>
      </c>
      <c r="H541" s="5">
        <f t="shared" si="7"/>
        <v>0</v>
      </c>
      <c r="I541" t="s">
        <v>69</v>
      </c>
      <c r="J541" t="s">
        <v>129</v>
      </c>
      <c r="K541" s="5">
        <f>1 / 86400</f>
        <v>1.1574074074074073E-5</v>
      </c>
      <c r="L541" s="5">
        <f>571 / 86400</f>
        <v>6.6087962962962966E-3</v>
      </c>
    </row>
    <row r="542" spans="1:12" x14ac:dyDescent="0.25">
      <c r="A542" s="3">
        <v>45695.584074074075</v>
      </c>
      <c r="B542" t="s">
        <v>184</v>
      </c>
      <c r="C542" s="3">
        <v>45695.584143518514</v>
      </c>
      <c r="D542" t="s">
        <v>184</v>
      </c>
      <c r="E542" s="4">
        <v>0</v>
      </c>
      <c r="F542" s="4">
        <v>386108.64399999997</v>
      </c>
      <c r="G542" s="4">
        <v>386108.64399999997</v>
      </c>
      <c r="H542" s="5">
        <f t="shared" si="7"/>
        <v>0</v>
      </c>
      <c r="I542" t="s">
        <v>129</v>
      </c>
      <c r="J542" t="s">
        <v>129</v>
      </c>
      <c r="K542" s="5">
        <f>6 / 86400</f>
        <v>6.9444444444444444E-5</v>
      </c>
      <c r="L542" s="5">
        <f>384 / 86400</f>
        <v>4.4444444444444444E-3</v>
      </c>
    </row>
    <row r="543" spans="1:12" x14ac:dyDescent="0.25">
      <c r="A543" s="3">
        <v>45695.588587962964</v>
      </c>
      <c r="B543" t="s">
        <v>184</v>
      </c>
      <c r="C543" s="3">
        <v>45695.588634259257</v>
      </c>
      <c r="D543" t="s">
        <v>184</v>
      </c>
      <c r="E543" s="4">
        <v>0</v>
      </c>
      <c r="F543" s="4">
        <v>386108.64399999997</v>
      </c>
      <c r="G543" s="4">
        <v>386108.64399999997</v>
      </c>
      <c r="H543" s="5">
        <f t="shared" si="7"/>
        <v>0</v>
      </c>
      <c r="I543" t="s">
        <v>129</v>
      </c>
      <c r="J543" t="s">
        <v>129</v>
      </c>
      <c r="K543" s="5">
        <f>3 / 86400</f>
        <v>3.4722222222222222E-5</v>
      </c>
      <c r="L543" s="5">
        <f>368 / 86400</f>
        <v>4.2592592592592595E-3</v>
      </c>
    </row>
    <row r="544" spans="1:12" x14ac:dyDescent="0.25">
      <c r="A544" s="3">
        <v>45695.592893518522</v>
      </c>
      <c r="B544" t="s">
        <v>184</v>
      </c>
      <c r="C544" s="3">
        <v>45695.593877314815</v>
      </c>
      <c r="D544" t="s">
        <v>184</v>
      </c>
      <c r="E544" s="4">
        <v>0</v>
      </c>
      <c r="F544" s="4">
        <v>386108.64399999997</v>
      </c>
      <c r="G544" s="4">
        <v>386108.64399999997</v>
      </c>
      <c r="H544" s="5">
        <f>79 / 86400</f>
        <v>9.1435185185185185E-4</v>
      </c>
      <c r="I544" t="s">
        <v>129</v>
      </c>
      <c r="J544" t="s">
        <v>129</v>
      </c>
      <c r="K544" s="5">
        <f>85 / 86400</f>
        <v>9.837962962962962E-4</v>
      </c>
      <c r="L544" s="5">
        <f>1056 / 86400</f>
        <v>1.2222222222222223E-2</v>
      </c>
    </row>
    <row r="545" spans="1:12" x14ac:dyDescent="0.25">
      <c r="A545" s="3">
        <v>45695.606099537035</v>
      </c>
      <c r="B545" t="s">
        <v>184</v>
      </c>
      <c r="C545" s="3">
        <v>45695.658171296294</v>
      </c>
      <c r="D545" t="s">
        <v>92</v>
      </c>
      <c r="E545" s="4">
        <v>25.315999999999999</v>
      </c>
      <c r="F545" s="4">
        <v>386108.64399999997</v>
      </c>
      <c r="G545" s="4">
        <v>386133.96</v>
      </c>
      <c r="H545" s="5">
        <f>1160 / 86400</f>
        <v>1.3425925925925926E-2</v>
      </c>
      <c r="I545" t="s">
        <v>159</v>
      </c>
      <c r="J545" t="s">
        <v>78</v>
      </c>
      <c r="K545" s="5">
        <f>4499 / 86400</f>
        <v>5.2071759259259262E-2</v>
      </c>
      <c r="L545" s="5">
        <f>1297 / 86400</f>
        <v>1.5011574074074075E-2</v>
      </c>
    </row>
    <row r="546" spans="1:12" x14ac:dyDescent="0.25">
      <c r="A546" s="3">
        <v>45695.673182870371</v>
      </c>
      <c r="B546" t="s">
        <v>92</v>
      </c>
      <c r="C546" s="3">
        <v>45695.675023148149</v>
      </c>
      <c r="D546" t="s">
        <v>92</v>
      </c>
      <c r="E546" s="4">
        <v>0</v>
      </c>
      <c r="F546" s="4">
        <v>386133.96</v>
      </c>
      <c r="G546" s="4">
        <v>386133.96</v>
      </c>
      <c r="H546" s="5">
        <f>139 / 86400</f>
        <v>1.6087962962962963E-3</v>
      </c>
      <c r="I546" t="s">
        <v>129</v>
      </c>
      <c r="J546" t="s">
        <v>129</v>
      </c>
      <c r="K546" s="5">
        <f>158 / 86400</f>
        <v>1.8287037037037037E-3</v>
      </c>
      <c r="L546" s="5">
        <f>149 / 86400</f>
        <v>1.724537037037037E-3</v>
      </c>
    </row>
    <row r="547" spans="1:12" x14ac:dyDescent="0.25">
      <c r="A547" s="3">
        <v>45695.676747685182</v>
      </c>
      <c r="B547" t="s">
        <v>92</v>
      </c>
      <c r="C547" s="3">
        <v>45695.676759259259</v>
      </c>
      <c r="D547" t="s">
        <v>92</v>
      </c>
      <c r="E547" s="4">
        <v>0</v>
      </c>
      <c r="F547" s="4">
        <v>386133.96</v>
      </c>
      <c r="G547" s="4">
        <v>386133.96</v>
      </c>
      <c r="H547" s="5">
        <f>0 / 86400</f>
        <v>0</v>
      </c>
      <c r="I547" t="s">
        <v>129</v>
      </c>
      <c r="J547" t="s">
        <v>129</v>
      </c>
      <c r="K547" s="5">
        <f>1 / 86400</f>
        <v>1.1574074074074073E-5</v>
      </c>
      <c r="L547" s="5">
        <f>186 / 86400</f>
        <v>2.1527777777777778E-3</v>
      </c>
    </row>
    <row r="548" spans="1:12" x14ac:dyDescent="0.25">
      <c r="A548" s="3">
        <v>45695.678912037038</v>
      </c>
      <c r="B548" t="s">
        <v>92</v>
      </c>
      <c r="C548" s="3">
        <v>45695.679074074069</v>
      </c>
      <c r="D548" t="s">
        <v>92</v>
      </c>
      <c r="E548" s="4">
        <v>0</v>
      </c>
      <c r="F548" s="4">
        <v>386133.96</v>
      </c>
      <c r="G548" s="4">
        <v>386133.96</v>
      </c>
      <c r="H548" s="5">
        <f>0 / 86400</f>
        <v>0</v>
      </c>
      <c r="I548" t="s">
        <v>129</v>
      </c>
      <c r="J548" t="s">
        <v>129</v>
      </c>
      <c r="K548" s="5">
        <f>13 / 86400</f>
        <v>1.5046296296296297E-4</v>
      </c>
      <c r="L548" s="5">
        <f>2 / 86400</f>
        <v>2.3148148148148147E-5</v>
      </c>
    </row>
    <row r="549" spans="1:12" x14ac:dyDescent="0.25">
      <c r="A549" s="3">
        <v>45695.679097222222</v>
      </c>
      <c r="B549" t="s">
        <v>92</v>
      </c>
      <c r="C549" s="3">
        <v>45695.683020833334</v>
      </c>
      <c r="D549" t="s">
        <v>92</v>
      </c>
      <c r="E549" s="4">
        <v>0.35799999999999998</v>
      </c>
      <c r="F549" s="4">
        <v>386133.96</v>
      </c>
      <c r="G549" s="4">
        <v>386134.31800000003</v>
      </c>
      <c r="H549" s="5">
        <f>264 / 86400</f>
        <v>3.0555555555555557E-3</v>
      </c>
      <c r="I549" t="s">
        <v>78</v>
      </c>
      <c r="J549" t="s">
        <v>82</v>
      </c>
      <c r="K549" s="5">
        <f>339 / 86400</f>
        <v>3.9236111111111112E-3</v>
      </c>
      <c r="L549" s="5">
        <f>202 / 86400</f>
        <v>2.3379629629629631E-3</v>
      </c>
    </row>
    <row r="550" spans="1:12" x14ac:dyDescent="0.25">
      <c r="A550" s="3">
        <v>45695.685358796298</v>
      </c>
      <c r="B550" t="s">
        <v>92</v>
      </c>
      <c r="C550" s="3">
        <v>45695.688564814816</v>
      </c>
      <c r="D550" t="s">
        <v>92</v>
      </c>
      <c r="E550" s="4">
        <v>0.40100000000000002</v>
      </c>
      <c r="F550" s="4">
        <v>386134.31800000003</v>
      </c>
      <c r="G550" s="4">
        <v>386134.71899999998</v>
      </c>
      <c r="H550" s="5">
        <f>139 / 86400</f>
        <v>1.6087962962962963E-3</v>
      </c>
      <c r="I550" t="s">
        <v>143</v>
      </c>
      <c r="J550" t="s">
        <v>126</v>
      </c>
      <c r="K550" s="5">
        <f>276 / 86400</f>
        <v>3.1944444444444446E-3</v>
      </c>
      <c r="L550" s="5">
        <f>169 / 86400</f>
        <v>1.9560185185185184E-3</v>
      </c>
    </row>
    <row r="551" spans="1:12" x14ac:dyDescent="0.25">
      <c r="A551" s="3">
        <v>45695.690520833334</v>
      </c>
      <c r="B551" t="s">
        <v>92</v>
      </c>
      <c r="C551" s="3">
        <v>45695.694016203706</v>
      </c>
      <c r="D551" t="s">
        <v>92</v>
      </c>
      <c r="E551" s="4">
        <v>0.37</v>
      </c>
      <c r="F551" s="4">
        <v>386134.71899999998</v>
      </c>
      <c r="G551" s="4">
        <v>386135.08899999998</v>
      </c>
      <c r="H551" s="5">
        <f>200 / 86400</f>
        <v>2.3148148148148147E-3</v>
      </c>
      <c r="I551" t="s">
        <v>28</v>
      </c>
      <c r="J551" t="s">
        <v>82</v>
      </c>
      <c r="K551" s="5">
        <f>301 / 86400</f>
        <v>3.4837962962962965E-3</v>
      </c>
      <c r="L551" s="5">
        <f>1509 / 86400</f>
        <v>1.7465277777777777E-2</v>
      </c>
    </row>
    <row r="552" spans="1:12" x14ac:dyDescent="0.25">
      <c r="A552" s="3">
        <v>45695.711481481485</v>
      </c>
      <c r="B552" t="s">
        <v>92</v>
      </c>
      <c r="C552" s="3">
        <v>45695.712893518517</v>
      </c>
      <c r="D552" t="s">
        <v>315</v>
      </c>
      <c r="E552" s="4">
        <v>1.6E-2</v>
      </c>
      <c r="F552" s="4">
        <v>386135.08899999998</v>
      </c>
      <c r="G552" s="4">
        <v>386135.10499999998</v>
      </c>
      <c r="H552" s="5">
        <f>99 / 86400</f>
        <v>1.1458333333333333E-3</v>
      </c>
      <c r="I552" t="s">
        <v>87</v>
      </c>
      <c r="J552" t="s">
        <v>129</v>
      </c>
      <c r="K552" s="5">
        <f>121 / 86400</f>
        <v>1.4004629629629629E-3</v>
      </c>
      <c r="L552" s="5">
        <f>676 / 86400</f>
        <v>7.8240740740740736E-3</v>
      </c>
    </row>
    <row r="553" spans="1:12" x14ac:dyDescent="0.25">
      <c r="A553" s="3">
        <v>45695.720717592594</v>
      </c>
      <c r="B553" t="s">
        <v>315</v>
      </c>
      <c r="C553" s="3">
        <v>45695.720763888894</v>
      </c>
      <c r="D553" t="s">
        <v>315</v>
      </c>
      <c r="E553" s="4">
        <v>0</v>
      </c>
      <c r="F553" s="4">
        <v>386135.10499999998</v>
      </c>
      <c r="G553" s="4">
        <v>386135.10499999998</v>
      </c>
      <c r="H553" s="5">
        <f>0 / 86400</f>
        <v>0</v>
      </c>
      <c r="I553" t="s">
        <v>129</v>
      </c>
      <c r="J553" t="s">
        <v>129</v>
      </c>
      <c r="K553" s="5">
        <f>3 / 86400</f>
        <v>3.4722222222222222E-5</v>
      </c>
      <c r="L553" s="5">
        <f>5 / 86400</f>
        <v>5.7870370370370373E-5</v>
      </c>
    </row>
    <row r="554" spans="1:12" x14ac:dyDescent="0.25">
      <c r="A554" s="3">
        <v>45695.720821759256</v>
      </c>
      <c r="B554" t="s">
        <v>315</v>
      </c>
      <c r="C554" s="3">
        <v>45695.721400462964</v>
      </c>
      <c r="D554" t="s">
        <v>315</v>
      </c>
      <c r="E554" s="4">
        <v>2.4E-2</v>
      </c>
      <c r="F554" s="4">
        <v>386135.10499999998</v>
      </c>
      <c r="G554" s="4">
        <v>386135.12900000002</v>
      </c>
      <c r="H554" s="5">
        <f>0 / 86400</f>
        <v>0</v>
      </c>
      <c r="I554" t="s">
        <v>82</v>
      </c>
      <c r="J554" t="s">
        <v>87</v>
      </c>
      <c r="K554" s="5">
        <f>50 / 86400</f>
        <v>5.7870370370370367E-4</v>
      </c>
      <c r="L554" s="5">
        <f>86 / 86400</f>
        <v>9.9537037037037042E-4</v>
      </c>
    </row>
    <row r="555" spans="1:12" x14ac:dyDescent="0.25">
      <c r="A555" s="3">
        <v>45695.722395833334</v>
      </c>
      <c r="B555" t="s">
        <v>327</v>
      </c>
      <c r="C555" s="3">
        <v>45695.722881944443</v>
      </c>
      <c r="D555" t="s">
        <v>92</v>
      </c>
      <c r="E555" s="4">
        <v>2.1000000000000001E-2</v>
      </c>
      <c r="F555" s="4">
        <v>386135.12900000002</v>
      </c>
      <c r="G555" s="4">
        <v>386135.15</v>
      </c>
      <c r="H555" s="5">
        <f>20 / 86400</f>
        <v>2.3148148148148149E-4</v>
      </c>
      <c r="I555" t="s">
        <v>140</v>
      </c>
      <c r="J555" t="s">
        <v>87</v>
      </c>
      <c r="K555" s="5">
        <f>42 / 86400</f>
        <v>4.861111111111111E-4</v>
      </c>
      <c r="L555" s="5">
        <f>1926 / 86400</f>
        <v>2.2291666666666668E-2</v>
      </c>
    </row>
    <row r="556" spans="1:12" x14ac:dyDescent="0.25">
      <c r="A556" s="3">
        <v>45695.745173611111</v>
      </c>
      <c r="B556" t="s">
        <v>92</v>
      </c>
      <c r="C556" s="3">
        <v>45695.746296296296</v>
      </c>
      <c r="D556" t="s">
        <v>315</v>
      </c>
      <c r="E556" s="4">
        <v>0.03</v>
      </c>
      <c r="F556" s="4">
        <v>386135.15</v>
      </c>
      <c r="G556" s="4">
        <v>386135.18</v>
      </c>
      <c r="H556" s="5">
        <f>40 / 86400</f>
        <v>4.6296296296296298E-4</v>
      </c>
      <c r="I556" t="s">
        <v>91</v>
      </c>
      <c r="J556" t="s">
        <v>127</v>
      </c>
      <c r="K556" s="5">
        <f>97 / 86400</f>
        <v>1.1226851851851851E-3</v>
      </c>
      <c r="L556" s="5">
        <f>748 / 86400</f>
        <v>8.6574074074074071E-3</v>
      </c>
    </row>
    <row r="557" spans="1:12" x14ac:dyDescent="0.25">
      <c r="A557" s="3">
        <v>45695.754953703705</v>
      </c>
      <c r="B557" t="s">
        <v>315</v>
      </c>
      <c r="C557" s="3">
        <v>45695.811759259261</v>
      </c>
      <c r="D557" t="s">
        <v>205</v>
      </c>
      <c r="E557" s="4">
        <v>24.042999999999999</v>
      </c>
      <c r="F557" s="4">
        <v>386135.18</v>
      </c>
      <c r="G557" s="4">
        <v>386159.223</v>
      </c>
      <c r="H557" s="5">
        <f>1659 / 86400</f>
        <v>1.9201388888888889E-2</v>
      </c>
      <c r="I557" t="s">
        <v>159</v>
      </c>
      <c r="J557" t="s">
        <v>69</v>
      </c>
      <c r="K557" s="5">
        <f>4908 / 86400</f>
        <v>5.6805555555555554E-2</v>
      </c>
      <c r="L557" s="5">
        <f>387 / 86400</f>
        <v>4.4791666666666669E-3</v>
      </c>
    </row>
    <row r="558" spans="1:12" x14ac:dyDescent="0.25">
      <c r="A558" s="3">
        <v>45695.816238425927</v>
      </c>
      <c r="B558" t="s">
        <v>205</v>
      </c>
      <c r="C558" s="3">
        <v>45695.81931712963</v>
      </c>
      <c r="D558" t="s">
        <v>38</v>
      </c>
      <c r="E558" s="4">
        <v>0.71799999999999997</v>
      </c>
      <c r="F558" s="4">
        <v>386159.223</v>
      </c>
      <c r="G558" s="4">
        <v>386159.94099999999</v>
      </c>
      <c r="H558" s="5">
        <f>99 / 86400</f>
        <v>1.1458333333333333E-3</v>
      </c>
      <c r="I558" t="s">
        <v>137</v>
      </c>
      <c r="J558" t="s">
        <v>45</v>
      </c>
      <c r="K558" s="5">
        <f>265 / 86400</f>
        <v>3.0671296296296297E-3</v>
      </c>
      <c r="L558" s="5">
        <f>15610 / 86400</f>
        <v>0.1806712962962963</v>
      </c>
    </row>
    <row r="559" spans="1:12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 spans="1:12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 spans="1:12" s="10" customFormat="1" ht="20.100000000000001" customHeight="1" x14ac:dyDescent="0.35">
      <c r="A561" s="12" t="s">
        <v>407</v>
      </c>
      <c r="B561" s="12"/>
      <c r="C561" s="12"/>
      <c r="D561" s="12"/>
      <c r="E561" s="12"/>
      <c r="F561" s="12"/>
      <c r="G561" s="12"/>
      <c r="H561" s="12"/>
      <c r="I561" s="12"/>
      <c r="J561" s="12"/>
    </row>
    <row r="562" spans="1:12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 spans="1:12" ht="30" x14ac:dyDescent="0.25">
      <c r="A563" s="2" t="s">
        <v>6</v>
      </c>
      <c r="B563" s="2" t="s">
        <v>7</v>
      </c>
      <c r="C563" s="2" t="s">
        <v>8</v>
      </c>
      <c r="D563" s="2" t="s">
        <v>9</v>
      </c>
      <c r="E563" s="2" t="s">
        <v>10</v>
      </c>
      <c r="F563" s="2" t="s">
        <v>11</v>
      </c>
      <c r="G563" s="2" t="s">
        <v>12</v>
      </c>
      <c r="H563" s="2" t="s">
        <v>13</v>
      </c>
      <c r="I563" s="2" t="s">
        <v>14</v>
      </c>
      <c r="J563" s="2" t="s">
        <v>15</v>
      </c>
      <c r="K563" s="2" t="s">
        <v>16</v>
      </c>
      <c r="L563" s="2" t="s">
        <v>17</v>
      </c>
    </row>
    <row r="564" spans="1:12" x14ac:dyDescent="0.25">
      <c r="A564" s="3">
        <v>45695.255196759259</v>
      </c>
      <c r="B564" t="s">
        <v>58</v>
      </c>
      <c r="C564" s="3">
        <v>45695.259571759263</v>
      </c>
      <c r="D564" t="s">
        <v>328</v>
      </c>
      <c r="E564" s="4">
        <v>0.52900000000000003</v>
      </c>
      <c r="F564" s="4">
        <v>391600.99800000002</v>
      </c>
      <c r="G564" s="4">
        <v>391601.527</v>
      </c>
      <c r="H564" s="5">
        <f>239 / 86400</f>
        <v>2.7662037037037039E-3</v>
      </c>
      <c r="I564" t="s">
        <v>212</v>
      </c>
      <c r="J564" t="s">
        <v>126</v>
      </c>
      <c r="K564" s="5">
        <f>377 / 86400</f>
        <v>4.363425925925926E-3</v>
      </c>
      <c r="L564" s="5">
        <f>22961 / 86400</f>
        <v>0.26575231481481482</v>
      </c>
    </row>
    <row r="565" spans="1:12" x14ac:dyDescent="0.25">
      <c r="A565" s="3">
        <v>45695.270127314812</v>
      </c>
      <c r="B565" t="s">
        <v>328</v>
      </c>
      <c r="C565" s="3">
        <v>45695.445092592592</v>
      </c>
      <c r="D565" t="s">
        <v>161</v>
      </c>
      <c r="E565" s="4">
        <v>51.521000000000001</v>
      </c>
      <c r="F565" s="4">
        <v>391601.527</v>
      </c>
      <c r="G565" s="4">
        <v>391653.04800000001</v>
      </c>
      <c r="H565" s="5">
        <f>7618 / 86400</f>
        <v>8.8171296296296303E-2</v>
      </c>
      <c r="I565" t="s">
        <v>56</v>
      </c>
      <c r="J565" t="s">
        <v>57</v>
      </c>
      <c r="K565" s="5">
        <f>15117 / 86400</f>
        <v>0.17496527777777779</v>
      </c>
      <c r="L565" s="5">
        <f>1395 / 86400</f>
        <v>1.6145833333333335E-2</v>
      </c>
    </row>
    <row r="566" spans="1:12" x14ac:dyDescent="0.25">
      <c r="A566" s="3">
        <v>45695.461238425924</v>
      </c>
      <c r="B566" t="s">
        <v>161</v>
      </c>
      <c r="C566" s="3">
        <v>45695.465266203704</v>
      </c>
      <c r="D566" t="s">
        <v>128</v>
      </c>
      <c r="E566" s="4">
        <v>1.2569999999999999</v>
      </c>
      <c r="F566" s="4">
        <v>391653.04800000001</v>
      </c>
      <c r="G566" s="4">
        <v>391654.30499999999</v>
      </c>
      <c r="H566" s="5">
        <f>59 / 86400</f>
        <v>6.8287037037037036E-4</v>
      </c>
      <c r="I566" t="s">
        <v>137</v>
      </c>
      <c r="J566" t="s">
        <v>53</v>
      </c>
      <c r="K566" s="5">
        <f>347 / 86400</f>
        <v>4.0162037037037041E-3</v>
      </c>
      <c r="L566" s="5">
        <f>524 / 86400</f>
        <v>6.0648148148148145E-3</v>
      </c>
    </row>
    <row r="567" spans="1:12" x14ac:dyDescent="0.25">
      <c r="A567" s="3">
        <v>45695.471331018518</v>
      </c>
      <c r="B567" t="s">
        <v>128</v>
      </c>
      <c r="C567" s="3">
        <v>45695.472615740742</v>
      </c>
      <c r="D567" t="s">
        <v>128</v>
      </c>
      <c r="E567" s="4">
        <v>0.155</v>
      </c>
      <c r="F567" s="4">
        <v>391654.30499999999</v>
      </c>
      <c r="G567" s="4">
        <v>391654.46</v>
      </c>
      <c r="H567" s="5">
        <f>39 / 86400</f>
        <v>4.5138888888888887E-4</v>
      </c>
      <c r="I567" t="s">
        <v>78</v>
      </c>
      <c r="J567" t="s">
        <v>126</v>
      </c>
      <c r="K567" s="5">
        <f>111 / 86400</f>
        <v>1.2847222222222223E-3</v>
      </c>
      <c r="L567" s="5">
        <f>919 / 86400</f>
        <v>1.0636574074074074E-2</v>
      </c>
    </row>
    <row r="568" spans="1:12" x14ac:dyDescent="0.25">
      <c r="A568" s="3">
        <v>45695.483252314814</v>
      </c>
      <c r="B568" t="s">
        <v>128</v>
      </c>
      <c r="C568" s="3">
        <v>45695.485949074078</v>
      </c>
      <c r="D568" t="s">
        <v>48</v>
      </c>
      <c r="E568" s="4">
        <v>0.76700000000000002</v>
      </c>
      <c r="F568" s="4">
        <v>391654.46</v>
      </c>
      <c r="G568" s="4">
        <v>391655.22700000001</v>
      </c>
      <c r="H568" s="5">
        <f>60 / 86400</f>
        <v>6.9444444444444447E-4</v>
      </c>
      <c r="I568" t="s">
        <v>144</v>
      </c>
      <c r="J568" t="s">
        <v>57</v>
      </c>
      <c r="K568" s="5">
        <f>232 / 86400</f>
        <v>2.685185185185185E-3</v>
      </c>
      <c r="L568" s="5">
        <f>2108 / 86400</f>
        <v>2.4398148148148148E-2</v>
      </c>
    </row>
    <row r="569" spans="1:12" x14ac:dyDescent="0.25">
      <c r="A569" s="3">
        <v>45695.510347222225</v>
      </c>
      <c r="B569" t="s">
        <v>48</v>
      </c>
      <c r="C569" s="3">
        <v>45695.515219907407</v>
      </c>
      <c r="D569" t="s">
        <v>161</v>
      </c>
      <c r="E569" s="4">
        <v>1.381</v>
      </c>
      <c r="F569" s="4">
        <v>391655.22700000001</v>
      </c>
      <c r="G569" s="4">
        <v>391656.60800000001</v>
      </c>
      <c r="H569" s="5">
        <f>39 / 86400</f>
        <v>4.5138888888888887E-4</v>
      </c>
      <c r="I569" t="s">
        <v>212</v>
      </c>
      <c r="J569" t="s">
        <v>57</v>
      </c>
      <c r="K569" s="5">
        <f>421 / 86400</f>
        <v>4.8726851851851848E-3</v>
      </c>
      <c r="L569" s="5">
        <f>2687 / 86400</f>
        <v>3.1099537037037037E-2</v>
      </c>
    </row>
    <row r="570" spans="1:12" x14ac:dyDescent="0.25">
      <c r="A570" s="3">
        <v>45695.546319444446</v>
      </c>
      <c r="B570" t="s">
        <v>161</v>
      </c>
      <c r="C570" s="3">
        <v>45695.546446759261</v>
      </c>
      <c r="D570" t="s">
        <v>161</v>
      </c>
      <c r="E570" s="4">
        <v>4.0000000000000001E-3</v>
      </c>
      <c r="F570" s="4">
        <v>391656.60800000001</v>
      </c>
      <c r="G570" s="4">
        <v>391656.61200000002</v>
      </c>
      <c r="H570" s="5">
        <f>0 / 86400</f>
        <v>0</v>
      </c>
      <c r="I570" t="s">
        <v>126</v>
      </c>
      <c r="J570" t="s">
        <v>127</v>
      </c>
      <c r="K570" s="5">
        <f>11 / 86400</f>
        <v>1.273148148148148E-4</v>
      </c>
      <c r="L570" s="5">
        <f>304 / 86400</f>
        <v>3.5185185185185185E-3</v>
      </c>
    </row>
    <row r="571" spans="1:12" x14ac:dyDescent="0.25">
      <c r="A571" s="3">
        <v>45695.54996527778</v>
      </c>
      <c r="B571" t="s">
        <v>161</v>
      </c>
      <c r="C571" s="3">
        <v>45695.759699074071</v>
      </c>
      <c r="D571" t="s">
        <v>329</v>
      </c>
      <c r="E571" s="4">
        <v>91.025999999999996</v>
      </c>
      <c r="F571" s="4">
        <v>391656.61200000002</v>
      </c>
      <c r="G571" s="4">
        <v>391747.63799999998</v>
      </c>
      <c r="H571" s="5">
        <f>5782 / 86400</f>
        <v>6.6921296296296298E-2</v>
      </c>
      <c r="I571" t="s">
        <v>36</v>
      </c>
      <c r="J571" t="s">
        <v>69</v>
      </c>
      <c r="K571" s="5">
        <f>18121 / 86400</f>
        <v>0.20973379629629629</v>
      </c>
      <c r="L571" s="5">
        <f>400 / 86400</f>
        <v>4.6296296296296294E-3</v>
      </c>
    </row>
    <row r="572" spans="1:12" x14ac:dyDescent="0.25">
      <c r="A572" s="3">
        <v>45695.764328703706</v>
      </c>
      <c r="B572" t="s">
        <v>329</v>
      </c>
      <c r="C572" s="3">
        <v>45695.972673611112</v>
      </c>
      <c r="D572" t="s">
        <v>58</v>
      </c>
      <c r="E572" s="4">
        <v>94.783000000000001</v>
      </c>
      <c r="F572" s="4">
        <v>391747.63799999998</v>
      </c>
      <c r="G572" s="4">
        <v>391842.42099999997</v>
      </c>
      <c r="H572" s="5">
        <f>6420 / 86400</f>
        <v>7.4305555555555555E-2</v>
      </c>
      <c r="I572" t="s">
        <v>59</v>
      </c>
      <c r="J572" t="s">
        <v>90</v>
      </c>
      <c r="K572" s="5">
        <f>18001 / 86400</f>
        <v>0.20834490740740741</v>
      </c>
      <c r="L572" s="5">
        <f>2360 / 86400</f>
        <v>2.7314814814814816E-2</v>
      </c>
    </row>
    <row r="573" spans="1:12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 spans="1:12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 spans="1:12" s="10" customFormat="1" ht="20.100000000000001" customHeight="1" x14ac:dyDescent="0.35">
      <c r="A575" s="12" t="s">
        <v>408</v>
      </c>
      <c r="B575" s="12"/>
      <c r="C575" s="12"/>
      <c r="D575" s="12"/>
      <c r="E575" s="12"/>
      <c r="F575" s="12"/>
      <c r="G575" s="12"/>
      <c r="H575" s="12"/>
      <c r="I575" s="12"/>
      <c r="J575" s="12"/>
    </row>
    <row r="576" spans="1:12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 spans="1:12" ht="30" x14ac:dyDescent="0.25">
      <c r="A577" s="2" t="s">
        <v>6</v>
      </c>
      <c r="B577" s="2" t="s">
        <v>7</v>
      </c>
      <c r="C577" s="2" t="s">
        <v>8</v>
      </c>
      <c r="D577" s="2" t="s">
        <v>9</v>
      </c>
      <c r="E577" s="2" t="s">
        <v>10</v>
      </c>
      <c r="F577" s="2" t="s">
        <v>11</v>
      </c>
      <c r="G577" s="2" t="s">
        <v>12</v>
      </c>
      <c r="H577" s="2" t="s">
        <v>13</v>
      </c>
      <c r="I577" s="2" t="s">
        <v>14</v>
      </c>
      <c r="J577" s="2" t="s">
        <v>15</v>
      </c>
      <c r="K577" s="2" t="s">
        <v>16</v>
      </c>
      <c r="L577" s="2" t="s">
        <v>17</v>
      </c>
    </row>
    <row r="578" spans="1:12" x14ac:dyDescent="0.25">
      <c r="A578" s="3">
        <v>45695.146944444445</v>
      </c>
      <c r="B578" t="s">
        <v>60</v>
      </c>
      <c r="C578" s="3">
        <v>45695.314328703702</v>
      </c>
      <c r="D578" t="s">
        <v>310</v>
      </c>
      <c r="E578" s="4">
        <v>80.811999999999998</v>
      </c>
      <c r="F578" s="4">
        <v>521918.01799999998</v>
      </c>
      <c r="G578" s="4">
        <v>521998.83</v>
      </c>
      <c r="H578" s="5">
        <f>4058 / 86400</f>
        <v>4.6967592592592596E-2</v>
      </c>
      <c r="I578" t="s">
        <v>61</v>
      </c>
      <c r="J578" t="s">
        <v>78</v>
      </c>
      <c r="K578" s="5">
        <f>14461 / 86400</f>
        <v>0.16737268518518519</v>
      </c>
      <c r="L578" s="5">
        <f>13489 / 86400</f>
        <v>0.15612268518518518</v>
      </c>
    </row>
    <row r="579" spans="1:12" x14ac:dyDescent="0.25">
      <c r="A579" s="3">
        <v>45695.323506944449</v>
      </c>
      <c r="B579" t="s">
        <v>310</v>
      </c>
      <c r="C579" s="3">
        <v>45695.594988425924</v>
      </c>
      <c r="D579" t="s">
        <v>128</v>
      </c>
      <c r="E579" s="4">
        <v>101.67100000000001</v>
      </c>
      <c r="F579" s="4">
        <v>521998.83</v>
      </c>
      <c r="G579" s="4">
        <v>522100.50099999999</v>
      </c>
      <c r="H579" s="5">
        <f>8559 / 86400</f>
        <v>9.9062499999999998E-2</v>
      </c>
      <c r="I579" t="s">
        <v>85</v>
      </c>
      <c r="J579" t="s">
        <v>20</v>
      </c>
      <c r="K579" s="5">
        <f>23455 / 86400</f>
        <v>0.2714699074074074</v>
      </c>
      <c r="L579" s="5">
        <f>205 / 86400</f>
        <v>2.3726851851851851E-3</v>
      </c>
    </row>
    <row r="580" spans="1:12" x14ac:dyDescent="0.25">
      <c r="A580" s="3">
        <v>45695.597361111111</v>
      </c>
      <c r="B580" t="s">
        <v>128</v>
      </c>
      <c r="C580" s="3">
        <v>45695.599768518514</v>
      </c>
      <c r="D580" t="s">
        <v>128</v>
      </c>
      <c r="E580" s="4">
        <v>0.13800000000000001</v>
      </c>
      <c r="F580" s="4">
        <v>522100.50099999999</v>
      </c>
      <c r="G580" s="4">
        <v>522100.63900000002</v>
      </c>
      <c r="H580" s="5">
        <f>99 / 86400</f>
        <v>1.1458333333333333E-3</v>
      </c>
      <c r="I580" t="s">
        <v>141</v>
      </c>
      <c r="J580" t="s">
        <v>87</v>
      </c>
      <c r="K580" s="5">
        <f>208 / 86400</f>
        <v>2.4074074074074076E-3</v>
      </c>
      <c r="L580" s="5">
        <f>2067 / 86400</f>
        <v>2.3923611111111111E-2</v>
      </c>
    </row>
    <row r="581" spans="1:12" x14ac:dyDescent="0.25">
      <c r="A581" s="3">
        <v>45695.623692129629</v>
      </c>
      <c r="B581" t="s">
        <v>128</v>
      </c>
      <c r="C581" s="3">
        <v>45695.687569444446</v>
      </c>
      <c r="D581" t="s">
        <v>330</v>
      </c>
      <c r="E581" s="4">
        <v>27.623999999999999</v>
      </c>
      <c r="F581" s="4">
        <v>522100.63900000002</v>
      </c>
      <c r="G581" s="4">
        <v>522128.26299999998</v>
      </c>
      <c r="H581" s="5">
        <f>1558 / 86400</f>
        <v>1.8032407407407407E-2</v>
      </c>
      <c r="I581" t="s">
        <v>44</v>
      </c>
      <c r="J581" t="s">
        <v>69</v>
      </c>
      <c r="K581" s="5">
        <f>5518 / 86400</f>
        <v>6.3865740740740737E-2</v>
      </c>
      <c r="L581" s="5">
        <f>1578 / 86400</f>
        <v>1.8263888888888889E-2</v>
      </c>
    </row>
    <row r="582" spans="1:12" x14ac:dyDescent="0.25">
      <c r="A582" s="3">
        <v>45695.705833333333</v>
      </c>
      <c r="B582" t="s">
        <v>330</v>
      </c>
      <c r="C582" s="3">
        <v>45695.70815972222</v>
      </c>
      <c r="D582" t="s">
        <v>60</v>
      </c>
      <c r="E582" s="4">
        <v>0.41599999999999998</v>
      </c>
      <c r="F582" s="4">
        <v>522128.26299999998</v>
      </c>
      <c r="G582" s="4">
        <v>522128.679</v>
      </c>
      <c r="H582" s="5">
        <f>20 / 86400</f>
        <v>2.3148148148148149E-4</v>
      </c>
      <c r="I582" t="s">
        <v>37</v>
      </c>
      <c r="J582" t="s">
        <v>91</v>
      </c>
      <c r="K582" s="5">
        <f>201 / 86400</f>
        <v>2.3263888888888887E-3</v>
      </c>
      <c r="L582" s="5">
        <f>25214 / 86400</f>
        <v>0.29182870370370373</v>
      </c>
    </row>
    <row r="583" spans="1:12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 spans="1:12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 spans="1:12" s="10" customFormat="1" ht="20.100000000000001" customHeight="1" x14ac:dyDescent="0.35">
      <c r="A585" s="12" t="s">
        <v>409</v>
      </c>
      <c r="B585" s="12"/>
      <c r="C585" s="12"/>
      <c r="D585" s="12"/>
      <c r="E585" s="12"/>
      <c r="F585" s="12"/>
      <c r="G585" s="12"/>
      <c r="H585" s="12"/>
      <c r="I585" s="12"/>
      <c r="J585" s="12"/>
    </row>
    <row r="586" spans="1:12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 spans="1:12" ht="30" x14ac:dyDescent="0.25">
      <c r="A587" s="2" t="s">
        <v>6</v>
      </c>
      <c r="B587" s="2" t="s">
        <v>7</v>
      </c>
      <c r="C587" s="2" t="s">
        <v>8</v>
      </c>
      <c r="D587" s="2" t="s">
        <v>9</v>
      </c>
      <c r="E587" s="2" t="s">
        <v>10</v>
      </c>
      <c r="F587" s="2" t="s">
        <v>11</v>
      </c>
      <c r="G587" s="2" t="s">
        <v>12</v>
      </c>
      <c r="H587" s="2" t="s">
        <v>13</v>
      </c>
      <c r="I587" s="2" t="s">
        <v>14</v>
      </c>
      <c r="J587" s="2" t="s">
        <v>15</v>
      </c>
      <c r="K587" s="2" t="s">
        <v>16</v>
      </c>
      <c r="L587" s="2" t="s">
        <v>17</v>
      </c>
    </row>
    <row r="588" spans="1:12" x14ac:dyDescent="0.25">
      <c r="A588" s="3">
        <v>45695.271284722221</v>
      </c>
      <c r="B588" t="s">
        <v>62</v>
      </c>
      <c r="C588" s="3">
        <v>45695.320231481484</v>
      </c>
      <c r="D588" t="s">
        <v>331</v>
      </c>
      <c r="E588" s="4">
        <v>25.602</v>
      </c>
      <c r="F588" s="4">
        <v>410668.69099999999</v>
      </c>
      <c r="G588" s="4">
        <v>410694.29300000001</v>
      </c>
      <c r="H588" s="5">
        <f>759 / 86400</f>
        <v>8.7847222222222215E-3</v>
      </c>
      <c r="I588" t="s">
        <v>208</v>
      </c>
      <c r="J588" t="s">
        <v>187</v>
      </c>
      <c r="K588" s="5">
        <f>4228 / 86400</f>
        <v>4.8935185185185186E-2</v>
      </c>
      <c r="L588" s="5">
        <f>29162 / 86400</f>
        <v>0.33752314814814816</v>
      </c>
    </row>
    <row r="589" spans="1:12" x14ac:dyDescent="0.25">
      <c r="A589" s="3">
        <v>45695.386469907404</v>
      </c>
      <c r="B589" t="s">
        <v>331</v>
      </c>
      <c r="C589" s="3">
        <v>45695.442719907413</v>
      </c>
      <c r="D589" t="s">
        <v>128</v>
      </c>
      <c r="E589" s="4">
        <v>25.465</v>
      </c>
      <c r="F589" s="4">
        <v>410694.29300000001</v>
      </c>
      <c r="G589" s="4">
        <v>410719.75799999997</v>
      </c>
      <c r="H589" s="5">
        <f>859 / 86400</f>
        <v>9.9421296296296289E-3</v>
      </c>
      <c r="I589" t="s">
        <v>332</v>
      </c>
      <c r="J589" t="s">
        <v>90</v>
      </c>
      <c r="K589" s="5">
        <f>4860 / 86400</f>
        <v>5.6250000000000001E-2</v>
      </c>
      <c r="L589" s="5">
        <f>775 / 86400</f>
        <v>8.9699074074074073E-3</v>
      </c>
    </row>
    <row r="590" spans="1:12" x14ac:dyDescent="0.25">
      <c r="A590" s="3">
        <v>45695.451689814814</v>
      </c>
      <c r="B590" t="s">
        <v>128</v>
      </c>
      <c r="C590" s="3">
        <v>45695.455567129626</v>
      </c>
      <c r="D590" t="s">
        <v>147</v>
      </c>
      <c r="E590" s="4">
        <v>0.36</v>
      </c>
      <c r="F590" s="4">
        <v>410719.75799999997</v>
      </c>
      <c r="G590" s="4">
        <v>410720.11800000002</v>
      </c>
      <c r="H590" s="5">
        <f>179 / 86400</f>
        <v>2.0717592592592593E-3</v>
      </c>
      <c r="I590" t="s">
        <v>34</v>
      </c>
      <c r="J590" t="s">
        <v>82</v>
      </c>
      <c r="K590" s="5">
        <f>334 / 86400</f>
        <v>3.8657407407407408E-3</v>
      </c>
      <c r="L590" s="5">
        <f>945 / 86400</f>
        <v>1.0937499999999999E-2</v>
      </c>
    </row>
    <row r="591" spans="1:12" x14ac:dyDescent="0.25">
      <c r="A591" s="3">
        <v>45695.466504629629</v>
      </c>
      <c r="B591" t="s">
        <v>147</v>
      </c>
      <c r="C591" s="3">
        <v>45695.469293981485</v>
      </c>
      <c r="D591" t="s">
        <v>333</v>
      </c>
      <c r="E591" s="4">
        <v>0.71099999999999997</v>
      </c>
      <c r="F591" s="4">
        <v>410720.11800000002</v>
      </c>
      <c r="G591" s="4">
        <v>410720.82900000003</v>
      </c>
      <c r="H591" s="5">
        <f>59 / 86400</f>
        <v>6.8287037037037036E-4</v>
      </c>
      <c r="I591" t="s">
        <v>160</v>
      </c>
      <c r="J591" t="s">
        <v>112</v>
      </c>
      <c r="K591" s="5">
        <f>240 / 86400</f>
        <v>2.7777777777777779E-3</v>
      </c>
      <c r="L591" s="5">
        <f>5351 / 86400</f>
        <v>6.1932870370370367E-2</v>
      </c>
    </row>
    <row r="592" spans="1:12" x14ac:dyDescent="0.25">
      <c r="A592" s="3">
        <v>45695.531226851846</v>
      </c>
      <c r="B592" t="s">
        <v>333</v>
      </c>
      <c r="C592" s="3">
        <v>45695.814814814818</v>
      </c>
      <c r="D592" t="s">
        <v>316</v>
      </c>
      <c r="E592" s="4">
        <v>99.933000000000007</v>
      </c>
      <c r="F592" s="4">
        <v>410720.82900000003</v>
      </c>
      <c r="G592" s="4">
        <v>410820.76199999999</v>
      </c>
      <c r="H592" s="5">
        <f>8260 / 86400</f>
        <v>9.5601851851851855E-2</v>
      </c>
      <c r="I592" t="s">
        <v>64</v>
      </c>
      <c r="J592" t="s">
        <v>24</v>
      </c>
      <c r="K592" s="5">
        <f>24502 / 86400</f>
        <v>0.28358796296296296</v>
      </c>
      <c r="L592" s="5">
        <f>1059 / 86400</f>
        <v>1.2256944444444445E-2</v>
      </c>
    </row>
    <row r="593" spans="1:12" x14ac:dyDescent="0.25">
      <c r="A593" s="3">
        <v>45695.82707175926</v>
      </c>
      <c r="B593" t="s">
        <v>316</v>
      </c>
      <c r="C593" s="3">
        <v>45695.830208333333</v>
      </c>
      <c r="D593" t="s">
        <v>128</v>
      </c>
      <c r="E593" s="4">
        <v>0.51700000000000002</v>
      </c>
      <c r="F593" s="4">
        <v>410820.76199999999</v>
      </c>
      <c r="G593" s="4">
        <v>410821.27899999998</v>
      </c>
      <c r="H593" s="5">
        <f>119 / 86400</f>
        <v>1.3773148148148147E-3</v>
      </c>
      <c r="I593" t="s">
        <v>160</v>
      </c>
      <c r="J593" t="s">
        <v>91</v>
      </c>
      <c r="K593" s="5">
        <f>271 / 86400</f>
        <v>3.1365740740740742E-3</v>
      </c>
      <c r="L593" s="5">
        <f>308 / 86400</f>
        <v>3.5648148148148149E-3</v>
      </c>
    </row>
    <row r="594" spans="1:12" x14ac:dyDescent="0.25">
      <c r="A594" s="3">
        <v>45695.833773148144</v>
      </c>
      <c r="B594" t="s">
        <v>147</v>
      </c>
      <c r="C594" s="3">
        <v>45695.834837962961</v>
      </c>
      <c r="D594" t="s">
        <v>128</v>
      </c>
      <c r="E594" s="4">
        <v>0.22600000000000001</v>
      </c>
      <c r="F594" s="4">
        <v>410821.27899999998</v>
      </c>
      <c r="G594" s="4">
        <v>410821.505</v>
      </c>
      <c r="H594" s="5">
        <f>0 / 86400</f>
        <v>0</v>
      </c>
      <c r="I594" t="s">
        <v>24</v>
      </c>
      <c r="J594" t="s">
        <v>71</v>
      </c>
      <c r="K594" s="5">
        <f>92 / 86400</f>
        <v>1.0648148148148149E-3</v>
      </c>
      <c r="L594" s="5">
        <f>381 / 86400</f>
        <v>4.409722222222222E-3</v>
      </c>
    </row>
    <row r="595" spans="1:12" x14ac:dyDescent="0.25">
      <c r="A595" s="3">
        <v>45695.839247685188</v>
      </c>
      <c r="B595" t="s">
        <v>128</v>
      </c>
      <c r="C595" s="3">
        <v>45695.839259259257</v>
      </c>
      <c r="D595" t="s">
        <v>128</v>
      </c>
      <c r="E595" s="4">
        <v>0</v>
      </c>
      <c r="F595" s="4">
        <v>410821.505</v>
      </c>
      <c r="G595" s="4">
        <v>410821.505</v>
      </c>
      <c r="H595" s="5">
        <f>0 / 86400</f>
        <v>0</v>
      </c>
      <c r="I595" t="s">
        <v>129</v>
      </c>
      <c r="J595" t="s">
        <v>129</v>
      </c>
      <c r="K595" s="5">
        <f>1 / 86400</f>
        <v>1.1574074074074073E-5</v>
      </c>
      <c r="L595" s="5">
        <f>142 / 86400</f>
        <v>1.6435185185185185E-3</v>
      </c>
    </row>
    <row r="596" spans="1:12" x14ac:dyDescent="0.25">
      <c r="A596" s="3">
        <v>45695.840902777782</v>
      </c>
      <c r="B596" t="s">
        <v>128</v>
      </c>
      <c r="C596" s="3">
        <v>45695.864976851852</v>
      </c>
      <c r="D596" t="s">
        <v>334</v>
      </c>
      <c r="E596" s="4">
        <v>3.5779999999999998</v>
      </c>
      <c r="F596" s="4">
        <v>410821.505</v>
      </c>
      <c r="G596" s="4">
        <v>410825.08299999998</v>
      </c>
      <c r="H596" s="5">
        <f>1339 / 86400</f>
        <v>1.5497685185185186E-2</v>
      </c>
      <c r="I596" t="s">
        <v>209</v>
      </c>
      <c r="J596" t="s">
        <v>132</v>
      </c>
      <c r="K596" s="5">
        <f>2080 / 86400</f>
        <v>2.4074074074074074E-2</v>
      </c>
      <c r="L596" s="5">
        <f>77 / 86400</f>
        <v>8.9120370370370373E-4</v>
      </c>
    </row>
    <row r="597" spans="1:12" x14ac:dyDescent="0.25">
      <c r="A597" s="3">
        <v>45695.865868055553</v>
      </c>
      <c r="B597" t="s">
        <v>334</v>
      </c>
      <c r="C597" s="3">
        <v>45695.868078703701</v>
      </c>
      <c r="D597" t="s">
        <v>334</v>
      </c>
      <c r="E597" s="4">
        <v>2E-3</v>
      </c>
      <c r="F597" s="4">
        <v>410825.08299999998</v>
      </c>
      <c r="G597" s="4">
        <v>410825.08500000002</v>
      </c>
      <c r="H597" s="5">
        <f>179 / 86400</f>
        <v>2.0717592592592593E-3</v>
      </c>
      <c r="I597" t="s">
        <v>129</v>
      </c>
      <c r="J597" t="s">
        <v>129</v>
      </c>
      <c r="K597" s="5">
        <f>190 / 86400</f>
        <v>2.1990740740740742E-3</v>
      </c>
      <c r="L597" s="5">
        <f>202 / 86400</f>
        <v>2.3379629629629631E-3</v>
      </c>
    </row>
    <row r="598" spans="1:12" x14ac:dyDescent="0.25">
      <c r="A598" s="3">
        <v>45695.870416666672</v>
      </c>
      <c r="B598" t="s">
        <v>334</v>
      </c>
      <c r="C598" s="3">
        <v>45695.873981481476</v>
      </c>
      <c r="D598" t="s">
        <v>334</v>
      </c>
      <c r="E598" s="4">
        <v>2.7E-2</v>
      </c>
      <c r="F598" s="4">
        <v>410825.08500000002</v>
      </c>
      <c r="G598" s="4">
        <v>410825.11200000002</v>
      </c>
      <c r="H598" s="5">
        <f>299 / 86400</f>
        <v>3.460648148148148E-3</v>
      </c>
      <c r="I598" t="s">
        <v>129</v>
      </c>
      <c r="J598" t="s">
        <v>129</v>
      </c>
      <c r="K598" s="5">
        <f>307 / 86400</f>
        <v>3.5532407407407409E-3</v>
      </c>
      <c r="L598" s="5">
        <f>290 / 86400</f>
        <v>3.3564814814814816E-3</v>
      </c>
    </row>
    <row r="599" spans="1:12" x14ac:dyDescent="0.25">
      <c r="A599" s="3">
        <v>45695.877337962964</v>
      </c>
      <c r="B599" t="s">
        <v>334</v>
      </c>
      <c r="C599" s="3">
        <v>45695.99998842593</v>
      </c>
      <c r="D599" t="s">
        <v>63</v>
      </c>
      <c r="E599" s="4">
        <v>51.975000000000001</v>
      </c>
      <c r="F599" s="4">
        <v>410825.11599999998</v>
      </c>
      <c r="G599" s="4">
        <v>410877.09100000001</v>
      </c>
      <c r="H599" s="5">
        <f>2908 / 86400</f>
        <v>3.3657407407407407E-2</v>
      </c>
      <c r="I599" t="s">
        <v>177</v>
      </c>
      <c r="J599" t="s">
        <v>69</v>
      </c>
      <c r="K599" s="5">
        <f>10597 / 86400</f>
        <v>0.12265046296296296</v>
      </c>
      <c r="L599" s="5">
        <f>0 / 86400</f>
        <v>0</v>
      </c>
    </row>
    <row r="600" spans="1:12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 spans="1:12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 spans="1:12" s="10" customFormat="1" ht="20.100000000000001" customHeight="1" x14ac:dyDescent="0.35">
      <c r="A602" s="12" t="s">
        <v>410</v>
      </c>
      <c r="B602" s="12"/>
      <c r="C602" s="12"/>
      <c r="D602" s="12"/>
      <c r="E602" s="12"/>
      <c r="F602" s="12"/>
      <c r="G602" s="12"/>
      <c r="H602" s="12"/>
      <c r="I602" s="12"/>
      <c r="J602" s="12"/>
    </row>
    <row r="603" spans="1:12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 spans="1:12" ht="30" x14ac:dyDescent="0.25">
      <c r="A604" s="2" t="s">
        <v>6</v>
      </c>
      <c r="B604" s="2" t="s">
        <v>7</v>
      </c>
      <c r="C604" s="2" t="s">
        <v>8</v>
      </c>
      <c r="D604" s="2" t="s">
        <v>9</v>
      </c>
      <c r="E604" s="2" t="s">
        <v>10</v>
      </c>
      <c r="F604" s="2" t="s">
        <v>11</v>
      </c>
      <c r="G604" s="2" t="s">
        <v>12</v>
      </c>
      <c r="H604" s="2" t="s">
        <v>13</v>
      </c>
      <c r="I604" s="2" t="s">
        <v>14</v>
      </c>
      <c r="J604" s="2" t="s">
        <v>15</v>
      </c>
      <c r="K604" s="2" t="s">
        <v>16</v>
      </c>
      <c r="L604" s="2" t="s">
        <v>17</v>
      </c>
    </row>
    <row r="605" spans="1:12" x14ac:dyDescent="0.25">
      <c r="A605" s="3">
        <v>45695.259722222225</v>
      </c>
      <c r="B605" t="s">
        <v>65</v>
      </c>
      <c r="C605" s="3">
        <v>45695.263240740736</v>
      </c>
      <c r="D605" t="s">
        <v>65</v>
      </c>
      <c r="E605" s="4">
        <v>3.0000000000000001E-3</v>
      </c>
      <c r="F605" s="4">
        <v>401588.05300000001</v>
      </c>
      <c r="G605" s="4">
        <v>401588.05599999998</v>
      </c>
      <c r="H605" s="5">
        <f>299 / 86400</f>
        <v>3.460648148148148E-3</v>
      </c>
      <c r="I605" t="s">
        <v>129</v>
      </c>
      <c r="J605" t="s">
        <v>129</v>
      </c>
      <c r="K605" s="5">
        <f>304 / 86400</f>
        <v>3.5185185185185185E-3</v>
      </c>
      <c r="L605" s="5">
        <f>22645 / 86400</f>
        <v>0.26209490740740743</v>
      </c>
    </row>
    <row r="606" spans="1:12" x14ac:dyDescent="0.25">
      <c r="A606" s="3">
        <v>45695.26561342593</v>
      </c>
      <c r="B606" t="s">
        <v>65</v>
      </c>
      <c r="C606" s="3">
        <v>45695.327002314814</v>
      </c>
      <c r="D606" t="s">
        <v>335</v>
      </c>
      <c r="E606" s="4">
        <v>28.408999999999999</v>
      </c>
      <c r="F606" s="4">
        <v>401588.05599999998</v>
      </c>
      <c r="G606" s="4">
        <v>401616.46500000003</v>
      </c>
      <c r="H606" s="5">
        <f>2179 / 86400</f>
        <v>2.5219907407407406E-2</v>
      </c>
      <c r="I606" t="s">
        <v>61</v>
      </c>
      <c r="J606" t="s">
        <v>90</v>
      </c>
      <c r="K606" s="5">
        <f>5304 / 86400</f>
        <v>6.1388888888888889E-2</v>
      </c>
      <c r="L606" s="5">
        <f>131 / 86400</f>
        <v>1.5162037037037036E-3</v>
      </c>
    </row>
    <row r="607" spans="1:12" x14ac:dyDescent="0.25">
      <c r="A607" s="3">
        <v>45695.328518518523</v>
      </c>
      <c r="B607" t="s">
        <v>335</v>
      </c>
      <c r="C607" s="3">
        <v>45695.416435185187</v>
      </c>
      <c r="D607" t="s">
        <v>336</v>
      </c>
      <c r="E607" s="4">
        <v>21.213000000000001</v>
      </c>
      <c r="F607" s="4">
        <v>401616.46500000003</v>
      </c>
      <c r="G607" s="4">
        <v>401637.67800000001</v>
      </c>
      <c r="H607" s="5">
        <f>3865 / 86400</f>
        <v>4.4733796296296299E-2</v>
      </c>
      <c r="I607" t="s">
        <v>324</v>
      </c>
      <c r="J607" t="s">
        <v>45</v>
      </c>
      <c r="K607" s="5">
        <f>7596 / 86400</f>
        <v>8.7916666666666671E-2</v>
      </c>
      <c r="L607" s="5">
        <f>2415 / 86400</f>
        <v>2.795138888888889E-2</v>
      </c>
    </row>
    <row r="608" spans="1:12" x14ac:dyDescent="0.25">
      <c r="A608" s="3">
        <v>45695.444386574076</v>
      </c>
      <c r="B608" t="s">
        <v>336</v>
      </c>
      <c r="C608" s="3">
        <v>45695.585324074069</v>
      </c>
      <c r="D608" t="s">
        <v>128</v>
      </c>
      <c r="E608" s="4">
        <v>49.862000000000002</v>
      </c>
      <c r="F608" s="4">
        <v>401637.67800000001</v>
      </c>
      <c r="G608" s="4">
        <v>401687.54</v>
      </c>
      <c r="H608" s="5">
        <f>4040 / 86400</f>
        <v>4.6759259259259257E-2</v>
      </c>
      <c r="I608" t="s">
        <v>153</v>
      </c>
      <c r="J608" t="s">
        <v>24</v>
      </c>
      <c r="K608" s="5">
        <f>12176 / 86400</f>
        <v>0.14092592592592593</v>
      </c>
      <c r="L608" s="5">
        <f>588 / 86400</f>
        <v>6.8055555555555551E-3</v>
      </c>
    </row>
    <row r="609" spans="1:12" x14ac:dyDescent="0.25">
      <c r="A609" s="3">
        <v>45695.592129629629</v>
      </c>
      <c r="B609" t="s">
        <v>128</v>
      </c>
      <c r="C609" s="3">
        <v>45695.599594907406</v>
      </c>
      <c r="D609" t="s">
        <v>161</v>
      </c>
      <c r="E609" s="4">
        <v>1.2869999999999999</v>
      </c>
      <c r="F609" s="4">
        <v>401687.54</v>
      </c>
      <c r="G609" s="4">
        <v>401688.82699999999</v>
      </c>
      <c r="H609" s="5">
        <f>260 / 86400</f>
        <v>3.0092592592592593E-3</v>
      </c>
      <c r="I609" t="s">
        <v>157</v>
      </c>
      <c r="J609" t="s">
        <v>91</v>
      </c>
      <c r="K609" s="5">
        <f>645 / 86400</f>
        <v>7.4652777777777781E-3</v>
      </c>
      <c r="L609" s="5">
        <f>4124 / 86400</f>
        <v>4.7731481481481479E-2</v>
      </c>
    </row>
    <row r="610" spans="1:12" x14ac:dyDescent="0.25">
      <c r="A610" s="3">
        <v>45695.647326388891</v>
      </c>
      <c r="B610" t="s">
        <v>310</v>
      </c>
      <c r="C610" s="3">
        <v>45695.799525462964</v>
      </c>
      <c r="D610" t="s">
        <v>133</v>
      </c>
      <c r="E610" s="4">
        <v>59.374000000000002</v>
      </c>
      <c r="F610" s="4">
        <v>401688.82699999999</v>
      </c>
      <c r="G610" s="4">
        <v>401748.201</v>
      </c>
      <c r="H610" s="5">
        <f>4798 / 86400</f>
        <v>5.5532407407407405E-2</v>
      </c>
      <c r="I610" t="s">
        <v>66</v>
      </c>
      <c r="J610" t="s">
        <v>20</v>
      </c>
      <c r="K610" s="5">
        <f>13150 / 86400</f>
        <v>0.15219907407407407</v>
      </c>
      <c r="L610" s="5">
        <f>74 / 86400</f>
        <v>8.564814814814815E-4</v>
      </c>
    </row>
    <row r="611" spans="1:12" x14ac:dyDescent="0.25">
      <c r="A611" s="3">
        <v>45695.800381944442</v>
      </c>
      <c r="B611" t="s">
        <v>133</v>
      </c>
      <c r="C611" s="3">
        <v>45695.889525462961</v>
      </c>
      <c r="D611" t="s">
        <v>128</v>
      </c>
      <c r="E611" s="4">
        <v>35.622999999999998</v>
      </c>
      <c r="F611" s="4">
        <v>401748.201</v>
      </c>
      <c r="G611" s="4">
        <v>401783.82400000002</v>
      </c>
      <c r="H611" s="5">
        <f>2201 / 86400</f>
        <v>2.5474537037037039E-2</v>
      </c>
      <c r="I611" t="s">
        <v>30</v>
      </c>
      <c r="J611" t="s">
        <v>28</v>
      </c>
      <c r="K611" s="5">
        <f>7702 / 86400</f>
        <v>8.9143518518518525E-2</v>
      </c>
      <c r="L611" s="5">
        <f>533 / 86400</f>
        <v>6.1689814814814819E-3</v>
      </c>
    </row>
    <row r="612" spans="1:12" x14ac:dyDescent="0.25">
      <c r="A612" s="3">
        <v>45695.895694444444</v>
      </c>
      <c r="B612" t="s">
        <v>128</v>
      </c>
      <c r="C612" s="3">
        <v>45695.897268518514</v>
      </c>
      <c r="D612" t="s">
        <v>337</v>
      </c>
      <c r="E612" s="4">
        <v>0.31900000000000001</v>
      </c>
      <c r="F612" s="4">
        <v>401783.82400000002</v>
      </c>
      <c r="G612" s="4">
        <v>401784.14299999998</v>
      </c>
      <c r="H612" s="5">
        <f>20 / 86400</f>
        <v>2.3148148148148149E-4</v>
      </c>
      <c r="I612" t="s">
        <v>28</v>
      </c>
      <c r="J612" t="s">
        <v>71</v>
      </c>
      <c r="K612" s="5">
        <f>135 / 86400</f>
        <v>1.5625000000000001E-3</v>
      </c>
      <c r="L612" s="5">
        <f>495 / 86400</f>
        <v>5.7291666666666663E-3</v>
      </c>
    </row>
    <row r="613" spans="1:12" x14ac:dyDescent="0.25">
      <c r="A613" s="3">
        <v>45695.902997685189</v>
      </c>
      <c r="B613" t="s">
        <v>337</v>
      </c>
      <c r="C613" s="3">
        <v>45695.905763888892</v>
      </c>
      <c r="D613" t="s">
        <v>65</v>
      </c>
      <c r="E613" s="4">
        <v>0.307</v>
      </c>
      <c r="F613" s="4">
        <v>401784.14299999998</v>
      </c>
      <c r="G613" s="4">
        <v>401784.45</v>
      </c>
      <c r="H613" s="5">
        <f>59 / 86400</f>
        <v>6.8287037037037036E-4</v>
      </c>
      <c r="I613" t="s">
        <v>71</v>
      </c>
      <c r="J613" t="s">
        <v>126</v>
      </c>
      <c r="K613" s="5">
        <f>238 / 86400</f>
        <v>2.7546296296296294E-3</v>
      </c>
      <c r="L613" s="5">
        <f>8141 / 86400</f>
        <v>9.4224537037037037E-2</v>
      </c>
    </row>
    <row r="614" spans="1:12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 spans="1:12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 spans="1:12" s="10" customFormat="1" ht="20.100000000000001" customHeight="1" x14ac:dyDescent="0.35">
      <c r="A616" s="12" t="s">
        <v>411</v>
      </c>
      <c r="B616" s="12"/>
      <c r="C616" s="12"/>
      <c r="D616" s="12"/>
      <c r="E616" s="12"/>
      <c r="F616" s="12"/>
      <c r="G616" s="12"/>
      <c r="H616" s="12"/>
      <c r="I616" s="12"/>
      <c r="J616" s="12"/>
    </row>
    <row r="617" spans="1:12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 spans="1:12" ht="30" x14ac:dyDescent="0.25">
      <c r="A618" s="2" t="s">
        <v>6</v>
      </c>
      <c r="B618" s="2" t="s">
        <v>7</v>
      </c>
      <c r="C618" s="2" t="s">
        <v>8</v>
      </c>
      <c r="D618" s="2" t="s">
        <v>9</v>
      </c>
      <c r="E618" s="2" t="s">
        <v>10</v>
      </c>
      <c r="F618" s="2" t="s">
        <v>11</v>
      </c>
      <c r="G618" s="2" t="s">
        <v>12</v>
      </c>
      <c r="H618" s="2" t="s">
        <v>13</v>
      </c>
      <c r="I618" s="2" t="s">
        <v>14</v>
      </c>
      <c r="J618" s="2" t="s">
        <v>15</v>
      </c>
      <c r="K618" s="2" t="s">
        <v>16</v>
      </c>
      <c r="L618" s="2" t="s">
        <v>17</v>
      </c>
    </row>
    <row r="619" spans="1:12" x14ac:dyDescent="0.25">
      <c r="A619" s="3">
        <v>45695.265462962961</v>
      </c>
      <c r="B619" t="s">
        <v>67</v>
      </c>
      <c r="C619" s="3">
        <v>45695.267465277779</v>
      </c>
      <c r="D619" t="s">
        <v>67</v>
      </c>
      <c r="E619" s="4">
        <v>8.6999999999999994E-2</v>
      </c>
      <c r="F619" s="4">
        <v>406971.41200000001</v>
      </c>
      <c r="G619" s="4">
        <v>406971.49900000001</v>
      </c>
      <c r="H619" s="5">
        <f>79 / 86400</f>
        <v>9.1435185185185185E-4</v>
      </c>
      <c r="I619" t="s">
        <v>126</v>
      </c>
      <c r="J619" t="s">
        <v>87</v>
      </c>
      <c r="K619" s="5">
        <f>173 / 86400</f>
        <v>2.0023148148148148E-3</v>
      </c>
      <c r="L619" s="5">
        <f>24072 / 86400</f>
        <v>0.27861111111111109</v>
      </c>
    </row>
    <row r="620" spans="1:12" x14ac:dyDescent="0.25">
      <c r="A620" s="3">
        <v>45695.28061342593</v>
      </c>
      <c r="B620" t="s">
        <v>67</v>
      </c>
      <c r="C620" s="3">
        <v>45695.352523148147</v>
      </c>
      <c r="D620" t="s">
        <v>310</v>
      </c>
      <c r="E620" s="4">
        <v>36.543999999999997</v>
      </c>
      <c r="F620" s="4">
        <v>406971.49900000001</v>
      </c>
      <c r="G620" s="4">
        <v>407008.04300000001</v>
      </c>
      <c r="H620" s="5">
        <f>1040 / 86400</f>
        <v>1.2037037037037037E-2</v>
      </c>
      <c r="I620" t="s">
        <v>44</v>
      </c>
      <c r="J620" t="s">
        <v>37</v>
      </c>
      <c r="K620" s="5">
        <f>6213 / 86400</f>
        <v>7.1909722222222222E-2</v>
      </c>
      <c r="L620" s="5">
        <f>406 / 86400</f>
        <v>4.6990740740740743E-3</v>
      </c>
    </row>
    <row r="621" spans="1:12" x14ac:dyDescent="0.25">
      <c r="A621" s="3">
        <v>45695.357222222221</v>
      </c>
      <c r="B621" t="s">
        <v>310</v>
      </c>
      <c r="C621" s="3">
        <v>45695.357731481483</v>
      </c>
      <c r="D621" t="s">
        <v>161</v>
      </c>
      <c r="E621" s="4">
        <v>5.8000000000000003E-2</v>
      </c>
      <c r="F621" s="4">
        <v>407008.04300000001</v>
      </c>
      <c r="G621" s="4">
        <v>407008.10100000002</v>
      </c>
      <c r="H621" s="5">
        <f>20 / 86400</f>
        <v>2.3148148148148149E-4</v>
      </c>
      <c r="I621" t="s">
        <v>132</v>
      </c>
      <c r="J621" t="s">
        <v>126</v>
      </c>
      <c r="K621" s="5">
        <f>43 / 86400</f>
        <v>4.9768518518518521E-4</v>
      </c>
      <c r="L621" s="5">
        <f>111 / 86400</f>
        <v>1.2847222222222223E-3</v>
      </c>
    </row>
    <row r="622" spans="1:12" x14ac:dyDescent="0.25">
      <c r="A622" s="3">
        <v>45695.3590162037</v>
      </c>
      <c r="B622" t="s">
        <v>161</v>
      </c>
      <c r="C622" s="3">
        <v>45695.359120370369</v>
      </c>
      <c r="D622" t="s">
        <v>161</v>
      </c>
      <c r="E622" s="4">
        <v>8.9999999999999993E-3</v>
      </c>
      <c r="F622" s="4">
        <v>407008.10100000002</v>
      </c>
      <c r="G622" s="4">
        <v>407008.11</v>
      </c>
      <c r="H622" s="5">
        <f>0 / 86400</f>
        <v>0</v>
      </c>
      <c r="I622" t="s">
        <v>129</v>
      </c>
      <c r="J622" t="s">
        <v>82</v>
      </c>
      <c r="K622" s="5">
        <f>9 / 86400</f>
        <v>1.0416666666666667E-4</v>
      </c>
      <c r="L622" s="5">
        <f>195 / 86400</f>
        <v>2.2569444444444442E-3</v>
      </c>
    </row>
    <row r="623" spans="1:12" x14ac:dyDescent="0.25">
      <c r="A623" s="3">
        <v>45695.36137731481</v>
      </c>
      <c r="B623" t="s">
        <v>161</v>
      </c>
      <c r="C623" s="3">
        <v>45695.662361111114</v>
      </c>
      <c r="D623" t="s">
        <v>128</v>
      </c>
      <c r="E623" s="4">
        <v>107.312</v>
      </c>
      <c r="F623" s="4">
        <v>407008.11</v>
      </c>
      <c r="G623" s="4">
        <v>407115.42200000002</v>
      </c>
      <c r="H623" s="5">
        <f>10683 / 86400</f>
        <v>0.12364583333333333</v>
      </c>
      <c r="I623" t="s">
        <v>36</v>
      </c>
      <c r="J623" t="s">
        <v>24</v>
      </c>
      <c r="K623" s="5">
        <f>26005 / 86400</f>
        <v>0.30098379629629629</v>
      </c>
      <c r="L623" s="5">
        <f>435 / 86400</f>
        <v>5.0347222222222225E-3</v>
      </c>
    </row>
    <row r="624" spans="1:12" x14ac:dyDescent="0.25">
      <c r="A624" s="3">
        <v>45695.667395833334</v>
      </c>
      <c r="B624" t="s">
        <v>128</v>
      </c>
      <c r="C624" s="3">
        <v>45695.668020833335</v>
      </c>
      <c r="D624" t="s">
        <v>128</v>
      </c>
      <c r="E624" s="4">
        <v>1.7999999999999999E-2</v>
      </c>
      <c r="F624" s="4">
        <v>407115.42200000002</v>
      </c>
      <c r="G624" s="4">
        <v>407115.44</v>
      </c>
      <c r="H624" s="5">
        <f>20 / 86400</f>
        <v>2.3148148148148149E-4</v>
      </c>
      <c r="I624" t="s">
        <v>126</v>
      </c>
      <c r="J624" t="s">
        <v>127</v>
      </c>
      <c r="K624" s="5">
        <f>53 / 86400</f>
        <v>6.134259259259259E-4</v>
      </c>
      <c r="L624" s="5">
        <f>1876 / 86400</f>
        <v>2.1712962962962962E-2</v>
      </c>
    </row>
    <row r="625" spans="1:12" x14ac:dyDescent="0.25">
      <c r="A625" s="3">
        <v>45695.689733796295</v>
      </c>
      <c r="B625" t="s">
        <v>128</v>
      </c>
      <c r="C625" s="3">
        <v>45695.804131944446</v>
      </c>
      <c r="D625" t="s">
        <v>118</v>
      </c>
      <c r="E625" s="4">
        <v>60.273000000000003</v>
      </c>
      <c r="F625" s="4">
        <v>407115.44</v>
      </c>
      <c r="G625" s="4">
        <v>407175.71299999999</v>
      </c>
      <c r="H625" s="5">
        <f>2839 / 86400</f>
        <v>3.2858796296296296E-2</v>
      </c>
      <c r="I625" t="s">
        <v>36</v>
      </c>
      <c r="J625" t="s">
        <v>187</v>
      </c>
      <c r="K625" s="5">
        <f>9884 / 86400</f>
        <v>0.11439814814814815</v>
      </c>
      <c r="L625" s="5">
        <f>178 / 86400</f>
        <v>2.0601851851851853E-3</v>
      </c>
    </row>
    <row r="626" spans="1:12" x14ac:dyDescent="0.25">
      <c r="A626" s="3">
        <v>45695.806192129632</v>
      </c>
      <c r="B626" t="s">
        <v>118</v>
      </c>
      <c r="C626" s="3">
        <v>45695.873587962968</v>
      </c>
      <c r="D626" t="s">
        <v>67</v>
      </c>
      <c r="E626" s="4">
        <v>33.101999999999997</v>
      </c>
      <c r="F626" s="4">
        <v>407175.71299999999</v>
      </c>
      <c r="G626" s="4">
        <v>407208.815</v>
      </c>
      <c r="H626" s="5">
        <f>1880 / 86400</f>
        <v>2.1759259259259259E-2</v>
      </c>
      <c r="I626" t="s">
        <v>68</v>
      </c>
      <c r="J626" t="s">
        <v>78</v>
      </c>
      <c r="K626" s="5">
        <f>5822 / 86400</f>
        <v>6.7384259259259255E-2</v>
      </c>
      <c r="L626" s="5">
        <f>521 / 86400</f>
        <v>6.030092592592593E-3</v>
      </c>
    </row>
    <row r="627" spans="1:12" x14ac:dyDescent="0.25">
      <c r="A627" s="3">
        <v>45695.879618055551</v>
      </c>
      <c r="B627" t="s">
        <v>67</v>
      </c>
      <c r="C627" s="3">
        <v>45695.880439814813</v>
      </c>
      <c r="D627" t="s">
        <v>67</v>
      </c>
      <c r="E627" s="4">
        <v>0.02</v>
      </c>
      <c r="F627" s="4">
        <v>407208.815</v>
      </c>
      <c r="G627" s="4">
        <v>407208.83500000002</v>
      </c>
      <c r="H627" s="5">
        <f>20 / 86400</f>
        <v>2.3148148148148149E-4</v>
      </c>
      <c r="I627" t="s">
        <v>126</v>
      </c>
      <c r="J627" t="s">
        <v>127</v>
      </c>
      <c r="K627" s="5">
        <f>71 / 86400</f>
        <v>8.2175925925925927E-4</v>
      </c>
      <c r="L627" s="5">
        <f>10329 / 86400</f>
        <v>0.11954861111111111</v>
      </c>
    </row>
    <row r="628" spans="1:12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 spans="1:12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 spans="1:12" s="10" customFormat="1" ht="20.100000000000001" customHeight="1" x14ac:dyDescent="0.35">
      <c r="A630" s="12" t="s">
        <v>412</v>
      </c>
      <c r="B630" s="12"/>
      <c r="C630" s="12"/>
      <c r="D630" s="12"/>
      <c r="E630" s="12"/>
      <c r="F630" s="12"/>
      <c r="G630" s="12"/>
      <c r="H630" s="12"/>
      <c r="I630" s="12"/>
      <c r="J630" s="12"/>
    </row>
    <row r="631" spans="1:12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 spans="1:12" ht="30" x14ac:dyDescent="0.25">
      <c r="A632" s="2" t="s">
        <v>6</v>
      </c>
      <c r="B632" s="2" t="s">
        <v>7</v>
      </c>
      <c r="C632" s="2" t="s">
        <v>8</v>
      </c>
      <c r="D632" s="2" t="s">
        <v>9</v>
      </c>
      <c r="E632" s="2" t="s">
        <v>10</v>
      </c>
      <c r="F632" s="2" t="s">
        <v>11</v>
      </c>
      <c r="G632" s="2" t="s">
        <v>12</v>
      </c>
      <c r="H632" s="2" t="s">
        <v>13</v>
      </c>
      <c r="I632" s="2" t="s">
        <v>14</v>
      </c>
      <c r="J632" s="2" t="s">
        <v>15</v>
      </c>
      <c r="K632" s="2" t="s">
        <v>16</v>
      </c>
      <c r="L632" s="2" t="s">
        <v>17</v>
      </c>
    </row>
    <row r="633" spans="1:12" x14ac:dyDescent="0.25">
      <c r="A633" s="3">
        <v>45695.30333333333</v>
      </c>
      <c r="B633" t="s">
        <v>70</v>
      </c>
      <c r="C633" s="3">
        <v>45695.43748842593</v>
      </c>
      <c r="D633" t="s">
        <v>338</v>
      </c>
      <c r="E633" s="4">
        <v>33.97</v>
      </c>
      <c r="F633" s="4">
        <v>347553.93</v>
      </c>
      <c r="G633" s="4">
        <v>347587.9</v>
      </c>
      <c r="H633" s="5">
        <f>5218 / 86400</f>
        <v>6.039351851851852E-2</v>
      </c>
      <c r="I633" t="s">
        <v>64</v>
      </c>
      <c r="J633" t="s">
        <v>112</v>
      </c>
      <c r="K633" s="5">
        <f>11590 / 86400</f>
        <v>0.13414351851851852</v>
      </c>
      <c r="L633" s="5">
        <f>26359 / 86400</f>
        <v>0.30508101851851854</v>
      </c>
    </row>
    <row r="634" spans="1:12" x14ac:dyDescent="0.25">
      <c r="A634" s="3">
        <v>45695.439236111109</v>
      </c>
      <c r="B634" t="s">
        <v>338</v>
      </c>
      <c r="C634" s="3">
        <v>45695.694328703699</v>
      </c>
      <c r="D634" t="s">
        <v>339</v>
      </c>
      <c r="E634" s="4">
        <v>51.712000000000003</v>
      </c>
      <c r="F634" s="4">
        <v>347587.9</v>
      </c>
      <c r="G634" s="4">
        <v>347639.61200000002</v>
      </c>
      <c r="H634" s="5">
        <f>11780 / 86400</f>
        <v>0.1363425925925926</v>
      </c>
      <c r="I634" t="s">
        <v>169</v>
      </c>
      <c r="J634" t="s">
        <v>141</v>
      </c>
      <c r="K634" s="5">
        <f>22039 / 86400</f>
        <v>0.2550810185185185</v>
      </c>
      <c r="L634" s="5">
        <f>142 / 86400</f>
        <v>1.6435185185185185E-3</v>
      </c>
    </row>
    <row r="635" spans="1:12" x14ac:dyDescent="0.25">
      <c r="A635" s="3">
        <v>45695.695972222224</v>
      </c>
      <c r="B635" t="s">
        <v>339</v>
      </c>
      <c r="C635" s="3">
        <v>45695.698958333334</v>
      </c>
      <c r="D635" t="s">
        <v>70</v>
      </c>
      <c r="E635" s="4">
        <v>0.24199999999999999</v>
      </c>
      <c r="F635" s="4">
        <v>347639.61200000002</v>
      </c>
      <c r="G635" s="4">
        <v>347639.85399999999</v>
      </c>
      <c r="H635" s="5">
        <f>80 / 86400</f>
        <v>9.2592592592592596E-4</v>
      </c>
      <c r="I635" t="s">
        <v>45</v>
      </c>
      <c r="J635" t="s">
        <v>140</v>
      </c>
      <c r="K635" s="5">
        <f>258 / 86400</f>
        <v>2.9861111111111113E-3</v>
      </c>
      <c r="L635" s="5">
        <f>26009 / 86400</f>
        <v>0.30103009259259261</v>
      </c>
    </row>
    <row r="636" spans="1:12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 spans="1:12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 spans="1:12" s="10" customFormat="1" ht="20.100000000000001" customHeight="1" x14ac:dyDescent="0.35">
      <c r="A638" s="12" t="s">
        <v>413</v>
      </c>
      <c r="B638" s="12"/>
      <c r="C638" s="12"/>
      <c r="D638" s="12"/>
      <c r="E638" s="12"/>
      <c r="F638" s="12"/>
      <c r="G638" s="12"/>
      <c r="H638" s="12"/>
      <c r="I638" s="12"/>
      <c r="J638" s="12"/>
    </row>
    <row r="639" spans="1:12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 spans="1:12" ht="30" x14ac:dyDescent="0.25">
      <c r="A640" s="2" t="s">
        <v>6</v>
      </c>
      <c r="B640" s="2" t="s">
        <v>7</v>
      </c>
      <c r="C640" s="2" t="s">
        <v>8</v>
      </c>
      <c r="D640" s="2" t="s">
        <v>9</v>
      </c>
      <c r="E640" s="2" t="s">
        <v>10</v>
      </c>
      <c r="F640" s="2" t="s">
        <v>11</v>
      </c>
      <c r="G640" s="2" t="s">
        <v>12</v>
      </c>
      <c r="H640" s="2" t="s">
        <v>13</v>
      </c>
      <c r="I640" s="2" t="s">
        <v>14</v>
      </c>
      <c r="J640" s="2" t="s">
        <v>15</v>
      </c>
      <c r="K640" s="2" t="s">
        <v>16</v>
      </c>
      <c r="L640" s="2" t="s">
        <v>17</v>
      </c>
    </row>
    <row r="641" spans="1:12" x14ac:dyDescent="0.25">
      <c r="A641" s="3">
        <v>45695.167905092589</v>
      </c>
      <c r="B641" t="s">
        <v>72</v>
      </c>
      <c r="C641" s="3">
        <v>45695.378564814819</v>
      </c>
      <c r="D641" t="s">
        <v>128</v>
      </c>
      <c r="E641" s="4">
        <v>88.141999999999996</v>
      </c>
      <c r="F641" s="4">
        <v>39796.69</v>
      </c>
      <c r="G641" s="4">
        <v>39884.832000000002</v>
      </c>
      <c r="H641" s="5">
        <f>6559 / 86400</f>
        <v>7.5914351851851858E-2</v>
      </c>
      <c r="I641" t="s">
        <v>33</v>
      </c>
      <c r="J641" t="s">
        <v>28</v>
      </c>
      <c r="K641" s="5">
        <f>18200 / 86400</f>
        <v>0.21064814814814814</v>
      </c>
      <c r="L641" s="5">
        <f>14645 / 86400</f>
        <v>0.16950231481481481</v>
      </c>
    </row>
    <row r="642" spans="1:12" x14ac:dyDescent="0.25">
      <c r="A642" s="3">
        <v>45695.380162037036</v>
      </c>
      <c r="B642" t="s">
        <v>128</v>
      </c>
      <c r="C642" s="3">
        <v>45695.389606481476</v>
      </c>
      <c r="D642" t="s">
        <v>161</v>
      </c>
      <c r="E642" s="4">
        <v>1.357</v>
      </c>
      <c r="F642" s="4">
        <v>39884.832000000002</v>
      </c>
      <c r="G642" s="4">
        <v>39886.188999999998</v>
      </c>
      <c r="H642" s="5">
        <f>419 / 86400</f>
        <v>4.8495370370370368E-3</v>
      </c>
      <c r="I642" t="s">
        <v>246</v>
      </c>
      <c r="J642" t="s">
        <v>132</v>
      </c>
      <c r="K642" s="5">
        <f>815 / 86400</f>
        <v>9.432870370370371E-3</v>
      </c>
      <c r="L642" s="5">
        <f>1351 / 86400</f>
        <v>1.5636574074074074E-2</v>
      </c>
    </row>
    <row r="643" spans="1:12" x14ac:dyDescent="0.25">
      <c r="A643" s="3">
        <v>45695.40524305556</v>
      </c>
      <c r="B643" t="s">
        <v>161</v>
      </c>
      <c r="C643" s="3">
        <v>45695.406782407408</v>
      </c>
      <c r="D643" t="s">
        <v>158</v>
      </c>
      <c r="E643" s="4">
        <v>0.52100000000000002</v>
      </c>
      <c r="F643" s="4">
        <v>39886.188999999998</v>
      </c>
      <c r="G643" s="4">
        <v>39886.71</v>
      </c>
      <c r="H643" s="5">
        <f>0 / 86400</f>
        <v>0</v>
      </c>
      <c r="I643" t="s">
        <v>143</v>
      </c>
      <c r="J643" t="s">
        <v>34</v>
      </c>
      <c r="K643" s="5">
        <f>133 / 86400</f>
        <v>1.5393518518518519E-3</v>
      </c>
      <c r="L643" s="5">
        <f>71 / 86400</f>
        <v>8.2175925925925927E-4</v>
      </c>
    </row>
    <row r="644" spans="1:12" x14ac:dyDescent="0.25">
      <c r="A644" s="3">
        <v>45695.40760416667</v>
      </c>
      <c r="B644" t="s">
        <v>158</v>
      </c>
      <c r="C644" s="3">
        <v>45695.408217592594</v>
      </c>
      <c r="D644" t="s">
        <v>316</v>
      </c>
      <c r="E644" s="4">
        <v>0.16500000000000001</v>
      </c>
      <c r="F644" s="4">
        <v>39886.71</v>
      </c>
      <c r="G644" s="4">
        <v>39886.875</v>
      </c>
      <c r="H644" s="5">
        <f>0 / 86400</f>
        <v>0</v>
      </c>
      <c r="I644" t="s">
        <v>57</v>
      </c>
      <c r="J644" t="s">
        <v>112</v>
      </c>
      <c r="K644" s="5">
        <f>52 / 86400</f>
        <v>6.018518518518519E-4</v>
      </c>
      <c r="L644" s="5">
        <f>591 / 86400</f>
        <v>6.8402777777777776E-3</v>
      </c>
    </row>
    <row r="645" spans="1:12" x14ac:dyDescent="0.25">
      <c r="A645" s="3">
        <v>45695.41505787037</v>
      </c>
      <c r="B645" t="s">
        <v>316</v>
      </c>
      <c r="C645" s="3">
        <v>45695.658622685187</v>
      </c>
      <c r="D645" t="s">
        <v>128</v>
      </c>
      <c r="E645" s="4">
        <v>99.334000000000003</v>
      </c>
      <c r="F645" s="4">
        <v>39886.875</v>
      </c>
      <c r="G645" s="4">
        <v>39986.209000000003</v>
      </c>
      <c r="H645" s="5">
        <f>6901 / 86400</f>
        <v>7.9872685185185185E-2</v>
      </c>
      <c r="I645" t="s">
        <v>61</v>
      </c>
      <c r="J645" t="s">
        <v>28</v>
      </c>
      <c r="K645" s="5">
        <f>21043 / 86400</f>
        <v>0.24355324074074075</v>
      </c>
      <c r="L645" s="5">
        <f>285 / 86400</f>
        <v>3.2986111111111111E-3</v>
      </c>
    </row>
    <row r="646" spans="1:12" x14ac:dyDescent="0.25">
      <c r="A646" s="3">
        <v>45695.661921296298</v>
      </c>
      <c r="B646" t="s">
        <v>128</v>
      </c>
      <c r="C646" s="3">
        <v>45695.697164351848</v>
      </c>
      <c r="D646" t="s">
        <v>72</v>
      </c>
      <c r="E646" s="4">
        <v>17.347999999999999</v>
      </c>
      <c r="F646" s="4">
        <v>39986.209000000003</v>
      </c>
      <c r="G646" s="4">
        <v>40003.557000000001</v>
      </c>
      <c r="H646" s="5">
        <f>820 / 86400</f>
        <v>9.4907407407407406E-3</v>
      </c>
      <c r="I646" t="s">
        <v>50</v>
      </c>
      <c r="J646" t="s">
        <v>37</v>
      </c>
      <c r="K646" s="5">
        <f>3045 / 86400</f>
        <v>3.5243055555555555E-2</v>
      </c>
      <c r="L646" s="5">
        <f>99 / 86400</f>
        <v>1.1458333333333333E-3</v>
      </c>
    </row>
    <row r="647" spans="1:12" x14ac:dyDescent="0.25">
      <c r="A647" s="3">
        <v>45695.69831018518</v>
      </c>
      <c r="B647" t="s">
        <v>72</v>
      </c>
      <c r="C647" s="3">
        <v>45695.698993055557</v>
      </c>
      <c r="D647" t="s">
        <v>72</v>
      </c>
      <c r="E647" s="4">
        <v>6.0000000000000001E-3</v>
      </c>
      <c r="F647" s="4">
        <v>40003.557000000001</v>
      </c>
      <c r="G647" s="4">
        <v>40003.563000000002</v>
      </c>
      <c r="H647" s="5">
        <f>39 / 86400</f>
        <v>4.5138888888888887E-4</v>
      </c>
      <c r="I647" t="s">
        <v>129</v>
      </c>
      <c r="J647" t="s">
        <v>129</v>
      </c>
      <c r="K647" s="5">
        <f>58 / 86400</f>
        <v>6.7129629629629625E-4</v>
      </c>
      <c r="L647" s="5">
        <f>26006 / 86400</f>
        <v>0.30099537037037039</v>
      </c>
    </row>
    <row r="648" spans="1:12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 spans="1:12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 spans="1:12" s="10" customFormat="1" ht="20.100000000000001" customHeight="1" x14ac:dyDescent="0.35">
      <c r="A650" s="12" t="s">
        <v>414</v>
      </c>
      <c r="B650" s="12"/>
      <c r="C650" s="12"/>
      <c r="D650" s="12"/>
      <c r="E650" s="12"/>
      <c r="F650" s="12"/>
      <c r="G650" s="12"/>
      <c r="H650" s="12"/>
      <c r="I650" s="12"/>
      <c r="J650" s="12"/>
    </row>
    <row r="651" spans="1:12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 spans="1:12" ht="30" x14ac:dyDescent="0.25">
      <c r="A652" s="2" t="s">
        <v>6</v>
      </c>
      <c r="B652" s="2" t="s">
        <v>7</v>
      </c>
      <c r="C652" s="2" t="s">
        <v>8</v>
      </c>
      <c r="D652" s="2" t="s">
        <v>9</v>
      </c>
      <c r="E652" s="2" t="s">
        <v>10</v>
      </c>
      <c r="F652" s="2" t="s">
        <v>11</v>
      </c>
      <c r="G652" s="2" t="s">
        <v>12</v>
      </c>
      <c r="H652" s="2" t="s">
        <v>13</v>
      </c>
      <c r="I652" s="2" t="s">
        <v>14</v>
      </c>
      <c r="J652" s="2" t="s">
        <v>15</v>
      </c>
      <c r="K652" s="2" t="s">
        <v>16</v>
      </c>
      <c r="L652" s="2" t="s">
        <v>17</v>
      </c>
    </row>
    <row r="653" spans="1:12" x14ac:dyDescent="0.25">
      <c r="A653" s="3">
        <v>45695</v>
      </c>
      <c r="B653" t="s">
        <v>73</v>
      </c>
      <c r="C653" s="3">
        <v>45695.021412037036</v>
      </c>
      <c r="D653" t="s">
        <v>77</v>
      </c>
      <c r="E653" s="4">
        <v>12.884</v>
      </c>
      <c r="F653" s="4">
        <v>44811.53</v>
      </c>
      <c r="G653" s="4">
        <v>44824.413999999997</v>
      </c>
      <c r="H653" s="5">
        <f>320 / 86400</f>
        <v>3.7037037037037038E-3</v>
      </c>
      <c r="I653" t="s">
        <v>171</v>
      </c>
      <c r="J653" t="s">
        <v>195</v>
      </c>
      <c r="K653" s="5">
        <f>1850 / 86400</f>
        <v>2.1412037037037038E-2</v>
      </c>
      <c r="L653" s="5">
        <f>797 / 86400</f>
        <v>9.2245370370370363E-3</v>
      </c>
    </row>
    <row r="654" spans="1:12" x14ac:dyDescent="0.25">
      <c r="A654" s="3">
        <v>45695.030636574069</v>
      </c>
      <c r="B654" t="s">
        <v>77</v>
      </c>
      <c r="C654" s="3">
        <v>45695.031134259261</v>
      </c>
      <c r="D654" t="s">
        <v>340</v>
      </c>
      <c r="E654" s="4">
        <v>6.8000000000000005E-2</v>
      </c>
      <c r="F654" s="4">
        <v>44824.413999999997</v>
      </c>
      <c r="G654" s="4">
        <v>44824.482000000004</v>
      </c>
      <c r="H654" s="5">
        <f>0 / 86400</f>
        <v>0</v>
      </c>
      <c r="I654" t="s">
        <v>45</v>
      </c>
      <c r="J654" t="s">
        <v>132</v>
      </c>
      <c r="K654" s="5">
        <f>43 / 86400</f>
        <v>4.9768518518518521E-4</v>
      </c>
      <c r="L654" s="5">
        <f>1121 / 86400</f>
        <v>1.2974537037037038E-2</v>
      </c>
    </row>
    <row r="655" spans="1:12" x14ac:dyDescent="0.25">
      <c r="A655" s="3">
        <v>45695.044108796297</v>
      </c>
      <c r="B655" t="s">
        <v>340</v>
      </c>
      <c r="C655" s="3">
        <v>45695.044629629629</v>
      </c>
      <c r="D655" t="s">
        <v>173</v>
      </c>
      <c r="E655" s="4">
        <v>0.04</v>
      </c>
      <c r="F655" s="4">
        <v>44824.482000000004</v>
      </c>
      <c r="G655" s="4">
        <v>44824.521999999997</v>
      </c>
      <c r="H655" s="5">
        <f>20 / 86400</f>
        <v>2.3148148148148149E-4</v>
      </c>
      <c r="I655" t="s">
        <v>45</v>
      </c>
      <c r="J655" t="s">
        <v>140</v>
      </c>
      <c r="K655" s="5">
        <f>45 / 86400</f>
        <v>5.2083333333333333E-4</v>
      </c>
      <c r="L655" s="5">
        <f>125 / 86400</f>
        <v>1.4467592592592592E-3</v>
      </c>
    </row>
    <row r="656" spans="1:12" x14ac:dyDescent="0.25">
      <c r="A656" s="3">
        <v>45695.046076388884</v>
      </c>
      <c r="B656" t="s">
        <v>173</v>
      </c>
      <c r="C656" s="3">
        <v>45695.050011574072</v>
      </c>
      <c r="D656" t="s">
        <v>38</v>
      </c>
      <c r="E656" s="4">
        <v>1.3220000000000001</v>
      </c>
      <c r="F656" s="4">
        <v>44824.521999999997</v>
      </c>
      <c r="G656" s="4">
        <v>44825.843999999997</v>
      </c>
      <c r="H656" s="5">
        <f>147 / 86400</f>
        <v>1.7013888888888888E-3</v>
      </c>
      <c r="I656" t="s">
        <v>192</v>
      </c>
      <c r="J656" t="s">
        <v>34</v>
      </c>
      <c r="K656" s="5">
        <f>340 / 86400</f>
        <v>3.9351851851851848E-3</v>
      </c>
      <c r="L656" s="5">
        <f>72 / 86400</f>
        <v>8.3333333333333339E-4</v>
      </c>
    </row>
    <row r="657" spans="1:12" x14ac:dyDescent="0.25">
      <c r="A657" s="3">
        <v>45695.050844907411</v>
      </c>
      <c r="B657" t="s">
        <v>38</v>
      </c>
      <c r="C657" s="3">
        <v>45695.051238425927</v>
      </c>
      <c r="D657" t="s">
        <v>38</v>
      </c>
      <c r="E657" s="4">
        <v>2.5999999999999999E-2</v>
      </c>
      <c r="F657" s="4">
        <v>44825.843999999997</v>
      </c>
      <c r="G657" s="4">
        <v>44825.87</v>
      </c>
      <c r="H657" s="5">
        <f>0 / 86400</f>
        <v>0</v>
      </c>
      <c r="I657" t="s">
        <v>71</v>
      </c>
      <c r="J657" t="s">
        <v>140</v>
      </c>
      <c r="K657" s="5">
        <f>33 / 86400</f>
        <v>3.8194444444444446E-4</v>
      </c>
      <c r="L657" s="5">
        <f>10911 / 86400</f>
        <v>0.12628472222222223</v>
      </c>
    </row>
    <row r="658" spans="1:12" x14ac:dyDescent="0.25">
      <c r="A658" s="3">
        <v>45695.177523148144</v>
      </c>
      <c r="B658" t="s">
        <v>38</v>
      </c>
      <c r="C658" s="3">
        <v>45695.36042824074</v>
      </c>
      <c r="D658" t="s">
        <v>128</v>
      </c>
      <c r="E658" s="4">
        <v>85.231999999999999</v>
      </c>
      <c r="F658" s="4">
        <v>44825.87</v>
      </c>
      <c r="G658" s="4">
        <v>44911.101999999999</v>
      </c>
      <c r="H658" s="5">
        <f>4120 / 86400</f>
        <v>4.7685185185185185E-2</v>
      </c>
      <c r="I658" t="s">
        <v>56</v>
      </c>
      <c r="J658" t="s">
        <v>90</v>
      </c>
      <c r="K658" s="5">
        <f>15802 / 86400</f>
        <v>0.18289351851851851</v>
      </c>
      <c r="L658" s="5">
        <f>420 / 86400</f>
        <v>4.8611111111111112E-3</v>
      </c>
    </row>
    <row r="659" spans="1:12" x14ac:dyDescent="0.25">
      <c r="A659" s="3">
        <v>45695.365289351852</v>
      </c>
      <c r="B659" t="s">
        <v>128</v>
      </c>
      <c r="C659" s="3">
        <v>45695.365671296298</v>
      </c>
      <c r="D659" t="s">
        <v>128</v>
      </c>
      <c r="E659" s="4">
        <v>3.7999999999999999E-2</v>
      </c>
      <c r="F659" s="4">
        <v>44911.101999999999</v>
      </c>
      <c r="G659" s="4">
        <v>44911.14</v>
      </c>
      <c r="H659" s="5">
        <f>0 / 86400</f>
        <v>0</v>
      </c>
      <c r="I659" t="s">
        <v>71</v>
      </c>
      <c r="J659" t="s">
        <v>82</v>
      </c>
      <c r="K659" s="5">
        <f>32 / 86400</f>
        <v>3.7037037037037035E-4</v>
      </c>
      <c r="L659" s="5">
        <f>800 / 86400</f>
        <v>9.2592592592592587E-3</v>
      </c>
    </row>
    <row r="660" spans="1:12" x14ac:dyDescent="0.25">
      <c r="A660" s="3">
        <v>45695.374930555554</v>
      </c>
      <c r="B660" t="s">
        <v>128</v>
      </c>
      <c r="C660" s="3">
        <v>45695.375057870369</v>
      </c>
      <c r="D660" t="s">
        <v>128</v>
      </c>
      <c r="E660" s="4">
        <v>2E-3</v>
      </c>
      <c r="F660" s="4">
        <v>44911.14</v>
      </c>
      <c r="G660" s="4">
        <v>44911.142</v>
      </c>
      <c r="H660" s="5">
        <f>0 / 86400</f>
        <v>0</v>
      </c>
      <c r="I660" t="s">
        <v>129</v>
      </c>
      <c r="J660" t="s">
        <v>127</v>
      </c>
      <c r="K660" s="5">
        <f>11 / 86400</f>
        <v>1.273148148148148E-4</v>
      </c>
      <c r="L660" s="5">
        <f>113 / 86400</f>
        <v>1.3078703703703703E-3</v>
      </c>
    </row>
    <row r="661" spans="1:12" x14ac:dyDescent="0.25">
      <c r="A661" s="3">
        <v>45695.37636574074</v>
      </c>
      <c r="B661" t="s">
        <v>128</v>
      </c>
      <c r="C661" s="3">
        <v>45695.37663194444</v>
      </c>
      <c r="D661" t="s">
        <v>128</v>
      </c>
      <c r="E661" s="4">
        <v>3.0000000000000001E-3</v>
      </c>
      <c r="F661" s="4">
        <v>44911.142</v>
      </c>
      <c r="G661" s="4">
        <v>44911.144999999997</v>
      </c>
      <c r="H661" s="5">
        <f>0 / 86400</f>
        <v>0</v>
      </c>
      <c r="I661" t="s">
        <v>127</v>
      </c>
      <c r="J661" t="s">
        <v>129</v>
      </c>
      <c r="K661" s="5">
        <f>22 / 86400</f>
        <v>2.5462962962962961E-4</v>
      </c>
      <c r="L661" s="5">
        <f>1405 / 86400</f>
        <v>1.6261574074074074E-2</v>
      </c>
    </row>
    <row r="662" spans="1:12" x14ac:dyDescent="0.25">
      <c r="A662" s="3">
        <v>45695.392893518518</v>
      </c>
      <c r="B662" t="s">
        <v>128</v>
      </c>
      <c r="C662" s="3">
        <v>45695.392916666664</v>
      </c>
      <c r="D662" t="s">
        <v>128</v>
      </c>
      <c r="E662" s="4">
        <v>0</v>
      </c>
      <c r="F662" s="4">
        <v>44911.144999999997</v>
      </c>
      <c r="G662" s="4">
        <v>44911.144999999997</v>
      </c>
      <c r="H662" s="5">
        <f>0 / 86400</f>
        <v>0</v>
      </c>
      <c r="I662" t="s">
        <v>129</v>
      </c>
      <c r="J662" t="s">
        <v>129</v>
      </c>
      <c r="K662" s="5">
        <f>2 / 86400</f>
        <v>2.3148148148148147E-5</v>
      </c>
      <c r="L662" s="5">
        <f>1 / 86400</f>
        <v>1.1574074074074073E-5</v>
      </c>
    </row>
    <row r="663" spans="1:12" x14ac:dyDescent="0.25">
      <c r="A663" s="3">
        <v>45695.392928240741</v>
      </c>
      <c r="B663" t="s">
        <v>128</v>
      </c>
      <c r="C663" s="3">
        <v>45695.394849537042</v>
      </c>
      <c r="D663" t="s">
        <v>147</v>
      </c>
      <c r="E663" s="4">
        <v>0.13600000000000001</v>
      </c>
      <c r="F663" s="4">
        <v>44911.144999999997</v>
      </c>
      <c r="G663" s="4">
        <v>44911.281000000003</v>
      </c>
      <c r="H663" s="5">
        <f>56 / 86400</f>
        <v>6.4814814814814813E-4</v>
      </c>
      <c r="I663" t="s">
        <v>141</v>
      </c>
      <c r="J663" t="s">
        <v>140</v>
      </c>
      <c r="K663" s="5">
        <f>166 / 86400</f>
        <v>1.9212962962962964E-3</v>
      </c>
      <c r="L663" s="5">
        <f>182 / 86400</f>
        <v>2.1064814814814813E-3</v>
      </c>
    </row>
    <row r="664" spans="1:12" x14ac:dyDescent="0.25">
      <c r="A664" s="3">
        <v>45695.396956018521</v>
      </c>
      <c r="B664" t="s">
        <v>147</v>
      </c>
      <c r="C664" s="3">
        <v>45695.620462962965</v>
      </c>
      <c r="D664" t="s">
        <v>38</v>
      </c>
      <c r="E664" s="4">
        <v>82.802000000000007</v>
      </c>
      <c r="F664" s="4">
        <v>44911.281000000003</v>
      </c>
      <c r="G664" s="4">
        <v>44994.082999999999</v>
      </c>
      <c r="H664" s="5">
        <f>7120 / 86400</f>
        <v>8.2407407407407401E-2</v>
      </c>
      <c r="I664" t="s">
        <v>50</v>
      </c>
      <c r="J664" t="s">
        <v>24</v>
      </c>
      <c r="K664" s="5">
        <f>19311 / 86400</f>
        <v>0.22350694444444444</v>
      </c>
      <c r="L664" s="5">
        <f>214 / 86400</f>
        <v>2.476851851851852E-3</v>
      </c>
    </row>
    <row r="665" spans="1:12" x14ac:dyDescent="0.25">
      <c r="A665" s="3">
        <v>45695.622939814813</v>
      </c>
      <c r="B665" t="s">
        <v>38</v>
      </c>
      <c r="C665" s="3">
        <v>45695.626134259262</v>
      </c>
      <c r="D665" t="s">
        <v>38</v>
      </c>
      <c r="E665" s="4">
        <v>1.357</v>
      </c>
      <c r="F665" s="4">
        <v>44994.082999999999</v>
      </c>
      <c r="G665" s="4">
        <v>44995.44</v>
      </c>
      <c r="H665" s="5">
        <f>20 / 86400</f>
        <v>2.3148148148148149E-4</v>
      </c>
      <c r="I665" t="s">
        <v>137</v>
      </c>
      <c r="J665" t="s">
        <v>69</v>
      </c>
      <c r="K665" s="5">
        <f>275 / 86400</f>
        <v>3.1828703703703702E-3</v>
      </c>
      <c r="L665" s="5">
        <f>976 / 86400</f>
        <v>1.1296296296296296E-2</v>
      </c>
    </row>
    <row r="666" spans="1:12" x14ac:dyDescent="0.25">
      <c r="A666" s="3">
        <v>45695.637430555551</v>
      </c>
      <c r="B666" t="s">
        <v>38</v>
      </c>
      <c r="C666" s="3">
        <v>45695.639166666668</v>
      </c>
      <c r="D666" t="s">
        <v>173</v>
      </c>
      <c r="E666" s="4">
        <v>0.16600000000000001</v>
      </c>
      <c r="F666" s="4">
        <v>44995.44</v>
      </c>
      <c r="G666" s="4">
        <v>44995.606</v>
      </c>
      <c r="H666" s="5">
        <f>79 / 86400</f>
        <v>9.1435185185185185E-4</v>
      </c>
      <c r="I666" t="s">
        <v>57</v>
      </c>
      <c r="J666" t="s">
        <v>82</v>
      </c>
      <c r="K666" s="5">
        <f>149 / 86400</f>
        <v>1.724537037037037E-3</v>
      </c>
      <c r="L666" s="5">
        <f>1544 / 86400</f>
        <v>1.787037037037037E-2</v>
      </c>
    </row>
    <row r="667" spans="1:12" x14ac:dyDescent="0.25">
      <c r="A667" s="3">
        <v>45695.657037037032</v>
      </c>
      <c r="B667" t="s">
        <v>173</v>
      </c>
      <c r="C667" s="3">
        <v>45695.856157407412</v>
      </c>
      <c r="D667" t="s">
        <v>341</v>
      </c>
      <c r="E667" s="4">
        <v>71.034000000000006</v>
      </c>
      <c r="F667" s="4">
        <v>44995.606</v>
      </c>
      <c r="G667" s="4">
        <v>45066.64</v>
      </c>
      <c r="H667" s="5">
        <f>6560 / 86400</f>
        <v>7.5925925925925924E-2</v>
      </c>
      <c r="I667" t="s">
        <v>23</v>
      </c>
      <c r="J667" t="s">
        <v>24</v>
      </c>
      <c r="K667" s="5">
        <f>17203 / 86400</f>
        <v>0.1991087962962963</v>
      </c>
      <c r="L667" s="5">
        <f>19 / 86400</f>
        <v>2.199074074074074E-4</v>
      </c>
    </row>
    <row r="668" spans="1:12" x14ac:dyDescent="0.25">
      <c r="A668" s="3">
        <v>45695.85637731482</v>
      </c>
      <c r="B668" t="s">
        <v>341</v>
      </c>
      <c r="C668" s="3">
        <v>45695.858900462961</v>
      </c>
      <c r="D668" t="s">
        <v>342</v>
      </c>
      <c r="E668" s="4">
        <v>0.13200000000000001</v>
      </c>
      <c r="F668" s="4">
        <v>45066.64</v>
      </c>
      <c r="G668" s="4">
        <v>45066.771999999997</v>
      </c>
      <c r="H668" s="5">
        <f>139 / 86400</f>
        <v>1.6087962962962963E-3</v>
      </c>
      <c r="I668" t="s">
        <v>132</v>
      </c>
      <c r="J668" t="s">
        <v>87</v>
      </c>
      <c r="K668" s="5">
        <f>218 / 86400</f>
        <v>2.5231481481481481E-3</v>
      </c>
      <c r="L668" s="5">
        <f>14 / 86400</f>
        <v>1.6203703703703703E-4</v>
      </c>
    </row>
    <row r="669" spans="1:12" x14ac:dyDescent="0.25">
      <c r="A669" s="3">
        <v>45695.8590625</v>
      </c>
      <c r="B669" t="s">
        <v>342</v>
      </c>
      <c r="C669" s="3">
        <v>45695.860520833332</v>
      </c>
      <c r="D669" t="s">
        <v>342</v>
      </c>
      <c r="E669" s="4">
        <v>5.2999999999999999E-2</v>
      </c>
      <c r="F669" s="4">
        <v>45066.771999999997</v>
      </c>
      <c r="G669" s="4">
        <v>45066.824999999997</v>
      </c>
      <c r="H669" s="5">
        <f>65 / 86400</f>
        <v>7.5231481481481482E-4</v>
      </c>
      <c r="I669" t="s">
        <v>71</v>
      </c>
      <c r="J669" t="s">
        <v>87</v>
      </c>
      <c r="K669" s="5">
        <f>126 / 86400</f>
        <v>1.4583333333333334E-3</v>
      </c>
      <c r="L669" s="5">
        <f>82 / 86400</f>
        <v>9.4907407407407408E-4</v>
      </c>
    </row>
    <row r="670" spans="1:12" x14ac:dyDescent="0.25">
      <c r="A670" s="3">
        <v>45695.86146990741</v>
      </c>
      <c r="B670" t="s">
        <v>342</v>
      </c>
      <c r="C670" s="3">
        <v>45695.99998842593</v>
      </c>
      <c r="D670" t="s">
        <v>74</v>
      </c>
      <c r="E670" s="4">
        <v>63.26</v>
      </c>
      <c r="F670" s="4">
        <v>45066.824999999997</v>
      </c>
      <c r="G670" s="4">
        <v>45130.084999999999</v>
      </c>
      <c r="H670" s="5">
        <f>4063 / 86400</f>
        <v>4.7025462962962963E-2</v>
      </c>
      <c r="I670" t="s">
        <v>75</v>
      </c>
      <c r="J670" t="s">
        <v>90</v>
      </c>
      <c r="K670" s="5">
        <f>11968 / 86400</f>
        <v>0.13851851851851851</v>
      </c>
      <c r="L670" s="5">
        <f>0 / 86400</f>
        <v>0</v>
      </c>
    </row>
    <row r="671" spans="1:12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 spans="1:12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 spans="1:12" s="10" customFormat="1" ht="20.100000000000001" customHeight="1" x14ac:dyDescent="0.35">
      <c r="A673" s="12" t="s">
        <v>415</v>
      </c>
      <c r="B673" s="12"/>
      <c r="C673" s="12"/>
      <c r="D673" s="12"/>
      <c r="E673" s="12"/>
      <c r="F673" s="12"/>
      <c r="G673" s="12"/>
      <c r="H673" s="12"/>
      <c r="I673" s="12"/>
      <c r="J673" s="12"/>
    </row>
    <row r="674" spans="1:12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 spans="1:12" ht="30" x14ac:dyDescent="0.25">
      <c r="A675" s="2" t="s">
        <v>6</v>
      </c>
      <c r="B675" s="2" t="s">
        <v>7</v>
      </c>
      <c r="C675" s="2" t="s">
        <v>8</v>
      </c>
      <c r="D675" s="2" t="s">
        <v>9</v>
      </c>
      <c r="E675" s="2" t="s">
        <v>10</v>
      </c>
      <c r="F675" s="2" t="s">
        <v>11</v>
      </c>
      <c r="G675" s="2" t="s">
        <v>12</v>
      </c>
      <c r="H675" s="2" t="s">
        <v>13</v>
      </c>
      <c r="I675" s="2" t="s">
        <v>14</v>
      </c>
      <c r="J675" s="2" t="s">
        <v>15</v>
      </c>
      <c r="K675" s="2" t="s">
        <v>16</v>
      </c>
      <c r="L675" s="2" t="s">
        <v>17</v>
      </c>
    </row>
    <row r="676" spans="1:12" x14ac:dyDescent="0.25">
      <c r="A676" s="3">
        <v>45695.002210648148</v>
      </c>
      <c r="B676" t="s">
        <v>76</v>
      </c>
      <c r="C676" s="3">
        <v>45695.002395833333</v>
      </c>
      <c r="D676" t="s">
        <v>76</v>
      </c>
      <c r="E676" s="4">
        <v>5.0000000000000001E-3</v>
      </c>
      <c r="F676" s="4">
        <v>526270.73699999996</v>
      </c>
      <c r="G676" s="4">
        <v>526270.74199999997</v>
      </c>
      <c r="H676" s="5">
        <f>0 / 86400</f>
        <v>0</v>
      </c>
      <c r="I676" t="s">
        <v>129</v>
      </c>
      <c r="J676" t="s">
        <v>127</v>
      </c>
      <c r="K676" s="5">
        <f>16 / 86400</f>
        <v>1.8518518518518518E-4</v>
      </c>
      <c r="L676" s="5">
        <f>1479 / 86400</f>
        <v>1.7118055555555556E-2</v>
      </c>
    </row>
    <row r="677" spans="1:12" x14ac:dyDescent="0.25">
      <c r="A677" s="3">
        <v>45695.01730324074</v>
      </c>
      <c r="B677" t="s">
        <v>76</v>
      </c>
      <c r="C677" s="3">
        <v>45695.017569444448</v>
      </c>
      <c r="D677" t="s">
        <v>76</v>
      </c>
      <c r="E677" s="4">
        <v>3.0000000596046446E-3</v>
      </c>
      <c r="F677" s="4">
        <v>526270.74199999997</v>
      </c>
      <c r="G677" s="4">
        <v>526270.745</v>
      </c>
      <c r="H677" s="5">
        <f>19 / 86400</f>
        <v>2.199074074074074E-4</v>
      </c>
      <c r="I677" t="s">
        <v>129</v>
      </c>
      <c r="J677" t="s">
        <v>129</v>
      </c>
      <c r="K677" s="5">
        <f>22 / 86400</f>
        <v>2.5462962962962961E-4</v>
      </c>
      <c r="L677" s="5">
        <f>951 / 86400</f>
        <v>1.1006944444444444E-2</v>
      </c>
    </row>
    <row r="678" spans="1:12" x14ac:dyDescent="0.25">
      <c r="A678" s="3">
        <v>45695.02857638889</v>
      </c>
      <c r="B678" t="s">
        <v>76</v>
      </c>
      <c r="C678" s="3">
        <v>45695.028773148151</v>
      </c>
      <c r="D678" t="s">
        <v>76</v>
      </c>
      <c r="E678" s="4">
        <v>1.0000000596046448E-3</v>
      </c>
      <c r="F678" s="4">
        <v>526270.745</v>
      </c>
      <c r="G678" s="4">
        <v>526270.74600000004</v>
      </c>
      <c r="H678" s="5">
        <f>0 / 86400</f>
        <v>0</v>
      </c>
      <c r="I678" t="s">
        <v>129</v>
      </c>
      <c r="J678" t="s">
        <v>129</v>
      </c>
      <c r="K678" s="5">
        <f>16 / 86400</f>
        <v>1.8518518518518518E-4</v>
      </c>
      <c r="L678" s="5">
        <f>132 / 86400</f>
        <v>1.5277777777777779E-3</v>
      </c>
    </row>
    <row r="679" spans="1:12" x14ac:dyDescent="0.25">
      <c r="A679" s="3">
        <v>45695.030300925922</v>
      </c>
      <c r="B679" t="s">
        <v>76</v>
      </c>
      <c r="C679" s="3">
        <v>45695.113483796296</v>
      </c>
      <c r="D679" t="s">
        <v>38</v>
      </c>
      <c r="E679" s="4">
        <v>32.510999999940395</v>
      </c>
      <c r="F679" s="4">
        <v>526270.74600000004</v>
      </c>
      <c r="G679" s="4">
        <v>526303.25699999998</v>
      </c>
      <c r="H679" s="5">
        <f>3059 / 86400</f>
        <v>3.5405092592592592E-2</v>
      </c>
      <c r="I679" t="s">
        <v>50</v>
      </c>
      <c r="J679" t="s">
        <v>20</v>
      </c>
      <c r="K679" s="5">
        <f>7186 / 86400</f>
        <v>8.3171296296296299E-2</v>
      </c>
      <c r="L679" s="5">
        <f>1018 / 86400</f>
        <v>1.1782407407407408E-2</v>
      </c>
    </row>
    <row r="680" spans="1:12" x14ac:dyDescent="0.25">
      <c r="A680" s="3">
        <v>45695.1252662037</v>
      </c>
      <c r="B680" t="s">
        <v>38</v>
      </c>
      <c r="C680" s="3">
        <v>45695.132662037038</v>
      </c>
      <c r="D680" t="s">
        <v>77</v>
      </c>
      <c r="E680" s="4">
        <v>0.69399999999999995</v>
      </c>
      <c r="F680" s="4">
        <v>526303.25699999998</v>
      </c>
      <c r="G680" s="4">
        <v>526303.951</v>
      </c>
      <c r="H680" s="5">
        <f>341 / 86400</f>
        <v>3.9467592592592592E-3</v>
      </c>
      <c r="I680" t="s">
        <v>53</v>
      </c>
      <c r="J680" t="s">
        <v>82</v>
      </c>
      <c r="K680" s="5">
        <f>639 / 86400</f>
        <v>7.3958333333333333E-3</v>
      </c>
      <c r="L680" s="5">
        <f>4758 / 86400</f>
        <v>5.5069444444444442E-2</v>
      </c>
    </row>
    <row r="681" spans="1:12" x14ac:dyDescent="0.25">
      <c r="A681" s="3">
        <v>45695.187731481477</v>
      </c>
      <c r="B681" t="s">
        <v>77</v>
      </c>
      <c r="C681" s="3">
        <v>45695.253564814819</v>
      </c>
      <c r="D681" t="s">
        <v>343</v>
      </c>
      <c r="E681" s="4">
        <v>31.513000000059606</v>
      </c>
      <c r="F681" s="4">
        <v>526303.951</v>
      </c>
      <c r="G681" s="4">
        <v>526335.46400000004</v>
      </c>
      <c r="H681" s="5">
        <f>1699 / 86400</f>
        <v>1.9664351851851853E-2</v>
      </c>
      <c r="I681" t="s">
        <v>111</v>
      </c>
      <c r="J681" t="s">
        <v>78</v>
      </c>
      <c r="K681" s="5">
        <f>5688 / 86400</f>
        <v>6.5833333333333327E-2</v>
      </c>
      <c r="L681" s="5">
        <f>295 / 86400</f>
        <v>3.414351851851852E-3</v>
      </c>
    </row>
    <row r="682" spans="1:12" x14ac:dyDescent="0.25">
      <c r="A682" s="3">
        <v>45695.256979166668</v>
      </c>
      <c r="B682" t="s">
        <v>343</v>
      </c>
      <c r="C682" s="3">
        <v>45695.381585648152</v>
      </c>
      <c r="D682" t="s">
        <v>121</v>
      </c>
      <c r="E682" s="4">
        <v>53.147999999880788</v>
      </c>
      <c r="F682" s="4">
        <v>526335.46400000004</v>
      </c>
      <c r="G682" s="4">
        <v>526388.61199999996</v>
      </c>
      <c r="H682" s="5">
        <f>3799 / 86400</f>
        <v>4.3969907407407409E-2</v>
      </c>
      <c r="I682" t="s">
        <v>111</v>
      </c>
      <c r="J682" t="s">
        <v>69</v>
      </c>
      <c r="K682" s="5">
        <f>10766 / 86400</f>
        <v>0.12460648148148148</v>
      </c>
      <c r="L682" s="5">
        <f>2068 / 86400</f>
        <v>2.3935185185185184E-2</v>
      </c>
    </row>
    <row r="683" spans="1:12" x14ac:dyDescent="0.25">
      <c r="A683" s="3">
        <v>45695.40552083333</v>
      </c>
      <c r="B683" t="s">
        <v>121</v>
      </c>
      <c r="C683" s="3">
        <v>45695.4065625</v>
      </c>
      <c r="D683" t="s">
        <v>121</v>
      </c>
      <c r="E683" s="4">
        <v>0.10400000005960465</v>
      </c>
      <c r="F683" s="4">
        <v>526388.61199999996</v>
      </c>
      <c r="G683" s="4">
        <v>526388.71600000001</v>
      </c>
      <c r="H683" s="5">
        <f>0 / 86400</f>
        <v>0</v>
      </c>
      <c r="I683" t="s">
        <v>112</v>
      </c>
      <c r="J683" t="s">
        <v>82</v>
      </c>
      <c r="K683" s="5">
        <f>90 / 86400</f>
        <v>1.0416666666666667E-3</v>
      </c>
      <c r="L683" s="5">
        <f>551 / 86400</f>
        <v>6.3773148148148148E-3</v>
      </c>
    </row>
    <row r="684" spans="1:12" x14ac:dyDescent="0.25">
      <c r="A684" s="3">
        <v>45695.412939814814</v>
      </c>
      <c r="B684" t="s">
        <v>121</v>
      </c>
      <c r="C684" s="3">
        <v>45695.518738425926</v>
      </c>
      <c r="D684" t="s">
        <v>344</v>
      </c>
      <c r="E684" s="4">
        <v>47.426000000000002</v>
      </c>
      <c r="F684" s="4">
        <v>526388.71600000001</v>
      </c>
      <c r="G684" s="4">
        <v>526436.14199999999</v>
      </c>
      <c r="H684" s="5">
        <f>2897 / 86400</f>
        <v>3.3530092592592591E-2</v>
      </c>
      <c r="I684" t="s">
        <v>55</v>
      </c>
      <c r="J684" t="s">
        <v>90</v>
      </c>
      <c r="K684" s="5">
        <f>9141 / 86400</f>
        <v>0.10579861111111111</v>
      </c>
      <c r="L684" s="5">
        <f>78 / 86400</f>
        <v>9.0277777777777774E-4</v>
      </c>
    </row>
    <row r="685" spans="1:12" x14ac:dyDescent="0.25">
      <c r="A685" s="3">
        <v>45695.519641203704</v>
      </c>
      <c r="B685" t="s">
        <v>344</v>
      </c>
      <c r="C685" s="3">
        <v>45695.601064814815</v>
      </c>
      <c r="D685" t="s">
        <v>88</v>
      </c>
      <c r="E685" s="4">
        <v>23.998000000000001</v>
      </c>
      <c r="F685" s="4">
        <v>526436.14199999999</v>
      </c>
      <c r="G685" s="4">
        <v>526460.14</v>
      </c>
      <c r="H685" s="5">
        <f>3260 / 86400</f>
        <v>3.7731481481481484E-2</v>
      </c>
      <c r="I685" t="s">
        <v>159</v>
      </c>
      <c r="J685" t="s">
        <v>57</v>
      </c>
      <c r="K685" s="5">
        <f>7034 / 86400</f>
        <v>8.1412037037037033E-2</v>
      </c>
      <c r="L685" s="5">
        <f>477 / 86400</f>
        <v>5.5208333333333333E-3</v>
      </c>
    </row>
    <row r="686" spans="1:12" x14ac:dyDescent="0.25">
      <c r="A686" s="3">
        <v>45695.606585648144</v>
      </c>
      <c r="B686" t="s">
        <v>88</v>
      </c>
      <c r="C686" s="3">
        <v>45695.607546296298</v>
      </c>
      <c r="D686" t="s">
        <v>81</v>
      </c>
      <c r="E686" s="4">
        <v>9.2999999999999999E-2</v>
      </c>
      <c r="F686" s="4">
        <v>526460.14</v>
      </c>
      <c r="G686" s="4">
        <v>526460.23300000001</v>
      </c>
      <c r="H686" s="5">
        <f>20 / 86400</f>
        <v>2.3148148148148149E-4</v>
      </c>
      <c r="I686" t="s">
        <v>34</v>
      </c>
      <c r="J686" t="s">
        <v>82</v>
      </c>
      <c r="K686" s="5">
        <f>83 / 86400</f>
        <v>9.6064814814814819E-4</v>
      </c>
      <c r="L686" s="5">
        <f>92 / 86400</f>
        <v>1.0648148148148149E-3</v>
      </c>
    </row>
    <row r="687" spans="1:12" x14ac:dyDescent="0.25">
      <c r="A687" s="3">
        <v>45695.608611111107</v>
      </c>
      <c r="B687" t="s">
        <v>81</v>
      </c>
      <c r="C687" s="3">
        <v>45695.608946759261</v>
      </c>
      <c r="D687" t="s">
        <v>81</v>
      </c>
      <c r="E687" s="4">
        <v>0</v>
      </c>
      <c r="F687" s="4">
        <v>526460.23300000001</v>
      </c>
      <c r="G687" s="4">
        <v>526460.23300000001</v>
      </c>
      <c r="H687" s="5">
        <f>19 / 86400</f>
        <v>2.199074074074074E-4</v>
      </c>
      <c r="I687" t="s">
        <v>129</v>
      </c>
      <c r="J687" t="s">
        <v>129</v>
      </c>
      <c r="K687" s="5">
        <f>29 / 86400</f>
        <v>3.3564814814814812E-4</v>
      </c>
      <c r="L687" s="5">
        <f>11556 / 86400</f>
        <v>0.13375000000000001</v>
      </c>
    </row>
    <row r="688" spans="1:12" x14ac:dyDescent="0.25">
      <c r="A688" s="3">
        <v>45695.742696759262</v>
      </c>
      <c r="B688" t="s">
        <v>81</v>
      </c>
      <c r="C688" s="3">
        <v>45695.744652777779</v>
      </c>
      <c r="D688" t="s">
        <v>81</v>
      </c>
      <c r="E688" s="4">
        <v>0</v>
      </c>
      <c r="F688" s="4">
        <v>526460.23300000001</v>
      </c>
      <c r="G688" s="4">
        <v>526460.23300000001</v>
      </c>
      <c r="H688" s="5">
        <f>159 / 86400</f>
        <v>1.8402777777777777E-3</v>
      </c>
      <c r="I688" t="s">
        <v>129</v>
      </c>
      <c r="J688" t="s">
        <v>129</v>
      </c>
      <c r="K688" s="5">
        <f>169 / 86400</f>
        <v>1.9560185185185184E-3</v>
      </c>
      <c r="L688" s="5">
        <f>1143 / 86400</f>
        <v>1.3229166666666667E-2</v>
      </c>
    </row>
    <row r="689" spans="1:12" x14ac:dyDescent="0.25">
      <c r="A689" s="3">
        <v>45695.757881944446</v>
      </c>
      <c r="B689" t="s">
        <v>81</v>
      </c>
      <c r="C689" s="3">
        <v>45695.759108796294</v>
      </c>
      <c r="D689" t="s">
        <v>81</v>
      </c>
      <c r="E689" s="4">
        <v>2.5999999940395355E-2</v>
      </c>
      <c r="F689" s="4">
        <v>526460.23300000001</v>
      </c>
      <c r="G689" s="4">
        <v>526460.25899999996</v>
      </c>
      <c r="H689" s="5">
        <f>60 / 86400</f>
        <v>6.9444444444444447E-4</v>
      </c>
      <c r="I689" t="s">
        <v>91</v>
      </c>
      <c r="J689" t="s">
        <v>127</v>
      </c>
      <c r="K689" s="5">
        <f>105 / 86400</f>
        <v>1.2152777777777778E-3</v>
      </c>
      <c r="L689" s="5">
        <f>244 / 86400</f>
        <v>2.8240740740740739E-3</v>
      </c>
    </row>
    <row r="690" spans="1:12" x14ac:dyDescent="0.25">
      <c r="A690" s="3">
        <v>45695.761932870373</v>
      </c>
      <c r="B690" t="s">
        <v>81</v>
      </c>
      <c r="C690" s="3">
        <v>45695.76972222222</v>
      </c>
      <c r="D690" t="s">
        <v>77</v>
      </c>
      <c r="E690" s="4">
        <v>3.9289999999999998</v>
      </c>
      <c r="F690" s="4">
        <v>526460.25899999996</v>
      </c>
      <c r="G690" s="4">
        <v>526464.18799999997</v>
      </c>
      <c r="H690" s="5">
        <f>160 / 86400</f>
        <v>1.8518518518518519E-3</v>
      </c>
      <c r="I690" t="s">
        <v>169</v>
      </c>
      <c r="J690" t="s">
        <v>37</v>
      </c>
      <c r="K690" s="5">
        <f>672 / 86400</f>
        <v>7.7777777777777776E-3</v>
      </c>
      <c r="L690" s="5">
        <f>199 / 86400</f>
        <v>2.3032407407407407E-3</v>
      </c>
    </row>
    <row r="691" spans="1:12" x14ac:dyDescent="0.25">
      <c r="A691" s="3">
        <v>45695.772025462968</v>
      </c>
      <c r="B691" t="s">
        <v>77</v>
      </c>
      <c r="C691" s="3">
        <v>45695.772615740745</v>
      </c>
      <c r="D691" t="s">
        <v>77</v>
      </c>
      <c r="E691" s="4">
        <v>1.400000011920929E-2</v>
      </c>
      <c r="F691" s="4">
        <v>526464.18799999997</v>
      </c>
      <c r="G691" s="4">
        <v>526464.20200000005</v>
      </c>
      <c r="H691" s="5">
        <f>19 / 86400</f>
        <v>2.199074074074074E-4</v>
      </c>
      <c r="I691" t="s">
        <v>127</v>
      </c>
      <c r="J691" t="s">
        <v>127</v>
      </c>
      <c r="K691" s="5">
        <f>51 / 86400</f>
        <v>5.9027777777777778E-4</v>
      </c>
      <c r="L691" s="5">
        <f>171 / 86400</f>
        <v>1.9791666666666668E-3</v>
      </c>
    </row>
    <row r="692" spans="1:12" x14ac:dyDescent="0.25">
      <c r="A692" s="3">
        <v>45695.774594907409</v>
      </c>
      <c r="B692" t="s">
        <v>77</v>
      </c>
      <c r="C692" s="3">
        <v>45695.775092592594</v>
      </c>
      <c r="D692" t="s">
        <v>77</v>
      </c>
      <c r="E692" s="4">
        <v>1.5999999940395356E-2</v>
      </c>
      <c r="F692" s="4">
        <v>526464.20200000005</v>
      </c>
      <c r="G692" s="4">
        <v>526464.21799999999</v>
      </c>
      <c r="H692" s="5">
        <f>39 / 86400</f>
        <v>4.5138888888888887E-4</v>
      </c>
      <c r="I692" t="s">
        <v>129</v>
      </c>
      <c r="J692" t="s">
        <v>127</v>
      </c>
      <c r="K692" s="5">
        <f>43 / 86400</f>
        <v>4.9768518518518521E-4</v>
      </c>
      <c r="L692" s="5">
        <f>19431 / 86400</f>
        <v>0.22489583333333332</v>
      </c>
    </row>
    <row r="693" spans="1:12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 spans="1:12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 spans="1:12" s="10" customFormat="1" ht="20.100000000000001" customHeight="1" x14ac:dyDescent="0.35">
      <c r="A695" s="12" t="s">
        <v>416</v>
      </c>
      <c r="B695" s="12"/>
      <c r="C695" s="12"/>
      <c r="D695" s="12"/>
      <c r="E695" s="12"/>
      <c r="F695" s="12"/>
      <c r="G695" s="12"/>
      <c r="H695" s="12"/>
      <c r="I695" s="12"/>
      <c r="J695" s="12"/>
    </row>
    <row r="696" spans="1:12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 spans="1:12" ht="30" x14ac:dyDescent="0.25">
      <c r="A697" s="2" t="s">
        <v>6</v>
      </c>
      <c r="B697" s="2" t="s">
        <v>7</v>
      </c>
      <c r="C697" s="2" t="s">
        <v>8</v>
      </c>
      <c r="D697" s="2" t="s">
        <v>9</v>
      </c>
      <c r="E697" s="2" t="s">
        <v>10</v>
      </c>
      <c r="F697" s="2" t="s">
        <v>11</v>
      </c>
      <c r="G697" s="2" t="s">
        <v>12</v>
      </c>
      <c r="H697" s="2" t="s">
        <v>13</v>
      </c>
      <c r="I697" s="2" t="s">
        <v>14</v>
      </c>
      <c r="J697" s="2" t="s">
        <v>15</v>
      </c>
      <c r="K697" s="2" t="s">
        <v>16</v>
      </c>
      <c r="L697" s="2" t="s">
        <v>17</v>
      </c>
    </row>
    <row r="698" spans="1:12" x14ac:dyDescent="0.25">
      <c r="A698" s="3">
        <v>45695.228749999995</v>
      </c>
      <c r="B698" t="s">
        <v>38</v>
      </c>
      <c r="C698" s="3">
        <v>45695.229583333334</v>
      </c>
      <c r="D698" t="s">
        <v>38</v>
      </c>
      <c r="E698" s="4">
        <v>5.0999999999999997E-2</v>
      </c>
      <c r="F698" s="4">
        <v>566726.15500000003</v>
      </c>
      <c r="G698" s="4">
        <v>566726.20600000001</v>
      </c>
      <c r="H698" s="5">
        <f>0 / 86400</f>
        <v>0</v>
      </c>
      <c r="I698" t="s">
        <v>82</v>
      </c>
      <c r="J698" t="s">
        <v>140</v>
      </c>
      <c r="K698" s="5">
        <f>71 / 86400</f>
        <v>8.2175925925925927E-4</v>
      </c>
      <c r="L698" s="5">
        <f>32220 / 86400</f>
        <v>0.37291666666666667</v>
      </c>
    </row>
    <row r="699" spans="1:12" x14ac:dyDescent="0.25">
      <c r="A699" s="3">
        <v>45695.373749999999</v>
      </c>
      <c r="B699" t="s">
        <v>38</v>
      </c>
      <c r="C699" s="3">
        <v>45695.404224537036</v>
      </c>
      <c r="D699" t="s">
        <v>345</v>
      </c>
      <c r="E699" s="4">
        <v>16.256</v>
      </c>
      <c r="F699" s="4">
        <v>566726.20600000001</v>
      </c>
      <c r="G699" s="4">
        <v>566742.46200000006</v>
      </c>
      <c r="H699" s="5">
        <f>619 / 86400</f>
        <v>7.1643518518518514E-3</v>
      </c>
      <c r="I699" t="s">
        <v>64</v>
      </c>
      <c r="J699" t="s">
        <v>187</v>
      </c>
      <c r="K699" s="5">
        <f>2633 / 86400</f>
        <v>3.0474537037037036E-2</v>
      </c>
      <c r="L699" s="5">
        <f>743 / 86400</f>
        <v>8.5995370370370375E-3</v>
      </c>
    </row>
    <row r="700" spans="1:12" x14ac:dyDescent="0.25">
      <c r="A700" s="3">
        <v>45695.412824074076</v>
      </c>
      <c r="B700" t="s">
        <v>345</v>
      </c>
      <c r="C700" s="3">
        <v>45695.46429398148</v>
      </c>
      <c r="D700" t="s">
        <v>88</v>
      </c>
      <c r="E700" s="4">
        <v>25.515999999999998</v>
      </c>
      <c r="F700" s="4">
        <v>566742.46200000006</v>
      </c>
      <c r="G700" s="4">
        <v>566767.978</v>
      </c>
      <c r="H700" s="5">
        <f>941 / 86400</f>
        <v>1.0891203703703703E-2</v>
      </c>
      <c r="I700" t="s">
        <v>27</v>
      </c>
      <c r="J700" t="s">
        <v>37</v>
      </c>
      <c r="K700" s="5">
        <f>4446 / 86400</f>
        <v>5.1458333333333335E-2</v>
      </c>
      <c r="L700" s="5">
        <f>123 / 86400</f>
        <v>1.4236111111111112E-3</v>
      </c>
    </row>
    <row r="701" spans="1:12" x14ac:dyDescent="0.25">
      <c r="A701" s="3">
        <v>45695.465717592597</v>
      </c>
      <c r="B701" t="s">
        <v>88</v>
      </c>
      <c r="C701" s="3">
        <v>45695.560370370367</v>
      </c>
      <c r="D701" t="s">
        <v>346</v>
      </c>
      <c r="E701" s="4">
        <v>48.503</v>
      </c>
      <c r="F701" s="4">
        <v>566767.978</v>
      </c>
      <c r="G701" s="4">
        <v>566816.48100000003</v>
      </c>
      <c r="H701" s="5">
        <f>2220 / 86400</f>
        <v>2.5694444444444443E-2</v>
      </c>
      <c r="I701" t="s">
        <v>30</v>
      </c>
      <c r="J701" t="s">
        <v>37</v>
      </c>
      <c r="K701" s="5">
        <f>8178 / 86400</f>
        <v>9.465277777777778E-2</v>
      </c>
      <c r="L701" s="5">
        <f>824 / 86400</f>
        <v>9.5370370370370366E-3</v>
      </c>
    </row>
    <row r="702" spans="1:12" x14ac:dyDescent="0.25">
      <c r="A702" s="3">
        <v>45695.569907407407</v>
      </c>
      <c r="B702" t="s">
        <v>346</v>
      </c>
      <c r="C702" s="3">
        <v>45695.596886574072</v>
      </c>
      <c r="D702" t="s">
        <v>156</v>
      </c>
      <c r="E702" s="4">
        <v>7.3659999999999997</v>
      </c>
      <c r="F702" s="4">
        <v>566816.48100000003</v>
      </c>
      <c r="G702" s="4">
        <v>566823.84699999995</v>
      </c>
      <c r="H702" s="5">
        <f>1119 / 86400</f>
        <v>1.2951388888888889E-2</v>
      </c>
      <c r="I702" t="s">
        <v>211</v>
      </c>
      <c r="J702" t="s">
        <v>112</v>
      </c>
      <c r="K702" s="5">
        <f>2331 / 86400</f>
        <v>2.6979166666666665E-2</v>
      </c>
      <c r="L702" s="5">
        <f>29 / 86400</f>
        <v>3.3564814814814812E-4</v>
      </c>
    </row>
    <row r="703" spans="1:12" x14ac:dyDescent="0.25">
      <c r="A703" s="3">
        <v>45695.597222222219</v>
      </c>
      <c r="B703" t="s">
        <v>156</v>
      </c>
      <c r="C703" s="3">
        <v>45695.706886574073</v>
      </c>
      <c r="D703" t="s">
        <v>88</v>
      </c>
      <c r="E703" s="4">
        <v>54.215000000000003</v>
      </c>
      <c r="F703" s="4">
        <v>566823.84699999995</v>
      </c>
      <c r="G703" s="4">
        <v>566878.06200000003</v>
      </c>
      <c r="H703" s="5">
        <f>2040 / 86400</f>
        <v>2.361111111111111E-2</v>
      </c>
      <c r="I703" t="s">
        <v>27</v>
      </c>
      <c r="J703" t="s">
        <v>37</v>
      </c>
      <c r="K703" s="5">
        <f>9474 / 86400</f>
        <v>0.10965277777777778</v>
      </c>
      <c r="L703" s="5">
        <f>555 / 86400</f>
        <v>6.4236111111111108E-3</v>
      </c>
    </row>
    <row r="704" spans="1:12" x14ac:dyDescent="0.25">
      <c r="A704" s="3">
        <v>45695.713310185187</v>
      </c>
      <c r="B704" t="s">
        <v>88</v>
      </c>
      <c r="C704" s="3">
        <v>45695.719131944439</v>
      </c>
      <c r="D704" t="s">
        <v>38</v>
      </c>
      <c r="E704" s="4">
        <v>2.367</v>
      </c>
      <c r="F704" s="4">
        <v>566878.06200000003</v>
      </c>
      <c r="G704" s="4">
        <v>566880.429</v>
      </c>
      <c r="H704" s="5">
        <f>120 / 86400</f>
        <v>1.3888888888888889E-3</v>
      </c>
      <c r="I704" t="s">
        <v>300</v>
      </c>
      <c r="J704" t="s">
        <v>28</v>
      </c>
      <c r="K704" s="5">
        <f>502 / 86400</f>
        <v>5.8101851851851856E-3</v>
      </c>
      <c r="L704" s="5">
        <f>876 / 86400</f>
        <v>1.0138888888888888E-2</v>
      </c>
    </row>
    <row r="705" spans="1:12" x14ac:dyDescent="0.25">
      <c r="A705" s="3">
        <v>45695.729270833333</v>
      </c>
      <c r="B705" t="s">
        <v>38</v>
      </c>
      <c r="C705" s="3">
        <v>45695.729351851856</v>
      </c>
      <c r="D705" t="s">
        <v>38</v>
      </c>
      <c r="E705" s="4">
        <v>1E-3</v>
      </c>
      <c r="F705" s="4">
        <v>566880.429</v>
      </c>
      <c r="G705" s="4">
        <v>566880.43000000005</v>
      </c>
      <c r="H705" s="5">
        <f>0 / 86400</f>
        <v>0</v>
      </c>
      <c r="I705" t="s">
        <v>129</v>
      </c>
      <c r="J705" t="s">
        <v>127</v>
      </c>
      <c r="K705" s="5">
        <f>6 / 86400</f>
        <v>6.9444444444444444E-5</v>
      </c>
      <c r="L705" s="5">
        <f>2062 / 86400</f>
        <v>2.3865740740740739E-2</v>
      </c>
    </row>
    <row r="706" spans="1:12" x14ac:dyDescent="0.25">
      <c r="A706" s="3">
        <v>45695.753217592588</v>
      </c>
      <c r="B706" t="s">
        <v>38</v>
      </c>
      <c r="C706" s="3">
        <v>45695.754513888889</v>
      </c>
      <c r="D706" t="s">
        <v>38</v>
      </c>
      <c r="E706" s="4">
        <v>8.3000000000000004E-2</v>
      </c>
      <c r="F706" s="4">
        <v>566880.43000000005</v>
      </c>
      <c r="G706" s="4">
        <v>566880.51300000004</v>
      </c>
      <c r="H706" s="5">
        <f>20 / 86400</f>
        <v>2.3148148148148149E-4</v>
      </c>
      <c r="I706" t="s">
        <v>141</v>
      </c>
      <c r="J706" t="s">
        <v>140</v>
      </c>
      <c r="K706" s="5">
        <f>112 / 86400</f>
        <v>1.2962962962962963E-3</v>
      </c>
      <c r="L706" s="5">
        <f>21209 / 86400</f>
        <v>0.24547453703703703</v>
      </c>
    </row>
    <row r="707" spans="1:12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 spans="1:12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 spans="1:12" s="10" customFormat="1" ht="20.100000000000001" customHeight="1" x14ac:dyDescent="0.35">
      <c r="A709" s="12" t="s">
        <v>417</v>
      </c>
      <c r="B709" s="12"/>
      <c r="C709" s="12"/>
      <c r="D709" s="12"/>
      <c r="E709" s="12"/>
      <c r="F709" s="12"/>
      <c r="G709" s="12"/>
      <c r="H709" s="12"/>
      <c r="I709" s="12"/>
      <c r="J709" s="12"/>
    </row>
    <row r="710" spans="1:12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 spans="1:12" ht="30" x14ac:dyDescent="0.25">
      <c r="A711" s="2" t="s">
        <v>6</v>
      </c>
      <c r="B711" s="2" t="s">
        <v>7</v>
      </c>
      <c r="C711" s="2" t="s">
        <v>8</v>
      </c>
      <c r="D711" s="2" t="s">
        <v>9</v>
      </c>
      <c r="E711" s="2" t="s">
        <v>10</v>
      </c>
      <c r="F711" s="2" t="s">
        <v>11</v>
      </c>
      <c r="G711" s="2" t="s">
        <v>12</v>
      </c>
      <c r="H711" s="2" t="s">
        <v>13</v>
      </c>
      <c r="I711" s="2" t="s">
        <v>14</v>
      </c>
      <c r="J711" s="2" t="s">
        <v>15</v>
      </c>
      <c r="K711" s="2" t="s">
        <v>16</v>
      </c>
      <c r="L711" s="2" t="s">
        <v>17</v>
      </c>
    </row>
    <row r="712" spans="1:12" x14ac:dyDescent="0.25">
      <c r="A712" s="3">
        <v>45695.248101851852</v>
      </c>
      <c r="B712" t="s">
        <v>79</v>
      </c>
      <c r="C712" s="3">
        <v>45695.252627314811</v>
      </c>
      <c r="D712" t="s">
        <v>347</v>
      </c>
      <c r="E712" s="4">
        <v>1.2090000000000001</v>
      </c>
      <c r="F712" s="4">
        <v>434414.58199999999</v>
      </c>
      <c r="G712" s="4">
        <v>434415.79100000003</v>
      </c>
      <c r="H712" s="5">
        <f>159 / 86400</f>
        <v>1.8402777777777777E-3</v>
      </c>
      <c r="I712" t="s">
        <v>137</v>
      </c>
      <c r="J712" t="s">
        <v>112</v>
      </c>
      <c r="K712" s="5">
        <f>390 / 86400</f>
        <v>4.5138888888888885E-3</v>
      </c>
      <c r="L712" s="5">
        <f>21790 / 86400</f>
        <v>0.25219907407407405</v>
      </c>
    </row>
    <row r="713" spans="1:12" x14ac:dyDescent="0.25">
      <c r="A713" s="3">
        <v>45695.256724537037</v>
      </c>
      <c r="B713" t="s">
        <v>347</v>
      </c>
      <c r="C713" s="3">
        <v>45695.264224537037</v>
      </c>
      <c r="D713" t="s">
        <v>348</v>
      </c>
      <c r="E713" s="4">
        <v>2.786</v>
      </c>
      <c r="F713" s="4">
        <v>434415.79100000003</v>
      </c>
      <c r="G713" s="4">
        <v>434418.57699999999</v>
      </c>
      <c r="H713" s="5">
        <f>179 / 86400</f>
        <v>2.0717592592592593E-3</v>
      </c>
      <c r="I713" t="s">
        <v>196</v>
      </c>
      <c r="J713" t="s">
        <v>20</v>
      </c>
      <c r="K713" s="5">
        <f>647 / 86400</f>
        <v>7.4884259259259262E-3</v>
      </c>
      <c r="L713" s="5">
        <f>44 / 86400</f>
        <v>5.0925925925925921E-4</v>
      </c>
    </row>
    <row r="714" spans="1:12" x14ac:dyDescent="0.25">
      <c r="A714" s="3">
        <v>45695.264733796299</v>
      </c>
      <c r="B714" t="s">
        <v>348</v>
      </c>
      <c r="C714" s="3">
        <v>45695.265115740738</v>
      </c>
      <c r="D714" t="s">
        <v>348</v>
      </c>
      <c r="E714" s="4">
        <v>9.5000000000000001E-2</v>
      </c>
      <c r="F714" s="4">
        <v>434418.57699999999</v>
      </c>
      <c r="G714" s="4">
        <v>434418.67200000002</v>
      </c>
      <c r="H714" s="5">
        <f>0 / 86400</f>
        <v>0</v>
      </c>
      <c r="I714" t="s">
        <v>28</v>
      </c>
      <c r="J714" t="s">
        <v>45</v>
      </c>
      <c r="K714" s="5">
        <f>33 / 86400</f>
        <v>3.8194444444444446E-4</v>
      </c>
      <c r="L714" s="5">
        <f>3 / 86400</f>
        <v>3.4722222222222222E-5</v>
      </c>
    </row>
    <row r="715" spans="1:12" x14ac:dyDescent="0.25">
      <c r="A715" s="3">
        <v>45695.265150462961</v>
      </c>
      <c r="B715" t="s">
        <v>348</v>
      </c>
      <c r="C715" s="3">
        <v>45695.34170138889</v>
      </c>
      <c r="D715" t="s">
        <v>161</v>
      </c>
      <c r="E715" s="4">
        <v>34.128999999999998</v>
      </c>
      <c r="F715" s="4">
        <v>434418.68</v>
      </c>
      <c r="G715" s="4">
        <v>434452.80900000001</v>
      </c>
      <c r="H715" s="5">
        <f>2040 / 86400</f>
        <v>2.361111111111111E-2</v>
      </c>
      <c r="I715" t="s">
        <v>64</v>
      </c>
      <c r="J715" t="s">
        <v>90</v>
      </c>
      <c r="K715" s="5">
        <f>6614 / 86400</f>
        <v>7.6550925925925925E-2</v>
      </c>
      <c r="L715" s="5">
        <f>1347 / 86400</f>
        <v>1.5590277777777778E-2</v>
      </c>
    </row>
    <row r="716" spans="1:12" x14ac:dyDescent="0.25">
      <c r="A716" s="3">
        <v>45695.357291666667</v>
      </c>
      <c r="B716" t="s">
        <v>161</v>
      </c>
      <c r="C716" s="3">
        <v>45695.358993055561</v>
      </c>
      <c r="D716" t="s">
        <v>314</v>
      </c>
      <c r="E716" s="4">
        <v>0.39100000000000001</v>
      </c>
      <c r="F716" s="4">
        <v>434452.80900000001</v>
      </c>
      <c r="G716" s="4">
        <v>434453.2</v>
      </c>
      <c r="H716" s="5">
        <f>39 / 86400</f>
        <v>4.5138888888888887E-4</v>
      </c>
      <c r="I716" t="s">
        <v>195</v>
      </c>
      <c r="J716" t="s">
        <v>45</v>
      </c>
      <c r="K716" s="5">
        <f>146 / 86400</f>
        <v>1.6898148148148148E-3</v>
      </c>
      <c r="L716" s="5">
        <f>160 / 86400</f>
        <v>1.8518518518518519E-3</v>
      </c>
    </row>
    <row r="717" spans="1:12" x14ac:dyDescent="0.25">
      <c r="A717" s="3">
        <v>45695.360844907409</v>
      </c>
      <c r="B717" t="s">
        <v>314</v>
      </c>
      <c r="C717" s="3">
        <v>45695.407905092594</v>
      </c>
      <c r="D717" t="s">
        <v>214</v>
      </c>
      <c r="E717" s="4">
        <v>27.872</v>
      </c>
      <c r="F717" s="4">
        <v>434453.2</v>
      </c>
      <c r="G717" s="4">
        <v>434481.07199999999</v>
      </c>
      <c r="H717" s="5">
        <f>800 / 86400</f>
        <v>9.2592592592592587E-3</v>
      </c>
      <c r="I717" t="s">
        <v>56</v>
      </c>
      <c r="J717" t="s">
        <v>195</v>
      </c>
      <c r="K717" s="5">
        <f>4065 / 86400</f>
        <v>4.704861111111111E-2</v>
      </c>
      <c r="L717" s="5">
        <f>263 / 86400</f>
        <v>3.0439814814814813E-3</v>
      </c>
    </row>
    <row r="718" spans="1:12" x14ac:dyDescent="0.25">
      <c r="A718" s="3">
        <v>45695.410949074074</v>
      </c>
      <c r="B718" t="s">
        <v>214</v>
      </c>
      <c r="C718" s="3">
        <v>45695.43751157407</v>
      </c>
      <c r="D718" t="s">
        <v>349</v>
      </c>
      <c r="E718" s="4">
        <v>8.3330000000000002</v>
      </c>
      <c r="F718" s="4">
        <v>434481.07199999999</v>
      </c>
      <c r="G718" s="4">
        <v>434489.40500000003</v>
      </c>
      <c r="H718" s="5">
        <f>560 / 86400</f>
        <v>6.4814814814814813E-3</v>
      </c>
      <c r="I718" t="s">
        <v>146</v>
      </c>
      <c r="J718" t="s">
        <v>53</v>
      </c>
      <c r="K718" s="5">
        <f>2295 / 86400</f>
        <v>2.6562499999999999E-2</v>
      </c>
      <c r="L718" s="5">
        <f>30 / 86400</f>
        <v>3.4722222222222224E-4</v>
      </c>
    </row>
    <row r="719" spans="1:12" x14ac:dyDescent="0.25">
      <c r="A719" s="3">
        <v>45695.4378587963</v>
      </c>
      <c r="B719" t="s">
        <v>349</v>
      </c>
      <c r="C719" s="3">
        <v>45695.440995370373</v>
      </c>
      <c r="D719" t="s">
        <v>349</v>
      </c>
      <c r="E719" s="4">
        <v>0.20200000000000001</v>
      </c>
      <c r="F719" s="4">
        <v>434489.40500000003</v>
      </c>
      <c r="G719" s="4">
        <v>434489.60700000002</v>
      </c>
      <c r="H719" s="5">
        <f>140 / 86400</f>
        <v>1.6203703703703703E-3</v>
      </c>
      <c r="I719" t="s">
        <v>112</v>
      </c>
      <c r="J719" t="s">
        <v>140</v>
      </c>
      <c r="K719" s="5">
        <f>270 / 86400</f>
        <v>3.1250000000000002E-3</v>
      </c>
      <c r="L719" s="5">
        <f>109 / 86400</f>
        <v>1.261574074074074E-3</v>
      </c>
    </row>
    <row r="720" spans="1:12" x14ac:dyDescent="0.25">
      <c r="A720" s="3">
        <v>45695.442256944443</v>
      </c>
      <c r="B720" t="s">
        <v>349</v>
      </c>
      <c r="C720" s="3">
        <v>45695.442986111113</v>
      </c>
      <c r="D720" t="s">
        <v>349</v>
      </c>
      <c r="E720" s="4">
        <v>8.0000000000000002E-3</v>
      </c>
      <c r="F720" s="4">
        <v>434489.60700000002</v>
      </c>
      <c r="G720" s="4">
        <v>434489.61499999999</v>
      </c>
      <c r="H720" s="5">
        <f>39 / 86400</f>
        <v>4.5138888888888887E-4</v>
      </c>
      <c r="I720" t="s">
        <v>132</v>
      </c>
      <c r="J720" t="s">
        <v>129</v>
      </c>
      <c r="K720" s="5">
        <f>62 / 86400</f>
        <v>7.1759259259259259E-4</v>
      </c>
      <c r="L720" s="5">
        <f>430 / 86400</f>
        <v>4.9768518518518521E-3</v>
      </c>
    </row>
    <row r="721" spans="1:12" x14ac:dyDescent="0.25">
      <c r="A721" s="3">
        <v>45695.447962962964</v>
      </c>
      <c r="B721" t="s">
        <v>349</v>
      </c>
      <c r="C721" s="3">
        <v>45695.454942129625</v>
      </c>
      <c r="D721" t="s">
        <v>349</v>
      </c>
      <c r="E721" s="4">
        <v>0.377</v>
      </c>
      <c r="F721" s="4">
        <v>434489.61499999999</v>
      </c>
      <c r="G721" s="4">
        <v>434489.99200000003</v>
      </c>
      <c r="H721" s="5">
        <f>459 / 86400</f>
        <v>5.3125000000000004E-3</v>
      </c>
      <c r="I721" t="s">
        <v>90</v>
      </c>
      <c r="J721" t="s">
        <v>87</v>
      </c>
      <c r="K721" s="5">
        <f>602 / 86400</f>
        <v>6.9675925925925929E-3</v>
      </c>
      <c r="L721" s="5">
        <f>4017 / 86400</f>
        <v>4.6493055555555558E-2</v>
      </c>
    </row>
    <row r="722" spans="1:12" x14ac:dyDescent="0.25">
      <c r="A722" s="3">
        <v>45695.501435185186</v>
      </c>
      <c r="B722" t="s">
        <v>349</v>
      </c>
      <c r="C722" s="3">
        <v>45695.554942129631</v>
      </c>
      <c r="D722" t="s">
        <v>128</v>
      </c>
      <c r="E722" s="4">
        <v>25.006</v>
      </c>
      <c r="F722" s="4">
        <v>434489.99200000003</v>
      </c>
      <c r="G722" s="4">
        <v>434514.99800000002</v>
      </c>
      <c r="H722" s="5">
        <f>818 / 86400</f>
        <v>9.4675925925925934E-3</v>
      </c>
      <c r="I722" t="s">
        <v>169</v>
      </c>
      <c r="J722" t="s">
        <v>90</v>
      </c>
      <c r="K722" s="5">
        <f>4622 / 86400</f>
        <v>5.3495370370370374E-2</v>
      </c>
      <c r="L722" s="5">
        <f>8502 / 86400</f>
        <v>9.8402777777777783E-2</v>
      </c>
    </row>
    <row r="723" spans="1:12" x14ac:dyDescent="0.25">
      <c r="A723" s="3">
        <v>45695.653344907405</v>
      </c>
      <c r="B723" t="s">
        <v>128</v>
      </c>
      <c r="C723" s="3">
        <v>45695.653819444444</v>
      </c>
      <c r="D723" t="s">
        <v>128</v>
      </c>
      <c r="E723" s="4">
        <v>0</v>
      </c>
      <c r="F723" s="4">
        <v>434514.99800000002</v>
      </c>
      <c r="G723" s="4">
        <v>434514.99800000002</v>
      </c>
      <c r="H723" s="5">
        <f>39 / 86400</f>
        <v>4.5138888888888887E-4</v>
      </c>
      <c r="I723" t="s">
        <v>129</v>
      </c>
      <c r="J723" t="s">
        <v>129</v>
      </c>
      <c r="K723" s="5">
        <f>41 / 86400</f>
        <v>4.7453703703703704E-4</v>
      </c>
      <c r="L723" s="5">
        <f>269 / 86400</f>
        <v>3.1134259259259257E-3</v>
      </c>
    </row>
    <row r="724" spans="1:12" x14ac:dyDescent="0.25">
      <c r="A724" s="3">
        <v>45695.65693287037</v>
      </c>
      <c r="B724" t="s">
        <v>128</v>
      </c>
      <c r="C724" s="3">
        <v>45695.659953703704</v>
      </c>
      <c r="D724" t="s">
        <v>128</v>
      </c>
      <c r="E724" s="4">
        <v>0.111</v>
      </c>
      <c r="F724" s="4">
        <v>434514.99800000002</v>
      </c>
      <c r="G724" s="4">
        <v>434515.109</v>
      </c>
      <c r="H724" s="5">
        <f>179 / 86400</f>
        <v>2.0717592592592593E-3</v>
      </c>
      <c r="I724" t="s">
        <v>112</v>
      </c>
      <c r="J724" t="s">
        <v>87</v>
      </c>
      <c r="K724" s="5">
        <f>261 / 86400</f>
        <v>3.0208333333333333E-3</v>
      </c>
      <c r="L724" s="5">
        <f>8998 / 86400</f>
        <v>0.10414351851851852</v>
      </c>
    </row>
    <row r="725" spans="1:12" x14ac:dyDescent="0.25">
      <c r="A725" s="3">
        <v>45695.764097222222</v>
      </c>
      <c r="B725" t="s">
        <v>128</v>
      </c>
      <c r="C725" s="3">
        <v>45695.835231481484</v>
      </c>
      <c r="D725" t="s">
        <v>133</v>
      </c>
      <c r="E725" s="4">
        <v>34.069000000000003</v>
      </c>
      <c r="F725" s="4">
        <v>434515.109</v>
      </c>
      <c r="G725" s="4">
        <v>434549.17800000001</v>
      </c>
      <c r="H725" s="5">
        <f>1518 / 86400</f>
        <v>1.7569444444444443E-2</v>
      </c>
      <c r="I725" t="s">
        <v>182</v>
      </c>
      <c r="J725" t="s">
        <v>78</v>
      </c>
      <c r="K725" s="5">
        <f>6145 / 86400</f>
        <v>7.1122685185185192E-2</v>
      </c>
      <c r="L725" s="5">
        <f>624 / 86400</f>
        <v>7.2222222222222219E-3</v>
      </c>
    </row>
    <row r="726" spans="1:12" x14ac:dyDescent="0.25">
      <c r="A726" s="3">
        <v>45695.842453703706</v>
      </c>
      <c r="B726" t="s">
        <v>133</v>
      </c>
      <c r="C726" s="3">
        <v>45695.848101851851</v>
      </c>
      <c r="D726" t="s">
        <v>350</v>
      </c>
      <c r="E726" s="4">
        <v>1.9119999999999999</v>
      </c>
      <c r="F726" s="4">
        <v>434549.17800000001</v>
      </c>
      <c r="G726" s="4">
        <v>434551.09</v>
      </c>
      <c r="H726" s="5">
        <f>80 / 86400</f>
        <v>9.2592592592592596E-4</v>
      </c>
      <c r="I726" t="s">
        <v>143</v>
      </c>
      <c r="J726" t="s">
        <v>34</v>
      </c>
      <c r="K726" s="5">
        <f>487 / 86400</f>
        <v>5.6365740740740742E-3</v>
      </c>
      <c r="L726" s="5">
        <f>204 / 86400</f>
        <v>2.3611111111111111E-3</v>
      </c>
    </row>
    <row r="727" spans="1:12" x14ac:dyDescent="0.25">
      <c r="A727" s="3">
        <v>45695.850462962961</v>
      </c>
      <c r="B727" t="s">
        <v>350</v>
      </c>
      <c r="C727" s="3">
        <v>45695.851157407407</v>
      </c>
      <c r="D727" t="s">
        <v>347</v>
      </c>
      <c r="E727" s="4">
        <v>2.9000000000000001E-2</v>
      </c>
      <c r="F727" s="4">
        <v>434551.09</v>
      </c>
      <c r="G727" s="4">
        <v>434551.11900000001</v>
      </c>
      <c r="H727" s="5">
        <f>20 / 86400</f>
        <v>2.3148148148148149E-4</v>
      </c>
      <c r="I727" t="s">
        <v>71</v>
      </c>
      <c r="J727" t="s">
        <v>87</v>
      </c>
      <c r="K727" s="5">
        <f>59 / 86400</f>
        <v>6.8287037037037036E-4</v>
      </c>
      <c r="L727" s="5">
        <f>646 / 86400</f>
        <v>7.4768518518518517E-3</v>
      </c>
    </row>
    <row r="728" spans="1:12" x14ac:dyDescent="0.25">
      <c r="A728" s="3">
        <v>45695.858634259261</v>
      </c>
      <c r="B728" t="s">
        <v>347</v>
      </c>
      <c r="C728" s="3">
        <v>45695.861296296294</v>
      </c>
      <c r="D728" t="s">
        <v>79</v>
      </c>
      <c r="E728" s="4">
        <v>0.85899999999999999</v>
      </c>
      <c r="F728" s="4">
        <v>434551.11900000001</v>
      </c>
      <c r="G728" s="4">
        <v>434551.978</v>
      </c>
      <c r="H728" s="5">
        <f>20 / 86400</f>
        <v>2.3148148148148149E-4</v>
      </c>
      <c r="I728" t="s">
        <v>213</v>
      </c>
      <c r="J728" t="s">
        <v>53</v>
      </c>
      <c r="K728" s="5">
        <f>230 / 86400</f>
        <v>2.662037037037037E-3</v>
      </c>
      <c r="L728" s="5">
        <f>41 / 86400</f>
        <v>4.7453703703703704E-4</v>
      </c>
    </row>
    <row r="729" spans="1:12" x14ac:dyDescent="0.25">
      <c r="A729" s="3">
        <v>45695.861770833333</v>
      </c>
      <c r="B729" t="s">
        <v>79</v>
      </c>
      <c r="C729" s="3">
        <v>45695.863819444443</v>
      </c>
      <c r="D729" t="s">
        <v>79</v>
      </c>
      <c r="E729" s="4">
        <v>3.5999999999999997E-2</v>
      </c>
      <c r="F729" s="4">
        <v>434551.978</v>
      </c>
      <c r="G729" s="4">
        <v>434552.01400000002</v>
      </c>
      <c r="H729" s="5">
        <f>120 / 86400</f>
        <v>1.3888888888888889E-3</v>
      </c>
      <c r="I729" t="s">
        <v>126</v>
      </c>
      <c r="J729" t="s">
        <v>127</v>
      </c>
      <c r="K729" s="5">
        <f>177 / 86400</f>
        <v>2.0486111111111113E-3</v>
      </c>
      <c r="L729" s="5">
        <f>11765 / 86400</f>
        <v>0.13616898148148149</v>
      </c>
    </row>
    <row r="730" spans="1:12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 spans="1:12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 spans="1:12" s="10" customFormat="1" ht="20.100000000000001" customHeight="1" x14ac:dyDescent="0.35">
      <c r="A732" s="12" t="s">
        <v>418</v>
      </c>
      <c r="B732" s="12"/>
      <c r="C732" s="12"/>
      <c r="D732" s="12"/>
      <c r="E732" s="12"/>
      <c r="F732" s="12"/>
      <c r="G732" s="12"/>
      <c r="H732" s="12"/>
      <c r="I732" s="12"/>
      <c r="J732" s="12"/>
    </row>
    <row r="733" spans="1:12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 spans="1:12" ht="30" x14ac:dyDescent="0.25">
      <c r="A734" s="2" t="s">
        <v>6</v>
      </c>
      <c r="B734" s="2" t="s">
        <v>7</v>
      </c>
      <c r="C734" s="2" t="s">
        <v>8</v>
      </c>
      <c r="D734" s="2" t="s">
        <v>9</v>
      </c>
      <c r="E734" s="2" t="s">
        <v>10</v>
      </c>
      <c r="F734" s="2" t="s">
        <v>11</v>
      </c>
      <c r="G734" s="2" t="s">
        <v>12</v>
      </c>
      <c r="H734" s="2" t="s">
        <v>13</v>
      </c>
      <c r="I734" s="2" t="s">
        <v>14</v>
      </c>
      <c r="J734" s="2" t="s">
        <v>15</v>
      </c>
      <c r="K734" s="2" t="s">
        <v>16</v>
      </c>
      <c r="L734" s="2" t="s">
        <v>17</v>
      </c>
    </row>
    <row r="735" spans="1:12" x14ac:dyDescent="0.25">
      <c r="A735" s="3">
        <v>45695.237743055557</v>
      </c>
      <c r="B735" t="s">
        <v>48</v>
      </c>
      <c r="C735" s="3">
        <v>45695.259652777779</v>
      </c>
      <c r="D735" t="s">
        <v>351</v>
      </c>
      <c r="E735" s="4">
        <v>7.4340000000000002</v>
      </c>
      <c r="F735" s="4">
        <v>514170.83299999998</v>
      </c>
      <c r="G735" s="4">
        <v>514178.26699999999</v>
      </c>
      <c r="H735" s="5">
        <f>630 / 86400</f>
        <v>7.2916666666666668E-3</v>
      </c>
      <c r="I735" t="s">
        <v>131</v>
      </c>
      <c r="J735" t="s">
        <v>34</v>
      </c>
      <c r="K735" s="5">
        <f>1893 / 86400</f>
        <v>2.1909722222222223E-2</v>
      </c>
      <c r="L735" s="5">
        <f>20546 / 86400</f>
        <v>0.23780092592592592</v>
      </c>
    </row>
    <row r="736" spans="1:12" x14ac:dyDescent="0.25">
      <c r="A736" s="3">
        <v>45695.259710648148</v>
      </c>
      <c r="B736" t="s">
        <v>118</v>
      </c>
      <c r="C736" s="3">
        <v>45695.297800925924</v>
      </c>
      <c r="D736" t="s">
        <v>352</v>
      </c>
      <c r="E736" s="4">
        <v>23.699000000000002</v>
      </c>
      <c r="F736" s="4">
        <v>514178.31099999999</v>
      </c>
      <c r="G736" s="4">
        <v>514202.01</v>
      </c>
      <c r="H736" s="5">
        <f>810 / 86400</f>
        <v>9.3749999999999997E-3</v>
      </c>
      <c r="I736" t="s">
        <v>80</v>
      </c>
      <c r="J736" t="s">
        <v>160</v>
      </c>
      <c r="K736" s="5">
        <f>3291 / 86400</f>
        <v>3.8090277777777778E-2</v>
      </c>
      <c r="L736" s="5">
        <f>5 / 86400</f>
        <v>5.7870370370370373E-5</v>
      </c>
    </row>
    <row r="737" spans="1:12" x14ac:dyDescent="0.25">
      <c r="A737" s="3">
        <v>45695.297858796301</v>
      </c>
      <c r="B737" t="s">
        <v>353</v>
      </c>
      <c r="C737" s="3">
        <v>45695.33902777778</v>
      </c>
      <c r="D737" t="s">
        <v>354</v>
      </c>
      <c r="E737" s="4">
        <v>14.484999999999999</v>
      </c>
      <c r="F737" s="4">
        <v>514202.01699999999</v>
      </c>
      <c r="G737" s="4">
        <v>514216.50199999998</v>
      </c>
      <c r="H737" s="5">
        <f>839 / 86400</f>
        <v>9.7106481481481488E-3</v>
      </c>
      <c r="I737" t="s">
        <v>332</v>
      </c>
      <c r="J737" t="s">
        <v>24</v>
      </c>
      <c r="K737" s="5">
        <f>3557 / 86400</f>
        <v>4.116898148148148E-2</v>
      </c>
      <c r="L737" s="5">
        <f>14 / 86400</f>
        <v>1.6203703703703703E-4</v>
      </c>
    </row>
    <row r="738" spans="1:12" x14ac:dyDescent="0.25">
      <c r="A738" s="3">
        <v>45695.339189814811</v>
      </c>
      <c r="B738" t="s">
        <v>354</v>
      </c>
      <c r="C738" s="3">
        <v>45695.339212962965</v>
      </c>
      <c r="D738" t="s">
        <v>354</v>
      </c>
      <c r="E738" s="4">
        <v>0</v>
      </c>
      <c r="F738" s="4">
        <v>514216.50199999998</v>
      </c>
      <c r="G738" s="4">
        <v>514216.50199999998</v>
      </c>
      <c r="H738" s="5">
        <f>0 / 86400</f>
        <v>0</v>
      </c>
      <c r="I738" t="s">
        <v>129</v>
      </c>
      <c r="J738" t="s">
        <v>129</v>
      </c>
      <c r="K738" s="5">
        <f>2 / 86400</f>
        <v>2.3148148148148147E-5</v>
      </c>
      <c r="L738" s="5">
        <f>3 / 86400</f>
        <v>3.4722222222222222E-5</v>
      </c>
    </row>
    <row r="739" spans="1:12" x14ac:dyDescent="0.25">
      <c r="A739" s="3">
        <v>45695.339247685188</v>
      </c>
      <c r="B739" t="s">
        <v>354</v>
      </c>
      <c r="C739" s="3">
        <v>45695.519120370373</v>
      </c>
      <c r="D739" t="s">
        <v>95</v>
      </c>
      <c r="E739" s="4">
        <v>54.744999999999997</v>
      </c>
      <c r="F739" s="4">
        <v>514216.50199999998</v>
      </c>
      <c r="G739" s="4">
        <v>514271.24699999997</v>
      </c>
      <c r="H739" s="5">
        <f>6833 / 86400</f>
        <v>7.9085648148148155E-2</v>
      </c>
      <c r="I739" t="s">
        <v>30</v>
      </c>
      <c r="J739" t="s">
        <v>53</v>
      </c>
      <c r="K739" s="5">
        <f>15541 / 86400</f>
        <v>0.17987268518518518</v>
      </c>
      <c r="L739" s="5">
        <f>3534 / 86400</f>
        <v>4.0902777777777781E-2</v>
      </c>
    </row>
    <row r="740" spans="1:12" x14ac:dyDescent="0.25">
      <c r="A740" s="3">
        <v>45695.560023148151</v>
      </c>
      <c r="B740" t="s">
        <v>329</v>
      </c>
      <c r="C740" s="3">
        <v>45695.577743055561</v>
      </c>
      <c r="D740" t="s">
        <v>147</v>
      </c>
      <c r="E740" s="4">
        <v>5.9139999999999997</v>
      </c>
      <c r="F740" s="4">
        <v>514271.24699999997</v>
      </c>
      <c r="G740" s="4">
        <v>514277.16100000002</v>
      </c>
      <c r="H740" s="5">
        <f>450 / 86400</f>
        <v>5.208333333333333E-3</v>
      </c>
      <c r="I740" t="s">
        <v>201</v>
      </c>
      <c r="J740" t="s">
        <v>34</v>
      </c>
      <c r="K740" s="5">
        <f>1531 / 86400</f>
        <v>1.7719907407407406E-2</v>
      </c>
      <c r="L740" s="5">
        <f>870 / 86400</f>
        <v>1.0069444444444445E-2</v>
      </c>
    </row>
    <row r="741" spans="1:12" x14ac:dyDescent="0.25">
      <c r="A741" s="3">
        <v>45695.587812500002</v>
      </c>
      <c r="B741" t="s">
        <v>147</v>
      </c>
      <c r="C741" s="3">
        <v>45695.588090277779</v>
      </c>
      <c r="D741" t="s">
        <v>147</v>
      </c>
      <c r="E741" s="4">
        <v>4.0000000000000001E-3</v>
      </c>
      <c r="F741" s="4">
        <v>514277.16100000002</v>
      </c>
      <c r="G741" s="4">
        <v>514277.16499999998</v>
      </c>
      <c r="H741" s="5">
        <f>1 / 86400</f>
        <v>1.1574074074074073E-5</v>
      </c>
      <c r="I741" t="s">
        <v>129</v>
      </c>
      <c r="J741" t="s">
        <v>127</v>
      </c>
      <c r="K741" s="5">
        <f>24 / 86400</f>
        <v>2.7777777777777778E-4</v>
      </c>
      <c r="L741" s="5">
        <f>510 / 86400</f>
        <v>5.9027777777777776E-3</v>
      </c>
    </row>
    <row r="742" spans="1:12" x14ac:dyDescent="0.25">
      <c r="A742" s="3">
        <v>45695.593993055554</v>
      </c>
      <c r="B742" t="s">
        <v>147</v>
      </c>
      <c r="C742" s="3">
        <v>45695.59679398148</v>
      </c>
      <c r="D742" t="s">
        <v>316</v>
      </c>
      <c r="E742" s="4">
        <v>0.64400000000000002</v>
      </c>
      <c r="F742" s="4">
        <v>514277.16499999998</v>
      </c>
      <c r="G742" s="4">
        <v>514277.80900000001</v>
      </c>
      <c r="H742" s="5">
        <f>1 / 86400</f>
        <v>1.1574074074074073E-5</v>
      </c>
      <c r="I742" t="s">
        <v>137</v>
      </c>
      <c r="J742" t="s">
        <v>45</v>
      </c>
      <c r="K742" s="5">
        <f>242 / 86400</f>
        <v>2.8009259259259259E-3</v>
      </c>
      <c r="L742" s="5">
        <f>2533 / 86400</f>
        <v>2.931712962962963E-2</v>
      </c>
    </row>
    <row r="743" spans="1:12" x14ac:dyDescent="0.25">
      <c r="A743" s="3">
        <v>45695.626111111109</v>
      </c>
      <c r="B743" t="s">
        <v>316</v>
      </c>
      <c r="C743" s="3">
        <v>45695.644918981481</v>
      </c>
      <c r="D743" t="s">
        <v>118</v>
      </c>
      <c r="E743" s="4">
        <v>6.8120000000000003</v>
      </c>
      <c r="F743" s="4">
        <v>514277.80900000001</v>
      </c>
      <c r="G743" s="4">
        <v>514284.62099999998</v>
      </c>
      <c r="H743" s="5">
        <f>419 / 86400</f>
        <v>4.8495370370370368E-3</v>
      </c>
      <c r="I743" t="s">
        <v>332</v>
      </c>
      <c r="J743" t="s">
        <v>24</v>
      </c>
      <c r="K743" s="5">
        <f>1625 / 86400</f>
        <v>1.8807870370370371E-2</v>
      </c>
      <c r="L743" s="5">
        <f>7 / 86400</f>
        <v>8.1018518518518516E-5</v>
      </c>
    </row>
    <row r="744" spans="1:12" x14ac:dyDescent="0.25">
      <c r="A744" s="3">
        <v>45695.645000000004</v>
      </c>
      <c r="B744" t="s">
        <v>118</v>
      </c>
      <c r="C744" s="3">
        <v>45695.676319444443</v>
      </c>
      <c r="D744" t="s">
        <v>166</v>
      </c>
      <c r="E744" s="4">
        <v>23.311</v>
      </c>
      <c r="F744" s="4">
        <v>514284.67200000002</v>
      </c>
      <c r="G744" s="4">
        <v>514307.98300000001</v>
      </c>
      <c r="H744" s="5">
        <f>479 / 86400</f>
        <v>5.5439814814814813E-3</v>
      </c>
      <c r="I744" t="s">
        <v>23</v>
      </c>
      <c r="J744" t="s">
        <v>213</v>
      </c>
      <c r="K744" s="5">
        <f>2706 / 86400</f>
        <v>3.1319444444444441E-2</v>
      </c>
      <c r="L744" s="5">
        <f>14 / 86400</f>
        <v>1.6203703703703703E-4</v>
      </c>
    </row>
    <row r="745" spans="1:12" x14ac:dyDescent="0.25">
      <c r="A745" s="3">
        <v>45695.676481481481</v>
      </c>
      <c r="B745" t="s">
        <v>166</v>
      </c>
      <c r="C745" s="3">
        <v>45695.677141203705</v>
      </c>
      <c r="D745" t="s">
        <v>166</v>
      </c>
      <c r="E745" s="4">
        <v>0.16400000000000001</v>
      </c>
      <c r="F745" s="4">
        <v>514308.03200000001</v>
      </c>
      <c r="G745" s="4">
        <v>514308.196</v>
      </c>
      <c r="H745" s="5">
        <f>23 / 86400</f>
        <v>2.6620370370370372E-4</v>
      </c>
      <c r="I745" t="s">
        <v>144</v>
      </c>
      <c r="J745" t="s">
        <v>45</v>
      </c>
      <c r="K745" s="5">
        <f>57 / 86400</f>
        <v>6.5972222222222224E-4</v>
      </c>
      <c r="L745" s="5">
        <f>6 / 86400</f>
        <v>6.9444444444444444E-5</v>
      </c>
    </row>
    <row r="746" spans="1:12" x14ac:dyDescent="0.25">
      <c r="A746" s="3">
        <v>45695.677210648151</v>
      </c>
      <c r="B746" t="s">
        <v>166</v>
      </c>
      <c r="C746" s="3">
        <v>45695.679085648153</v>
      </c>
      <c r="D746" t="s">
        <v>133</v>
      </c>
      <c r="E746" s="4">
        <v>0.64900000000000002</v>
      </c>
      <c r="F746" s="4">
        <v>514308.22</v>
      </c>
      <c r="G746" s="4">
        <v>514308.86900000001</v>
      </c>
      <c r="H746" s="5">
        <f>60 / 86400</f>
        <v>6.9444444444444447E-4</v>
      </c>
      <c r="I746" t="s">
        <v>300</v>
      </c>
      <c r="J746" t="s">
        <v>34</v>
      </c>
      <c r="K746" s="5">
        <f>162 / 86400</f>
        <v>1.8749999999999999E-3</v>
      </c>
      <c r="L746" s="5">
        <f>3 / 86400</f>
        <v>3.4722222222222222E-5</v>
      </c>
    </row>
    <row r="747" spans="1:12" x14ac:dyDescent="0.25">
      <c r="A747" s="3">
        <v>45695.679120370369</v>
      </c>
      <c r="B747" t="s">
        <v>133</v>
      </c>
      <c r="C747" s="3">
        <v>45695.691342592589</v>
      </c>
      <c r="D747" t="s">
        <v>116</v>
      </c>
      <c r="E747" s="4">
        <v>5.2629999999999999</v>
      </c>
      <c r="F747" s="4">
        <v>514308.88699999999</v>
      </c>
      <c r="G747" s="4">
        <v>514314.15</v>
      </c>
      <c r="H747" s="5">
        <f>240 / 86400</f>
        <v>2.7777777777777779E-3</v>
      </c>
      <c r="I747" t="s">
        <v>169</v>
      </c>
      <c r="J747" t="s">
        <v>69</v>
      </c>
      <c r="K747" s="5">
        <f>1056 / 86400</f>
        <v>1.2222222222222223E-2</v>
      </c>
      <c r="L747" s="5">
        <f>3 / 86400</f>
        <v>3.4722222222222222E-5</v>
      </c>
    </row>
    <row r="748" spans="1:12" x14ac:dyDescent="0.25">
      <c r="A748" s="3">
        <v>45695.691377314812</v>
      </c>
      <c r="B748" t="s">
        <v>355</v>
      </c>
      <c r="C748" s="3">
        <v>45695.692256944443</v>
      </c>
      <c r="D748" t="s">
        <v>228</v>
      </c>
      <c r="E748" s="4">
        <v>0.627</v>
      </c>
      <c r="F748" s="4">
        <v>514314.16</v>
      </c>
      <c r="G748" s="4">
        <v>514314.78700000001</v>
      </c>
      <c r="H748" s="5">
        <f>0 / 86400</f>
        <v>0</v>
      </c>
      <c r="I748" t="s">
        <v>201</v>
      </c>
      <c r="J748" t="s">
        <v>246</v>
      </c>
      <c r="K748" s="5">
        <f>76 / 86400</f>
        <v>8.7962962962962962E-4</v>
      </c>
      <c r="L748" s="5">
        <f>3 / 86400</f>
        <v>3.4722222222222222E-5</v>
      </c>
    </row>
    <row r="749" spans="1:12" x14ac:dyDescent="0.25">
      <c r="A749" s="3">
        <v>45695.692291666666</v>
      </c>
      <c r="B749" t="s">
        <v>356</v>
      </c>
      <c r="C749" s="3">
        <v>45695.911724537036</v>
      </c>
      <c r="D749" t="s">
        <v>128</v>
      </c>
      <c r="E749" s="4">
        <v>64.221000000000004</v>
      </c>
      <c r="F749" s="4">
        <v>514314.799</v>
      </c>
      <c r="G749" s="4">
        <v>514379.02</v>
      </c>
      <c r="H749" s="5">
        <f>8641 / 86400</f>
        <v>0.10001157407407407</v>
      </c>
      <c r="I749" t="s">
        <v>159</v>
      </c>
      <c r="J749" t="s">
        <v>57</v>
      </c>
      <c r="K749" s="5">
        <f>18959 / 86400</f>
        <v>0.21943287037037038</v>
      </c>
      <c r="L749" s="5">
        <f>1210 / 86400</f>
        <v>1.4004629629629629E-2</v>
      </c>
    </row>
    <row r="750" spans="1:12" x14ac:dyDescent="0.25">
      <c r="A750" s="3">
        <v>45695.925729166665</v>
      </c>
      <c r="B750" t="s">
        <v>128</v>
      </c>
      <c r="C750" s="3">
        <v>45695.929988425924</v>
      </c>
      <c r="D750" t="s">
        <v>48</v>
      </c>
      <c r="E750" s="4">
        <v>1.847</v>
      </c>
      <c r="F750" s="4">
        <v>514379.02</v>
      </c>
      <c r="G750" s="4">
        <v>514380.86700000003</v>
      </c>
      <c r="H750" s="5">
        <f>180 / 86400</f>
        <v>2.0833333333333333E-3</v>
      </c>
      <c r="I750" t="s">
        <v>144</v>
      </c>
      <c r="J750" t="s">
        <v>69</v>
      </c>
      <c r="K750" s="5">
        <f>368 / 86400</f>
        <v>4.2592592592592595E-3</v>
      </c>
      <c r="L750" s="5">
        <f>6048 / 86400</f>
        <v>7.0000000000000007E-2</v>
      </c>
    </row>
    <row r="751" spans="1:12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 spans="1:12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 spans="1:12" s="10" customFormat="1" ht="20.100000000000001" customHeight="1" x14ac:dyDescent="0.35">
      <c r="A753" s="12" t="s">
        <v>419</v>
      </c>
      <c r="B753" s="12"/>
      <c r="C753" s="12"/>
      <c r="D753" s="12"/>
      <c r="E753" s="12"/>
      <c r="F753" s="12"/>
      <c r="G753" s="12"/>
      <c r="H753" s="12"/>
      <c r="I753" s="12"/>
      <c r="J753" s="12"/>
    </row>
    <row r="754" spans="1:12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 spans="1:12" ht="30" x14ac:dyDescent="0.25">
      <c r="A755" s="2" t="s">
        <v>6</v>
      </c>
      <c r="B755" s="2" t="s">
        <v>7</v>
      </c>
      <c r="C755" s="2" t="s">
        <v>8</v>
      </c>
      <c r="D755" s="2" t="s">
        <v>9</v>
      </c>
      <c r="E755" s="2" t="s">
        <v>10</v>
      </c>
      <c r="F755" s="2" t="s">
        <v>11</v>
      </c>
      <c r="G755" s="2" t="s">
        <v>12</v>
      </c>
      <c r="H755" s="2" t="s">
        <v>13</v>
      </c>
      <c r="I755" s="2" t="s">
        <v>14</v>
      </c>
      <c r="J755" s="2" t="s">
        <v>15</v>
      </c>
      <c r="K755" s="2" t="s">
        <v>16</v>
      </c>
      <c r="L755" s="2" t="s">
        <v>17</v>
      </c>
    </row>
    <row r="756" spans="1:12" x14ac:dyDescent="0.25">
      <c r="A756" s="3">
        <v>45695.239328703705</v>
      </c>
      <c r="B756" t="s">
        <v>81</v>
      </c>
      <c r="C756" s="3">
        <v>45695.99998842593</v>
      </c>
      <c r="D756" t="s">
        <v>81</v>
      </c>
      <c r="E756" s="4">
        <v>65.114000000000004</v>
      </c>
      <c r="F756" s="4">
        <v>504388.33100000001</v>
      </c>
      <c r="G756" s="4">
        <v>504453.44500000001</v>
      </c>
      <c r="H756" s="5">
        <f>53657 / 86400</f>
        <v>0.62103009259259256</v>
      </c>
      <c r="I756" t="s">
        <v>61</v>
      </c>
      <c r="J756" t="s">
        <v>82</v>
      </c>
      <c r="K756" s="5">
        <f>65721 / 86400</f>
        <v>0.76065972222222222</v>
      </c>
      <c r="L756" s="5">
        <f>20678 / 86400</f>
        <v>0.23932870370370371</v>
      </c>
    </row>
    <row r="757" spans="1:12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 spans="1:12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 spans="1:12" s="10" customFormat="1" ht="20.100000000000001" customHeight="1" x14ac:dyDescent="0.35">
      <c r="A759" s="12" t="s">
        <v>420</v>
      </c>
      <c r="B759" s="12"/>
      <c r="C759" s="12"/>
      <c r="D759" s="12"/>
      <c r="E759" s="12"/>
      <c r="F759" s="12"/>
      <c r="G759" s="12"/>
      <c r="H759" s="12"/>
      <c r="I759" s="12"/>
      <c r="J759" s="12"/>
    </row>
    <row r="760" spans="1:12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 spans="1:12" ht="30" x14ac:dyDescent="0.25">
      <c r="A761" s="2" t="s">
        <v>6</v>
      </c>
      <c r="B761" s="2" t="s">
        <v>7</v>
      </c>
      <c r="C761" s="2" t="s">
        <v>8</v>
      </c>
      <c r="D761" s="2" t="s">
        <v>9</v>
      </c>
      <c r="E761" s="2" t="s">
        <v>10</v>
      </c>
      <c r="F761" s="2" t="s">
        <v>11</v>
      </c>
      <c r="G761" s="2" t="s">
        <v>12</v>
      </c>
      <c r="H761" s="2" t="s">
        <v>13</v>
      </c>
      <c r="I761" s="2" t="s">
        <v>14</v>
      </c>
      <c r="J761" s="2" t="s">
        <v>15</v>
      </c>
      <c r="K761" s="2" t="s">
        <v>16</v>
      </c>
      <c r="L761" s="2" t="s">
        <v>17</v>
      </c>
    </row>
    <row r="762" spans="1:12" x14ac:dyDescent="0.25">
      <c r="A762" s="3">
        <v>45695.277615740742</v>
      </c>
      <c r="B762" t="s">
        <v>83</v>
      </c>
      <c r="C762" s="3">
        <v>45695.278842592597</v>
      </c>
      <c r="D762" t="s">
        <v>83</v>
      </c>
      <c r="E762" s="4">
        <v>0.03</v>
      </c>
      <c r="F762" s="4">
        <v>351202.58600000001</v>
      </c>
      <c r="G762" s="4">
        <v>351202.61599999998</v>
      </c>
      <c r="H762" s="5">
        <f>59 / 86400</f>
        <v>6.8287037037037036E-4</v>
      </c>
      <c r="I762" t="s">
        <v>126</v>
      </c>
      <c r="J762" t="s">
        <v>127</v>
      </c>
      <c r="K762" s="5">
        <f>106 / 86400</f>
        <v>1.2268518518518518E-3</v>
      </c>
      <c r="L762" s="5">
        <f>24032 / 86400</f>
        <v>0.27814814814814814</v>
      </c>
    </row>
    <row r="763" spans="1:12" x14ac:dyDescent="0.25">
      <c r="A763" s="3">
        <v>45695.279374999998</v>
      </c>
      <c r="B763" t="s">
        <v>83</v>
      </c>
      <c r="C763" s="3">
        <v>45695.291018518517</v>
      </c>
      <c r="D763" t="s">
        <v>333</v>
      </c>
      <c r="E763" s="4">
        <v>5.2850000000000001</v>
      </c>
      <c r="F763" s="4">
        <v>351202.61599999998</v>
      </c>
      <c r="G763" s="4">
        <v>351207.90100000001</v>
      </c>
      <c r="H763" s="5">
        <f>120 / 86400</f>
        <v>1.3888888888888889E-3</v>
      </c>
      <c r="I763" t="s">
        <v>201</v>
      </c>
      <c r="J763" t="s">
        <v>90</v>
      </c>
      <c r="K763" s="5">
        <f>1005 / 86400</f>
        <v>1.1631944444444445E-2</v>
      </c>
      <c r="L763" s="5">
        <f>132 / 86400</f>
        <v>1.5277777777777779E-3</v>
      </c>
    </row>
    <row r="764" spans="1:12" x14ac:dyDescent="0.25">
      <c r="A764" s="3">
        <v>45695.292546296296</v>
      </c>
      <c r="B764" t="s">
        <v>333</v>
      </c>
      <c r="C764" s="3">
        <v>45695.292627314819</v>
      </c>
      <c r="D764" t="s">
        <v>333</v>
      </c>
      <c r="E764" s="4">
        <v>0</v>
      </c>
      <c r="F764" s="4">
        <v>351207.90100000001</v>
      </c>
      <c r="G764" s="4">
        <v>351207.90100000001</v>
      </c>
      <c r="H764" s="5">
        <f>0 / 86400</f>
        <v>0</v>
      </c>
      <c r="I764" t="s">
        <v>129</v>
      </c>
      <c r="J764" t="s">
        <v>129</v>
      </c>
      <c r="K764" s="5">
        <f>7 / 86400</f>
        <v>8.1018518518518516E-5</v>
      </c>
      <c r="L764" s="5">
        <f>447 / 86400</f>
        <v>5.1736111111111115E-3</v>
      </c>
    </row>
    <row r="765" spans="1:12" x14ac:dyDescent="0.25">
      <c r="A765" s="3">
        <v>45695.297800925924</v>
      </c>
      <c r="B765" t="s">
        <v>333</v>
      </c>
      <c r="C765" s="3">
        <v>45695.298703703702</v>
      </c>
      <c r="D765" t="s">
        <v>333</v>
      </c>
      <c r="E765" s="4">
        <v>0</v>
      </c>
      <c r="F765" s="4">
        <v>351207.90100000001</v>
      </c>
      <c r="G765" s="4">
        <v>351207.90100000001</v>
      </c>
      <c r="H765" s="5">
        <f>59 / 86400</f>
        <v>6.8287037037037036E-4</v>
      </c>
      <c r="I765" t="s">
        <v>129</v>
      </c>
      <c r="J765" t="s">
        <v>129</v>
      </c>
      <c r="K765" s="5">
        <f>77 / 86400</f>
        <v>8.9120370370370373E-4</v>
      </c>
      <c r="L765" s="5">
        <f>613 / 86400</f>
        <v>7.0949074074074074E-3</v>
      </c>
    </row>
    <row r="766" spans="1:12" x14ac:dyDescent="0.25">
      <c r="A766" s="3">
        <v>45695.305798611109</v>
      </c>
      <c r="B766" t="s">
        <v>333</v>
      </c>
      <c r="C766" s="3">
        <v>45695.309664351851</v>
      </c>
      <c r="D766" t="s">
        <v>161</v>
      </c>
      <c r="E766" s="4">
        <v>1.046</v>
      </c>
      <c r="F766" s="4">
        <v>351207.90100000001</v>
      </c>
      <c r="G766" s="4">
        <v>351208.94699999999</v>
      </c>
      <c r="H766" s="5">
        <f>0 / 86400</f>
        <v>0</v>
      </c>
      <c r="I766" t="s">
        <v>160</v>
      </c>
      <c r="J766" t="s">
        <v>112</v>
      </c>
      <c r="K766" s="5">
        <f>334 / 86400</f>
        <v>3.8657407407407408E-3</v>
      </c>
      <c r="L766" s="5">
        <f>587 / 86400</f>
        <v>6.7939814814814816E-3</v>
      </c>
    </row>
    <row r="767" spans="1:12" x14ac:dyDescent="0.25">
      <c r="A767" s="3">
        <v>45695.316458333335</v>
      </c>
      <c r="B767" t="s">
        <v>310</v>
      </c>
      <c r="C767" s="3">
        <v>45695.317280092597</v>
      </c>
      <c r="D767" t="s">
        <v>310</v>
      </c>
      <c r="E767" s="4">
        <v>0</v>
      </c>
      <c r="F767" s="4">
        <v>351208.94699999999</v>
      </c>
      <c r="G767" s="4">
        <v>351208.94699999999</v>
      </c>
      <c r="H767" s="5">
        <f>59 / 86400</f>
        <v>6.8287037037037036E-4</v>
      </c>
      <c r="I767" t="s">
        <v>129</v>
      </c>
      <c r="J767" t="s">
        <v>129</v>
      </c>
      <c r="K767" s="5">
        <f>71 / 86400</f>
        <v>8.2175925925925927E-4</v>
      </c>
      <c r="L767" s="5">
        <f>570 / 86400</f>
        <v>6.5972222222222222E-3</v>
      </c>
    </row>
    <row r="768" spans="1:12" x14ac:dyDescent="0.25">
      <c r="A768" s="3">
        <v>45695.323877314819</v>
      </c>
      <c r="B768" t="s">
        <v>161</v>
      </c>
      <c r="C768" s="3">
        <v>45695.510358796295</v>
      </c>
      <c r="D768" t="s">
        <v>357</v>
      </c>
      <c r="E768" s="4">
        <v>52.42</v>
      </c>
      <c r="F768" s="4">
        <v>351208.94699999999</v>
      </c>
      <c r="G768" s="4">
        <v>351261.36700000003</v>
      </c>
      <c r="H768" s="5">
        <f>7079 / 86400</f>
        <v>8.1932870370370364E-2</v>
      </c>
      <c r="I768" t="s">
        <v>33</v>
      </c>
      <c r="J768" t="s">
        <v>57</v>
      </c>
      <c r="K768" s="5">
        <f>16112 / 86400</f>
        <v>0.18648148148148147</v>
      </c>
      <c r="L768" s="5">
        <f>54 / 86400</f>
        <v>6.2500000000000001E-4</v>
      </c>
    </row>
    <row r="769" spans="1:12" x14ac:dyDescent="0.25">
      <c r="A769" s="3">
        <v>45695.510983796295</v>
      </c>
      <c r="B769" t="s">
        <v>357</v>
      </c>
      <c r="C769" s="3">
        <v>45695.523287037038</v>
      </c>
      <c r="D769" t="s">
        <v>358</v>
      </c>
      <c r="E769" s="4">
        <v>5.173</v>
      </c>
      <c r="F769" s="4">
        <v>351261.36700000003</v>
      </c>
      <c r="G769" s="4">
        <v>351266.54</v>
      </c>
      <c r="H769" s="5">
        <f>120 / 86400</f>
        <v>1.3888888888888889E-3</v>
      </c>
      <c r="I769" t="s">
        <v>134</v>
      </c>
      <c r="J769" t="s">
        <v>69</v>
      </c>
      <c r="K769" s="5">
        <f>1063 / 86400</f>
        <v>1.2303240740740741E-2</v>
      </c>
      <c r="L769" s="5">
        <f>60 / 86400</f>
        <v>6.9444444444444447E-4</v>
      </c>
    </row>
    <row r="770" spans="1:12" x14ac:dyDescent="0.25">
      <c r="A770" s="3">
        <v>45695.523981481485</v>
      </c>
      <c r="B770" t="s">
        <v>358</v>
      </c>
      <c r="C770" s="3">
        <v>45695.685011574074</v>
      </c>
      <c r="D770" t="s">
        <v>128</v>
      </c>
      <c r="E770" s="4">
        <v>56.542000000000002</v>
      </c>
      <c r="F770" s="4">
        <v>351266.54</v>
      </c>
      <c r="G770" s="4">
        <v>351323.08199999999</v>
      </c>
      <c r="H770" s="5">
        <f>4718 / 86400</f>
        <v>5.4606481481481478E-2</v>
      </c>
      <c r="I770" t="s">
        <v>324</v>
      </c>
      <c r="J770" t="s">
        <v>24</v>
      </c>
      <c r="K770" s="5">
        <f>13913 / 86400</f>
        <v>0.1610300925925926</v>
      </c>
      <c r="L770" s="5">
        <f>1450 / 86400</f>
        <v>1.6782407407407409E-2</v>
      </c>
    </row>
    <row r="771" spans="1:12" x14ac:dyDescent="0.25">
      <c r="A771" s="3">
        <v>45695.701793981483</v>
      </c>
      <c r="B771" t="s">
        <v>128</v>
      </c>
      <c r="C771" s="3">
        <v>45695.705324074079</v>
      </c>
      <c r="D771" t="s">
        <v>128</v>
      </c>
      <c r="E771" s="4">
        <v>7.8E-2</v>
      </c>
      <c r="F771" s="4">
        <v>351323.08199999999</v>
      </c>
      <c r="G771" s="4">
        <v>351323.16</v>
      </c>
      <c r="H771" s="5">
        <f>240 / 86400</f>
        <v>2.7777777777777779E-3</v>
      </c>
      <c r="I771" t="s">
        <v>132</v>
      </c>
      <c r="J771" t="s">
        <v>127</v>
      </c>
      <c r="K771" s="5">
        <f>305 / 86400</f>
        <v>3.5300925925925925E-3</v>
      </c>
      <c r="L771" s="5">
        <f>3399 / 86400</f>
        <v>3.934027777777778E-2</v>
      </c>
    </row>
    <row r="772" spans="1:12" x14ac:dyDescent="0.25">
      <c r="A772" s="3">
        <v>45695.744664351849</v>
      </c>
      <c r="B772" t="s">
        <v>128</v>
      </c>
      <c r="C772" s="3">
        <v>45695.751574074078</v>
      </c>
      <c r="D772" t="s">
        <v>128</v>
      </c>
      <c r="E772" s="4">
        <v>0.156</v>
      </c>
      <c r="F772" s="4">
        <v>351323.16</v>
      </c>
      <c r="G772" s="4">
        <v>351323.31599999999</v>
      </c>
      <c r="H772" s="5">
        <f>380 / 86400</f>
        <v>4.3981481481481484E-3</v>
      </c>
      <c r="I772" t="s">
        <v>132</v>
      </c>
      <c r="J772" t="s">
        <v>127</v>
      </c>
      <c r="K772" s="5">
        <f>597 / 86400</f>
        <v>6.9097222222222225E-3</v>
      </c>
      <c r="L772" s="5">
        <f>3140 / 86400</f>
        <v>3.6342592592592593E-2</v>
      </c>
    </row>
    <row r="773" spans="1:12" x14ac:dyDescent="0.25">
      <c r="A773" s="3">
        <v>45695.787916666668</v>
      </c>
      <c r="B773" t="s">
        <v>128</v>
      </c>
      <c r="C773" s="3">
        <v>45695.805138888885</v>
      </c>
      <c r="D773" t="s">
        <v>359</v>
      </c>
      <c r="E773" s="4">
        <v>3.694</v>
      </c>
      <c r="F773" s="4">
        <v>351323.31599999999</v>
      </c>
      <c r="G773" s="4">
        <v>351327.01</v>
      </c>
      <c r="H773" s="5">
        <f>819 / 86400</f>
        <v>9.479166666666667E-3</v>
      </c>
      <c r="I773" t="s">
        <v>201</v>
      </c>
      <c r="J773" t="s">
        <v>71</v>
      </c>
      <c r="K773" s="5">
        <f>1487 / 86400</f>
        <v>1.7210648148148149E-2</v>
      </c>
      <c r="L773" s="5">
        <f>23 / 86400</f>
        <v>2.6620370370370372E-4</v>
      </c>
    </row>
    <row r="774" spans="1:12" x14ac:dyDescent="0.25">
      <c r="A774" s="3">
        <v>45695.805405092593</v>
      </c>
      <c r="B774" t="s">
        <v>359</v>
      </c>
      <c r="C774" s="3">
        <v>45695.813750000001</v>
      </c>
      <c r="D774" t="s">
        <v>341</v>
      </c>
      <c r="E774" s="4">
        <v>0.22700000000000001</v>
      </c>
      <c r="F774" s="4">
        <v>351327.01</v>
      </c>
      <c r="G774" s="4">
        <v>351327.23700000002</v>
      </c>
      <c r="H774" s="5">
        <f>580 / 86400</f>
        <v>6.7129629629629631E-3</v>
      </c>
      <c r="I774" t="s">
        <v>34</v>
      </c>
      <c r="J774" t="s">
        <v>127</v>
      </c>
      <c r="K774" s="5">
        <f>721 / 86400</f>
        <v>8.3449074074074068E-3</v>
      </c>
      <c r="L774" s="5">
        <f>18 / 86400</f>
        <v>2.0833333333333335E-4</v>
      </c>
    </row>
    <row r="775" spans="1:12" x14ac:dyDescent="0.25">
      <c r="A775" s="3">
        <v>45695.813958333332</v>
      </c>
      <c r="B775" t="s">
        <v>341</v>
      </c>
      <c r="C775" s="3">
        <v>45695.834282407406</v>
      </c>
      <c r="D775" t="s">
        <v>83</v>
      </c>
      <c r="E775" s="4">
        <v>1.38</v>
      </c>
      <c r="F775" s="4">
        <v>351327.23700000002</v>
      </c>
      <c r="G775" s="4">
        <v>351328.61700000003</v>
      </c>
      <c r="H775" s="5">
        <f>1280 / 86400</f>
        <v>1.4814814814814815E-2</v>
      </c>
      <c r="I775" t="s">
        <v>187</v>
      </c>
      <c r="J775" t="s">
        <v>140</v>
      </c>
      <c r="K775" s="5">
        <f>1756 / 86400</f>
        <v>2.0324074074074074E-2</v>
      </c>
      <c r="L775" s="5">
        <f>32 / 86400</f>
        <v>3.7037037037037035E-4</v>
      </c>
    </row>
    <row r="776" spans="1:12" x14ac:dyDescent="0.25">
      <c r="A776" s="3">
        <v>45695.834652777776</v>
      </c>
      <c r="B776" t="s">
        <v>83</v>
      </c>
      <c r="C776" s="3">
        <v>45695.83488425926</v>
      </c>
      <c r="D776" t="s">
        <v>83</v>
      </c>
      <c r="E776" s="4">
        <v>0</v>
      </c>
      <c r="F776" s="4">
        <v>351328.61700000003</v>
      </c>
      <c r="G776" s="4">
        <v>351328.61700000003</v>
      </c>
      <c r="H776" s="5">
        <f>0 / 86400</f>
        <v>0</v>
      </c>
      <c r="I776" t="s">
        <v>129</v>
      </c>
      <c r="J776" t="s">
        <v>129</v>
      </c>
      <c r="K776" s="5">
        <f>19 / 86400</f>
        <v>2.199074074074074E-4</v>
      </c>
      <c r="L776" s="5">
        <f>14265 / 86400</f>
        <v>0.16510416666666666</v>
      </c>
    </row>
    <row r="777" spans="1:12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 spans="1:12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 spans="1:12" s="10" customFormat="1" ht="20.100000000000001" customHeight="1" x14ac:dyDescent="0.35">
      <c r="A779" s="12" t="s">
        <v>421</v>
      </c>
      <c r="B779" s="12"/>
      <c r="C779" s="12"/>
      <c r="D779" s="12"/>
      <c r="E779" s="12"/>
      <c r="F779" s="12"/>
      <c r="G779" s="12"/>
      <c r="H779" s="12"/>
      <c r="I779" s="12"/>
      <c r="J779" s="12"/>
    </row>
    <row r="780" spans="1:12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 spans="1:12" ht="30" x14ac:dyDescent="0.25">
      <c r="A781" s="2" t="s">
        <v>6</v>
      </c>
      <c r="B781" s="2" t="s">
        <v>7</v>
      </c>
      <c r="C781" s="2" t="s">
        <v>8</v>
      </c>
      <c r="D781" s="2" t="s">
        <v>9</v>
      </c>
      <c r="E781" s="2" t="s">
        <v>10</v>
      </c>
      <c r="F781" s="2" t="s">
        <v>11</v>
      </c>
      <c r="G781" s="2" t="s">
        <v>12</v>
      </c>
      <c r="H781" s="2" t="s">
        <v>13</v>
      </c>
      <c r="I781" s="2" t="s">
        <v>14</v>
      </c>
      <c r="J781" s="2" t="s">
        <v>15</v>
      </c>
      <c r="K781" s="2" t="s">
        <v>16</v>
      </c>
      <c r="L781" s="2" t="s">
        <v>17</v>
      </c>
    </row>
    <row r="782" spans="1:12" x14ac:dyDescent="0.25">
      <c r="A782" s="3">
        <v>45695.223622685182</v>
      </c>
      <c r="B782" t="s">
        <v>84</v>
      </c>
      <c r="C782" s="3">
        <v>45695.223761574074</v>
      </c>
      <c r="D782" t="s">
        <v>84</v>
      </c>
      <c r="E782" s="4">
        <v>0</v>
      </c>
      <c r="F782" s="4">
        <v>410110.85200000001</v>
      </c>
      <c r="G782" s="4">
        <v>410110.85200000001</v>
      </c>
      <c r="H782" s="5">
        <f>0 / 86400</f>
        <v>0</v>
      </c>
      <c r="I782" t="s">
        <v>129</v>
      </c>
      <c r="J782" t="s">
        <v>129</v>
      </c>
      <c r="K782" s="5">
        <f>12 / 86400</f>
        <v>1.3888888888888889E-4</v>
      </c>
      <c r="L782" s="5">
        <f>19361 / 86400</f>
        <v>0.22408564814814816</v>
      </c>
    </row>
    <row r="783" spans="1:12" x14ac:dyDescent="0.25">
      <c r="A783" s="3">
        <v>45695.224224537036</v>
      </c>
      <c r="B783" t="s">
        <v>84</v>
      </c>
      <c r="C783" s="3">
        <v>45695.50304398148</v>
      </c>
      <c r="D783" t="s">
        <v>128</v>
      </c>
      <c r="E783" s="4">
        <v>86.981999999999999</v>
      </c>
      <c r="F783" s="4">
        <v>410110.85200000001</v>
      </c>
      <c r="G783" s="4">
        <v>410197.83399999997</v>
      </c>
      <c r="H783" s="5">
        <f>10361 / 86400</f>
        <v>0.11991898148148149</v>
      </c>
      <c r="I783" t="s">
        <v>111</v>
      </c>
      <c r="J783" t="s">
        <v>53</v>
      </c>
      <c r="K783" s="5">
        <f>24089 / 86400</f>
        <v>0.27880787037037036</v>
      </c>
      <c r="L783" s="5">
        <f>1638 / 86400</f>
        <v>1.8958333333333334E-2</v>
      </c>
    </row>
    <row r="784" spans="1:12" x14ac:dyDescent="0.25">
      <c r="A784" s="3">
        <v>45695.522002314814</v>
      </c>
      <c r="B784" t="s">
        <v>128</v>
      </c>
      <c r="C784" s="3">
        <v>45695.523576388892</v>
      </c>
      <c r="D784" t="s">
        <v>316</v>
      </c>
      <c r="E784" s="4">
        <v>0.64700000000000002</v>
      </c>
      <c r="F784" s="4">
        <v>410197.83399999997</v>
      </c>
      <c r="G784" s="4">
        <v>410198.48100000003</v>
      </c>
      <c r="H784" s="5">
        <f>20 / 86400</f>
        <v>2.3148148148148149E-4</v>
      </c>
      <c r="I784" t="s">
        <v>209</v>
      </c>
      <c r="J784" t="s">
        <v>28</v>
      </c>
      <c r="K784" s="5">
        <f>136 / 86400</f>
        <v>1.5740740740740741E-3</v>
      </c>
      <c r="L784" s="5">
        <f>2269 / 86400</f>
        <v>2.6261574074074073E-2</v>
      </c>
    </row>
    <row r="785" spans="1:12" x14ac:dyDescent="0.25">
      <c r="A785" s="3">
        <v>45695.549837962964</v>
      </c>
      <c r="B785" t="s">
        <v>316</v>
      </c>
      <c r="C785" s="3">
        <v>45695.553645833337</v>
      </c>
      <c r="D785" t="s">
        <v>310</v>
      </c>
      <c r="E785" s="4">
        <v>0.72499999999999998</v>
      </c>
      <c r="F785" s="4">
        <v>410198.48100000003</v>
      </c>
      <c r="G785" s="4">
        <v>410199.20600000001</v>
      </c>
      <c r="H785" s="5">
        <f>100 / 86400</f>
        <v>1.1574074074074073E-3</v>
      </c>
      <c r="I785" t="s">
        <v>195</v>
      </c>
      <c r="J785" t="s">
        <v>141</v>
      </c>
      <c r="K785" s="5">
        <f>329 / 86400</f>
        <v>3.8078703703703703E-3</v>
      </c>
      <c r="L785" s="5">
        <f>3939 / 86400</f>
        <v>4.5590277777777778E-2</v>
      </c>
    </row>
    <row r="786" spans="1:12" x14ac:dyDescent="0.25">
      <c r="A786" s="3">
        <v>45695.599236111113</v>
      </c>
      <c r="B786" t="s">
        <v>310</v>
      </c>
      <c r="C786" s="3">
        <v>45695.599479166667</v>
      </c>
      <c r="D786" t="s">
        <v>310</v>
      </c>
      <c r="E786" s="4">
        <v>1.0999999999999999E-2</v>
      </c>
      <c r="F786" s="4">
        <v>410199.20600000001</v>
      </c>
      <c r="G786" s="4">
        <v>410199.217</v>
      </c>
      <c r="H786" s="5">
        <f>19 / 86400</f>
        <v>2.199074074074074E-4</v>
      </c>
      <c r="I786" t="s">
        <v>129</v>
      </c>
      <c r="J786" t="s">
        <v>87</v>
      </c>
      <c r="K786" s="5">
        <f>21 / 86400</f>
        <v>2.4305555555555555E-4</v>
      </c>
      <c r="L786" s="5">
        <f>1575 / 86400</f>
        <v>1.8229166666666668E-2</v>
      </c>
    </row>
    <row r="787" spans="1:12" x14ac:dyDescent="0.25">
      <c r="A787" s="3">
        <v>45695.617708333331</v>
      </c>
      <c r="B787" t="s">
        <v>310</v>
      </c>
      <c r="C787" s="3">
        <v>45695.658391203702</v>
      </c>
      <c r="D787" t="s">
        <v>84</v>
      </c>
      <c r="E787" s="4">
        <v>25.526</v>
      </c>
      <c r="F787" s="4">
        <v>410199.217</v>
      </c>
      <c r="G787" s="4">
        <v>410224.74300000002</v>
      </c>
      <c r="H787" s="5">
        <f>539 / 86400</f>
        <v>6.2384259259259259E-3</v>
      </c>
      <c r="I787" t="s">
        <v>85</v>
      </c>
      <c r="J787" t="s">
        <v>160</v>
      </c>
      <c r="K787" s="5">
        <f>3514 / 86400</f>
        <v>4.0671296296296296E-2</v>
      </c>
      <c r="L787" s="5">
        <f>29514 / 86400</f>
        <v>0.34159722222222222</v>
      </c>
    </row>
    <row r="788" spans="1:12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 spans="1:12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 spans="1:12" s="10" customFormat="1" ht="20.100000000000001" customHeight="1" x14ac:dyDescent="0.35">
      <c r="A790" s="12" t="s">
        <v>422</v>
      </c>
      <c r="B790" s="12"/>
      <c r="C790" s="12"/>
      <c r="D790" s="12"/>
      <c r="E790" s="12"/>
      <c r="F790" s="12"/>
      <c r="G790" s="12"/>
      <c r="H790" s="12"/>
      <c r="I790" s="12"/>
      <c r="J790" s="12"/>
    </row>
    <row r="791" spans="1:12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 spans="1:12" ht="30" x14ac:dyDescent="0.25">
      <c r="A792" s="2" t="s">
        <v>6</v>
      </c>
      <c r="B792" s="2" t="s">
        <v>7</v>
      </c>
      <c r="C792" s="2" t="s">
        <v>8</v>
      </c>
      <c r="D792" s="2" t="s">
        <v>9</v>
      </c>
      <c r="E792" s="2" t="s">
        <v>10</v>
      </c>
      <c r="F792" s="2" t="s">
        <v>11</v>
      </c>
      <c r="G792" s="2" t="s">
        <v>12</v>
      </c>
      <c r="H792" s="2" t="s">
        <v>13</v>
      </c>
      <c r="I792" s="2" t="s">
        <v>14</v>
      </c>
      <c r="J792" s="2" t="s">
        <v>15</v>
      </c>
      <c r="K792" s="2" t="s">
        <v>16</v>
      </c>
      <c r="L792" s="2" t="s">
        <v>17</v>
      </c>
    </row>
    <row r="793" spans="1:12" x14ac:dyDescent="0.25">
      <c r="A793" s="3">
        <v>45695.150972222225</v>
      </c>
      <c r="B793" t="s">
        <v>29</v>
      </c>
      <c r="C793" s="3">
        <v>45695.157210648147</v>
      </c>
      <c r="D793" t="s">
        <v>29</v>
      </c>
      <c r="E793" s="4">
        <v>1.0860000000000001</v>
      </c>
      <c r="F793" s="4">
        <v>440775.12199999997</v>
      </c>
      <c r="G793" s="4">
        <v>440776.20799999998</v>
      </c>
      <c r="H793" s="5">
        <f>179 / 86400</f>
        <v>2.0717592592592593E-3</v>
      </c>
      <c r="I793" t="s">
        <v>69</v>
      </c>
      <c r="J793" t="s">
        <v>91</v>
      </c>
      <c r="K793" s="5">
        <f>539 / 86400</f>
        <v>6.2384259259259259E-3</v>
      </c>
      <c r="L793" s="5">
        <f>13046 / 86400</f>
        <v>0.15099537037037036</v>
      </c>
    </row>
    <row r="794" spans="1:12" x14ac:dyDescent="0.25">
      <c r="A794" s="3">
        <v>45695.157233796301</v>
      </c>
      <c r="B794" t="s">
        <v>29</v>
      </c>
      <c r="C794" s="3">
        <v>45695.219780092593</v>
      </c>
      <c r="D794" t="s">
        <v>29</v>
      </c>
      <c r="E794" s="4">
        <v>0</v>
      </c>
      <c r="F794" s="4">
        <v>440776.20799999998</v>
      </c>
      <c r="G794" s="4">
        <v>440776.20799999998</v>
      </c>
      <c r="H794" s="5">
        <f>5385 / 86400</f>
        <v>6.232638888888889E-2</v>
      </c>
      <c r="I794" t="s">
        <v>129</v>
      </c>
      <c r="J794" t="s">
        <v>129</v>
      </c>
      <c r="K794" s="5">
        <f>5404 / 86400</f>
        <v>6.2546296296296294E-2</v>
      </c>
      <c r="L794" s="5">
        <f>658 / 86400</f>
        <v>7.6157407407407406E-3</v>
      </c>
    </row>
    <row r="795" spans="1:12" x14ac:dyDescent="0.25">
      <c r="A795" s="3">
        <v>45695.227395833332</v>
      </c>
      <c r="B795" t="s">
        <v>29</v>
      </c>
      <c r="C795" s="3">
        <v>45695.320659722223</v>
      </c>
      <c r="D795" t="s">
        <v>29</v>
      </c>
      <c r="E795" s="4">
        <v>0</v>
      </c>
      <c r="F795" s="4">
        <v>440776.20799999998</v>
      </c>
      <c r="G795" s="4">
        <v>440776.20799999998</v>
      </c>
      <c r="H795" s="5">
        <f>8039 / 86400</f>
        <v>9.3043981481481478E-2</v>
      </c>
      <c r="I795" t="s">
        <v>129</v>
      </c>
      <c r="J795" t="s">
        <v>129</v>
      </c>
      <c r="K795" s="5">
        <f>8058 / 86400</f>
        <v>9.3263888888888882E-2</v>
      </c>
      <c r="L795" s="5">
        <f>35 / 86400</f>
        <v>4.0509259259259258E-4</v>
      </c>
    </row>
    <row r="796" spans="1:12" x14ac:dyDescent="0.25">
      <c r="A796" s="3">
        <v>45695.321064814816</v>
      </c>
      <c r="B796" t="s">
        <v>29</v>
      </c>
      <c r="C796" s="3">
        <v>45695.329884259263</v>
      </c>
      <c r="D796" t="s">
        <v>25</v>
      </c>
      <c r="E796" s="4">
        <v>3.5089999999999999</v>
      </c>
      <c r="F796" s="4">
        <v>440776.20799999998</v>
      </c>
      <c r="G796" s="4">
        <v>440779.717</v>
      </c>
      <c r="H796" s="5">
        <f>199 / 86400</f>
        <v>2.3032407407407407E-3</v>
      </c>
      <c r="I796" t="s">
        <v>86</v>
      </c>
      <c r="J796" t="s">
        <v>28</v>
      </c>
      <c r="K796" s="5">
        <f>761 / 86400</f>
        <v>8.8078703703703704E-3</v>
      </c>
      <c r="L796" s="5">
        <f>2688 / 86400</f>
        <v>3.111111111111111E-2</v>
      </c>
    </row>
    <row r="797" spans="1:12" x14ac:dyDescent="0.25">
      <c r="A797" s="3">
        <v>45695.360995370371</v>
      </c>
      <c r="B797" t="s">
        <v>25</v>
      </c>
      <c r="C797" s="3">
        <v>45695.36513888889</v>
      </c>
      <c r="D797" t="s">
        <v>29</v>
      </c>
      <c r="E797" s="4">
        <v>1.9E-2</v>
      </c>
      <c r="F797" s="4">
        <v>440779.717</v>
      </c>
      <c r="G797" s="4">
        <v>440779.73599999998</v>
      </c>
      <c r="H797" s="5">
        <f>319 / 86400</f>
        <v>3.6921296296296298E-3</v>
      </c>
      <c r="I797" t="s">
        <v>132</v>
      </c>
      <c r="J797" t="s">
        <v>129</v>
      </c>
      <c r="K797" s="5">
        <f>357 / 86400</f>
        <v>4.1319444444444442E-3</v>
      </c>
      <c r="L797" s="5">
        <f>30 / 86400</f>
        <v>3.4722222222222224E-4</v>
      </c>
    </row>
    <row r="798" spans="1:12" x14ac:dyDescent="0.25">
      <c r="A798" s="3">
        <v>45695.365486111114</v>
      </c>
      <c r="B798" t="s">
        <v>29</v>
      </c>
      <c r="C798" s="3">
        <v>45695.367037037038</v>
      </c>
      <c r="D798" t="s">
        <v>29</v>
      </c>
      <c r="E798" s="4">
        <v>1.2999999999999999E-2</v>
      </c>
      <c r="F798" s="4">
        <v>440779.73599999998</v>
      </c>
      <c r="G798" s="4">
        <v>440779.74900000001</v>
      </c>
      <c r="H798" s="5">
        <f>119 / 86400</f>
        <v>1.3773148148148147E-3</v>
      </c>
      <c r="I798" t="s">
        <v>129</v>
      </c>
      <c r="J798" t="s">
        <v>129</v>
      </c>
      <c r="K798" s="5">
        <f>133 / 86400</f>
        <v>1.5393518518518519E-3</v>
      </c>
      <c r="L798" s="5">
        <f>535 / 86400</f>
        <v>6.1921296296296299E-3</v>
      </c>
    </row>
    <row r="799" spans="1:12" x14ac:dyDescent="0.25">
      <c r="A799" s="3">
        <v>45695.373229166667</v>
      </c>
      <c r="B799" t="s">
        <v>29</v>
      </c>
      <c r="C799" s="3">
        <v>45695.374212962968</v>
      </c>
      <c r="D799" t="s">
        <v>29</v>
      </c>
      <c r="E799" s="4">
        <v>0</v>
      </c>
      <c r="F799" s="4">
        <v>440779.74900000001</v>
      </c>
      <c r="G799" s="4">
        <v>440779.74900000001</v>
      </c>
      <c r="H799" s="5">
        <f>79 / 86400</f>
        <v>9.1435185185185185E-4</v>
      </c>
      <c r="I799" t="s">
        <v>129</v>
      </c>
      <c r="J799" t="s">
        <v>129</v>
      </c>
      <c r="K799" s="5">
        <f>85 / 86400</f>
        <v>9.837962962962962E-4</v>
      </c>
      <c r="L799" s="5">
        <f>34222 / 86400</f>
        <v>0.39608796296296295</v>
      </c>
    </row>
    <row r="800" spans="1:12" x14ac:dyDescent="0.25">
      <c r="A800" s="3">
        <v>45695.770300925928</v>
      </c>
      <c r="B800" t="s">
        <v>29</v>
      </c>
      <c r="C800" s="3">
        <v>45695.785439814819</v>
      </c>
      <c r="D800" t="s">
        <v>29</v>
      </c>
      <c r="E800" s="4">
        <v>3.7440000000000002</v>
      </c>
      <c r="F800" s="4">
        <v>440779.74900000001</v>
      </c>
      <c r="G800" s="4">
        <v>440783.49300000002</v>
      </c>
      <c r="H800" s="5">
        <f>559 / 86400</f>
        <v>6.4699074074074077E-3</v>
      </c>
      <c r="I800" t="s">
        <v>192</v>
      </c>
      <c r="J800" t="s">
        <v>45</v>
      </c>
      <c r="K800" s="5">
        <f>1308 / 86400</f>
        <v>1.5138888888888889E-2</v>
      </c>
      <c r="L800" s="5">
        <f>1098 / 86400</f>
        <v>1.2708333333333334E-2</v>
      </c>
    </row>
    <row r="801" spans="1:12" x14ac:dyDescent="0.25">
      <c r="A801" s="3">
        <v>45695.798148148147</v>
      </c>
      <c r="B801" t="s">
        <v>29</v>
      </c>
      <c r="C801" s="3">
        <v>45695.808101851857</v>
      </c>
      <c r="D801" t="s">
        <v>29</v>
      </c>
      <c r="E801" s="4">
        <v>3.2989999999999999</v>
      </c>
      <c r="F801" s="4">
        <v>440783.49300000002</v>
      </c>
      <c r="G801" s="4">
        <v>440786.79200000002</v>
      </c>
      <c r="H801" s="5">
        <f>100 / 86400</f>
        <v>1.1574074074074073E-3</v>
      </c>
      <c r="I801" t="s">
        <v>213</v>
      </c>
      <c r="J801" t="s">
        <v>34</v>
      </c>
      <c r="K801" s="5">
        <f>859 / 86400</f>
        <v>9.9421296296296289E-3</v>
      </c>
      <c r="L801" s="5">
        <f>16579 / 86400</f>
        <v>0.19188657407407408</v>
      </c>
    </row>
    <row r="802" spans="1:12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 spans="1:12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 spans="1:12" s="10" customFormat="1" ht="20.100000000000001" customHeight="1" x14ac:dyDescent="0.35">
      <c r="A804" s="12" t="s">
        <v>423</v>
      </c>
      <c r="B804" s="12"/>
      <c r="C804" s="12"/>
      <c r="D804" s="12"/>
      <c r="E804" s="12"/>
      <c r="F804" s="12"/>
      <c r="G804" s="12"/>
      <c r="H804" s="12"/>
      <c r="I804" s="12"/>
      <c r="J804" s="12"/>
    </row>
    <row r="805" spans="1:12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 spans="1:12" ht="30" x14ac:dyDescent="0.25">
      <c r="A806" s="2" t="s">
        <v>6</v>
      </c>
      <c r="B806" s="2" t="s">
        <v>7</v>
      </c>
      <c r="C806" s="2" t="s">
        <v>8</v>
      </c>
      <c r="D806" s="2" t="s">
        <v>9</v>
      </c>
      <c r="E806" s="2" t="s">
        <v>10</v>
      </c>
      <c r="F806" s="2" t="s">
        <v>11</v>
      </c>
      <c r="G806" s="2" t="s">
        <v>12</v>
      </c>
      <c r="H806" s="2" t="s">
        <v>13</v>
      </c>
      <c r="I806" s="2" t="s">
        <v>14</v>
      </c>
      <c r="J806" s="2" t="s">
        <v>15</v>
      </c>
      <c r="K806" s="2" t="s">
        <v>16</v>
      </c>
      <c r="L806" s="2" t="s">
        <v>17</v>
      </c>
    </row>
    <row r="807" spans="1:12" x14ac:dyDescent="0.25">
      <c r="A807" s="3">
        <v>45695.288437499999</v>
      </c>
      <c r="B807" t="s">
        <v>83</v>
      </c>
      <c r="C807" s="3">
        <v>45695.470138888893</v>
      </c>
      <c r="D807" t="s">
        <v>265</v>
      </c>
      <c r="E807" s="4">
        <v>45.726999999999997</v>
      </c>
      <c r="F807" s="4">
        <v>473225.04599999997</v>
      </c>
      <c r="G807" s="4">
        <v>473270.77299999999</v>
      </c>
      <c r="H807" s="5">
        <f>8599 / 86400</f>
        <v>9.9525462962962968E-2</v>
      </c>
      <c r="I807" t="s">
        <v>36</v>
      </c>
      <c r="J807" t="s">
        <v>45</v>
      </c>
      <c r="K807" s="5">
        <f>15699 / 86400</f>
        <v>0.1817013888888889</v>
      </c>
      <c r="L807" s="5">
        <f>25664 / 86400</f>
        <v>0.29703703703703704</v>
      </c>
    </row>
    <row r="808" spans="1:12" x14ac:dyDescent="0.25">
      <c r="A808" s="3">
        <v>45695.478738425925</v>
      </c>
      <c r="B808" t="s">
        <v>265</v>
      </c>
      <c r="C808" s="3">
        <v>45695.628842592589</v>
      </c>
      <c r="D808" t="s">
        <v>315</v>
      </c>
      <c r="E808" s="4">
        <v>49.131999999999998</v>
      </c>
      <c r="F808" s="4">
        <v>473270.77299999999</v>
      </c>
      <c r="G808" s="4">
        <v>473319.90500000003</v>
      </c>
      <c r="H808" s="5">
        <f>5239 / 86400</f>
        <v>6.0636574074074072E-2</v>
      </c>
      <c r="I808" t="s">
        <v>165</v>
      </c>
      <c r="J808" t="s">
        <v>34</v>
      </c>
      <c r="K808" s="5">
        <f>12969 / 86400</f>
        <v>0.15010416666666668</v>
      </c>
      <c r="L808" s="5">
        <f>87 / 86400</f>
        <v>1.0069444444444444E-3</v>
      </c>
    </row>
    <row r="809" spans="1:12" x14ac:dyDescent="0.25">
      <c r="A809" s="3">
        <v>45695.629849537036</v>
      </c>
      <c r="B809" t="s">
        <v>315</v>
      </c>
      <c r="C809" s="3">
        <v>45695.631168981483</v>
      </c>
      <c r="D809" t="s">
        <v>128</v>
      </c>
      <c r="E809" s="4">
        <v>0.23200000000000001</v>
      </c>
      <c r="F809" s="4">
        <v>473319.90500000003</v>
      </c>
      <c r="G809" s="4">
        <v>473320.13699999999</v>
      </c>
      <c r="H809" s="5">
        <f>20 / 86400</f>
        <v>2.3148148148148149E-4</v>
      </c>
      <c r="I809" t="s">
        <v>53</v>
      </c>
      <c r="J809" t="s">
        <v>91</v>
      </c>
      <c r="K809" s="5">
        <f>113 / 86400</f>
        <v>1.3078703703703703E-3</v>
      </c>
      <c r="L809" s="5">
        <f>477 / 86400</f>
        <v>5.5208333333333333E-3</v>
      </c>
    </row>
    <row r="810" spans="1:12" x14ac:dyDescent="0.25">
      <c r="A810" s="3">
        <v>45695.636689814812</v>
      </c>
      <c r="B810" t="s">
        <v>128</v>
      </c>
      <c r="C810" s="3">
        <v>45695.638715277775</v>
      </c>
      <c r="D810" t="s">
        <v>22</v>
      </c>
      <c r="E810" s="4">
        <v>0.56399999999999995</v>
      </c>
      <c r="F810" s="4">
        <v>473320.13699999999</v>
      </c>
      <c r="G810" s="4">
        <v>473320.701</v>
      </c>
      <c r="H810" s="5">
        <f>0 / 86400</f>
        <v>0</v>
      </c>
      <c r="I810" t="s">
        <v>137</v>
      </c>
      <c r="J810" t="s">
        <v>57</v>
      </c>
      <c r="K810" s="5">
        <f>174 / 86400</f>
        <v>2.0138888888888888E-3</v>
      </c>
      <c r="L810" s="5">
        <f>388 / 86400</f>
        <v>4.4907407407407405E-3</v>
      </c>
    </row>
    <row r="811" spans="1:12" x14ac:dyDescent="0.25">
      <c r="A811" s="3">
        <v>45695.643206018518</v>
      </c>
      <c r="B811" t="s">
        <v>22</v>
      </c>
      <c r="C811" s="3">
        <v>45695.644016203703</v>
      </c>
      <c r="D811" t="s">
        <v>22</v>
      </c>
      <c r="E811" s="4">
        <v>2.8000000000000001E-2</v>
      </c>
      <c r="F811" s="4">
        <v>473320.701</v>
      </c>
      <c r="G811" s="4">
        <v>473320.72899999999</v>
      </c>
      <c r="H811" s="5">
        <f>19 / 86400</f>
        <v>2.199074074074074E-4</v>
      </c>
      <c r="I811" t="s">
        <v>126</v>
      </c>
      <c r="J811" t="s">
        <v>127</v>
      </c>
      <c r="K811" s="5">
        <f>69 / 86400</f>
        <v>7.9861111111111116E-4</v>
      </c>
      <c r="L811" s="5">
        <f>6578 / 86400</f>
        <v>7.6134259259259263E-2</v>
      </c>
    </row>
    <row r="812" spans="1:12" x14ac:dyDescent="0.25">
      <c r="A812" s="3">
        <v>45695.720150462963</v>
      </c>
      <c r="B812" t="s">
        <v>22</v>
      </c>
      <c r="C812" s="3">
        <v>45695.724803240737</v>
      </c>
      <c r="D812" t="s">
        <v>315</v>
      </c>
      <c r="E812" s="4">
        <v>0.36099999999999999</v>
      </c>
      <c r="F812" s="4">
        <v>473320.72899999999</v>
      </c>
      <c r="G812" s="4">
        <v>473321.09</v>
      </c>
      <c r="H812" s="5">
        <f>239 / 86400</f>
        <v>2.7662037037037039E-3</v>
      </c>
      <c r="I812" t="s">
        <v>20</v>
      </c>
      <c r="J812" t="s">
        <v>140</v>
      </c>
      <c r="K812" s="5">
        <f>401 / 86400</f>
        <v>4.6412037037037038E-3</v>
      </c>
      <c r="L812" s="5">
        <f>123 / 86400</f>
        <v>1.4236111111111112E-3</v>
      </c>
    </row>
    <row r="813" spans="1:12" x14ac:dyDescent="0.25">
      <c r="A813" s="3">
        <v>45695.726226851853</v>
      </c>
      <c r="B813" t="s">
        <v>315</v>
      </c>
      <c r="C813" s="3">
        <v>45695.727210648147</v>
      </c>
      <c r="D813" t="s">
        <v>315</v>
      </c>
      <c r="E813" s="4">
        <v>1.0999999999999999E-2</v>
      </c>
      <c r="F813" s="4">
        <v>473321.09</v>
      </c>
      <c r="G813" s="4">
        <v>473321.10100000002</v>
      </c>
      <c r="H813" s="5">
        <f>79 / 86400</f>
        <v>9.1435185185185185E-4</v>
      </c>
      <c r="I813" t="s">
        <v>129</v>
      </c>
      <c r="J813" t="s">
        <v>129</v>
      </c>
      <c r="K813" s="5">
        <f>85 / 86400</f>
        <v>9.837962962962962E-4</v>
      </c>
      <c r="L813" s="5">
        <f>673 / 86400</f>
        <v>7.789351851851852E-3</v>
      </c>
    </row>
    <row r="814" spans="1:12" x14ac:dyDescent="0.25">
      <c r="A814" s="3">
        <v>45695.735000000001</v>
      </c>
      <c r="B814" t="s">
        <v>315</v>
      </c>
      <c r="C814" s="3">
        <v>45695.960486111115</v>
      </c>
      <c r="D814" t="s">
        <v>360</v>
      </c>
      <c r="E814" s="4">
        <v>93.739000000000004</v>
      </c>
      <c r="F814" s="4">
        <v>473321.10100000002</v>
      </c>
      <c r="G814" s="4">
        <v>473414.84</v>
      </c>
      <c r="H814" s="5">
        <f>6319 / 86400</f>
        <v>7.3136574074074076E-2</v>
      </c>
      <c r="I814" t="s">
        <v>27</v>
      </c>
      <c r="J814" t="s">
        <v>28</v>
      </c>
      <c r="K814" s="5">
        <f>19482 / 86400</f>
        <v>0.22548611111111111</v>
      </c>
      <c r="L814" s="5">
        <f>791 / 86400</f>
        <v>9.1550925925925931E-3</v>
      </c>
    </row>
    <row r="815" spans="1:12" x14ac:dyDescent="0.25">
      <c r="A815" s="3">
        <v>45695.969641203701</v>
      </c>
      <c r="B815" t="s">
        <v>360</v>
      </c>
      <c r="C815" s="3">
        <v>45695.977546296301</v>
      </c>
      <c r="D815" t="s">
        <v>329</v>
      </c>
      <c r="E815" s="4">
        <v>0.95599999999999996</v>
      </c>
      <c r="F815" s="4">
        <v>473414.84</v>
      </c>
      <c r="G815" s="4">
        <v>473415.79599999997</v>
      </c>
      <c r="H815" s="5">
        <f>260 / 86400</f>
        <v>3.0092592592592593E-3</v>
      </c>
      <c r="I815" t="s">
        <v>139</v>
      </c>
      <c r="J815" t="s">
        <v>126</v>
      </c>
      <c r="K815" s="5">
        <f>683 / 86400</f>
        <v>7.905092592592592E-3</v>
      </c>
      <c r="L815" s="5">
        <f>1531 / 86400</f>
        <v>1.7719907407407406E-2</v>
      </c>
    </row>
    <row r="816" spans="1:12" x14ac:dyDescent="0.25">
      <c r="A816" s="3">
        <v>45695.995266203703</v>
      </c>
      <c r="B816" t="s">
        <v>329</v>
      </c>
      <c r="C816" s="3">
        <v>45695.99622685185</v>
      </c>
      <c r="D816" t="s">
        <v>329</v>
      </c>
      <c r="E816" s="4">
        <v>9.4E-2</v>
      </c>
      <c r="F816" s="4">
        <v>473415.79599999997</v>
      </c>
      <c r="G816" s="4">
        <v>473415.89</v>
      </c>
      <c r="H816" s="5">
        <f>39 / 86400</f>
        <v>4.5138888888888887E-4</v>
      </c>
      <c r="I816" t="s">
        <v>132</v>
      </c>
      <c r="J816" t="s">
        <v>82</v>
      </c>
      <c r="K816" s="5">
        <f>82 / 86400</f>
        <v>9.4907407407407408E-4</v>
      </c>
      <c r="L816" s="5">
        <f>256 / 86400</f>
        <v>2.9629629629629628E-3</v>
      </c>
    </row>
    <row r="817" spans="1:12" x14ac:dyDescent="0.25">
      <c r="A817" s="3">
        <v>45695.999189814815</v>
      </c>
      <c r="B817" t="s">
        <v>329</v>
      </c>
      <c r="C817" s="3">
        <v>45695.99998842593</v>
      </c>
      <c r="D817" t="s">
        <v>83</v>
      </c>
      <c r="E817" s="4">
        <v>0.03</v>
      </c>
      <c r="F817" s="4">
        <v>473415.89</v>
      </c>
      <c r="G817" s="4">
        <v>473415.92</v>
      </c>
      <c r="H817" s="5">
        <f>59 / 86400</f>
        <v>6.8287037037037036E-4</v>
      </c>
      <c r="I817" t="s">
        <v>126</v>
      </c>
      <c r="J817" t="s">
        <v>87</v>
      </c>
      <c r="K817" s="5">
        <f>69 / 86400</f>
        <v>7.9861111111111116E-4</v>
      </c>
      <c r="L817" s="5">
        <f>0 / 86400</f>
        <v>0</v>
      </c>
    </row>
    <row r="818" spans="1:12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 spans="1:12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 spans="1:12" s="10" customFormat="1" ht="20.100000000000001" customHeight="1" x14ac:dyDescent="0.35">
      <c r="A820" s="12" t="s">
        <v>424</v>
      </c>
      <c r="B820" s="12"/>
      <c r="C820" s="12"/>
      <c r="D820" s="12"/>
      <c r="E820" s="12"/>
      <c r="F820" s="12"/>
      <c r="G820" s="12"/>
      <c r="H820" s="12"/>
      <c r="I820" s="12"/>
      <c r="J820" s="12"/>
    </row>
    <row r="821" spans="1:12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 spans="1:12" ht="30" x14ac:dyDescent="0.25">
      <c r="A822" s="2" t="s">
        <v>6</v>
      </c>
      <c r="B822" s="2" t="s">
        <v>7</v>
      </c>
      <c r="C822" s="2" t="s">
        <v>8</v>
      </c>
      <c r="D822" s="2" t="s">
        <v>9</v>
      </c>
      <c r="E822" s="2" t="s">
        <v>10</v>
      </c>
      <c r="F822" s="2" t="s">
        <v>11</v>
      </c>
      <c r="G822" s="2" t="s">
        <v>12</v>
      </c>
      <c r="H822" s="2" t="s">
        <v>13</v>
      </c>
      <c r="I822" s="2" t="s">
        <v>14</v>
      </c>
      <c r="J822" s="2" t="s">
        <v>15</v>
      </c>
      <c r="K822" s="2" t="s">
        <v>16</v>
      </c>
      <c r="L822" s="2" t="s">
        <v>17</v>
      </c>
    </row>
    <row r="823" spans="1:12" x14ac:dyDescent="0.25">
      <c r="A823" s="3">
        <v>45695.029456018514</v>
      </c>
      <c r="B823" t="s">
        <v>81</v>
      </c>
      <c r="C823" s="3">
        <v>45695.031701388885</v>
      </c>
      <c r="D823" t="s">
        <v>81</v>
      </c>
      <c r="E823" s="4">
        <v>0.115</v>
      </c>
      <c r="F823" s="4">
        <v>412397.01699999999</v>
      </c>
      <c r="G823" s="4">
        <v>412397.13199999998</v>
      </c>
      <c r="H823" s="5">
        <f>120 / 86400</f>
        <v>1.3888888888888889E-3</v>
      </c>
      <c r="I823" t="s">
        <v>71</v>
      </c>
      <c r="J823" t="s">
        <v>87</v>
      </c>
      <c r="K823" s="5">
        <f>193 / 86400</f>
        <v>2.2337962962962962E-3</v>
      </c>
      <c r="L823" s="5">
        <f>2605 / 86400</f>
        <v>3.0150462962962962E-2</v>
      </c>
    </row>
    <row r="824" spans="1:12" x14ac:dyDescent="0.25">
      <c r="A824" s="3">
        <v>45695.032395833332</v>
      </c>
      <c r="B824" t="s">
        <v>81</v>
      </c>
      <c r="C824" s="3">
        <v>45695.032581018517</v>
      </c>
      <c r="D824" t="s">
        <v>81</v>
      </c>
      <c r="E824" s="4">
        <v>1.7000000000000001E-2</v>
      </c>
      <c r="F824" s="4">
        <v>412397.13199999998</v>
      </c>
      <c r="G824" s="4">
        <v>412397.14899999998</v>
      </c>
      <c r="H824" s="5">
        <f>0 / 86400</f>
        <v>0</v>
      </c>
      <c r="I824" t="s">
        <v>129</v>
      </c>
      <c r="J824" t="s">
        <v>82</v>
      </c>
      <c r="K824" s="5">
        <f>15 / 86400</f>
        <v>1.7361111111111112E-4</v>
      </c>
      <c r="L824" s="5">
        <f>20708 / 86400</f>
        <v>0.23967592592592593</v>
      </c>
    </row>
    <row r="825" spans="1:12" x14ac:dyDescent="0.25">
      <c r="A825" s="3">
        <v>45695.272256944445</v>
      </c>
      <c r="B825" t="s">
        <v>81</v>
      </c>
      <c r="C825" s="3">
        <v>45695.281701388885</v>
      </c>
      <c r="D825" t="s">
        <v>190</v>
      </c>
      <c r="E825" s="4">
        <v>1.1910000000000001</v>
      </c>
      <c r="F825" s="4">
        <v>412397.14899999998</v>
      </c>
      <c r="G825" s="4">
        <v>412398.34</v>
      </c>
      <c r="H825" s="5">
        <f>499 / 86400</f>
        <v>5.7754629629629631E-3</v>
      </c>
      <c r="I825" t="s">
        <v>139</v>
      </c>
      <c r="J825" t="s">
        <v>126</v>
      </c>
      <c r="K825" s="5">
        <f>816 / 86400</f>
        <v>9.4444444444444445E-3</v>
      </c>
      <c r="L825" s="5">
        <f>184 / 86400</f>
        <v>2.1296296296296298E-3</v>
      </c>
    </row>
    <row r="826" spans="1:12" x14ac:dyDescent="0.25">
      <c r="A826" s="3">
        <v>45695.283831018518</v>
      </c>
      <c r="B826" t="s">
        <v>330</v>
      </c>
      <c r="C826" s="3">
        <v>45695.331979166665</v>
      </c>
      <c r="D826" t="s">
        <v>121</v>
      </c>
      <c r="E826" s="4">
        <v>23.975999999999999</v>
      </c>
      <c r="F826" s="4">
        <v>412398.34</v>
      </c>
      <c r="G826" s="4">
        <v>412422.31599999999</v>
      </c>
      <c r="H826" s="5">
        <f>1200 / 86400</f>
        <v>1.3888888888888888E-2</v>
      </c>
      <c r="I826" t="s">
        <v>361</v>
      </c>
      <c r="J826" t="s">
        <v>37</v>
      </c>
      <c r="K826" s="5">
        <f>4159 / 86400</f>
        <v>4.8136574074074075E-2</v>
      </c>
      <c r="L826" s="5">
        <f>356 / 86400</f>
        <v>4.1203703703703706E-3</v>
      </c>
    </row>
    <row r="827" spans="1:12" x14ac:dyDescent="0.25">
      <c r="A827" s="3">
        <v>45695.336099537039</v>
      </c>
      <c r="B827" t="s">
        <v>121</v>
      </c>
      <c r="C827" s="3">
        <v>45695.336504629631</v>
      </c>
      <c r="D827" t="s">
        <v>121</v>
      </c>
      <c r="E827" s="4">
        <v>2.1000000000000001E-2</v>
      </c>
      <c r="F827" s="4">
        <v>412422.31599999999</v>
      </c>
      <c r="G827" s="4">
        <v>412422.337</v>
      </c>
      <c r="H827" s="5">
        <f>0 / 86400</f>
        <v>0</v>
      </c>
      <c r="I827" t="s">
        <v>126</v>
      </c>
      <c r="J827" t="s">
        <v>87</v>
      </c>
      <c r="K827" s="5">
        <f>34 / 86400</f>
        <v>3.9351851851851852E-4</v>
      </c>
      <c r="L827" s="5">
        <f>1741 / 86400</f>
        <v>2.0150462962962964E-2</v>
      </c>
    </row>
    <row r="828" spans="1:12" x14ac:dyDescent="0.25">
      <c r="A828" s="3">
        <v>45695.35665509259</v>
      </c>
      <c r="B828" t="s">
        <v>121</v>
      </c>
      <c r="C828" s="3">
        <v>45695.360000000001</v>
      </c>
      <c r="D828" t="s">
        <v>128</v>
      </c>
      <c r="E828" s="4">
        <v>1.0109999999999999</v>
      </c>
      <c r="F828" s="4">
        <v>412422.337</v>
      </c>
      <c r="G828" s="4">
        <v>412423.348</v>
      </c>
      <c r="H828" s="5">
        <f>20 / 86400</f>
        <v>2.3148148148148149E-4</v>
      </c>
      <c r="I828" t="s">
        <v>191</v>
      </c>
      <c r="J828" t="s">
        <v>53</v>
      </c>
      <c r="K828" s="5">
        <f>288 / 86400</f>
        <v>3.3333333333333335E-3</v>
      </c>
      <c r="L828" s="5">
        <f>437 / 86400</f>
        <v>5.0578703703703706E-3</v>
      </c>
    </row>
    <row r="829" spans="1:12" x14ac:dyDescent="0.25">
      <c r="A829" s="3">
        <v>45695.365057870367</v>
      </c>
      <c r="B829" t="s">
        <v>128</v>
      </c>
      <c r="C829" s="3">
        <v>45695.371504629627</v>
      </c>
      <c r="D829" t="s">
        <v>128</v>
      </c>
      <c r="E829" s="4">
        <v>1.0660000000000001</v>
      </c>
      <c r="F829" s="4">
        <v>412423.348</v>
      </c>
      <c r="G829" s="4">
        <v>412424.41399999999</v>
      </c>
      <c r="H829" s="5">
        <f>119 / 86400</f>
        <v>1.3773148148148147E-3</v>
      </c>
      <c r="I829" t="s">
        <v>78</v>
      </c>
      <c r="J829" t="s">
        <v>91</v>
      </c>
      <c r="K829" s="5">
        <f>556 / 86400</f>
        <v>6.4351851851851853E-3</v>
      </c>
      <c r="L829" s="5">
        <f>794 / 86400</f>
        <v>9.1898148148148156E-3</v>
      </c>
    </row>
    <row r="830" spans="1:12" x14ac:dyDescent="0.25">
      <c r="A830" s="3">
        <v>45695.380694444444</v>
      </c>
      <c r="B830" t="s">
        <v>128</v>
      </c>
      <c r="C830" s="3">
        <v>45695.381550925929</v>
      </c>
      <c r="D830" t="s">
        <v>128</v>
      </c>
      <c r="E830" s="4">
        <v>3.5000000000000003E-2</v>
      </c>
      <c r="F830" s="4">
        <v>412424.41399999999</v>
      </c>
      <c r="G830" s="4">
        <v>412424.44900000002</v>
      </c>
      <c r="H830" s="5">
        <f>20 / 86400</f>
        <v>2.3148148148148149E-4</v>
      </c>
      <c r="I830" t="s">
        <v>126</v>
      </c>
      <c r="J830" t="s">
        <v>87</v>
      </c>
      <c r="K830" s="5">
        <f>74 / 86400</f>
        <v>8.564814814814815E-4</v>
      </c>
      <c r="L830" s="5">
        <f>2036 / 86400</f>
        <v>2.3564814814814816E-2</v>
      </c>
    </row>
    <row r="831" spans="1:12" x14ac:dyDescent="0.25">
      <c r="A831" s="3">
        <v>45695.405115740738</v>
      </c>
      <c r="B831" t="s">
        <v>128</v>
      </c>
      <c r="C831" s="3">
        <v>45695.469317129631</v>
      </c>
      <c r="D831" t="s">
        <v>81</v>
      </c>
      <c r="E831" s="4">
        <v>35.021000000000001</v>
      </c>
      <c r="F831" s="4">
        <v>412424.44900000002</v>
      </c>
      <c r="G831" s="4">
        <v>412459.47</v>
      </c>
      <c r="H831" s="5">
        <f>1340 / 86400</f>
        <v>1.5509259259259259E-2</v>
      </c>
      <c r="I831" t="s">
        <v>89</v>
      </c>
      <c r="J831" t="s">
        <v>135</v>
      </c>
      <c r="K831" s="5">
        <f>5547 / 86400</f>
        <v>6.4201388888888891E-2</v>
      </c>
      <c r="L831" s="5">
        <f>86 / 86400</f>
        <v>9.9537037037037042E-4</v>
      </c>
    </row>
    <row r="832" spans="1:12" x14ac:dyDescent="0.25">
      <c r="A832" s="3">
        <v>45695.470312500001</v>
      </c>
      <c r="B832" t="s">
        <v>81</v>
      </c>
      <c r="C832" s="3">
        <v>45695.470555555556</v>
      </c>
      <c r="D832" t="s">
        <v>81</v>
      </c>
      <c r="E832" s="4">
        <v>1.6E-2</v>
      </c>
      <c r="F832" s="4">
        <v>412459.47</v>
      </c>
      <c r="G832" s="4">
        <v>412459.48599999998</v>
      </c>
      <c r="H832" s="5">
        <f>0 / 86400</f>
        <v>0</v>
      </c>
      <c r="I832" t="s">
        <v>132</v>
      </c>
      <c r="J832" t="s">
        <v>140</v>
      </c>
      <c r="K832" s="5">
        <f>21 / 86400</f>
        <v>2.4305555555555555E-4</v>
      </c>
      <c r="L832" s="5">
        <f>15281 / 86400</f>
        <v>0.17686342592592594</v>
      </c>
    </row>
    <row r="833" spans="1:12" x14ac:dyDescent="0.25">
      <c r="A833" s="3">
        <v>45695.647418981476</v>
      </c>
      <c r="B833" t="s">
        <v>81</v>
      </c>
      <c r="C833" s="3">
        <v>45695.65357638889</v>
      </c>
      <c r="D833" t="s">
        <v>88</v>
      </c>
      <c r="E833" s="4">
        <v>1.5009999999999999</v>
      </c>
      <c r="F833" s="4">
        <v>412459.48599999998</v>
      </c>
      <c r="G833" s="4">
        <v>412460.98700000002</v>
      </c>
      <c r="H833" s="5">
        <f>239 / 86400</f>
        <v>2.7662037037037039E-3</v>
      </c>
      <c r="I833" t="s">
        <v>86</v>
      </c>
      <c r="J833" t="s">
        <v>45</v>
      </c>
      <c r="K833" s="5">
        <f>532 / 86400</f>
        <v>6.1574074074074074E-3</v>
      </c>
      <c r="L833" s="5">
        <f>1157 / 86400</f>
        <v>1.3391203703703704E-2</v>
      </c>
    </row>
    <row r="834" spans="1:12" x14ac:dyDescent="0.25">
      <c r="A834" s="3">
        <v>45695.666967592595</v>
      </c>
      <c r="B834" t="s">
        <v>88</v>
      </c>
      <c r="C834" s="3">
        <v>45695.70994212963</v>
      </c>
      <c r="D834" t="s">
        <v>150</v>
      </c>
      <c r="E834" s="4">
        <v>18.765999999999998</v>
      </c>
      <c r="F834" s="4">
        <v>412460.98700000002</v>
      </c>
      <c r="G834" s="4">
        <v>412479.75300000003</v>
      </c>
      <c r="H834" s="5">
        <f>1140 / 86400</f>
        <v>1.3194444444444444E-2</v>
      </c>
      <c r="I834" t="s">
        <v>23</v>
      </c>
      <c r="J834" t="s">
        <v>69</v>
      </c>
      <c r="K834" s="5">
        <f>3712 / 86400</f>
        <v>4.296296296296296E-2</v>
      </c>
      <c r="L834" s="5">
        <f>62 / 86400</f>
        <v>7.1759259259259259E-4</v>
      </c>
    </row>
    <row r="835" spans="1:12" x14ac:dyDescent="0.25">
      <c r="A835" s="3">
        <v>45695.710659722223</v>
      </c>
      <c r="B835" t="s">
        <v>150</v>
      </c>
      <c r="C835" s="3">
        <v>45695.710844907408</v>
      </c>
      <c r="D835" t="s">
        <v>150</v>
      </c>
      <c r="E835" s="4">
        <v>1.9E-2</v>
      </c>
      <c r="F835" s="4">
        <v>412479.75300000003</v>
      </c>
      <c r="G835" s="4">
        <v>412479.772</v>
      </c>
      <c r="H835" s="5">
        <f>0 / 86400</f>
        <v>0</v>
      </c>
      <c r="I835" t="s">
        <v>129</v>
      </c>
      <c r="J835" t="s">
        <v>82</v>
      </c>
      <c r="K835" s="5">
        <f>16 / 86400</f>
        <v>1.8518518518518518E-4</v>
      </c>
      <c r="L835" s="5">
        <f>77 / 86400</f>
        <v>8.9120370370370373E-4</v>
      </c>
    </row>
    <row r="836" spans="1:12" x14ac:dyDescent="0.25">
      <c r="A836" s="3">
        <v>45695.711736111116</v>
      </c>
      <c r="B836" t="s">
        <v>150</v>
      </c>
      <c r="C836" s="3">
        <v>45695.777731481481</v>
      </c>
      <c r="D836" t="s">
        <v>133</v>
      </c>
      <c r="E836" s="4">
        <v>30.073</v>
      </c>
      <c r="F836" s="4">
        <v>412479.772</v>
      </c>
      <c r="G836" s="4">
        <v>412509.84499999997</v>
      </c>
      <c r="H836" s="5">
        <f>2099 / 86400</f>
        <v>2.4293981481481482E-2</v>
      </c>
      <c r="I836" t="s">
        <v>55</v>
      </c>
      <c r="J836" t="s">
        <v>90</v>
      </c>
      <c r="K836" s="5">
        <f>5701 / 86400</f>
        <v>6.598379629629629E-2</v>
      </c>
      <c r="L836" s="5">
        <f>14 / 86400</f>
        <v>1.6203703703703703E-4</v>
      </c>
    </row>
    <row r="837" spans="1:12" x14ac:dyDescent="0.25">
      <c r="A837" s="3">
        <v>45695.77789351852</v>
      </c>
      <c r="B837" t="s">
        <v>133</v>
      </c>
      <c r="C837" s="3">
        <v>45695.829166666663</v>
      </c>
      <c r="D837" t="s">
        <v>179</v>
      </c>
      <c r="E837" s="4">
        <v>20.495000000000001</v>
      </c>
      <c r="F837" s="4">
        <v>412509.84499999997</v>
      </c>
      <c r="G837" s="4">
        <v>412530.34</v>
      </c>
      <c r="H837" s="5">
        <f>1361 / 86400</f>
        <v>1.5752314814814816E-2</v>
      </c>
      <c r="I837" t="s">
        <v>324</v>
      </c>
      <c r="J837" t="s">
        <v>28</v>
      </c>
      <c r="K837" s="5">
        <f>4429 / 86400</f>
        <v>5.1261574074074077E-2</v>
      </c>
      <c r="L837" s="5">
        <f>179 / 86400</f>
        <v>2.0717592592592593E-3</v>
      </c>
    </row>
    <row r="838" spans="1:12" x14ac:dyDescent="0.25">
      <c r="A838" s="3">
        <v>45695.831238425926</v>
      </c>
      <c r="B838" t="s">
        <v>179</v>
      </c>
      <c r="C838" s="3">
        <v>45695.998506944445</v>
      </c>
      <c r="D838" t="s">
        <v>88</v>
      </c>
      <c r="E838" s="4">
        <v>76.978999999999999</v>
      </c>
      <c r="F838" s="4">
        <v>412530.34</v>
      </c>
      <c r="G838" s="4">
        <v>412607.31900000002</v>
      </c>
      <c r="H838" s="5">
        <f>4959 / 86400</f>
        <v>5.7395833333333333E-2</v>
      </c>
      <c r="I838" t="s">
        <v>56</v>
      </c>
      <c r="J838" t="s">
        <v>90</v>
      </c>
      <c r="K838" s="5">
        <f>14452 / 86400</f>
        <v>0.16726851851851851</v>
      </c>
      <c r="L838" s="5">
        <f>128 / 86400</f>
        <v>1.4814814814814814E-3</v>
      </c>
    </row>
    <row r="839" spans="1:12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 spans="1:12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 spans="1:12" s="10" customFormat="1" ht="20.100000000000001" customHeight="1" x14ac:dyDescent="0.35">
      <c r="A841" s="12" t="s">
        <v>425</v>
      </c>
      <c r="B841" s="12"/>
      <c r="C841" s="12"/>
      <c r="D841" s="12"/>
      <c r="E841" s="12"/>
      <c r="F841" s="12"/>
      <c r="G841" s="12"/>
      <c r="H841" s="12"/>
      <c r="I841" s="12"/>
      <c r="J841" s="12"/>
    </row>
    <row r="842" spans="1:12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 spans="1:12" ht="30" x14ac:dyDescent="0.25">
      <c r="A843" s="2" t="s">
        <v>6</v>
      </c>
      <c r="B843" s="2" t="s">
        <v>7</v>
      </c>
      <c r="C843" s="2" t="s">
        <v>8</v>
      </c>
      <c r="D843" s="2" t="s">
        <v>9</v>
      </c>
      <c r="E843" s="2" t="s">
        <v>10</v>
      </c>
      <c r="F843" s="2" t="s">
        <v>11</v>
      </c>
      <c r="G843" s="2" t="s">
        <v>12</v>
      </c>
      <c r="H843" s="2" t="s">
        <v>13</v>
      </c>
      <c r="I843" s="2" t="s">
        <v>14</v>
      </c>
      <c r="J843" s="2" t="s">
        <v>15</v>
      </c>
      <c r="K843" s="2" t="s">
        <v>16</v>
      </c>
      <c r="L843" s="2" t="s">
        <v>17</v>
      </c>
    </row>
    <row r="844" spans="1:12" x14ac:dyDescent="0.25">
      <c r="A844" s="3">
        <v>45695.172974537039</v>
      </c>
      <c r="B844" t="s">
        <v>29</v>
      </c>
      <c r="C844" s="3">
        <v>45695.174525462964</v>
      </c>
      <c r="D844" t="s">
        <v>29</v>
      </c>
      <c r="E844" s="4">
        <v>4.4999999999999998E-2</v>
      </c>
      <c r="F844" s="4">
        <v>326746.97700000001</v>
      </c>
      <c r="G844" s="4">
        <v>326747.022</v>
      </c>
      <c r="H844" s="5">
        <f>59 / 86400</f>
        <v>6.8287037037037036E-4</v>
      </c>
      <c r="I844" t="s">
        <v>141</v>
      </c>
      <c r="J844" t="s">
        <v>127</v>
      </c>
      <c r="K844" s="5">
        <f>134 / 86400</f>
        <v>1.5509259259259259E-3</v>
      </c>
      <c r="L844" s="5">
        <f>15167 / 86400</f>
        <v>0.17554398148148148</v>
      </c>
    </row>
    <row r="845" spans="1:12" x14ac:dyDescent="0.25">
      <c r="A845" s="3">
        <v>45695.177094907413</v>
      </c>
      <c r="B845" t="s">
        <v>29</v>
      </c>
      <c r="C845" s="3">
        <v>45695.343668981484</v>
      </c>
      <c r="D845" t="s">
        <v>121</v>
      </c>
      <c r="E845" s="4">
        <v>79.412999999999997</v>
      </c>
      <c r="F845" s="4">
        <v>326747.022</v>
      </c>
      <c r="G845" s="4">
        <v>326826.435</v>
      </c>
      <c r="H845" s="5">
        <f>3460 / 86400</f>
        <v>4.0046296296296295E-2</v>
      </c>
      <c r="I845" t="s">
        <v>33</v>
      </c>
      <c r="J845" t="s">
        <v>78</v>
      </c>
      <c r="K845" s="5">
        <f>14392 / 86400</f>
        <v>0.16657407407407407</v>
      </c>
      <c r="L845" s="5">
        <f>7924 / 86400</f>
        <v>9.1712962962962968E-2</v>
      </c>
    </row>
    <row r="846" spans="1:12" x14ac:dyDescent="0.25">
      <c r="A846" s="3">
        <v>45695.435381944444</v>
      </c>
      <c r="B846" t="s">
        <v>121</v>
      </c>
      <c r="C846" s="3">
        <v>45695.439189814817</v>
      </c>
      <c r="D846" t="s">
        <v>161</v>
      </c>
      <c r="E846" s="4">
        <v>1.1830000000000001</v>
      </c>
      <c r="F846" s="4">
        <v>326826.435</v>
      </c>
      <c r="G846" s="4">
        <v>326827.61800000002</v>
      </c>
      <c r="H846" s="5">
        <f>20 / 86400</f>
        <v>2.3148148148148149E-4</v>
      </c>
      <c r="I846" t="s">
        <v>135</v>
      </c>
      <c r="J846" t="s">
        <v>53</v>
      </c>
      <c r="K846" s="5">
        <f>328 / 86400</f>
        <v>3.7962962962962963E-3</v>
      </c>
      <c r="L846" s="5">
        <f>1255 / 86400</f>
        <v>1.4525462962962962E-2</v>
      </c>
    </row>
    <row r="847" spans="1:12" x14ac:dyDescent="0.25">
      <c r="A847" s="3">
        <v>45695.453715277778</v>
      </c>
      <c r="B847" t="s">
        <v>161</v>
      </c>
      <c r="C847" s="3">
        <v>45695.683831018519</v>
      </c>
      <c r="D847" t="s">
        <v>362</v>
      </c>
      <c r="E847" s="4">
        <v>87.269000000000005</v>
      </c>
      <c r="F847" s="4">
        <v>326827.61800000002</v>
      </c>
      <c r="G847" s="4">
        <v>326914.88699999999</v>
      </c>
      <c r="H847" s="5">
        <f>6482 / 86400</f>
        <v>7.5023148148148144E-2</v>
      </c>
      <c r="I847" t="s">
        <v>23</v>
      </c>
      <c r="J847" t="s">
        <v>20</v>
      </c>
      <c r="K847" s="5">
        <f>19881 / 86400</f>
        <v>0.23010416666666667</v>
      </c>
      <c r="L847" s="5">
        <f>412 / 86400</f>
        <v>4.7685185185185183E-3</v>
      </c>
    </row>
    <row r="848" spans="1:12" x14ac:dyDescent="0.25">
      <c r="A848" s="3">
        <v>45695.688599537039</v>
      </c>
      <c r="B848" t="s">
        <v>362</v>
      </c>
      <c r="C848" s="3">
        <v>45695.692615740743</v>
      </c>
      <c r="D848" t="s">
        <v>38</v>
      </c>
      <c r="E848" s="4">
        <v>1.395</v>
      </c>
      <c r="F848" s="4">
        <v>326914.88699999999</v>
      </c>
      <c r="G848" s="4">
        <v>326916.28200000001</v>
      </c>
      <c r="H848" s="5">
        <f>159 / 86400</f>
        <v>1.8402777777777777E-3</v>
      </c>
      <c r="I848" t="s">
        <v>332</v>
      </c>
      <c r="J848" t="s">
        <v>24</v>
      </c>
      <c r="K848" s="5">
        <f>346 / 86400</f>
        <v>4.0046296296296297E-3</v>
      </c>
      <c r="L848" s="5">
        <f>269 / 86400</f>
        <v>3.1134259259259257E-3</v>
      </c>
    </row>
    <row r="849" spans="1:12" x14ac:dyDescent="0.25">
      <c r="A849" s="3">
        <v>45695.695729166662</v>
      </c>
      <c r="B849" t="s">
        <v>38</v>
      </c>
      <c r="C849" s="3">
        <v>45695.728310185186</v>
      </c>
      <c r="D849" t="s">
        <v>25</v>
      </c>
      <c r="E849" s="4">
        <v>10.477</v>
      </c>
      <c r="F849" s="4">
        <v>326916.28200000001</v>
      </c>
      <c r="G849" s="4">
        <v>326926.75900000002</v>
      </c>
      <c r="H849" s="5">
        <f>1181 / 86400</f>
        <v>1.3668981481481482E-2</v>
      </c>
      <c r="I849" t="s">
        <v>175</v>
      </c>
      <c r="J849" t="s">
        <v>53</v>
      </c>
      <c r="K849" s="5">
        <f>2814 / 86400</f>
        <v>3.2569444444444443E-2</v>
      </c>
      <c r="L849" s="5">
        <f>248 / 86400</f>
        <v>2.8703703703703703E-3</v>
      </c>
    </row>
    <row r="850" spans="1:12" x14ac:dyDescent="0.25">
      <c r="A850" s="3">
        <v>45695.731180555551</v>
      </c>
      <c r="B850" t="s">
        <v>25</v>
      </c>
      <c r="C850" s="3">
        <v>45695.733483796299</v>
      </c>
      <c r="D850" t="s">
        <v>29</v>
      </c>
      <c r="E850" s="4">
        <v>0.50900000000000001</v>
      </c>
      <c r="F850" s="4">
        <v>326926.75900000002</v>
      </c>
      <c r="G850" s="4">
        <v>326927.26799999998</v>
      </c>
      <c r="H850" s="5">
        <f>20 / 86400</f>
        <v>2.3148148148148149E-4</v>
      </c>
      <c r="I850" t="s">
        <v>90</v>
      </c>
      <c r="J850" t="s">
        <v>71</v>
      </c>
      <c r="K850" s="5">
        <f>198 / 86400</f>
        <v>2.2916666666666667E-3</v>
      </c>
      <c r="L850" s="5">
        <f>1944 / 86400</f>
        <v>2.2499999999999999E-2</v>
      </c>
    </row>
    <row r="851" spans="1:12" x14ac:dyDescent="0.25">
      <c r="A851" s="3">
        <v>45695.755983796298</v>
      </c>
      <c r="B851" t="s">
        <v>29</v>
      </c>
      <c r="C851" s="3">
        <v>45695.756793981476</v>
      </c>
      <c r="D851" t="s">
        <v>29</v>
      </c>
      <c r="E851" s="4">
        <v>3.5000000000000003E-2</v>
      </c>
      <c r="F851" s="4">
        <v>326927.26799999998</v>
      </c>
      <c r="G851" s="4">
        <v>326927.30300000001</v>
      </c>
      <c r="H851" s="5">
        <f>39 / 86400</f>
        <v>4.5138888888888887E-4</v>
      </c>
      <c r="I851" t="s">
        <v>126</v>
      </c>
      <c r="J851" t="s">
        <v>87</v>
      </c>
      <c r="K851" s="5">
        <f>69 / 86400</f>
        <v>7.9861111111111116E-4</v>
      </c>
      <c r="L851" s="5">
        <f>21012 / 86400</f>
        <v>0.24319444444444444</v>
      </c>
    </row>
    <row r="852" spans="1:12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 spans="1:12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 spans="1:12" s="10" customFormat="1" ht="20.100000000000001" customHeight="1" x14ac:dyDescent="0.35">
      <c r="A854" s="12" t="s">
        <v>426</v>
      </c>
      <c r="B854" s="12"/>
      <c r="C854" s="12"/>
      <c r="D854" s="12"/>
      <c r="E854" s="12"/>
      <c r="F854" s="12"/>
      <c r="G854" s="12"/>
      <c r="H854" s="12"/>
      <c r="I854" s="12"/>
      <c r="J854" s="12"/>
    </row>
    <row r="855" spans="1:12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 spans="1:12" ht="30" x14ac:dyDescent="0.25">
      <c r="A856" s="2" t="s">
        <v>6</v>
      </c>
      <c r="B856" s="2" t="s">
        <v>7</v>
      </c>
      <c r="C856" s="2" t="s">
        <v>8</v>
      </c>
      <c r="D856" s="2" t="s">
        <v>9</v>
      </c>
      <c r="E856" s="2" t="s">
        <v>10</v>
      </c>
      <c r="F856" s="2" t="s">
        <v>11</v>
      </c>
      <c r="G856" s="2" t="s">
        <v>12</v>
      </c>
      <c r="H856" s="2" t="s">
        <v>13</v>
      </c>
      <c r="I856" s="2" t="s">
        <v>14</v>
      </c>
      <c r="J856" s="2" t="s">
        <v>15</v>
      </c>
      <c r="K856" s="2" t="s">
        <v>16</v>
      </c>
      <c r="L856" s="2" t="s">
        <v>17</v>
      </c>
    </row>
    <row r="857" spans="1:12" x14ac:dyDescent="0.25">
      <c r="A857" s="3">
        <v>45695</v>
      </c>
      <c r="B857" t="s">
        <v>29</v>
      </c>
      <c r="C857" s="3">
        <v>45695.163217592592</v>
      </c>
      <c r="D857" t="s">
        <v>29</v>
      </c>
      <c r="E857" s="4">
        <v>0</v>
      </c>
      <c r="F857" s="4">
        <v>359568.69500000001</v>
      </c>
      <c r="G857" s="4">
        <v>359568.69500000001</v>
      </c>
      <c r="H857" s="5">
        <f>14080 / 86400</f>
        <v>0.16296296296296298</v>
      </c>
      <c r="I857" t="s">
        <v>129</v>
      </c>
      <c r="J857" t="s">
        <v>129</v>
      </c>
      <c r="K857" s="5">
        <f>14102 / 86400</f>
        <v>0.16321759259259258</v>
      </c>
      <c r="L857" s="5">
        <f>10 / 86400</f>
        <v>1.1574074074074075E-4</v>
      </c>
    </row>
    <row r="858" spans="1:12" x14ac:dyDescent="0.25">
      <c r="A858" s="3">
        <v>45695.16333333333</v>
      </c>
      <c r="B858" t="s">
        <v>29</v>
      </c>
      <c r="C858" s="3">
        <v>45695.171805555554</v>
      </c>
      <c r="D858" t="s">
        <v>29</v>
      </c>
      <c r="E858" s="4">
        <v>0</v>
      </c>
      <c r="F858" s="4">
        <v>359568.69500000001</v>
      </c>
      <c r="G858" s="4">
        <v>359568.69500000001</v>
      </c>
      <c r="H858" s="5">
        <f>713 / 86400</f>
        <v>8.2523148148148148E-3</v>
      </c>
      <c r="I858" t="s">
        <v>129</v>
      </c>
      <c r="J858" t="s">
        <v>129</v>
      </c>
      <c r="K858" s="5">
        <f>732 / 86400</f>
        <v>8.472222222222223E-3</v>
      </c>
      <c r="L858" s="5">
        <f>3 / 86400</f>
        <v>3.4722222222222222E-5</v>
      </c>
    </row>
    <row r="859" spans="1:12" x14ac:dyDescent="0.25">
      <c r="A859" s="3">
        <v>45695.171840277777</v>
      </c>
      <c r="B859" t="s">
        <v>29</v>
      </c>
      <c r="C859" s="3">
        <v>45695.427673611106</v>
      </c>
      <c r="D859" t="s">
        <v>349</v>
      </c>
      <c r="E859" s="4">
        <v>42.86</v>
      </c>
      <c r="F859" s="4">
        <v>359568.69500000001</v>
      </c>
      <c r="G859" s="4">
        <v>359611.55499999999</v>
      </c>
      <c r="H859" s="5">
        <f>14597 / 86400</f>
        <v>0.16894675925925925</v>
      </c>
      <c r="I859" t="s">
        <v>61</v>
      </c>
      <c r="J859" t="s">
        <v>91</v>
      </c>
      <c r="K859" s="5">
        <f>22104 / 86400</f>
        <v>0.25583333333333336</v>
      </c>
      <c r="L859" s="5">
        <f>190 / 86400</f>
        <v>2.1990740740740742E-3</v>
      </c>
    </row>
    <row r="860" spans="1:12" x14ac:dyDescent="0.25">
      <c r="A860" s="3">
        <v>45695.429872685185</v>
      </c>
      <c r="B860" t="s">
        <v>349</v>
      </c>
      <c r="C860" s="3">
        <v>45695.610578703709</v>
      </c>
      <c r="D860" t="s">
        <v>349</v>
      </c>
      <c r="E860" s="4">
        <v>5.1999999999999998E-2</v>
      </c>
      <c r="F860" s="4">
        <v>359611.55499999999</v>
      </c>
      <c r="G860" s="4">
        <v>359611.60700000002</v>
      </c>
      <c r="H860" s="5">
        <f>15520 / 86400</f>
        <v>0.17962962962962964</v>
      </c>
      <c r="I860" t="s">
        <v>132</v>
      </c>
      <c r="J860" t="s">
        <v>129</v>
      </c>
      <c r="K860" s="5">
        <f>15613 / 86400</f>
        <v>0.18070601851851853</v>
      </c>
      <c r="L860" s="5">
        <f>168 / 86400</f>
        <v>1.9444444444444444E-3</v>
      </c>
    </row>
    <row r="861" spans="1:12" x14ac:dyDescent="0.25">
      <c r="A861" s="3">
        <v>45695.612523148149</v>
      </c>
      <c r="B861" t="s">
        <v>349</v>
      </c>
      <c r="C861" s="3">
        <v>45695.624108796299</v>
      </c>
      <c r="D861" t="s">
        <v>349</v>
      </c>
      <c r="E861" s="4">
        <v>1.087</v>
      </c>
      <c r="F861" s="4">
        <v>359611.60700000002</v>
      </c>
      <c r="G861" s="4">
        <v>359612.69400000002</v>
      </c>
      <c r="H861" s="5">
        <f>647 / 86400</f>
        <v>7.4884259259259262E-3</v>
      </c>
      <c r="I861" t="s">
        <v>212</v>
      </c>
      <c r="J861" t="s">
        <v>82</v>
      </c>
      <c r="K861" s="5">
        <f>1001 / 86400</f>
        <v>1.1585648148148149E-2</v>
      </c>
      <c r="L861" s="5">
        <f>1101 / 86400</f>
        <v>1.2743055555555556E-2</v>
      </c>
    </row>
    <row r="862" spans="1:12" x14ac:dyDescent="0.25">
      <c r="A862" s="3">
        <v>45695.636863425927</v>
      </c>
      <c r="B862" t="s">
        <v>349</v>
      </c>
      <c r="C862" s="3">
        <v>45695.639502314814</v>
      </c>
      <c r="D862" t="s">
        <v>349</v>
      </c>
      <c r="E862" s="4">
        <v>0.95899999999999996</v>
      </c>
      <c r="F862" s="4">
        <v>359612.69400000002</v>
      </c>
      <c r="G862" s="4">
        <v>359613.65299999999</v>
      </c>
      <c r="H862" s="5">
        <f>12 / 86400</f>
        <v>1.3888888888888889E-4</v>
      </c>
      <c r="I862" t="s">
        <v>144</v>
      </c>
      <c r="J862" t="s">
        <v>24</v>
      </c>
      <c r="K862" s="5">
        <f>228 / 86400</f>
        <v>2.638888888888889E-3</v>
      </c>
      <c r="L862" s="5">
        <f>50 / 86400</f>
        <v>5.7870370370370367E-4</v>
      </c>
    </row>
    <row r="863" spans="1:12" x14ac:dyDescent="0.25">
      <c r="A863" s="3">
        <v>45695.640081018515</v>
      </c>
      <c r="B863" t="s">
        <v>349</v>
      </c>
      <c r="C863" s="3">
        <v>45695.640532407408</v>
      </c>
      <c r="D863" t="s">
        <v>349</v>
      </c>
      <c r="E863" s="4">
        <v>0</v>
      </c>
      <c r="F863" s="4">
        <v>359613.65299999999</v>
      </c>
      <c r="G863" s="4">
        <v>359613.65299999999</v>
      </c>
      <c r="H863" s="5">
        <f>18 / 86400</f>
        <v>2.0833333333333335E-4</v>
      </c>
      <c r="I863" t="s">
        <v>129</v>
      </c>
      <c r="J863" t="s">
        <v>129</v>
      </c>
      <c r="K863" s="5">
        <f>39 / 86400</f>
        <v>4.5138888888888887E-4</v>
      </c>
      <c r="L863" s="5">
        <f>27 / 86400</f>
        <v>3.1250000000000001E-4</v>
      </c>
    </row>
    <row r="864" spans="1:12" x14ac:dyDescent="0.25">
      <c r="A864" s="3">
        <v>45695.640844907408</v>
      </c>
      <c r="B864" t="s">
        <v>349</v>
      </c>
      <c r="C864" s="3">
        <v>45695.640868055554</v>
      </c>
      <c r="D864" t="s">
        <v>349</v>
      </c>
      <c r="E864" s="4">
        <v>0</v>
      </c>
      <c r="F864" s="4">
        <v>359613.65299999999</v>
      </c>
      <c r="G864" s="4">
        <v>359613.65299999999</v>
      </c>
      <c r="H864" s="5">
        <f>0 / 86400</f>
        <v>0</v>
      </c>
      <c r="I864" t="s">
        <v>129</v>
      </c>
      <c r="J864" t="s">
        <v>129</v>
      </c>
      <c r="K864" s="5">
        <f>2 / 86400</f>
        <v>2.3148148148148147E-5</v>
      </c>
      <c r="L864" s="5">
        <f>2361 / 86400</f>
        <v>2.732638888888889E-2</v>
      </c>
    </row>
    <row r="865" spans="1:12" x14ac:dyDescent="0.25">
      <c r="A865" s="3">
        <v>45695.668194444443</v>
      </c>
      <c r="B865" t="s">
        <v>349</v>
      </c>
      <c r="C865" s="3">
        <v>45695.975740740745</v>
      </c>
      <c r="D865" t="s">
        <v>349</v>
      </c>
      <c r="E865" s="4">
        <v>111.94799999999999</v>
      </c>
      <c r="F865" s="4">
        <v>359613.65299999999</v>
      </c>
      <c r="G865" s="4">
        <v>359725.60100000002</v>
      </c>
      <c r="H865" s="5">
        <f>9421 / 86400</f>
        <v>0.10903935185185185</v>
      </c>
      <c r="I865" t="s">
        <v>111</v>
      </c>
      <c r="J865" t="s">
        <v>24</v>
      </c>
      <c r="K865" s="5">
        <f>26571 / 86400</f>
        <v>0.30753472222222222</v>
      </c>
      <c r="L865" s="5">
        <f>8 / 86400</f>
        <v>9.2592592592592588E-5</v>
      </c>
    </row>
    <row r="866" spans="1:12" x14ac:dyDescent="0.25">
      <c r="A866" s="3">
        <v>45695.97583333333</v>
      </c>
      <c r="B866" t="s">
        <v>349</v>
      </c>
      <c r="C866" s="3">
        <v>45695.975856481484</v>
      </c>
      <c r="D866" t="s">
        <v>349</v>
      </c>
      <c r="E866" s="4">
        <v>0</v>
      </c>
      <c r="F866" s="4">
        <v>359725.60100000002</v>
      </c>
      <c r="G866" s="4">
        <v>359725.60100000002</v>
      </c>
      <c r="H866" s="5">
        <f>1 / 86400</f>
        <v>1.1574074074074073E-5</v>
      </c>
      <c r="I866" t="s">
        <v>129</v>
      </c>
      <c r="J866" t="s">
        <v>129</v>
      </c>
      <c r="K866" s="5">
        <f>2 / 86400</f>
        <v>2.3148148148148147E-5</v>
      </c>
      <c r="L866" s="5">
        <f>403 / 86400</f>
        <v>4.6643518518518518E-3</v>
      </c>
    </row>
    <row r="867" spans="1:12" x14ac:dyDescent="0.25">
      <c r="A867" s="3">
        <v>45695.980520833335</v>
      </c>
      <c r="B867" t="s">
        <v>349</v>
      </c>
      <c r="C867" s="3">
        <v>45695.986956018518</v>
      </c>
      <c r="D867" t="s">
        <v>29</v>
      </c>
      <c r="E867" s="4">
        <v>1.7330000000000001</v>
      </c>
      <c r="F867" s="4">
        <v>359725.60100000002</v>
      </c>
      <c r="G867" s="4">
        <v>359727.33399999997</v>
      </c>
      <c r="H867" s="5">
        <f>143 / 86400</f>
        <v>1.6550925925925926E-3</v>
      </c>
      <c r="I867" t="s">
        <v>143</v>
      </c>
      <c r="J867" t="s">
        <v>112</v>
      </c>
      <c r="K867" s="5">
        <f>556 / 86400</f>
        <v>6.4351851851851853E-3</v>
      </c>
      <c r="L867" s="5">
        <f>1126 / 86400</f>
        <v>1.3032407407407407E-2</v>
      </c>
    </row>
    <row r="868" spans="1:12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 spans="1:12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 spans="1:12" s="10" customFormat="1" ht="20.100000000000001" customHeight="1" x14ac:dyDescent="0.35">
      <c r="A870" s="12" t="s">
        <v>427</v>
      </c>
      <c r="B870" s="12"/>
      <c r="C870" s="12"/>
      <c r="D870" s="12"/>
      <c r="E870" s="12"/>
      <c r="F870" s="12"/>
      <c r="G870" s="12"/>
      <c r="H870" s="12"/>
      <c r="I870" s="12"/>
      <c r="J870" s="12"/>
    </row>
    <row r="871" spans="1:12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 spans="1:12" ht="30" x14ac:dyDescent="0.25">
      <c r="A872" s="2" t="s">
        <v>6</v>
      </c>
      <c r="B872" s="2" t="s">
        <v>7</v>
      </c>
      <c r="C872" s="2" t="s">
        <v>8</v>
      </c>
      <c r="D872" s="2" t="s">
        <v>9</v>
      </c>
      <c r="E872" s="2" t="s">
        <v>10</v>
      </c>
      <c r="F872" s="2" t="s">
        <v>11</v>
      </c>
      <c r="G872" s="2" t="s">
        <v>12</v>
      </c>
      <c r="H872" s="2" t="s">
        <v>13</v>
      </c>
      <c r="I872" s="2" t="s">
        <v>14</v>
      </c>
      <c r="J872" s="2" t="s">
        <v>15</v>
      </c>
      <c r="K872" s="2" t="s">
        <v>16</v>
      </c>
      <c r="L872" s="2" t="s">
        <v>17</v>
      </c>
    </row>
    <row r="873" spans="1:12" x14ac:dyDescent="0.25">
      <c r="A873" s="3">
        <v>45695.275127314817</v>
      </c>
      <c r="B873" t="s">
        <v>92</v>
      </c>
      <c r="C873" s="3">
        <v>45695.414965277778</v>
      </c>
      <c r="D873" t="s">
        <v>363</v>
      </c>
      <c r="E873" s="4">
        <v>39.9</v>
      </c>
      <c r="F873" s="4">
        <v>80820.789999999994</v>
      </c>
      <c r="G873" s="4">
        <v>80860.69</v>
      </c>
      <c r="H873" s="5">
        <f>6278 / 86400</f>
        <v>7.2662037037037039E-2</v>
      </c>
      <c r="I873" t="s">
        <v>93</v>
      </c>
      <c r="J873" t="s">
        <v>57</v>
      </c>
      <c r="K873" s="5">
        <f>12082 / 86400</f>
        <v>0.13983796296296297</v>
      </c>
      <c r="L873" s="5">
        <f>24850 / 86400</f>
        <v>0.28761574074074076</v>
      </c>
    </row>
    <row r="874" spans="1:12" x14ac:dyDescent="0.25">
      <c r="A874" s="3">
        <v>45695.427453703705</v>
      </c>
      <c r="B874" t="s">
        <v>363</v>
      </c>
      <c r="C874" s="3">
        <v>45695.552546296298</v>
      </c>
      <c r="D874" t="s">
        <v>315</v>
      </c>
      <c r="E874" s="4">
        <v>41.201999999999998</v>
      </c>
      <c r="F874" s="4">
        <v>80860.69</v>
      </c>
      <c r="G874" s="4">
        <v>80901.892000000007</v>
      </c>
      <c r="H874" s="5">
        <f>4498 / 86400</f>
        <v>5.2060185185185189E-2</v>
      </c>
      <c r="I874" t="s">
        <v>33</v>
      </c>
      <c r="J874" t="s">
        <v>34</v>
      </c>
      <c r="K874" s="5">
        <f>10808 / 86400</f>
        <v>0.12509259259259259</v>
      </c>
      <c r="L874" s="5">
        <f>10 / 86400</f>
        <v>1.1574074074074075E-4</v>
      </c>
    </row>
    <row r="875" spans="1:12" x14ac:dyDescent="0.25">
      <c r="A875" s="3">
        <v>45695.552662037036</v>
      </c>
      <c r="B875" t="s">
        <v>315</v>
      </c>
      <c r="C875" s="3">
        <v>45695.552708333329</v>
      </c>
      <c r="D875" t="s">
        <v>315</v>
      </c>
      <c r="E875" s="4">
        <v>0</v>
      </c>
      <c r="F875" s="4">
        <v>80901.892000000007</v>
      </c>
      <c r="G875" s="4">
        <v>80901.892000000007</v>
      </c>
      <c r="H875" s="5">
        <f>1 / 86400</f>
        <v>1.1574074074074073E-5</v>
      </c>
      <c r="I875" t="s">
        <v>129</v>
      </c>
      <c r="J875" t="s">
        <v>129</v>
      </c>
      <c r="K875" s="5">
        <f>4 / 86400</f>
        <v>4.6296296296296294E-5</v>
      </c>
      <c r="L875" s="5">
        <f>200 / 86400</f>
        <v>2.3148148148148147E-3</v>
      </c>
    </row>
    <row r="876" spans="1:12" x14ac:dyDescent="0.25">
      <c r="A876" s="3">
        <v>45695.555023148147</v>
      </c>
      <c r="B876" t="s">
        <v>337</v>
      </c>
      <c r="C876" s="3">
        <v>45695.557743055557</v>
      </c>
      <c r="D876" t="s">
        <v>92</v>
      </c>
      <c r="E876" s="4">
        <v>1.1599999999999999</v>
      </c>
      <c r="F876" s="4">
        <v>80901.892000000007</v>
      </c>
      <c r="G876" s="4">
        <v>80903.051999999996</v>
      </c>
      <c r="H876" s="5">
        <f>19 / 86400</f>
        <v>2.199074074074074E-4</v>
      </c>
      <c r="I876" t="s">
        <v>230</v>
      </c>
      <c r="J876" t="s">
        <v>69</v>
      </c>
      <c r="K876" s="5">
        <f>235 / 86400</f>
        <v>2.7199074074074074E-3</v>
      </c>
      <c r="L876" s="5">
        <f>5426 / 86400</f>
        <v>6.2800925925925927E-2</v>
      </c>
    </row>
    <row r="877" spans="1:12" x14ac:dyDescent="0.25">
      <c r="A877" s="3">
        <v>45695.62054398148</v>
      </c>
      <c r="B877" t="s">
        <v>92</v>
      </c>
      <c r="C877" s="3">
        <v>45695.878969907411</v>
      </c>
      <c r="D877" t="s">
        <v>337</v>
      </c>
      <c r="E877" s="4">
        <v>94.997</v>
      </c>
      <c r="F877" s="4">
        <v>80903.051999999996</v>
      </c>
      <c r="G877" s="4">
        <v>80998.048999999999</v>
      </c>
      <c r="H877" s="5">
        <f>8019 / 86400</f>
        <v>9.2812500000000006E-2</v>
      </c>
      <c r="I877" t="s">
        <v>19</v>
      </c>
      <c r="J877" t="s">
        <v>24</v>
      </c>
      <c r="K877" s="5">
        <f>22328 / 86400</f>
        <v>0.25842592592592595</v>
      </c>
      <c r="L877" s="5">
        <f>135 / 86400</f>
        <v>1.5625000000000001E-3</v>
      </c>
    </row>
    <row r="878" spans="1:12" x14ac:dyDescent="0.25">
      <c r="A878" s="3">
        <v>45695.880532407406</v>
      </c>
      <c r="B878" t="s">
        <v>337</v>
      </c>
      <c r="C878" s="3">
        <v>45695.896921296298</v>
      </c>
      <c r="D878" t="s">
        <v>92</v>
      </c>
      <c r="E878" s="4">
        <v>1.6879999999999999</v>
      </c>
      <c r="F878" s="4">
        <v>80998.048999999999</v>
      </c>
      <c r="G878" s="4">
        <v>80999.736999999994</v>
      </c>
      <c r="H878" s="5">
        <f>839 / 86400</f>
        <v>9.7106481481481488E-3</v>
      </c>
      <c r="I878" t="s">
        <v>213</v>
      </c>
      <c r="J878" t="s">
        <v>82</v>
      </c>
      <c r="K878" s="5">
        <f>1416 / 86400</f>
        <v>1.638888888888889E-2</v>
      </c>
      <c r="L878" s="5">
        <f>1 / 86400</f>
        <v>1.1574074074074073E-5</v>
      </c>
    </row>
    <row r="879" spans="1:12" x14ac:dyDescent="0.25">
      <c r="A879" s="3">
        <v>45695.896932870368</v>
      </c>
      <c r="B879" t="s">
        <v>92</v>
      </c>
      <c r="C879" s="3">
        <v>45695.897650462968</v>
      </c>
      <c r="D879" t="s">
        <v>92</v>
      </c>
      <c r="E879" s="4">
        <v>1.2E-2</v>
      </c>
      <c r="F879" s="4">
        <v>80999.736999999994</v>
      </c>
      <c r="G879" s="4">
        <v>80999.748999999996</v>
      </c>
      <c r="H879" s="5">
        <f>46 / 86400</f>
        <v>5.3240740740740744E-4</v>
      </c>
      <c r="I879" t="s">
        <v>129</v>
      </c>
      <c r="J879" t="s">
        <v>127</v>
      </c>
      <c r="K879" s="5">
        <f>62 / 86400</f>
        <v>7.1759259259259259E-4</v>
      </c>
      <c r="L879" s="5">
        <f>1077 / 86400</f>
        <v>1.2465277777777778E-2</v>
      </c>
    </row>
    <row r="880" spans="1:12" x14ac:dyDescent="0.25">
      <c r="A880" s="3">
        <v>45695.910115740742</v>
      </c>
      <c r="B880" t="s">
        <v>107</v>
      </c>
      <c r="C880" s="3">
        <v>45695.910787037035</v>
      </c>
      <c r="D880" t="s">
        <v>92</v>
      </c>
      <c r="E880" s="4">
        <v>4.4999999999999998E-2</v>
      </c>
      <c r="F880" s="4">
        <v>80999.748999999996</v>
      </c>
      <c r="G880" s="4">
        <v>80999.793999999994</v>
      </c>
      <c r="H880" s="5">
        <f>19 / 86400</f>
        <v>2.199074074074074E-4</v>
      </c>
      <c r="I880" t="s">
        <v>132</v>
      </c>
      <c r="J880" t="s">
        <v>140</v>
      </c>
      <c r="K880" s="5">
        <f>58 / 86400</f>
        <v>6.7129629629629625E-4</v>
      </c>
      <c r="L880" s="5">
        <f>7707 / 86400</f>
        <v>8.9201388888888886E-2</v>
      </c>
    </row>
    <row r="881" spans="1:12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 spans="1:12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 spans="1:12" s="10" customFormat="1" ht="20.100000000000001" customHeight="1" x14ac:dyDescent="0.35">
      <c r="A883" s="12" t="s">
        <v>428</v>
      </c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2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 spans="1:12" ht="30" x14ac:dyDescent="0.25">
      <c r="A885" s="2" t="s">
        <v>6</v>
      </c>
      <c r="B885" s="2" t="s">
        <v>7</v>
      </c>
      <c r="C885" s="2" t="s">
        <v>8</v>
      </c>
      <c r="D885" s="2" t="s">
        <v>9</v>
      </c>
      <c r="E885" s="2" t="s">
        <v>10</v>
      </c>
      <c r="F885" s="2" t="s">
        <v>11</v>
      </c>
      <c r="G885" s="2" t="s">
        <v>12</v>
      </c>
      <c r="H885" s="2" t="s">
        <v>13</v>
      </c>
      <c r="I885" s="2" t="s">
        <v>14</v>
      </c>
      <c r="J885" s="2" t="s">
        <v>15</v>
      </c>
      <c r="K885" s="2" t="s">
        <v>16</v>
      </c>
      <c r="L885" s="2" t="s">
        <v>17</v>
      </c>
    </row>
    <row r="886" spans="1:12" x14ac:dyDescent="0.25">
      <c r="A886" s="3">
        <v>45695.200995370367</v>
      </c>
      <c r="B886" t="s">
        <v>41</v>
      </c>
      <c r="C886" s="3">
        <v>45695.204641203702</v>
      </c>
      <c r="D886" t="s">
        <v>110</v>
      </c>
      <c r="E886" s="4">
        <v>0.84199999999999997</v>
      </c>
      <c r="F886" s="4">
        <v>468277.69</v>
      </c>
      <c r="G886" s="4">
        <v>468278.53200000001</v>
      </c>
      <c r="H886" s="5">
        <f>139 / 86400</f>
        <v>1.6087962962962963E-3</v>
      </c>
      <c r="I886" t="s">
        <v>317</v>
      </c>
      <c r="J886" t="s">
        <v>45</v>
      </c>
      <c r="K886" s="5">
        <f>314 / 86400</f>
        <v>3.6342592592592594E-3</v>
      </c>
      <c r="L886" s="5">
        <f>17748 / 86400</f>
        <v>0.20541666666666666</v>
      </c>
    </row>
    <row r="887" spans="1:12" x14ac:dyDescent="0.25">
      <c r="A887" s="3">
        <v>45695.209062499998</v>
      </c>
      <c r="B887" t="s">
        <v>110</v>
      </c>
      <c r="C887" s="3">
        <v>45695.209479166668</v>
      </c>
      <c r="D887" t="s">
        <v>110</v>
      </c>
      <c r="E887" s="4">
        <v>6.5000000000000002E-2</v>
      </c>
      <c r="F887" s="4">
        <v>468278.53200000001</v>
      </c>
      <c r="G887" s="4">
        <v>468278.59700000001</v>
      </c>
      <c r="H887" s="5">
        <f>0 / 86400</f>
        <v>0</v>
      </c>
      <c r="I887" t="s">
        <v>45</v>
      </c>
      <c r="J887" t="s">
        <v>91</v>
      </c>
      <c r="K887" s="5">
        <f>36 / 86400</f>
        <v>4.1666666666666669E-4</v>
      </c>
      <c r="L887" s="5">
        <f>276 / 86400</f>
        <v>3.1944444444444446E-3</v>
      </c>
    </row>
    <row r="888" spans="1:12" x14ac:dyDescent="0.25">
      <c r="A888" s="3">
        <v>45695.212673611109</v>
      </c>
      <c r="B888" t="s">
        <v>110</v>
      </c>
      <c r="C888" s="3">
        <v>45695.216249999998</v>
      </c>
      <c r="D888" t="s">
        <v>337</v>
      </c>
      <c r="E888" s="4">
        <v>0.76100000000000001</v>
      </c>
      <c r="F888" s="4">
        <v>468278.59700000001</v>
      </c>
      <c r="G888" s="4">
        <v>468279.35800000001</v>
      </c>
      <c r="H888" s="5">
        <f>119 / 86400</f>
        <v>1.3773148148148147E-3</v>
      </c>
      <c r="I888" t="s">
        <v>157</v>
      </c>
      <c r="J888" t="s">
        <v>71</v>
      </c>
      <c r="K888" s="5">
        <f>308 / 86400</f>
        <v>3.5648148148148149E-3</v>
      </c>
      <c r="L888" s="5">
        <f>252 / 86400</f>
        <v>2.9166666666666668E-3</v>
      </c>
    </row>
    <row r="889" spans="1:12" x14ac:dyDescent="0.25">
      <c r="A889" s="3">
        <v>45695.219166666662</v>
      </c>
      <c r="B889" t="s">
        <v>337</v>
      </c>
      <c r="C889" s="3">
        <v>45695.514537037037</v>
      </c>
      <c r="D889" t="s">
        <v>128</v>
      </c>
      <c r="E889" s="4">
        <v>102.13500000000001</v>
      </c>
      <c r="F889" s="4">
        <v>468279.35800000001</v>
      </c>
      <c r="G889" s="4">
        <v>468381.49300000002</v>
      </c>
      <c r="H889" s="5">
        <f>11079 / 86400</f>
        <v>0.12822916666666667</v>
      </c>
      <c r="I889" t="s">
        <v>59</v>
      </c>
      <c r="J889" t="s">
        <v>34</v>
      </c>
      <c r="K889" s="5">
        <f>25520 / 86400</f>
        <v>0.29537037037037039</v>
      </c>
      <c r="L889" s="5">
        <f>537 / 86400</f>
        <v>6.2152777777777779E-3</v>
      </c>
    </row>
    <row r="890" spans="1:12" x14ac:dyDescent="0.25">
      <c r="A890" s="3">
        <v>45695.520752314813</v>
      </c>
      <c r="B890" t="s">
        <v>128</v>
      </c>
      <c r="C890" s="3">
        <v>45695.52244212963</v>
      </c>
      <c r="D890" t="s">
        <v>48</v>
      </c>
      <c r="E890" s="4">
        <v>0.745</v>
      </c>
      <c r="F890" s="4">
        <v>468381.49300000002</v>
      </c>
      <c r="G890" s="4">
        <v>468382.23800000001</v>
      </c>
      <c r="H890" s="5">
        <f>0 / 86400</f>
        <v>0</v>
      </c>
      <c r="I890" t="s">
        <v>304</v>
      </c>
      <c r="J890" t="s">
        <v>69</v>
      </c>
      <c r="K890" s="5">
        <f>145 / 86400</f>
        <v>1.6782407407407408E-3</v>
      </c>
      <c r="L890" s="5">
        <f>263 / 86400</f>
        <v>3.0439814814814813E-3</v>
      </c>
    </row>
    <row r="891" spans="1:12" x14ac:dyDescent="0.25">
      <c r="A891" s="3">
        <v>45695.52548611111</v>
      </c>
      <c r="B891" t="s">
        <v>48</v>
      </c>
      <c r="C891" s="3">
        <v>45695.527071759258</v>
      </c>
      <c r="D891" t="s">
        <v>121</v>
      </c>
      <c r="E891" s="4">
        <v>0.23699999999999999</v>
      </c>
      <c r="F891" s="4">
        <v>468382.23800000001</v>
      </c>
      <c r="G891" s="4">
        <v>468382.47499999998</v>
      </c>
      <c r="H891" s="5">
        <f>39 / 86400</f>
        <v>4.5138888888888887E-4</v>
      </c>
      <c r="I891" t="s">
        <v>37</v>
      </c>
      <c r="J891" t="s">
        <v>132</v>
      </c>
      <c r="K891" s="5">
        <f>136 / 86400</f>
        <v>1.5740740740740741E-3</v>
      </c>
      <c r="L891" s="5">
        <f>318 / 86400</f>
        <v>3.6805555555555554E-3</v>
      </c>
    </row>
    <row r="892" spans="1:12" x14ac:dyDescent="0.25">
      <c r="A892" s="3">
        <v>45695.530752314815</v>
      </c>
      <c r="B892" t="s">
        <v>121</v>
      </c>
      <c r="C892" s="3">
        <v>45695.532708333332</v>
      </c>
      <c r="D892" t="s">
        <v>147</v>
      </c>
      <c r="E892" s="4">
        <v>0.66</v>
      </c>
      <c r="F892" s="4">
        <v>468382.47499999998</v>
      </c>
      <c r="G892" s="4">
        <v>468383.13500000001</v>
      </c>
      <c r="H892" s="5">
        <f>0 / 86400</f>
        <v>0</v>
      </c>
      <c r="I892" t="s">
        <v>151</v>
      </c>
      <c r="J892" t="s">
        <v>34</v>
      </c>
      <c r="K892" s="5">
        <f>168 / 86400</f>
        <v>1.9444444444444444E-3</v>
      </c>
      <c r="L892" s="5">
        <f>359 / 86400</f>
        <v>4.1550925925925922E-3</v>
      </c>
    </row>
    <row r="893" spans="1:12" x14ac:dyDescent="0.25">
      <c r="A893" s="3">
        <v>45695.536863425921</v>
      </c>
      <c r="B893" t="s">
        <v>147</v>
      </c>
      <c r="C893" s="3">
        <v>45695.538854166662</v>
      </c>
      <c r="D893" t="s">
        <v>48</v>
      </c>
      <c r="E893" s="4">
        <v>0.79800000000000004</v>
      </c>
      <c r="F893" s="4">
        <v>468383.13500000001</v>
      </c>
      <c r="G893" s="4">
        <v>468383.93300000002</v>
      </c>
      <c r="H893" s="5">
        <f>40 / 86400</f>
        <v>4.6296296296296298E-4</v>
      </c>
      <c r="I893" t="s">
        <v>304</v>
      </c>
      <c r="J893" t="s">
        <v>28</v>
      </c>
      <c r="K893" s="5">
        <f>171 / 86400</f>
        <v>1.9791666666666668E-3</v>
      </c>
      <c r="L893" s="5">
        <f>978 / 86400</f>
        <v>1.1319444444444444E-2</v>
      </c>
    </row>
    <row r="894" spans="1:12" x14ac:dyDescent="0.25">
      <c r="A894" s="3">
        <v>45695.550173611111</v>
      </c>
      <c r="B894" t="s">
        <v>48</v>
      </c>
      <c r="C894" s="3">
        <v>45695.736539351856</v>
      </c>
      <c r="D894" t="s">
        <v>128</v>
      </c>
      <c r="E894" s="4">
        <v>85.97</v>
      </c>
      <c r="F894" s="4">
        <v>468383.93300000002</v>
      </c>
      <c r="G894" s="4">
        <v>468469.90299999999</v>
      </c>
      <c r="H894" s="5">
        <f>4779 / 86400</f>
        <v>5.5312500000000001E-2</v>
      </c>
      <c r="I894" t="s">
        <v>55</v>
      </c>
      <c r="J894" t="s">
        <v>90</v>
      </c>
      <c r="K894" s="5">
        <f>16101 / 86400</f>
        <v>0.18635416666666665</v>
      </c>
      <c r="L894" s="5">
        <f>543 / 86400</f>
        <v>6.2847222222222219E-3</v>
      </c>
    </row>
    <row r="895" spans="1:12" x14ac:dyDescent="0.25">
      <c r="A895" s="3">
        <v>45695.74282407407</v>
      </c>
      <c r="B895" t="s">
        <v>128</v>
      </c>
      <c r="C895" s="3">
        <v>45695.744120370371</v>
      </c>
      <c r="D895" t="s">
        <v>147</v>
      </c>
      <c r="E895" s="4">
        <v>0.128</v>
      </c>
      <c r="F895" s="4">
        <v>468469.90299999999</v>
      </c>
      <c r="G895" s="4">
        <v>468470.03100000002</v>
      </c>
      <c r="H895" s="5">
        <f>40 / 86400</f>
        <v>4.6296296296296298E-4</v>
      </c>
      <c r="I895" t="s">
        <v>57</v>
      </c>
      <c r="J895" t="s">
        <v>82</v>
      </c>
      <c r="K895" s="5">
        <f>111 / 86400</f>
        <v>1.2847222222222223E-3</v>
      </c>
      <c r="L895" s="5">
        <f>36 / 86400</f>
        <v>4.1666666666666669E-4</v>
      </c>
    </row>
    <row r="896" spans="1:12" x14ac:dyDescent="0.25">
      <c r="A896" s="3">
        <v>45695.744537037041</v>
      </c>
      <c r="B896" t="s">
        <v>147</v>
      </c>
      <c r="C896" s="3">
        <v>45695.972592592589</v>
      </c>
      <c r="D896" t="s">
        <v>110</v>
      </c>
      <c r="E896" s="4">
        <v>95.906000000000006</v>
      </c>
      <c r="F896" s="4">
        <v>468470.03100000002</v>
      </c>
      <c r="G896" s="4">
        <v>468565.93699999998</v>
      </c>
      <c r="H896" s="5">
        <f>6978 / 86400</f>
        <v>8.0763888888888885E-2</v>
      </c>
      <c r="I896" t="s">
        <v>68</v>
      </c>
      <c r="J896" t="s">
        <v>69</v>
      </c>
      <c r="K896" s="5">
        <f>19703 / 86400</f>
        <v>0.22804398148148147</v>
      </c>
      <c r="L896" s="5">
        <f>346 / 86400</f>
        <v>4.0046296296296297E-3</v>
      </c>
    </row>
    <row r="897" spans="1:12" x14ac:dyDescent="0.25">
      <c r="A897" s="3">
        <v>45695.976597222223</v>
      </c>
      <c r="B897" t="s">
        <v>110</v>
      </c>
      <c r="C897" s="3">
        <v>45695.981319444443</v>
      </c>
      <c r="D897" t="s">
        <v>41</v>
      </c>
      <c r="E897" s="4">
        <v>0.85</v>
      </c>
      <c r="F897" s="4">
        <v>468565.93699999998</v>
      </c>
      <c r="G897" s="4">
        <v>468566.78700000001</v>
      </c>
      <c r="H897" s="5">
        <f>180 / 86400</f>
        <v>2.0833333333333333E-3</v>
      </c>
      <c r="I897" t="s">
        <v>304</v>
      </c>
      <c r="J897" t="s">
        <v>141</v>
      </c>
      <c r="K897" s="5">
        <f>408 / 86400</f>
        <v>4.7222222222222223E-3</v>
      </c>
      <c r="L897" s="5">
        <f>1613 / 86400</f>
        <v>1.8668981481481481E-2</v>
      </c>
    </row>
    <row r="898" spans="1:12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 spans="1:12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 spans="1:12" s="10" customFormat="1" ht="20.100000000000001" customHeight="1" x14ac:dyDescent="0.35">
      <c r="A900" s="12" t="s">
        <v>429</v>
      </c>
      <c r="B900" s="12"/>
      <c r="C900" s="12"/>
      <c r="D900" s="12"/>
      <c r="E900" s="12"/>
      <c r="F900" s="12"/>
      <c r="G900" s="12"/>
      <c r="H900" s="12"/>
      <c r="I900" s="12"/>
      <c r="J900" s="12"/>
    </row>
    <row r="901" spans="1:12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 spans="1:12" ht="30" x14ac:dyDescent="0.25">
      <c r="A902" s="2" t="s">
        <v>6</v>
      </c>
      <c r="B902" s="2" t="s">
        <v>7</v>
      </c>
      <c r="C902" s="2" t="s">
        <v>8</v>
      </c>
      <c r="D902" s="2" t="s">
        <v>9</v>
      </c>
      <c r="E902" s="2" t="s">
        <v>10</v>
      </c>
      <c r="F902" s="2" t="s">
        <v>11</v>
      </c>
      <c r="G902" s="2" t="s">
        <v>12</v>
      </c>
      <c r="H902" s="2" t="s">
        <v>13</v>
      </c>
      <c r="I902" s="2" t="s">
        <v>14</v>
      </c>
      <c r="J902" s="2" t="s">
        <v>15</v>
      </c>
      <c r="K902" s="2" t="s">
        <v>16</v>
      </c>
      <c r="L902" s="2" t="s">
        <v>17</v>
      </c>
    </row>
    <row r="903" spans="1:12" x14ac:dyDescent="0.25">
      <c r="A903" s="3">
        <v>45695.237569444449</v>
      </c>
      <c r="B903" t="s">
        <v>94</v>
      </c>
      <c r="C903" s="3">
        <v>45695.238541666666</v>
      </c>
      <c r="D903" t="s">
        <v>94</v>
      </c>
      <c r="E903" s="4">
        <v>0</v>
      </c>
      <c r="F903" s="4">
        <v>427686.22700000001</v>
      </c>
      <c r="G903" s="4">
        <v>427686.22700000001</v>
      </c>
      <c r="H903" s="5">
        <f>79 / 86400</f>
        <v>9.1435185185185185E-4</v>
      </c>
      <c r="I903" t="s">
        <v>129</v>
      </c>
      <c r="J903" t="s">
        <v>129</v>
      </c>
      <c r="K903" s="5">
        <f>84 / 86400</f>
        <v>9.7222222222222219E-4</v>
      </c>
      <c r="L903" s="5">
        <f>20901 / 86400</f>
        <v>0.24190972222222223</v>
      </c>
    </row>
    <row r="904" spans="1:12" x14ac:dyDescent="0.25">
      <c r="A904" s="3">
        <v>45695.242881944447</v>
      </c>
      <c r="B904" t="s">
        <v>94</v>
      </c>
      <c r="C904" s="3">
        <v>45695.272777777776</v>
      </c>
      <c r="D904" t="s">
        <v>22</v>
      </c>
      <c r="E904" s="4">
        <v>7.5730000000000004</v>
      </c>
      <c r="F904" s="4">
        <v>427686.22700000001</v>
      </c>
      <c r="G904" s="4">
        <v>427693.8</v>
      </c>
      <c r="H904" s="5">
        <f>1679 / 86400</f>
        <v>1.9432870370370371E-2</v>
      </c>
      <c r="I904" t="s">
        <v>194</v>
      </c>
      <c r="J904" t="s">
        <v>112</v>
      </c>
      <c r="K904" s="5">
        <f>2583 / 86400</f>
        <v>2.9895833333333333E-2</v>
      </c>
      <c r="L904" s="5">
        <f>3996 / 86400</f>
        <v>4.6249999999999999E-2</v>
      </c>
    </row>
    <row r="905" spans="1:12" x14ac:dyDescent="0.25">
      <c r="A905" s="3">
        <v>45695.319027777776</v>
      </c>
      <c r="B905" t="s">
        <v>22</v>
      </c>
      <c r="C905" s="3">
        <v>45695.322511574079</v>
      </c>
      <c r="D905" t="s">
        <v>21</v>
      </c>
      <c r="E905" s="4">
        <v>0.13200000000000001</v>
      </c>
      <c r="F905" s="4">
        <v>427693.8</v>
      </c>
      <c r="G905" s="4">
        <v>427693.93199999997</v>
      </c>
      <c r="H905" s="5">
        <f>239 / 86400</f>
        <v>2.7662037037037039E-3</v>
      </c>
      <c r="I905" t="s">
        <v>53</v>
      </c>
      <c r="J905" t="s">
        <v>87</v>
      </c>
      <c r="K905" s="5">
        <f>300 / 86400</f>
        <v>3.472222222222222E-3</v>
      </c>
      <c r="L905" s="5">
        <f>540 / 86400</f>
        <v>6.2500000000000003E-3</v>
      </c>
    </row>
    <row r="906" spans="1:12" x14ac:dyDescent="0.25">
      <c r="A906" s="3">
        <v>45695.32876157407</v>
      </c>
      <c r="B906" t="s">
        <v>21</v>
      </c>
      <c r="C906" s="3">
        <v>45695.334027777775</v>
      </c>
      <c r="D906" t="s">
        <v>147</v>
      </c>
      <c r="E906" s="4">
        <v>2.2909999999999999</v>
      </c>
      <c r="F906" s="4">
        <v>427693.93199999997</v>
      </c>
      <c r="G906" s="4">
        <v>427696.223</v>
      </c>
      <c r="H906" s="5">
        <f>40 / 86400</f>
        <v>4.6296296296296298E-4</v>
      </c>
      <c r="I906" t="s">
        <v>192</v>
      </c>
      <c r="J906" t="s">
        <v>69</v>
      </c>
      <c r="K906" s="5">
        <f>454 / 86400</f>
        <v>5.2546296296296299E-3</v>
      </c>
      <c r="L906" s="5">
        <f>1602 / 86400</f>
        <v>1.8541666666666668E-2</v>
      </c>
    </row>
    <row r="907" spans="1:12" x14ac:dyDescent="0.25">
      <c r="A907" s="3">
        <v>45695.35256944444</v>
      </c>
      <c r="B907" t="s">
        <v>147</v>
      </c>
      <c r="C907" s="3">
        <v>45695.353530092594</v>
      </c>
      <c r="D907" t="s">
        <v>128</v>
      </c>
      <c r="E907" s="4">
        <v>5.6000000000000001E-2</v>
      </c>
      <c r="F907" s="4">
        <v>427696.223</v>
      </c>
      <c r="G907" s="4">
        <v>427696.27899999998</v>
      </c>
      <c r="H907" s="5">
        <f>39 / 86400</f>
        <v>4.5138888888888887E-4</v>
      </c>
      <c r="I907" t="s">
        <v>71</v>
      </c>
      <c r="J907" t="s">
        <v>87</v>
      </c>
      <c r="K907" s="5">
        <f>82 / 86400</f>
        <v>9.4907407407407408E-4</v>
      </c>
      <c r="L907" s="5">
        <f>312 / 86400</f>
        <v>3.6111111111111109E-3</v>
      </c>
    </row>
    <row r="908" spans="1:12" x14ac:dyDescent="0.25">
      <c r="A908" s="3">
        <v>45695.357141203705</v>
      </c>
      <c r="B908" t="s">
        <v>128</v>
      </c>
      <c r="C908" s="3">
        <v>45695.357731481483</v>
      </c>
      <c r="D908" t="s">
        <v>128</v>
      </c>
      <c r="E908" s="4">
        <v>1.7000000000000001E-2</v>
      </c>
      <c r="F908" s="4">
        <v>427696.27899999998</v>
      </c>
      <c r="G908" s="4">
        <v>427696.29599999997</v>
      </c>
      <c r="H908" s="5">
        <f>19 / 86400</f>
        <v>2.199074074074074E-4</v>
      </c>
      <c r="I908" t="s">
        <v>132</v>
      </c>
      <c r="J908" t="s">
        <v>127</v>
      </c>
      <c r="K908" s="5">
        <f>50 / 86400</f>
        <v>5.7870370370370367E-4</v>
      </c>
      <c r="L908" s="5">
        <f>7065 / 86400</f>
        <v>8.1770833333333334E-2</v>
      </c>
    </row>
    <row r="909" spans="1:12" x14ac:dyDescent="0.25">
      <c r="A909" s="3">
        <v>45695.43950231481</v>
      </c>
      <c r="B909" t="s">
        <v>128</v>
      </c>
      <c r="C909" s="3">
        <v>45695.609814814816</v>
      </c>
      <c r="D909" t="s">
        <v>364</v>
      </c>
      <c r="E909" s="4">
        <v>58.722000000000001</v>
      </c>
      <c r="F909" s="4">
        <v>427696.29599999997</v>
      </c>
      <c r="G909" s="4">
        <v>427755.01799999998</v>
      </c>
      <c r="H909" s="5">
        <f>6360 / 86400</f>
        <v>7.3611111111111113E-2</v>
      </c>
      <c r="I909" t="s">
        <v>23</v>
      </c>
      <c r="J909" t="s">
        <v>34</v>
      </c>
      <c r="K909" s="5">
        <f>14714 / 86400</f>
        <v>0.17030092592592594</v>
      </c>
      <c r="L909" s="5">
        <f>27 / 86400</f>
        <v>3.1250000000000001E-4</v>
      </c>
    </row>
    <row r="910" spans="1:12" x14ac:dyDescent="0.25">
      <c r="A910" s="3">
        <v>45695.610127314816</v>
      </c>
      <c r="B910" t="s">
        <v>364</v>
      </c>
      <c r="C910" s="3">
        <v>45695.632303240738</v>
      </c>
      <c r="D910" t="s">
        <v>365</v>
      </c>
      <c r="E910" s="4">
        <v>1.5229999999999999</v>
      </c>
      <c r="F910" s="4">
        <v>427755.01799999998</v>
      </c>
      <c r="G910" s="4">
        <v>427756.54100000003</v>
      </c>
      <c r="H910" s="5">
        <f>1319 / 86400</f>
        <v>1.5266203703703704E-2</v>
      </c>
      <c r="I910" t="s">
        <v>28</v>
      </c>
      <c r="J910" t="s">
        <v>140</v>
      </c>
      <c r="K910" s="5">
        <f>1916 / 86400</f>
        <v>2.2175925925925925E-2</v>
      </c>
      <c r="L910" s="5">
        <f>159 / 86400</f>
        <v>1.8402777777777777E-3</v>
      </c>
    </row>
    <row r="911" spans="1:12" x14ac:dyDescent="0.25">
      <c r="A911" s="3">
        <v>45695.634143518517</v>
      </c>
      <c r="B911" t="s">
        <v>365</v>
      </c>
      <c r="C911" s="3">
        <v>45695.732025462959</v>
      </c>
      <c r="D911" t="s">
        <v>315</v>
      </c>
      <c r="E911" s="4">
        <v>42.889000000000003</v>
      </c>
      <c r="F911" s="4">
        <v>427756.54100000003</v>
      </c>
      <c r="G911" s="4">
        <v>427799.43</v>
      </c>
      <c r="H911" s="5">
        <f>4619 / 86400</f>
        <v>5.3460648148148146E-2</v>
      </c>
      <c r="I911" t="s">
        <v>52</v>
      </c>
      <c r="J911" t="s">
        <v>69</v>
      </c>
      <c r="K911" s="5">
        <f>8456 / 86400</f>
        <v>9.7870370370370371E-2</v>
      </c>
      <c r="L911" s="5">
        <f>585 / 86400</f>
        <v>6.7708333333333336E-3</v>
      </c>
    </row>
    <row r="912" spans="1:12" x14ac:dyDescent="0.25">
      <c r="A912" s="3">
        <v>45695.738796296297</v>
      </c>
      <c r="B912" t="s">
        <v>337</v>
      </c>
      <c r="C912" s="3">
        <v>45695.74318287037</v>
      </c>
      <c r="D912" t="s">
        <v>128</v>
      </c>
      <c r="E912" s="4">
        <v>0.31</v>
      </c>
      <c r="F912" s="4">
        <v>427799.43</v>
      </c>
      <c r="G912" s="4">
        <v>427799.74</v>
      </c>
      <c r="H912" s="5">
        <f>219 / 86400</f>
        <v>2.5347222222222221E-3</v>
      </c>
      <c r="I912" t="s">
        <v>78</v>
      </c>
      <c r="J912" t="s">
        <v>140</v>
      </c>
      <c r="K912" s="5">
        <f>379 / 86400</f>
        <v>4.386574074074074E-3</v>
      </c>
      <c r="L912" s="5">
        <f>117 / 86400</f>
        <v>1.3541666666666667E-3</v>
      </c>
    </row>
    <row r="913" spans="1:12" x14ac:dyDescent="0.25">
      <c r="A913" s="3">
        <v>45695.744537037041</v>
      </c>
      <c r="B913" t="s">
        <v>128</v>
      </c>
      <c r="C913" s="3">
        <v>45695.745451388888</v>
      </c>
      <c r="D913" t="s">
        <v>128</v>
      </c>
      <c r="E913" s="4">
        <v>7.0000000000000001E-3</v>
      </c>
      <c r="F913" s="4">
        <v>427799.74</v>
      </c>
      <c r="G913" s="4">
        <v>427799.74699999997</v>
      </c>
      <c r="H913" s="5">
        <f>59 / 86400</f>
        <v>6.8287037037037036E-4</v>
      </c>
      <c r="I913" t="s">
        <v>129</v>
      </c>
      <c r="J913" t="s">
        <v>129</v>
      </c>
      <c r="K913" s="5">
        <f>79 / 86400</f>
        <v>9.1435185185185185E-4</v>
      </c>
      <c r="L913" s="5">
        <f>56 / 86400</f>
        <v>6.4814814814814813E-4</v>
      </c>
    </row>
    <row r="914" spans="1:12" x14ac:dyDescent="0.25">
      <c r="A914" s="3">
        <v>45695.746099537035</v>
      </c>
      <c r="B914" t="s">
        <v>128</v>
      </c>
      <c r="C914" s="3">
        <v>45695.75172453704</v>
      </c>
      <c r="D914" t="s">
        <v>147</v>
      </c>
      <c r="E914" s="4">
        <v>7.9000000000000001E-2</v>
      </c>
      <c r="F914" s="4">
        <v>427799.74699999997</v>
      </c>
      <c r="G914" s="4">
        <v>427799.826</v>
      </c>
      <c r="H914" s="5">
        <f>459 / 86400</f>
        <v>5.3125000000000004E-3</v>
      </c>
      <c r="I914" t="s">
        <v>132</v>
      </c>
      <c r="J914" t="s">
        <v>127</v>
      </c>
      <c r="K914" s="5">
        <f>486 / 86400</f>
        <v>5.6249999999999998E-3</v>
      </c>
      <c r="L914" s="5">
        <f>2971 / 86400</f>
        <v>3.4386574074074076E-2</v>
      </c>
    </row>
    <row r="915" spans="1:12" x14ac:dyDescent="0.25">
      <c r="A915" s="3">
        <v>45695.786111111112</v>
      </c>
      <c r="B915" t="s">
        <v>147</v>
      </c>
      <c r="C915" s="3">
        <v>45695.791006944448</v>
      </c>
      <c r="D915" t="s">
        <v>95</v>
      </c>
      <c r="E915" s="4">
        <v>0.75</v>
      </c>
      <c r="F915" s="4">
        <v>427799.826</v>
      </c>
      <c r="G915" s="4">
        <v>427800.576</v>
      </c>
      <c r="H915" s="5">
        <f>239 / 86400</f>
        <v>2.7662037037037039E-3</v>
      </c>
      <c r="I915" t="s">
        <v>157</v>
      </c>
      <c r="J915" t="s">
        <v>132</v>
      </c>
      <c r="K915" s="5">
        <f>423 / 86400</f>
        <v>4.8958333333333336E-3</v>
      </c>
      <c r="L915" s="5">
        <f>18056 / 86400</f>
        <v>0.20898148148148149</v>
      </c>
    </row>
    <row r="916" spans="1:12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 spans="1:12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 spans="1:12" s="10" customFormat="1" ht="20.100000000000001" customHeight="1" x14ac:dyDescent="0.35">
      <c r="A918" s="12" t="s">
        <v>430</v>
      </c>
      <c r="B918" s="12"/>
      <c r="C918" s="12"/>
      <c r="D918" s="12"/>
      <c r="E918" s="12"/>
      <c r="F918" s="12"/>
      <c r="G918" s="12"/>
      <c r="H918" s="12"/>
      <c r="I918" s="12"/>
      <c r="J918" s="12"/>
    </row>
    <row r="919" spans="1:12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 spans="1:12" ht="30" x14ac:dyDescent="0.25">
      <c r="A920" s="2" t="s">
        <v>6</v>
      </c>
      <c r="B920" s="2" t="s">
        <v>7</v>
      </c>
      <c r="C920" s="2" t="s">
        <v>8</v>
      </c>
      <c r="D920" s="2" t="s">
        <v>9</v>
      </c>
      <c r="E920" s="2" t="s">
        <v>10</v>
      </c>
      <c r="F920" s="2" t="s">
        <v>11</v>
      </c>
      <c r="G920" s="2" t="s">
        <v>12</v>
      </c>
      <c r="H920" s="2" t="s">
        <v>13</v>
      </c>
      <c r="I920" s="2" t="s">
        <v>14</v>
      </c>
      <c r="J920" s="2" t="s">
        <v>15</v>
      </c>
      <c r="K920" s="2" t="s">
        <v>16</v>
      </c>
      <c r="L920" s="2" t="s">
        <v>17</v>
      </c>
    </row>
    <row r="921" spans="1:12" x14ac:dyDescent="0.25">
      <c r="A921" s="3">
        <v>45695.220416666663</v>
      </c>
      <c r="B921" t="s">
        <v>29</v>
      </c>
      <c r="C921" s="3">
        <v>45695.232905092591</v>
      </c>
      <c r="D921" t="s">
        <v>349</v>
      </c>
      <c r="E921" s="4">
        <v>1.4490000000000001</v>
      </c>
      <c r="F921" s="4">
        <v>574450.14199999999</v>
      </c>
      <c r="G921" s="4">
        <v>574451.59100000001</v>
      </c>
      <c r="H921" s="5">
        <f>759 / 86400</f>
        <v>8.7847222222222215E-3</v>
      </c>
      <c r="I921" t="s">
        <v>157</v>
      </c>
      <c r="J921" t="s">
        <v>126</v>
      </c>
      <c r="K921" s="5">
        <f>1079 / 86400</f>
        <v>1.2488425925925925E-2</v>
      </c>
      <c r="L921" s="5">
        <f>19163 / 86400</f>
        <v>0.22179398148148149</v>
      </c>
    </row>
    <row r="922" spans="1:12" x14ac:dyDescent="0.25">
      <c r="A922" s="3">
        <v>45695.234282407408</v>
      </c>
      <c r="B922" t="s">
        <v>349</v>
      </c>
      <c r="C922" s="3">
        <v>45695.462581018517</v>
      </c>
      <c r="D922" t="s">
        <v>81</v>
      </c>
      <c r="E922" s="4">
        <v>62.58</v>
      </c>
      <c r="F922" s="4">
        <v>574451.59100000001</v>
      </c>
      <c r="G922" s="4">
        <v>574514.17099999997</v>
      </c>
      <c r="H922" s="5">
        <f>8877 / 86400</f>
        <v>0.10274305555555556</v>
      </c>
      <c r="I922" t="s">
        <v>50</v>
      </c>
      <c r="J922" t="s">
        <v>112</v>
      </c>
      <c r="K922" s="5">
        <f>19724 / 86400</f>
        <v>0.22828703703703704</v>
      </c>
      <c r="L922" s="5">
        <f>160 / 86400</f>
        <v>1.8518518518518519E-3</v>
      </c>
    </row>
    <row r="923" spans="1:12" x14ac:dyDescent="0.25">
      <c r="A923" s="3">
        <v>45695.464432870373</v>
      </c>
      <c r="B923" t="s">
        <v>81</v>
      </c>
      <c r="C923" s="3">
        <v>45695.527037037042</v>
      </c>
      <c r="D923" t="s">
        <v>81</v>
      </c>
      <c r="E923" s="4">
        <v>0</v>
      </c>
      <c r="F923" s="4">
        <v>574514.17099999997</v>
      </c>
      <c r="G923" s="4">
        <v>574514.17099999997</v>
      </c>
      <c r="H923" s="5">
        <f>5399 / 86400</f>
        <v>6.2488425925925926E-2</v>
      </c>
      <c r="I923" t="s">
        <v>129</v>
      </c>
      <c r="J923" t="s">
        <v>129</v>
      </c>
      <c r="K923" s="5">
        <f>5409 / 86400</f>
        <v>6.2604166666666669E-2</v>
      </c>
      <c r="L923" s="5">
        <f>278 / 86400</f>
        <v>3.2175925925925926E-3</v>
      </c>
    </row>
    <row r="924" spans="1:12" x14ac:dyDescent="0.25">
      <c r="A924" s="3">
        <v>45695.53025462963</v>
      </c>
      <c r="B924" t="s">
        <v>81</v>
      </c>
      <c r="C924" s="3">
        <v>45695.53292824074</v>
      </c>
      <c r="D924" t="s">
        <v>81</v>
      </c>
      <c r="E924" s="4">
        <v>3.2000000000000001E-2</v>
      </c>
      <c r="F924" s="4">
        <v>574514.17099999997</v>
      </c>
      <c r="G924" s="4">
        <v>574514.20299999998</v>
      </c>
      <c r="H924" s="5">
        <f>119 / 86400</f>
        <v>1.3773148148148147E-3</v>
      </c>
      <c r="I924" t="s">
        <v>91</v>
      </c>
      <c r="J924" t="s">
        <v>127</v>
      </c>
      <c r="K924" s="5">
        <f>230 / 86400</f>
        <v>2.662037037037037E-3</v>
      </c>
      <c r="L924" s="5">
        <f>5770 / 86400</f>
        <v>6.6782407407407401E-2</v>
      </c>
    </row>
    <row r="925" spans="1:12" x14ac:dyDescent="0.25">
      <c r="A925" s="3">
        <v>45695.599710648152</v>
      </c>
      <c r="B925" t="s">
        <v>81</v>
      </c>
      <c r="C925" s="3">
        <v>45695.626851851848</v>
      </c>
      <c r="D925" t="s">
        <v>366</v>
      </c>
      <c r="E925" s="4">
        <v>2.391</v>
      </c>
      <c r="F925" s="4">
        <v>574514.20299999998</v>
      </c>
      <c r="G925" s="4">
        <v>574516.59400000004</v>
      </c>
      <c r="H925" s="5">
        <f>1826 / 86400</f>
        <v>2.1134259259259259E-2</v>
      </c>
      <c r="I925" t="s">
        <v>332</v>
      </c>
      <c r="J925" t="s">
        <v>82</v>
      </c>
      <c r="K925" s="5">
        <f>2344 / 86400</f>
        <v>2.7129629629629629E-2</v>
      </c>
      <c r="L925" s="5">
        <f>2371 / 86400</f>
        <v>2.7442129629629629E-2</v>
      </c>
    </row>
    <row r="926" spans="1:12" x14ac:dyDescent="0.25">
      <c r="A926" s="3">
        <v>45695.654293981483</v>
      </c>
      <c r="B926" t="s">
        <v>366</v>
      </c>
      <c r="C926" s="3">
        <v>45695.663888888885</v>
      </c>
      <c r="D926" t="s">
        <v>189</v>
      </c>
      <c r="E926" s="4">
        <v>1.915</v>
      </c>
      <c r="F926" s="4">
        <v>574516.59400000004</v>
      </c>
      <c r="G926" s="4">
        <v>574518.50899999996</v>
      </c>
      <c r="H926" s="5">
        <f>399 / 86400</f>
        <v>4.6180555555555558E-3</v>
      </c>
      <c r="I926" t="s">
        <v>201</v>
      </c>
      <c r="J926" t="s">
        <v>141</v>
      </c>
      <c r="K926" s="5">
        <f>828 / 86400</f>
        <v>9.5833333333333326E-3</v>
      </c>
      <c r="L926" s="5">
        <f>650 / 86400</f>
        <v>7.5231481481481477E-3</v>
      </c>
    </row>
    <row r="927" spans="1:12" x14ac:dyDescent="0.25">
      <c r="A927" s="3">
        <v>45695.671412037038</v>
      </c>
      <c r="B927" t="s">
        <v>189</v>
      </c>
      <c r="C927" s="3">
        <v>45695.671678240746</v>
      </c>
      <c r="D927" t="s">
        <v>189</v>
      </c>
      <c r="E927" s="4">
        <v>0</v>
      </c>
      <c r="F927" s="4">
        <v>574518.50899999996</v>
      </c>
      <c r="G927" s="4">
        <v>574518.50899999996</v>
      </c>
      <c r="H927" s="5">
        <f>19 / 86400</f>
        <v>2.199074074074074E-4</v>
      </c>
      <c r="I927" t="s">
        <v>129</v>
      </c>
      <c r="J927" t="s">
        <v>129</v>
      </c>
      <c r="K927" s="5">
        <f>23 / 86400</f>
        <v>2.6620370370370372E-4</v>
      </c>
      <c r="L927" s="5">
        <f>36 / 86400</f>
        <v>4.1666666666666669E-4</v>
      </c>
    </row>
    <row r="928" spans="1:12" x14ac:dyDescent="0.25">
      <c r="A928" s="3">
        <v>45695.672094907408</v>
      </c>
      <c r="B928" t="s">
        <v>189</v>
      </c>
      <c r="C928" s="3">
        <v>45695.672175925924</v>
      </c>
      <c r="D928" t="s">
        <v>189</v>
      </c>
      <c r="E928" s="4">
        <v>0</v>
      </c>
      <c r="F928" s="4">
        <v>574518.50899999996</v>
      </c>
      <c r="G928" s="4">
        <v>574518.50899999996</v>
      </c>
      <c r="H928" s="5">
        <f>0 / 86400</f>
        <v>0</v>
      </c>
      <c r="I928" t="s">
        <v>129</v>
      </c>
      <c r="J928" t="s">
        <v>129</v>
      </c>
      <c r="K928" s="5">
        <f>7 / 86400</f>
        <v>8.1018518518518516E-5</v>
      </c>
      <c r="L928" s="5">
        <f>3320 / 86400</f>
        <v>3.8425925925925926E-2</v>
      </c>
    </row>
    <row r="929" spans="1:12" x14ac:dyDescent="0.25">
      <c r="A929" s="3">
        <v>45695.710601851853</v>
      </c>
      <c r="B929" t="s">
        <v>189</v>
      </c>
      <c r="C929" s="3">
        <v>45695.715324074074</v>
      </c>
      <c r="D929" t="s">
        <v>189</v>
      </c>
      <c r="E929" s="4">
        <v>0</v>
      </c>
      <c r="F929" s="4">
        <v>574518.50899999996</v>
      </c>
      <c r="G929" s="4">
        <v>574518.50899999996</v>
      </c>
      <c r="H929" s="5">
        <f>400 / 86400</f>
        <v>4.6296296296296294E-3</v>
      </c>
      <c r="I929" t="s">
        <v>129</v>
      </c>
      <c r="J929" t="s">
        <v>129</v>
      </c>
      <c r="K929" s="5">
        <f>408 / 86400</f>
        <v>4.7222222222222223E-3</v>
      </c>
      <c r="L929" s="5">
        <f>969 / 86400</f>
        <v>1.1215277777777777E-2</v>
      </c>
    </row>
    <row r="930" spans="1:12" x14ac:dyDescent="0.25">
      <c r="A930" s="3">
        <v>45695.726539351846</v>
      </c>
      <c r="B930" t="s">
        <v>189</v>
      </c>
      <c r="C930" s="3">
        <v>45695.733981481477</v>
      </c>
      <c r="D930" t="s">
        <v>189</v>
      </c>
      <c r="E930" s="4">
        <v>0</v>
      </c>
      <c r="F930" s="4">
        <v>574518.50899999996</v>
      </c>
      <c r="G930" s="4">
        <v>574518.50899999996</v>
      </c>
      <c r="H930" s="5">
        <f>639 / 86400</f>
        <v>7.3958333333333333E-3</v>
      </c>
      <c r="I930" t="s">
        <v>129</v>
      </c>
      <c r="J930" t="s">
        <v>129</v>
      </c>
      <c r="K930" s="5">
        <f>642 / 86400</f>
        <v>7.4305555555555557E-3</v>
      </c>
      <c r="L930" s="5">
        <f>1468 / 86400</f>
        <v>1.699074074074074E-2</v>
      </c>
    </row>
    <row r="931" spans="1:12" x14ac:dyDescent="0.25">
      <c r="A931" s="3">
        <v>45695.750972222224</v>
      </c>
      <c r="B931" t="s">
        <v>189</v>
      </c>
      <c r="C931" s="3">
        <v>45695.753842592589</v>
      </c>
      <c r="D931" t="s">
        <v>88</v>
      </c>
      <c r="E931" s="4">
        <v>1.3979999999999999</v>
      </c>
      <c r="F931" s="4">
        <v>574518.50899999996</v>
      </c>
      <c r="G931" s="4">
        <v>574519.90700000001</v>
      </c>
      <c r="H931" s="5">
        <f>20 / 86400</f>
        <v>2.3148148148148149E-4</v>
      </c>
      <c r="I931" t="s">
        <v>196</v>
      </c>
      <c r="J931" t="s">
        <v>78</v>
      </c>
      <c r="K931" s="5">
        <f>247 / 86400</f>
        <v>2.8587962962962963E-3</v>
      </c>
      <c r="L931" s="5">
        <f>867 / 86400</f>
        <v>1.0034722222222223E-2</v>
      </c>
    </row>
    <row r="932" spans="1:12" x14ac:dyDescent="0.25">
      <c r="A932" s="3">
        <v>45695.763877314814</v>
      </c>
      <c r="B932" t="s">
        <v>88</v>
      </c>
      <c r="C932" s="3">
        <v>45695.871041666665</v>
      </c>
      <c r="D932" t="s">
        <v>29</v>
      </c>
      <c r="E932" s="4">
        <v>41.853000000000002</v>
      </c>
      <c r="F932" s="4">
        <v>574519.90700000001</v>
      </c>
      <c r="G932" s="4">
        <v>574561.76</v>
      </c>
      <c r="H932" s="5">
        <f>4074 / 86400</f>
        <v>4.715277777777778E-2</v>
      </c>
      <c r="I932" t="s">
        <v>96</v>
      </c>
      <c r="J932" t="s">
        <v>20</v>
      </c>
      <c r="K932" s="5">
        <f>9259 / 86400</f>
        <v>0.10716435185185186</v>
      </c>
      <c r="L932" s="5">
        <f>11141 / 86400</f>
        <v>0.12894675925925925</v>
      </c>
    </row>
    <row r="933" spans="1:12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 spans="1:12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 spans="1:12" s="10" customFormat="1" ht="20.100000000000001" customHeight="1" x14ac:dyDescent="0.35">
      <c r="A935" s="12" t="s">
        <v>431</v>
      </c>
      <c r="B935" s="12"/>
      <c r="C935" s="12"/>
      <c r="D935" s="12"/>
      <c r="E935" s="12"/>
      <c r="F935" s="12"/>
      <c r="G935" s="12"/>
      <c r="H935" s="12"/>
      <c r="I935" s="12"/>
      <c r="J935" s="12"/>
    </row>
    <row r="936" spans="1:12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 spans="1:12" ht="30" x14ac:dyDescent="0.25">
      <c r="A937" s="2" t="s">
        <v>6</v>
      </c>
      <c r="B937" s="2" t="s">
        <v>7</v>
      </c>
      <c r="C937" s="2" t="s">
        <v>8</v>
      </c>
      <c r="D937" s="2" t="s">
        <v>9</v>
      </c>
      <c r="E937" s="2" t="s">
        <v>10</v>
      </c>
      <c r="F937" s="2" t="s">
        <v>11</v>
      </c>
      <c r="G937" s="2" t="s">
        <v>12</v>
      </c>
      <c r="H937" s="2" t="s">
        <v>13</v>
      </c>
      <c r="I937" s="2" t="s">
        <v>14</v>
      </c>
      <c r="J937" s="2" t="s">
        <v>15</v>
      </c>
      <c r="K937" s="2" t="s">
        <v>16</v>
      </c>
      <c r="L937" s="2" t="s">
        <v>17</v>
      </c>
    </row>
    <row r="938" spans="1:12" x14ac:dyDescent="0.25">
      <c r="A938" s="3">
        <v>45695.6721412037</v>
      </c>
      <c r="B938" t="s">
        <v>97</v>
      </c>
      <c r="C938" s="3">
        <v>45695.672210648147</v>
      </c>
      <c r="D938" t="s">
        <v>97</v>
      </c>
      <c r="E938" s="4">
        <v>0</v>
      </c>
      <c r="F938" s="4">
        <v>399729.70500000002</v>
      </c>
      <c r="G938" s="4">
        <v>399729.70500000002</v>
      </c>
      <c r="H938" s="5">
        <f>0 / 86400</f>
        <v>0</v>
      </c>
      <c r="I938" t="s">
        <v>129</v>
      </c>
      <c r="J938" t="s">
        <v>129</v>
      </c>
      <c r="K938" s="5">
        <f>6 / 86400</f>
        <v>6.9444444444444444E-5</v>
      </c>
      <c r="L938" s="5">
        <f>58133 / 86400</f>
        <v>0.67283564814814811</v>
      </c>
    </row>
    <row r="939" spans="1:12" x14ac:dyDescent="0.25">
      <c r="A939" s="3">
        <v>45695.672905092593</v>
      </c>
      <c r="B939" t="s">
        <v>97</v>
      </c>
      <c r="C939" s="3">
        <v>45695.678298611107</v>
      </c>
      <c r="D939" t="s">
        <v>97</v>
      </c>
      <c r="E939" s="4">
        <v>3.0000000000000001E-3</v>
      </c>
      <c r="F939" s="4">
        <v>399729.70500000002</v>
      </c>
      <c r="G939" s="4">
        <v>399729.70799999998</v>
      </c>
      <c r="H939" s="5">
        <f>439 / 86400</f>
        <v>5.0810185185185186E-3</v>
      </c>
      <c r="I939" t="s">
        <v>87</v>
      </c>
      <c r="J939" t="s">
        <v>129</v>
      </c>
      <c r="K939" s="5">
        <f>465 / 86400</f>
        <v>5.3819444444444444E-3</v>
      </c>
      <c r="L939" s="5">
        <f>1214 / 86400</f>
        <v>1.4050925925925927E-2</v>
      </c>
    </row>
    <row r="940" spans="1:12" x14ac:dyDescent="0.25">
      <c r="A940" s="3">
        <v>45695.692349537036</v>
      </c>
      <c r="B940" t="s">
        <v>97</v>
      </c>
      <c r="C940" s="3">
        <v>45695.755567129629</v>
      </c>
      <c r="D940" t="s">
        <v>25</v>
      </c>
      <c r="E940" s="4">
        <v>32.659999999999997</v>
      </c>
      <c r="F940" s="4">
        <v>399729.70799999998</v>
      </c>
      <c r="G940" s="4">
        <v>399762.36800000002</v>
      </c>
      <c r="H940" s="5">
        <f>1019 / 86400</f>
        <v>1.1793981481481482E-2</v>
      </c>
      <c r="I940" t="s">
        <v>180</v>
      </c>
      <c r="J940" t="s">
        <v>187</v>
      </c>
      <c r="K940" s="5">
        <f>5461 / 86400</f>
        <v>6.3206018518518522E-2</v>
      </c>
      <c r="L940" s="5">
        <f>233 / 86400</f>
        <v>2.6967592592592594E-3</v>
      </c>
    </row>
    <row r="941" spans="1:12" x14ac:dyDescent="0.25">
      <c r="A941" s="3">
        <v>45695.758263888885</v>
      </c>
      <c r="B941" t="s">
        <v>25</v>
      </c>
      <c r="C941" s="3">
        <v>45695.761817129634</v>
      </c>
      <c r="D941" t="s">
        <v>29</v>
      </c>
      <c r="E941" s="4">
        <v>0.127</v>
      </c>
      <c r="F941" s="4">
        <v>399762.36800000002</v>
      </c>
      <c r="G941" s="4">
        <v>399762.495</v>
      </c>
      <c r="H941" s="5">
        <f>140 / 86400</f>
        <v>1.6203703703703703E-3</v>
      </c>
      <c r="I941" t="s">
        <v>91</v>
      </c>
      <c r="J941" t="s">
        <v>127</v>
      </c>
      <c r="K941" s="5">
        <f>306 / 86400</f>
        <v>3.5416666666666665E-3</v>
      </c>
      <c r="L941" s="5">
        <f>5852 / 86400</f>
        <v>6.7731481481481476E-2</v>
      </c>
    </row>
    <row r="942" spans="1:12" x14ac:dyDescent="0.25">
      <c r="A942" s="3">
        <v>45695.829548611116</v>
      </c>
      <c r="B942" t="s">
        <v>29</v>
      </c>
      <c r="C942" s="3">
        <v>45695.830254629633</v>
      </c>
      <c r="D942" t="s">
        <v>29</v>
      </c>
      <c r="E942" s="4">
        <v>1.9E-2</v>
      </c>
      <c r="F942" s="4">
        <v>399762.495</v>
      </c>
      <c r="G942" s="4">
        <v>399762.51400000002</v>
      </c>
      <c r="H942" s="5">
        <f>20 / 86400</f>
        <v>2.3148148148148149E-4</v>
      </c>
      <c r="I942" t="s">
        <v>87</v>
      </c>
      <c r="J942" t="s">
        <v>127</v>
      </c>
      <c r="K942" s="5">
        <f>61 / 86400</f>
        <v>7.0601851851851847E-4</v>
      </c>
      <c r="L942" s="5">
        <f>2356 / 86400</f>
        <v>2.7268518518518518E-2</v>
      </c>
    </row>
    <row r="943" spans="1:12" x14ac:dyDescent="0.25">
      <c r="A943" s="3">
        <v>45695.857523148152</v>
      </c>
      <c r="B943" t="s">
        <v>29</v>
      </c>
      <c r="C943" s="3">
        <v>45695.861250000002</v>
      </c>
      <c r="D943" t="s">
        <v>25</v>
      </c>
      <c r="E943" s="4">
        <v>0.438</v>
      </c>
      <c r="F943" s="4">
        <v>399762.51400000002</v>
      </c>
      <c r="G943" s="4">
        <v>399762.95199999999</v>
      </c>
      <c r="H943" s="5">
        <f>139 / 86400</f>
        <v>1.6087962962962963E-3</v>
      </c>
      <c r="I943" t="s">
        <v>90</v>
      </c>
      <c r="J943" t="s">
        <v>126</v>
      </c>
      <c r="K943" s="5">
        <f>321 / 86400</f>
        <v>3.7152777777777778E-3</v>
      </c>
      <c r="L943" s="5">
        <f>356 / 86400</f>
        <v>4.1203703703703706E-3</v>
      </c>
    </row>
    <row r="944" spans="1:12" x14ac:dyDescent="0.25">
      <c r="A944" s="3">
        <v>45695.865370370375</v>
      </c>
      <c r="B944" t="s">
        <v>25</v>
      </c>
      <c r="C944" s="3">
        <v>45695.88554398148</v>
      </c>
      <c r="D944" t="s">
        <v>29</v>
      </c>
      <c r="E944" s="4">
        <v>4.1740000000000004</v>
      </c>
      <c r="F944" s="4">
        <v>399762.95199999999</v>
      </c>
      <c r="G944" s="4">
        <v>399767.12599999999</v>
      </c>
      <c r="H944" s="5">
        <f>560 / 86400</f>
        <v>6.4814814814814813E-3</v>
      </c>
      <c r="I944" t="s">
        <v>195</v>
      </c>
      <c r="J944" t="s">
        <v>71</v>
      </c>
      <c r="K944" s="5">
        <f>1743 / 86400</f>
        <v>2.0173611111111111E-2</v>
      </c>
      <c r="L944" s="5">
        <f>4705 / 86400</f>
        <v>5.4456018518518522E-2</v>
      </c>
    </row>
    <row r="945" spans="1:12" x14ac:dyDescent="0.25">
      <c r="A945" s="3">
        <v>45695.94</v>
      </c>
      <c r="B945" t="s">
        <v>29</v>
      </c>
      <c r="C945" s="3">
        <v>45695.990081018521</v>
      </c>
      <c r="D945" t="s">
        <v>367</v>
      </c>
      <c r="E945" s="4">
        <v>25.71</v>
      </c>
      <c r="F945" s="4">
        <v>399767.12599999999</v>
      </c>
      <c r="G945" s="4">
        <v>399792.83600000001</v>
      </c>
      <c r="H945" s="5">
        <f>559 / 86400</f>
        <v>6.4699074074074077E-3</v>
      </c>
      <c r="I945" t="s">
        <v>99</v>
      </c>
      <c r="J945" t="s">
        <v>37</v>
      </c>
      <c r="K945" s="5">
        <f>4327 / 86400</f>
        <v>5.0081018518518518E-2</v>
      </c>
      <c r="L945" s="5">
        <f>208 / 86400</f>
        <v>2.4074074074074076E-3</v>
      </c>
    </row>
    <row r="946" spans="1:12" x14ac:dyDescent="0.25">
      <c r="A946" s="3">
        <v>45695.992488425924</v>
      </c>
      <c r="B946" t="s">
        <v>367</v>
      </c>
      <c r="C946" s="3">
        <v>45695.99998842593</v>
      </c>
      <c r="D946" t="s">
        <v>98</v>
      </c>
      <c r="E946" s="4">
        <v>6.048</v>
      </c>
      <c r="F946" s="4">
        <v>399792.83600000001</v>
      </c>
      <c r="G946" s="4">
        <v>399798.88400000002</v>
      </c>
      <c r="H946" s="5">
        <f>18 / 86400</f>
        <v>2.0833333333333335E-4</v>
      </c>
      <c r="I946" t="s">
        <v>174</v>
      </c>
      <c r="J946" t="s">
        <v>304</v>
      </c>
      <c r="K946" s="5">
        <f>648 / 86400</f>
        <v>7.4999999999999997E-3</v>
      </c>
      <c r="L946" s="5">
        <f>0 / 86400</f>
        <v>0</v>
      </c>
    </row>
    <row r="947" spans="1:12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 spans="1:12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 spans="1:12" s="10" customFormat="1" ht="20.100000000000001" customHeight="1" x14ac:dyDescent="0.35">
      <c r="A949" s="12" t="s">
        <v>432</v>
      </c>
      <c r="B949" s="12"/>
      <c r="C949" s="12"/>
      <c r="D949" s="12"/>
      <c r="E949" s="12"/>
      <c r="F949" s="12"/>
      <c r="G949" s="12"/>
      <c r="H949" s="12"/>
      <c r="I949" s="12"/>
      <c r="J949" s="12"/>
    </row>
    <row r="950" spans="1:12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 spans="1:12" ht="30" x14ac:dyDescent="0.25">
      <c r="A951" s="2" t="s">
        <v>6</v>
      </c>
      <c r="B951" s="2" t="s">
        <v>7</v>
      </c>
      <c r="C951" s="2" t="s">
        <v>8</v>
      </c>
      <c r="D951" s="2" t="s">
        <v>9</v>
      </c>
      <c r="E951" s="2" t="s">
        <v>10</v>
      </c>
      <c r="F951" s="2" t="s">
        <v>11</v>
      </c>
      <c r="G951" s="2" t="s">
        <v>12</v>
      </c>
      <c r="H951" s="2" t="s">
        <v>13</v>
      </c>
      <c r="I951" s="2" t="s">
        <v>14</v>
      </c>
      <c r="J951" s="2" t="s">
        <v>15</v>
      </c>
      <c r="K951" s="2" t="s">
        <v>16</v>
      </c>
      <c r="L951" s="2" t="s">
        <v>17</v>
      </c>
    </row>
    <row r="952" spans="1:12" x14ac:dyDescent="0.25">
      <c r="A952" s="3">
        <v>45695.245891203704</v>
      </c>
      <c r="B952" t="s">
        <v>29</v>
      </c>
      <c r="C952" s="3">
        <v>45695.249780092592</v>
      </c>
      <c r="D952" t="s">
        <v>29</v>
      </c>
      <c r="E952" s="4">
        <v>0.438</v>
      </c>
      <c r="F952" s="4">
        <v>381843.125</v>
      </c>
      <c r="G952" s="4">
        <v>381843.56300000002</v>
      </c>
      <c r="H952" s="5">
        <f>139 / 86400</f>
        <v>1.6087962962962963E-3</v>
      </c>
      <c r="I952" t="s">
        <v>112</v>
      </c>
      <c r="J952" t="s">
        <v>126</v>
      </c>
      <c r="K952" s="5">
        <f>335 / 86400</f>
        <v>3.8773148148148148E-3</v>
      </c>
      <c r="L952" s="5">
        <f>22226 / 86400</f>
        <v>0.25724537037037037</v>
      </c>
    </row>
    <row r="953" spans="1:12" x14ac:dyDescent="0.25">
      <c r="A953" s="3">
        <v>45695.261134259257</v>
      </c>
      <c r="B953" t="s">
        <v>29</v>
      </c>
      <c r="C953" s="3">
        <v>45695.302233796298</v>
      </c>
      <c r="D953" t="s">
        <v>333</v>
      </c>
      <c r="E953" s="4">
        <v>24.318000000000001</v>
      </c>
      <c r="F953" s="4">
        <v>381843.56300000002</v>
      </c>
      <c r="G953" s="4">
        <v>381867.88099999999</v>
      </c>
      <c r="H953" s="5">
        <f>800 / 86400</f>
        <v>9.2592592592592587E-3</v>
      </c>
      <c r="I953" t="s">
        <v>39</v>
      </c>
      <c r="J953" t="s">
        <v>195</v>
      </c>
      <c r="K953" s="5">
        <f>3551 / 86400</f>
        <v>4.1099537037037039E-2</v>
      </c>
      <c r="L953" s="5">
        <f>3199 / 86400</f>
        <v>3.7025462962962961E-2</v>
      </c>
    </row>
    <row r="954" spans="1:12" x14ac:dyDescent="0.25">
      <c r="A954" s="3">
        <v>45695.339259259257</v>
      </c>
      <c r="B954" t="s">
        <v>333</v>
      </c>
      <c r="C954" s="3">
        <v>45695.340925925921</v>
      </c>
      <c r="D954" t="s">
        <v>128</v>
      </c>
      <c r="E954" s="4">
        <v>0.63700000000000001</v>
      </c>
      <c r="F954" s="4">
        <v>381867.88099999999</v>
      </c>
      <c r="G954" s="4">
        <v>381868.51799999998</v>
      </c>
      <c r="H954" s="5">
        <f>20 / 86400</f>
        <v>2.3148148148148149E-4</v>
      </c>
      <c r="I954" t="s">
        <v>230</v>
      </c>
      <c r="J954" t="s">
        <v>20</v>
      </c>
      <c r="K954" s="5">
        <f>144 / 86400</f>
        <v>1.6666666666666668E-3</v>
      </c>
      <c r="L954" s="5">
        <f>105 / 86400</f>
        <v>1.2152777777777778E-3</v>
      </c>
    </row>
    <row r="955" spans="1:12" x14ac:dyDescent="0.25">
      <c r="A955" s="3">
        <v>45695.342141203699</v>
      </c>
      <c r="B955" t="s">
        <v>128</v>
      </c>
      <c r="C955" s="3">
        <v>45695.343680555554</v>
      </c>
      <c r="D955" t="s">
        <v>333</v>
      </c>
      <c r="E955" s="4">
        <v>0.65900000000000003</v>
      </c>
      <c r="F955" s="4">
        <v>381868.51799999998</v>
      </c>
      <c r="G955" s="4">
        <v>381869.17700000003</v>
      </c>
      <c r="H955" s="5">
        <f>0 / 86400</f>
        <v>0</v>
      </c>
      <c r="I955" t="s">
        <v>209</v>
      </c>
      <c r="J955" t="s">
        <v>69</v>
      </c>
      <c r="K955" s="5">
        <f>133 / 86400</f>
        <v>1.5393518518518519E-3</v>
      </c>
      <c r="L955" s="5">
        <f>217 / 86400</f>
        <v>2.5115740740740741E-3</v>
      </c>
    </row>
    <row r="956" spans="1:12" x14ac:dyDescent="0.25">
      <c r="A956" s="3">
        <v>45695.346192129626</v>
      </c>
      <c r="B956" t="s">
        <v>333</v>
      </c>
      <c r="C956" s="3">
        <v>45695.348055555558</v>
      </c>
      <c r="D956" t="s">
        <v>128</v>
      </c>
      <c r="E956" s="4">
        <v>0.64300000000000002</v>
      </c>
      <c r="F956" s="4">
        <v>381869.17700000003</v>
      </c>
      <c r="G956" s="4">
        <v>381869.82</v>
      </c>
      <c r="H956" s="5">
        <f>19 / 86400</f>
        <v>2.199074074074074E-4</v>
      </c>
      <c r="I956" t="s">
        <v>137</v>
      </c>
      <c r="J956" t="s">
        <v>34</v>
      </c>
      <c r="K956" s="5">
        <f>160 / 86400</f>
        <v>1.8518518518518519E-3</v>
      </c>
      <c r="L956" s="5">
        <f>606 / 86400</f>
        <v>7.013888888888889E-3</v>
      </c>
    </row>
    <row r="957" spans="1:12" x14ac:dyDescent="0.25">
      <c r="A957" s="3">
        <v>45695.355069444442</v>
      </c>
      <c r="B957" t="s">
        <v>128</v>
      </c>
      <c r="C957" s="3">
        <v>45695.355775462958</v>
      </c>
      <c r="D957" t="s">
        <v>128</v>
      </c>
      <c r="E957" s="4">
        <v>0</v>
      </c>
      <c r="F957" s="4">
        <v>381869.82</v>
      </c>
      <c r="G957" s="4">
        <v>381869.82</v>
      </c>
      <c r="H957" s="5">
        <f>59 / 86400</f>
        <v>6.8287037037037036E-4</v>
      </c>
      <c r="I957" t="s">
        <v>129</v>
      </c>
      <c r="J957" t="s">
        <v>129</v>
      </c>
      <c r="K957" s="5">
        <f>61 / 86400</f>
        <v>7.0601851851851847E-4</v>
      </c>
      <c r="L957" s="5">
        <f>239 / 86400</f>
        <v>2.7662037037037039E-3</v>
      </c>
    </row>
    <row r="958" spans="1:12" x14ac:dyDescent="0.25">
      <c r="A958" s="3">
        <v>45695.358541666668</v>
      </c>
      <c r="B958" t="s">
        <v>128</v>
      </c>
      <c r="C958" s="3">
        <v>45695.3591087963</v>
      </c>
      <c r="D958" t="s">
        <v>128</v>
      </c>
      <c r="E958" s="4">
        <v>0</v>
      </c>
      <c r="F958" s="4">
        <v>381869.82</v>
      </c>
      <c r="G958" s="4">
        <v>381869.82</v>
      </c>
      <c r="H958" s="5">
        <f>39 / 86400</f>
        <v>4.5138888888888887E-4</v>
      </c>
      <c r="I958" t="s">
        <v>129</v>
      </c>
      <c r="J958" t="s">
        <v>129</v>
      </c>
      <c r="K958" s="5">
        <f>48 / 86400</f>
        <v>5.5555555555555556E-4</v>
      </c>
      <c r="L958" s="5">
        <f>6538 / 86400</f>
        <v>7.5671296296296292E-2</v>
      </c>
    </row>
    <row r="959" spans="1:12" x14ac:dyDescent="0.25">
      <c r="A959" s="3">
        <v>45695.43478009259</v>
      </c>
      <c r="B959" t="s">
        <v>128</v>
      </c>
      <c r="C959" s="3">
        <v>45695.43885416667</v>
      </c>
      <c r="D959" t="s">
        <v>147</v>
      </c>
      <c r="E959" s="4">
        <v>6.2E-2</v>
      </c>
      <c r="F959" s="4">
        <v>381869.82</v>
      </c>
      <c r="G959" s="4">
        <v>381869.88199999998</v>
      </c>
      <c r="H959" s="5">
        <f>279 / 86400</f>
        <v>3.2291666666666666E-3</v>
      </c>
      <c r="I959" t="s">
        <v>91</v>
      </c>
      <c r="J959" t="s">
        <v>127</v>
      </c>
      <c r="K959" s="5">
        <f>352 / 86400</f>
        <v>4.0740740740740737E-3</v>
      </c>
      <c r="L959" s="5">
        <f>3835 / 86400</f>
        <v>4.4386574074074071E-2</v>
      </c>
    </row>
    <row r="960" spans="1:12" x14ac:dyDescent="0.25">
      <c r="A960" s="3">
        <v>45695.483240740738</v>
      </c>
      <c r="B960" t="s">
        <v>147</v>
      </c>
      <c r="C960" s="3">
        <v>45695.48646990741</v>
      </c>
      <c r="D960" t="s">
        <v>368</v>
      </c>
      <c r="E960" s="4">
        <v>0.82599999999999996</v>
      </c>
      <c r="F960" s="4">
        <v>381869.88199999998</v>
      </c>
      <c r="G960" s="4">
        <v>381870.70799999998</v>
      </c>
      <c r="H960" s="5">
        <f>99 / 86400</f>
        <v>1.1458333333333333E-3</v>
      </c>
      <c r="I960" t="s">
        <v>209</v>
      </c>
      <c r="J960" t="s">
        <v>112</v>
      </c>
      <c r="K960" s="5">
        <f>279 / 86400</f>
        <v>3.2291666666666666E-3</v>
      </c>
      <c r="L960" s="5">
        <f>693 / 86400</f>
        <v>8.0208333333333329E-3</v>
      </c>
    </row>
    <row r="961" spans="1:12" x14ac:dyDescent="0.25">
      <c r="A961" s="3">
        <v>45695.494490740741</v>
      </c>
      <c r="B961" t="s">
        <v>368</v>
      </c>
      <c r="C961" s="3">
        <v>45695.501458333332</v>
      </c>
      <c r="D961" t="s">
        <v>368</v>
      </c>
      <c r="E961" s="4">
        <v>2.7E-2</v>
      </c>
      <c r="F961" s="4">
        <v>381870.70799999998</v>
      </c>
      <c r="G961" s="4">
        <v>381870.73499999999</v>
      </c>
      <c r="H961" s="5">
        <f>539 / 86400</f>
        <v>6.2384259259259259E-3</v>
      </c>
      <c r="I961" t="s">
        <v>126</v>
      </c>
      <c r="J961" t="s">
        <v>129</v>
      </c>
      <c r="K961" s="5">
        <f>602 / 86400</f>
        <v>6.9675925925925929E-3</v>
      </c>
      <c r="L961" s="5">
        <f>307 / 86400</f>
        <v>3.5532407407407409E-3</v>
      </c>
    </row>
    <row r="962" spans="1:12" x14ac:dyDescent="0.25">
      <c r="A962" s="3">
        <v>45695.505011574074</v>
      </c>
      <c r="B962" t="s">
        <v>368</v>
      </c>
      <c r="C962" s="3">
        <v>45695.505509259259</v>
      </c>
      <c r="D962" t="s">
        <v>368</v>
      </c>
      <c r="E962" s="4">
        <v>0</v>
      </c>
      <c r="F962" s="4">
        <v>381870.73499999999</v>
      </c>
      <c r="G962" s="4">
        <v>381870.73499999999</v>
      </c>
      <c r="H962" s="5">
        <f>39 / 86400</f>
        <v>4.5138888888888887E-4</v>
      </c>
      <c r="I962" t="s">
        <v>129</v>
      </c>
      <c r="J962" t="s">
        <v>129</v>
      </c>
      <c r="K962" s="5">
        <f>43 / 86400</f>
        <v>4.9768518518518521E-4</v>
      </c>
      <c r="L962" s="5">
        <f>2532 / 86400</f>
        <v>2.9305555555555557E-2</v>
      </c>
    </row>
    <row r="963" spans="1:12" x14ac:dyDescent="0.25">
      <c r="A963" s="3">
        <v>45695.534814814819</v>
      </c>
      <c r="B963" t="s">
        <v>368</v>
      </c>
      <c r="C963" s="3">
        <v>45695.536493055552</v>
      </c>
      <c r="D963" t="s">
        <v>368</v>
      </c>
      <c r="E963" s="4">
        <v>0</v>
      </c>
      <c r="F963" s="4">
        <v>381870.73499999999</v>
      </c>
      <c r="G963" s="4">
        <v>381870.73499999999</v>
      </c>
      <c r="H963" s="5">
        <f>139 / 86400</f>
        <v>1.6087962962962963E-3</v>
      </c>
      <c r="I963" t="s">
        <v>129</v>
      </c>
      <c r="J963" t="s">
        <v>129</v>
      </c>
      <c r="K963" s="5">
        <f>144 / 86400</f>
        <v>1.6666666666666668E-3</v>
      </c>
      <c r="L963" s="5">
        <f>314 / 86400</f>
        <v>3.6342592592592594E-3</v>
      </c>
    </row>
    <row r="964" spans="1:12" x14ac:dyDescent="0.25">
      <c r="A964" s="3">
        <v>45695.540127314816</v>
      </c>
      <c r="B964" t="s">
        <v>368</v>
      </c>
      <c r="C964" s="3">
        <v>45695.543495370366</v>
      </c>
      <c r="D964" t="s">
        <v>315</v>
      </c>
      <c r="E964" s="4">
        <v>1.1839999999999999</v>
      </c>
      <c r="F964" s="4">
        <v>381870.73499999999</v>
      </c>
      <c r="G964" s="4">
        <v>381871.91899999999</v>
      </c>
      <c r="H964" s="5">
        <f>19 / 86400</f>
        <v>2.199074074074074E-4</v>
      </c>
      <c r="I964" t="s">
        <v>192</v>
      </c>
      <c r="J964" t="s">
        <v>24</v>
      </c>
      <c r="K964" s="5">
        <f>290 / 86400</f>
        <v>3.3564814814814816E-3</v>
      </c>
      <c r="L964" s="5">
        <f>225 / 86400</f>
        <v>2.6041666666666665E-3</v>
      </c>
    </row>
    <row r="965" spans="1:12" x14ac:dyDescent="0.25">
      <c r="A965" s="3">
        <v>45695.546099537038</v>
      </c>
      <c r="B965" t="s">
        <v>315</v>
      </c>
      <c r="C965" s="3">
        <v>45695.547106481477</v>
      </c>
      <c r="D965" t="s">
        <v>92</v>
      </c>
      <c r="E965" s="4">
        <v>2.5000000000000001E-2</v>
      </c>
      <c r="F965" s="4">
        <v>381871.91899999999</v>
      </c>
      <c r="G965" s="4">
        <v>381871.94400000002</v>
      </c>
      <c r="H965" s="5">
        <f>60 / 86400</f>
        <v>6.9444444444444447E-4</v>
      </c>
      <c r="I965" t="s">
        <v>126</v>
      </c>
      <c r="J965" t="s">
        <v>127</v>
      </c>
      <c r="K965" s="5">
        <f>86 / 86400</f>
        <v>9.9537037037037042E-4</v>
      </c>
      <c r="L965" s="5">
        <f>2481 / 86400</f>
        <v>2.8715277777777777E-2</v>
      </c>
    </row>
    <row r="966" spans="1:12" x14ac:dyDescent="0.25">
      <c r="A966" s="3">
        <v>45695.575821759259</v>
      </c>
      <c r="B966" t="s">
        <v>92</v>
      </c>
      <c r="C966" s="3">
        <v>45695.577731481477</v>
      </c>
      <c r="D966" t="s">
        <v>92</v>
      </c>
      <c r="E966" s="4">
        <v>0</v>
      </c>
      <c r="F966" s="4">
        <v>381871.94400000002</v>
      </c>
      <c r="G966" s="4">
        <v>381871.94400000002</v>
      </c>
      <c r="H966" s="5">
        <f>159 / 86400</f>
        <v>1.8402777777777777E-3</v>
      </c>
      <c r="I966" t="s">
        <v>129</v>
      </c>
      <c r="J966" t="s">
        <v>129</v>
      </c>
      <c r="K966" s="5">
        <f>164 / 86400</f>
        <v>1.8981481481481482E-3</v>
      </c>
      <c r="L966" s="5">
        <f>1424 / 86400</f>
        <v>1.6481481481481482E-2</v>
      </c>
    </row>
    <row r="967" spans="1:12" x14ac:dyDescent="0.25">
      <c r="A967" s="3">
        <v>45695.594212962962</v>
      </c>
      <c r="B967" t="s">
        <v>92</v>
      </c>
      <c r="C967" s="3">
        <v>45695.598101851851</v>
      </c>
      <c r="D967" t="s">
        <v>315</v>
      </c>
      <c r="E967" s="4">
        <v>3.5999999999999997E-2</v>
      </c>
      <c r="F967" s="4">
        <v>381871.94400000002</v>
      </c>
      <c r="G967" s="4">
        <v>381871.98</v>
      </c>
      <c r="H967" s="5">
        <f>299 / 86400</f>
        <v>3.460648148148148E-3</v>
      </c>
      <c r="I967" t="s">
        <v>127</v>
      </c>
      <c r="J967" t="s">
        <v>129</v>
      </c>
      <c r="K967" s="5">
        <f>336 / 86400</f>
        <v>3.8888888888888888E-3</v>
      </c>
      <c r="L967" s="5">
        <f>91 / 86400</f>
        <v>1.0532407407407407E-3</v>
      </c>
    </row>
    <row r="968" spans="1:12" x14ac:dyDescent="0.25">
      <c r="A968" s="3">
        <v>45695.599155092597</v>
      </c>
      <c r="B968" t="s">
        <v>315</v>
      </c>
      <c r="C968" s="3">
        <v>45695.600405092591</v>
      </c>
      <c r="D968" t="s">
        <v>147</v>
      </c>
      <c r="E968" s="4">
        <v>0.188</v>
      </c>
      <c r="F968" s="4">
        <v>381871.98</v>
      </c>
      <c r="G968" s="4">
        <v>381872.16800000001</v>
      </c>
      <c r="H968" s="5">
        <f>20 / 86400</f>
        <v>2.3148148148148149E-4</v>
      </c>
      <c r="I968" t="s">
        <v>34</v>
      </c>
      <c r="J968" t="s">
        <v>132</v>
      </c>
      <c r="K968" s="5">
        <f>107 / 86400</f>
        <v>1.238425925925926E-3</v>
      </c>
      <c r="L968" s="5">
        <f>923 / 86400</f>
        <v>1.068287037037037E-2</v>
      </c>
    </row>
    <row r="969" spans="1:12" x14ac:dyDescent="0.25">
      <c r="A969" s="3">
        <v>45695.611087962963</v>
      </c>
      <c r="B969" t="s">
        <v>147</v>
      </c>
      <c r="C969" s="3">
        <v>45695.612384259264</v>
      </c>
      <c r="D969" t="s">
        <v>110</v>
      </c>
      <c r="E969" s="4">
        <v>0.26400000000000001</v>
      </c>
      <c r="F969" s="4">
        <v>381872.16800000001</v>
      </c>
      <c r="G969" s="4">
        <v>381872.43199999997</v>
      </c>
      <c r="H969" s="5">
        <f>39 / 86400</f>
        <v>4.5138888888888887E-4</v>
      </c>
      <c r="I969" t="s">
        <v>187</v>
      </c>
      <c r="J969" t="s">
        <v>71</v>
      </c>
      <c r="K969" s="5">
        <f>111 / 86400</f>
        <v>1.2847222222222223E-3</v>
      </c>
      <c r="L969" s="5">
        <f>3223 / 86400</f>
        <v>3.7303240740740741E-2</v>
      </c>
    </row>
    <row r="970" spans="1:12" x14ac:dyDescent="0.25">
      <c r="A970" s="3">
        <v>45695.649687500001</v>
      </c>
      <c r="B970" t="s">
        <v>110</v>
      </c>
      <c r="C970" s="3">
        <v>45695.652986111112</v>
      </c>
      <c r="D970" t="s">
        <v>48</v>
      </c>
      <c r="E970" s="4">
        <v>0.64900000000000002</v>
      </c>
      <c r="F970" s="4">
        <v>381872.43199999997</v>
      </c>
      <c r="G970" s="4">
        <v>381873.08100000001</v>
      </c>
      <c r="H970" s="5">
        <f>79 / 86400</f>
        <v>9.1435185185185185E-4</v>
      </c>
      <c r="I970" t="s">
        <v>192</v>
      </c>
      <c r="J970" t="s">
        <v>141</v>
      </c>
      <c r="K970" s="5">
        <f>284 / 86400</f>
        <v>3.2870370370370371E-3</v>
      </c>
      <c r="L970" s="5">
        <f>717 / 86400</f>
        <v>8.2986111111111108E-3</v>
      </c>
    </row>
    <row r="971" spans="1:12" x14ac:dyDescent="0.25">
      <c r="A971" s="3">
        <v>45695.66128472222</v>
      </c>
      <c r="B971" t="s">
        <v>48</v>
      </c>
      <c r="C971" s="3">
        <v>45695.661412037036</v>
      </c>
      <c r="D971" t="s">
        <v>48</v>
      </c>
      <c r="E971" s="4">
        <v>2E-3</v>
      </c>
      <c r="F971" s="4">
        <v>381873.08100000001</v>
      </c>
      <c r="G971" s="4">
        <v>381873.08299999998</v>
      </c>
      <c r="H971" s="5">
        <f>0 / 86400</f>
        <v>0</v>
      </c>
      <c r="I971" t="s">
        <v>129</v>
      </c>
      <c r="J971" t="s">
        <v>127</v>
      </c>
      <c r="K971" s="5">
        <f>11 / 86400</f>
        <v>1.273148148148148E-4</v>
      </c>
      <c r="L971" s="5">
        <f>1614 / 86400</f>
        <v>1.8680555555555554E-2</v>
      </c>
    </row>
    <row r="972" spans="1:12" x14ac:dyDescent="0.25">
      <c r="A972" s="3">
        <v>45695.680092592593</v>
      </c>
      <c r="B972" t="s">
        <v>48</v>
      </c>
      <c r="C972" s="3">
        <v>45695.721828703703</v>
      </c>
      <c r="D972" t="s">
        <v>366</v>
      </c>
      <c r="E972" s="4">
        <v>23.866</v>
      </c>
      <c r="F972" s="4">
        <v>381873.08299999998</v>
      </c>
      <c r="G972" s="4">
        <v>381896.94900000002</v>
      </c>
      <c r="H972" s="5">
        <f>718 / 86400</f>
        <v>8.3101851851851843E-3</v>
      </c>
      <c r="I972" t="s">
        <v>44</v>
      </c>
      <c r="J972" t="s">
        <v>143</v>
      </c>
      <c r="K972" s="5">
        <f>3605 / 86400</f>
        <v>4.1724537037037039E-2</v>
      </c>
      <c r="L972" s="5">
        <f>234 / 86400</f>
        <v>2.7083333333333334E-3</v>
      </c>
    </row>
    <row r="973" spans="1:12" x14ac:dyDescent="0.25">
      <c r="A973" s="3">
        <v>45695.724537037036</v>
      </c>
      <c r="B973" t="s">
        <v>366</v>
      </c>
      <c r="C973" s="3">
        <v>45695.726388888885</v>
      </c>
      <c r="D973" t="s">
        <v>29</v>
      </c>
      <c r="E973" s="4">
        <v>0.495</v>
      </c>
      <c r="F973" s="4">
        <v>381896.94900000002</v>
      </c>
      <c r="G973" s="4">
        <v>381897.44400000002</v>
      </c>
      <c r="H973" s="5">
        <f>20 / 86400</f>
        <v>2.3148148148148149E-4</v>
      </c>
      <c r="I973" t="s">
        <v>28</v>
      </c>
      <c r="J973" t="s">
        <v>112</v>
      </c>
      <c r="K973" s="5">
        <f>160 / 86400</f>
        <v>1.8518518518518519E-3</v>
      </c>
      <c r="L973" s="5">
        <f>62 / 86400</f>
        <v>7.1759259259259259E-4</v>
      </c>
    </row>
    <row r="974" spans="1:12" x14ac:dyDescent="0.25">
      <c r="A974" s="3">
        <v>45695.727106481485</v>
      </c>
      <c r="B974" t="s">
        <v>29</v>
      </c>
      <c r="C974" s="3">
        <v>45695.727511574078</v>
      </c>
      <c r="D974" t="s">
        <v>29</v>
      </c>
      <c r="E974" s="4">
        <v>6.0000000000000001E-3</v>
      </c>
      <c r="F974" s="4">
        <v>381897.44400000002</v>
      </c>
      <c r="G974" s="4">
        <v>381897.45</v>
      </c>
      <c r="H974" s="5">
        <f>19 / 86400</f>
        <v>2.199074074074074E-4</v>
      </c>
      <c r="I974" t="s">
        <v>129</v>
      </c>
      <c r="J974" t="s">
        <v>127</v>
      </c>
      <c r="K974" s="5">
        <f>34 / 86400</f>
        <v>3.9351851851851852E-4</v>
      </c>
      <c r="L974" s="5">
        <f>330 / 86400</f>
        <v>3.8194444444444443E-3</v>
      </c>
    </row>
    <row r="975" spans="1:12" x14ac:dyDescent="0.25">
      <c r="A975" s="3">
        <v>45695.73133101852</v>
      </c>
      <c r="B975" t="s">
        <v>29</v>
      </c>
      <c r="C975" s="3">
        <v>45695.733935185184</v>
      </c>
      <c r="D975" t="s">
        <v>29</v>
      </c>
      <c r="E975" s="4">
        <v>0.224</v>
      </c>
      <c r="F975" s="4">
        <v>381897.45</v>
      </c>
      <c r="G975" s="4">
        <v>381897.674</v>
      </c>
      <c r="H975" s="5">
        <f>100 / 86400</f>
        <v>1.1574074074074073E-3</v>
      </c>
      <c r="I975" t="s">
        <v>57</v>
      </c>
      <c r="J975" t="s">
        <v>82</v>
      </c>
      <c r="K975" s="5">
        <f>225 / 86400</f>
        <v>2.6041666666666665E-3</v>
      </c>
      <c r="L975" s="5">
        <f>1703 / 86400</f>
        <v>1.9710648148148147E-2</v>
      </c>
    </row>
    <row r="976" spans="1:12" x14ac:dyDescent="0.25">
      <c r="A976" s="3">
        <v>45695.753645833334</v>
      </c>
      <c r="B976" t="s">
        <v>29</v>
      </c>
      <c r="C976" s="3">
        <v>45695.753668981481</v>
      </c>
      <c r="D976" t="s">
        <v>29</v>
      </c>
      <c r="E976" s="4">
        <v>0</v>
      </c>
      <c r="F976" s="4">
        <v>381897.674</v>
      </c>
      <c r="G976" s="4">
        <v>381897.674</v>
      </c>
      <c r="H976" s="5">
        <f>0 / 86400</f>
        <v>0</v>
      </c>
      <c r="I976" t="s">
        <v>129</v>
      </c>
      <c r="J976" t="s">
        <v>129</v>
      </c>
      <c r="K976" s="5">
        <f>1 / 86400</f>
        <v>1.1574074074074073E-5</v>
      </c>
      <c r="L976" s="5">
        <f>56 / 86400</f>
        <v>6.4814814814814813E-4</v>
      </c>
    </row>
    <row r="977" spans="1:12" x14ac:dyDescent="0.25">
      <c r="A977" s="3">
        <v>45695.754317129627</v>
      </c>
      <c r="B977" t="s">
        <v>29</v>
      </c>
      <c r="C977" s="3">
        <v>45695.758194444439</v>
      </c>
      <c r="D977" t="s">
        <v>29</v>
      </c>
      <c r="E977" s="4">
        <v>2.8000000000000001E-2</v>
      </c>
      <c r="F977" s="4">
        <v>381897.674</v>
      </c>
      <c r="G977" s="4">
        <v>381897.70199999999</v>
      </c>
      <c r="H977" s="5">
        <f>259 / 86400</f>
        <v>2.9976851851851853E-3</v>
      </c>
      <c r="I977" t="s">
        <v>140</v>
      </c>
      <c r="J977" t="s">
        <v>129</v>
      </c>
      <c r="K977" s="5">
        <f>335 / 86400</f>
        <v>3.8773148148148148E-3</v>
      </c>
      <c r="L977" s="5">
        <f>44 / 86400</f>
        <v>5.0925925925925921E-4</v>
      </c>
    </row>
    <row r="978" spans="1:12" x14ac:dyDescent="0.25">
      <c r="A978" s="3">
        <v>45695.758703703701</v>
      </c>
      <c r="B978" t="s">
        <v>29</v>
      </c>
      <c r="C978" s="3">
        <v>45695.759432870371</v>
      </c>
      <c r="D978" t="s">
        <v>29</v>
      </c>
      <c r="E978" s="4">
        <v>0</v>
      </c>
      <c r="F978" s="4">
        <v>381897.70199999999</v>
      </c>
      <c r="G978" s="4">
        <v>381897.70199999999</v>
      </c>
      <c r="H978" s="5">
        <f>59 / 86400</f>
        <v>6.8287037037037036E-4</v>
      </c>
      <c r="I978" t="s">
        <v>129</v>
      </c>
      <c r="J978" t="s">
        <v>129</v>
      </c>
      <c r="K978" s="5">
        <f>63 / 86400</f>
        <v>7.291666666666667E-4</v>
      </c>
      <c r="L978" s="5">
        <f>20784 / 86400</f>
        <v>0.24055555555555555</v>
      </c>
    </row>
    <row r="979" spans="1:12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 spans="1:12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 spans="1:12" s="10" customFormat="1" ht="20.100000000000001" customHeight="1" x14ac:dyDescent="0.35">
      <c r="A981" s="12" t="s">
        <v>433</v>
      </c>
      <c r="B981" s="12"/>
      <c r="C981" s="12"/>
      <c r="D981" s="12"/>
      <c r="E981" s="12"/>
      <c r="F981" s="12"/>
      <c r="G981" s="12"/>
      <c r="H981" s="12"/>
      <c r="I981" s="12"/>
      <c r="J981" s="12"/>
    </row>
    <row r="982" spans="1:12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 spans="1:12" ht="30" x14ac:dyDescent="0.25">
      <c r="A983" s="2" t="s">
        <v>6</v>
      </c>
      <c r="B983" s="2" t="s">
        <v>7</v>
      </c>
      <c r="C983" s="2" t="s">
        <v>8</v>
      </c>
      <c r="D983" s="2" t="s">
        <v>9</v>
      </c>
      <c r="E983" s="2" t="s">
        <v>10</v>
      </c>
      <c r="F983" s="2" t="s">
        <v>11</v>
      </c>
      <c r="G983" s="2" t="s">
        <v>12</v>
      </c>
      <c r="H983" s="2" t="s">
        <v>13</v>
      </c>
      <c r="I983" s="2" t="s">
        <v>14</v>
      </c>
      <c r="J983" s="2" t="s">
        <v>15</v>
      </c>
      <c r="K983" s="2" t="s">
        <v>16</v>
      </c>
      <c r="L983" s="2" t="s">
        <v>17</v>
      </c>
    </row>
    <row r="984" spans="1:12" x14ac:dyDescent="0.25">
      <c r="A984" s="3">
        <v>45695.187152777777</v>
      </c>
      <c r="B984" t="s">
        <v>22</v>
      </c>
      <c r="C984" s="3">
        <v>45695.189085648148</v>
      </c>
      <c r="D984" t="s">
        <v>22</v>
      </c>
      <c r="E984" s="4">
        <v>5.0000000000000001E-3</v>
      </c>
      <c r="F984" s="4">
        <v>545037.45799999998</v>
      </c>
      <c r="G984" s="4">
        <v>545037.46299999999</v>
      </c>
      <c r="H984" s="5">
        <f>139 / 86400</f>
        <v>1.6087962962962963E-3</v>
      </c>
      <c r="I984" t="s">
        <v>127</v>
      </c>
      <c r="J984" t="s">
        <v>129</v>
      </c>
      <c r="K984" s="5">
        <f>167 / 86400</f>
        <v>1.9328703703703704E-3</v>
      </c>
      <c r="L984" s="5">
        <f>18510 / 86400</f>
        <v>0.2142361111111111</v>
      </c>
    </row>
    <row r="985" spans="1:12" x14ac:dyDescent="0.25">
      <c r="A985" s="3">
        <v>45695.216168981482</v>
      </c>
      <c r="B985" t="s">
        <v>22</v>
      </c>
      <c r="C985" s="3">
        <v>45695.21774305556</v>
      </c>
      <c r="D985" t="s">
        <v>22</v>
      </c>
      <c r="E985" s="4">
        <v>2.9000000000000001E-2</v>
      </c>
      <c r="F985" s="4">
        <v>545037.46299999999</v>
      </c>
      <c r="G985" s="4">
        <v>545037.49199999997</v>
      </c>
      <c r="H985" s="5">
        <f>99 / 86400</f>
        <v>1.1458333333333333E-3</v>
      </c>
      <c r="I985" t="s">
        <v>127</v>
      </c>
      <c r="J985" t="s">
        <v>127</v>
      </c>
      <c r="K985" s="5">
        <f>136 / 86400</f>
        <v>1.5740740740740741E-3</v>
      </c>
      <c r="L985" s="5">
        <f>5683 / 86400</f>
        <v>6.5775462962962966E-2</v>
      </c>
    </row>
    <row r="986" spans="1:12" x14ac:dyDescent="0.25">
      <c r="A986" s="3">
        <v>45695.283518518518</v>
      </c>
      <c r="B986" t="s">
        <v>22</v>
      </c>
      <c r="C986" s="3">
        <v>45695.301875000005</v>
      </c>
      <c r="D986" t="s">
        <v>161</v>
      </c>
      <c r="E986" s="4">
        <v>1.857</v>
      </c>
      <c r="F986" s="4">
        <v>545037.49199999997</v>
      </c>
      <c r="G986" s="4">
        <v>545039.34900000005</v>
      </c>
      <c r="H986" s="5">
        <f>1179 / 86400</f>
        <v>1.3645833333333333E-2</v>
      </c>
      <c r="I986" t="s">
        <v>192</v>
      </c>
      <c r="J986" t="s">
        <v>82</v>
      </c>
      <c r="K986" s="5">
        <f>1585 / 86400</f>
        <v>1.8344907407407407E-2</v>
      </c>
      <c r="L986" s="5">
        <f>845 / 86400</f>
        <v>9.780092592592592E-3</v>
      </c>
    </row>
    <row r="987" spans="1:12" x14ac:dyDescent="0.25">
      <c r="A987" s="3">
        <v>45695.311655092592</v>
      </c>
      <c r="B987" t="s">
        <v>161</v>
      </c>
      <c r="C987" s="3">
        <v>45695.456145833334</v>
      </c>
      <c r="D987" t="s">
        <v>152</v>
      </c>
      <c r="E987" s="4">
        <v>51.201999999999998</v>
      </c>
      <c r="F987" s="4">
        <v>545039.34900000005</v>
      </c>
      <c r="G987" s="4">
        <v>545090.55099999998</v>
      </c>
      <c r="H987" s="5">
        <f>4939 / 86400</f>
        <v>5.7164351851851855E-2</v>
      </c>
      <c r="I987" t="s">
        <v>153</v>
      </c>
      <c r="J987" t="s">
        <v>24</v>
      </c>
      <c r="K987" s="5">
        <f>12483 / 86400</f>
        <v>0.14447916666666666</v>
      </c>
      <c r="L987" s="5">
        <f>1784 / 86400</f>
        <v>2.0648148148148148E-2</v>
      </c>
    </row>
    <row r="988" spans="1:12" x14ac:dyDescent="0.25">
      <c r="A988" s="3">
        <v>45695.476793981477</v>
      </c>
      <c r="B988" t="s">
        <v>152</v>
      </c>
      <c r="C988" s="3">
        <v>45695.616331018522</v>
      </c>
      <c r="D988" t="s">
        <v>316</v>
      </c>
      <c r="E988" s="4">
        <v>49.774000000000001</v>
      </c>
      <c r="F988" s="4">
        <v>545090.55099999998</v>
      </c>
      <c r="G988" s="4">
        <v>545140.32499999995</v>
      </c>
      <c r="H988" s="5">
        <f>4319 / 86400</f>
        <v>4.9988425925925929E-2</v>
      </c>
      <c r="I988" t="s">
        <v>182</v>
      </c>
      <c r="J988" t="s">
        <v>24</v>
      </c>
      <c r="K988" s="5">
        <f>12056 / 86400</f>
        <v>0.13953703703703704</v>
      </c>
      <c r="L988" s="5">
        <f>11 / 86400</f>
        <v>1.273148148148148E-4</v>
      </c>
    </row>
    <row r="989" spans="1:12" x14ac:dyDescent="0.25">
      <c r="A989" s="3">
        <v>45695.61645833333</v>
      </c>
      <c r="B989" t="s">
        <v>316</v>
      </c>
      <c r="C989" s="3">
        <v>45695.617685185185</v>
      </c>
      <c r="D989" t="s">
        <v>121</v>
      </c>
      <c r="E989" s="4">
        <v>0.29299999999999998</v>
      </c>
      <c r="F989" s="4">
        <v>545140.32499999995</v>
      </c>
      <c r="G989" s="4">
        <v>545140.61800000002</v>
      </c>
      <c r="H989" s="5">
        <f>0 / 86400</f>
        <v>0</v>
      </c>
      <c r="I989" t="s">
        <v>143</v>
      </c>
      <c r="J989" t="s">
        <v>45</v>
      </c>
      <c r="K989" s="5">
        <f>106 / 86400</f>
        <v>1.2268518518518518E-3</v>
      </c>
      <c r="L989" s="5">
        <f>1909 / 86400</f>
        <v>2.2094907407407407E-2</v>
      </c>
    </row>
    <row r="990" spans="1:12" x14ac:dyDescent="0.25">
      <c r="A990" s="3">
        <v>45695.639780092592</v>
      </c>
      <c r="B990" t="s">
        <v>121</v>
      </c>
      <c r="C990" s="3">
        <v>45695.88381944444</v>
      </c>
      <c r="D990" t="s">
        <v>128</v>
      </c>
      <c r="E990" s="4">
        <v>94.111000000000004</v>
      </c>
      <c r="F990" s="4">
        <v>545140.61800000002</v>
      </c>
      <c r="G990" s="4">
        <v>545234.72900000005</v>
      </c>
      <c r="H990" s="5">
        <f>6599 / 86400</f>
        <v>7.6377314814814815E-2</v>
      </c>
      <c r="I990" t="s">
        <v>30</v>
      </c>
      <c r="J990" t="s">
        <v>20</v>
      </c>
      <c r="K990" s="5">
        <f>21085 / 86400</f>
        <v>0.24403935185185185</v>
      </c>
      <c r="L990" s="5">
        <f>727 / 86400</f>
        <v>8.4143518518518517E-3</v>
      </c>
    </row>
    <row r="991" spans="1:12" x14ac:dyDescent="0.25">
      <c r="A991" s="3">
        <v>45695.892233796301</v>
      </c>
      <c r="B991" t="s">
        <v>128</v>
      </c>
      <c r="C991" s="3">
        <v>45695.894907407404</v>
      </c>
      <c r="D991" t="s">
        <v>22</v>
      </c>
      <c r="E991" s="4">
        <v>0.55900000000000005</v>
      </c>
      <c r="F991" s="4">
        <v>545234.72900000005</v>
      </c>
      <c r="G991" s="4">
        <v>545235.28799999994</v>
      </c>
      <c r="H991" s="5">
        <f>41 / 86400</f>
        <v>4.7453703703703704E-4</v>
      </c>
      <c r="I991" t="s">
        <v>139</v>
      </c>
      <c r="J991" t="s">
        <v>71</v>
      </c>
      <c r="K991" s="5">
        <f>231 / 86400</f>
        <v>2.673611111111111E-3</v>
      </c>
      <c r="L991" s="5">
        <f>9079 / 86400</f>
        <v>0.10508101851851852</v>
      </c>
    </row>
    <row r="992" spans="1:12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 spans="1:12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 spans="1:12" s="10" customFormat="1" ht="20.100000000000001" customHeight="1" x14ac:dyDescent="0.35">
      <c r="A994" s="12" t="s">
        <v>434</v>
      </c>
      <c r="B994" s="12"/>
      <c r="C994" s="12"/>
      <c r="D994" s="12"/>
      <c r="E994" s="12"/>
      <c r="F994" s="12"/>
      <c r="G994" s="12"/>
      <c r="H994" s="12"/>
      <c r="I994" s="12"/>
      <c r="J994" s="12"/>
    </row>
    <row r="995" spans="1:12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 spans="1:12" ht="30" x14ac:dyDescent="0.25">
      <c r="A996" s="2" t="s">
        <v>6</v>
      </c>
      <c r="B996" s="2" t="s">
        <v>7</v>
      </c>
      <c r="C996" s="2" t="s">
        <v>8</v>
      </c>
      <c r="D996" s="2" t="s">
        <v>9</v>
      </c>
      <c r="E996" s="2" t="s">
        <v>10</v>
      </c>
      <c r="F996" s="2" t="s">
        <v>11</v>
      </c>
      <c r="G996" s="2" t="s">
        <v>12</v>
      </c>
      <c r="H996" s="2" t="s">
        <v>13</v>
      </c>
      <c r="I996" s="2" t="s">
        <v>14</v>
      </c>
      <c r="J996" s="2" t="s">
        <v>15</v>
      </c>
      <c r="K996" s="2" t="s">
        <v>16</v>
      </c>
      <c r="L996" s="2" t="s">
        <v>17</v>
      </c>
    </row>
    <row r="997" spans="1:12" x14ac:dyDescent="0.25">
      <c r="A997" s="3">
        <v>45695</v>
      </c>
      <c r="B997" t="s">
        <v>100</v>
      </c>
      <c r="C997" s="3">
        <v>45695.075925925921</v>
      </c>
      <c r="D997" t="s">
        <v>118</v>
      </c>
      <c r="E997" s="4">
        <v>43.783999999999999</v>
      </c>
      <c r="F997" s="4">
        <v>101798.439</v>
      </c>
      <c r="G997" s="4">
        <v>101842.223</v>
      </c>
      <c r="H997" s="5">
        <f>1959 / 86400</f>
        <v>2.267361111111111E-2</v>
      </c>
      <c r="I997" t="s">
        <v>52</v>
      </c>
      <c r="J997" t="s">
        <v>143</v>
      </c>
      <c r="K997" s="5">
        <f>6560 / 86400</f>
        <v>7.5925925925925924E-2</v>
      </c>
      <c r="L997" s="5">
        <f>409 / 86400</f>
        <v>4.7337962962962967E-3</v>
      </c>
    </row>
    <row r="998" spans="1:12" x14ac:dyDescent="0.25">
      <c r="A998" s="3">
        <v>45695.080659722225</v>
      </c>
      <c r="B998" t="s">
        <v>118</v>
      </c>
      <c r="C998" s="3">
        <v>45695.087453703702</v>
      </c>
      <c r="D998" t="s">
        <v>95</v>
      </c>
      <c r="E998" s="4">
        <v>5.0469999999999997</v>
      </c>
      <c r="F998" s="4">
        <v>101842.223</v>
      </c>
      <c r="G998" s="4">
        <v>101847.27</v>
      </c>
      <c r="H998" s="5">
        <f>77 / 86400</f>
        <v>8.9120370370370373E-4</v>
      </c>
      <c r="I998" t="s">
        <v>235</v>
      </c>
      <c r="J998" t="s">
        <v>213</v>
      </c>
      <c r="K998" s="5">
        <f>587 / 86400</f>
        <v>6.7939814814814816E-3</v>
      </c>
      <c r="L998" s="5">
        <f>1138 / 86400</f>
        <v>1.3171296296296296E-2</v>
      </c>
    </row>
    <row r="999" spans="1:12" x14ac:dyDescent="0.25">
      <c r="A999" s="3">
        <v>45695.100624999999</v>
      </c>
      <c r="B999" t="s">
        <v>95</v>
      </c>
      <c r="C999" s="3">
        <v>45695.101655092592</v>
      </c>
      <c r="D999" t="s">
        <v>95</v>
      </c>
      <c r="E999" s="4">
        <v>6.9000000000000006E-2</v>
      </c>
      <c r="F999" s="4">
        <v>101847.27</v>
      </c>
      <c r="G999" s="4">
        <v>101847.33900000001</v>
      </c>
      <c r="H999" s="5">
        <f>17 / 86400</f>
        <v>1.9675925925925926E-4</v>
      </c>
      <c r="I999" t="s">
        <v>112</v>
      </c>
      <c r="J999" t="s">
        <v>140</v>
      </c>
      <c r="K999" s="5">
        <f>89 / 86400</f>
        <v>1.0300925925925926E-3</v>
      </c>
      <c r="L999" s="5">
        <f>8989 / 86400</f>
        <v>0.10403935185185186</v>
      </c>
    </row>
    <row r="1000" spans="1:12" x14ac:dyDescent="0.25">
      <c r="A1000" s="3">
        <v>45695.205694444448</v>
      </c>
      <c r="B1000" t="s">
        <v>95</v>
      </c>
      <c r="C1000" s="3">
        <v>45695.20648148148</v>
      </c>
      <c r="D1000" t="s">
        <v>95</v>
      </c>
      <c r="E1000" s="4">
        <v>0</v>
      </c>
      <c r="F1000" s="4">
        <v>101847.33900000001</v>
      </c>
      <c r="G1000" s="4">
        <v>101847.33900000001</v>
      </c>
      <c r="H1000" s="5">
        <f>57 / 86400</f>
        <v>6.5972222222222224E-4</v>
      </c>
      <c r="I1000" t="s">
        <v>129</v>
      </c>
      <c r="J1000" t="s">
        <v>129</v>
      </c>
      <c r="K1000" s="5">
        <f>68 / 86400</f>
        <v>7.8703703703703705E-4</v>
      </c>
      <c r="L1000" s="5">
        <f>8077 / 86400</f>
        <v>9.3483796296296301E-2</v>
      </c>
    </row>
    <row r="1001" spans="1:12" x14ac:dyDescent="0.25">
      <c r="A1001" s="3">
        <v>45695.29996527778</v>
      </c>
      <c r="B1001" t="s">
        <v>95</v>
      </c>
      <c r="C1001" s="3">
        <v>45695.32435185185</v>
      </c>
      <c r="D1001" t="s">
        <v>369</v>
      </c>
      <c r="E1001" s="4">
        <v>11.103999999999999</v>
      </c>
      <c r="F1001" s="4">
        <v>101847.33900000001</v>
      </c>
      <c r="G1001" s="4">
        <v>101858.443</v>
      </c>
      <c r="H1001" s="5">
        <f>416 / 86400</f>
        <v>4.8148148148148152E-3</v>
      </c>
      <c r="I1001" t="s">
        <v>194</v>
      </c>
      <c r="J1001" t="s">
        <v>90</v>
      </c>
      <c r="K1001" s="5">
        <f>2107 / 86400</f>
        <v>2.4386574074074074E-2</v>
      </c>
      <c r="L1001" s="5">
        <f>1136 / 86400</f>
        <v>1.3148148148148148E-2</v>
      </c>
    </row>
    <row r="1002" spans="1:12" x14ac:dyDescent="0.25">
      <c r="A1002" s="3">
        <v>45695.337500000001</v>
      </c>
      <c r="B1002" t="s">
        <v>369</v>
      </c>
      <c r="C1002" s="3">
        <v>45695.337881944448</v>
      </c>
      <c r="D1002" t="s">
        <v>369</v>
      </c>
      <c r="E1002" s="4">
        <v>1.4E-2</v>
      </c>
      <c r="F1002" s="4">
        <v>101858.443</v>
      </c>
      <c r="G1002" s="4">
        <v>101858.45699999999</v>
      </c>
      <c r="H1002" s="5">
        <f>17 / 86400</f>
        <v>1.9675925925925926E-4</v>
      </c>
      <c r="I1002" t="s">
        <v>129</v>
      </c>
      <c r="J1002" t="s">
        <v>87</v>
      </c>
      <c r="K1002" s="5">
        <f>33 / 86400</f>
        <v>3.8194444444444446E-4</v>
      </c>
      <c r="L1002" s="5">
        <f>827 / 86400</f>
        <v>9.571759259259259E-3</v>
      </c>
    </row>
    <row r="1003" spans="1:12" x14ac:dyDescent="0.25">
      <c r="A1003" s="3">
        <v>45695.347453703704</v>
      </c>
      <c r="B1003" t="s">
        <v>369</v>
      </c>
      <c r="C1003" s="3">
        <v>45695.348692129628</v>
      </c>
      <c r="D1003" t="s">
        <v>369</v>
      </c>
      <c r="E1003" s="4">
        <v>0</v>
      </c>
      <c r="F1003" s="4">
        <v>101858.45699999999</v>
      </c>
      <c r="G1003" s="4">
        <v>101858.45699999999</v>
      </c>
      <c r="H1003" s="5">
        <f>98 / 86400</f>
        <v>1.1342592592592593E-3</v>
      </c>
      <c r="I1003" t="s">
        <v>129</v>
      </c>
      <c r="J1003" t="s">
        <v>129</v>
      </c>
      <c r="K1003" s="5">
        <f>107 / 86400</f>
        <v>1.238425925925926E-3</v>
      </c>
      <c r="L1003" s="5">
        <f>36 / 86400</f>
        <v>4.1666666666666669E-4</v>
      </c>
    </row>
    <row r="1004" spans="1:12" x14ac:dyDescent="0.25">
      <c r="A1004" s="3">
        <v>45695.349108796298</v>
      </c>
      <c r="B1004" t="s">
        <v>369</v>
      </c>
      <c r="C1004" s="3">
        <v>45695.350046296298</v>
      </c>
      <c r="D1004" t="s">
        <v>369</v>
      </c>
      <c r="E1004" s="4">
        <v>0</v>
      </c>
      <c r="F1004" s="4">
        <v>101858.45699999999</v>
      </c>
      <c r="G1004" s="4">
        <v>101858.45699999999</v>
      </c>
      <c r="H1004" s="5">
        <f>78 / 86400</f>
        <v>9.0277777777777774E-4</v>
      </c>
      <c r="I1004" t="s">
        <v>129</v>
      </c>
      <c r="J1004" t="s">
        <v>129</v>
      </c>
      <c r="K1004" s="5">
        <f>81 / 86400</f>
        <v>9.3749999999999997E-4</v>
      </c>
      <c r="L1004" s="5">
        <f>3485 / 86400</f>
        <v>4.0335648148148148E-2</v>
      </c>
    </row>
    <row r="1005" spans="1:12" x14ac:dyDescent="0.25">
      <c r="A1005" s="3">
        <v>45695.390381944446</v>
      </c>
      <c r="B1005" t="s">
        <v>369</v>
      </c>
      <c r="C1005" s="3">
        <v>45695.394791666666</v>
      </c>
      <c r="D1005" t="s">
        <v>369</v>
      </c>
      <c r="E1005" s="4">
        <v>0</v>
      </c>
      <c r="F1005" s="4">
        <v>101858.45699999999</v>
      </c>
      <c r="G1005" s="4">
        <v>101858.45699999999</v>
      </c>
      <c r="H1005" s="5">
        <f>377 / 86400</f>
        <v>4.363425925925926E-3</v>
      </c>
      <c r="I1005" t="s">
        <v>129</v>
      </c>
      <c r="J1005" t="s">
        <v>129</v>
      </c>
      <c r="K1005" s="5">
        <f>381 / 86400</f>
        <v>4.409722222222222E-3</v>
      </c>
      <c r="L1005" s="5">
        <f>38 / 86400</f>
        <v>4.3981481481481481E-4</v>
      </c>
    </row>
    <row r="1006" spans="1:12" x14ac:dyDescent="0.25">
      <c r="A1006" s="3">
        <v>45695.395231481481</v>
      </c>
      <c r="B1006" t="s">
        <v>369</v>
      </c>
      <c r="C1006" s="3">
        <v>45695.396134259259</v>
      </c>
      <c r="D1006" t="s">
        <v>369</v>
      </c>
      <c r="E1006" s="4">
        <v>2.5999999999999999E-2</v>
      </c>
      <c r="F1006" s="4">
        <v>101858.45699999999</v>
      </c>
      <c r="G1006" s="4">
        <v>101858.48299999999</v>
      </c>
      <c r="H1006" s="5">
        <f>57 / 86400</f>
        <v>6.5972222222222224E-4</v>
      </c>
      <c r="I1006" t="s">
        <v>132</v>
      </c>
      <c r="J1006" t="s">
        <v>127</v>
      </c>
      <c r="K1006" s="5">
        <f>78 / 86400</f>
        <v>9.0277777777777774E-4</v>
      </c>
      <c r="L1006" s="5">
        <f>1757 / 86400</f>
        <v>2.0335648148148148E-2</v>
      </c>
    </row>
    <row r="1007" spans="1:12" x14ac:dyDescent="0.25">
      <c r="A1007" s="3">
        <v>45695.416469907403</v>
      </c>
      <c r="B1007" t="s">
        <v>369</v>
      </c>
      <c r="C1007" s="3">
        <v>45695.41788194445</v>
      </c>
      <c r="D1007" t="s">
        <v>147</v>
      </c>
      <c r="E1007" s="4">
        <v>0.69</v>
      </c>
      <c r="F1007" s="4">
        <v>101858.48299999999</v>
      </c>
      <c r="G1007" s="4">
        <v>101859.173</v>
      </c>
      <c r="H1007" s="5">
        <f>18 / 86400</f>
        <v>2.0833333333333335E-4</v>
      </c>
      <c r="I1007" t="s">
        <v>203</v>
      </c>
      <c r="J1007" t="s">
        <v>78</v>
      </c>
      <c r="K1007" s="5">
        <f>122 / 86400</f>
        <v>1.4120370370370369E-3</v>
      </c>
      <c r="L1007" s="5">
        <f>295 / 86400</f>
        <v>3.414351851851852E-3</v>
      </c>
    </row>
    <row r="1008" spans="1:12" x14ac:dyDescent="0.25">
      <c r="A1008" s="3">
        <v>45695.421296296292</v>
      </c>
      <c r="B1008" t="s">
        <v>147</v>
      </c>
      <c r="C1008" s="3">
        <v>45695.42324074074</v>
      </c>
      <c r="D1008" t="s">
        <v>22</v>
      </c>
      <c r="E1008" s="4">
        <v>0.58399999999999996</v>
      </c>
      <c r="F1008" s="4">
        <v>101859.173</v>
      </c>
      <c r="G1008" s="4">
        <v>101859.757</v>
      </c>
      <c r="H1008" s="5">
        <f>0 / 86400</f>
        <v>0</v>
      </c>
      <c r="I1008" t="s">
        <v>78</v>
      </c>
      <c r="J1008" t="s">
        <v>53</v>
      </c>
      <c r="K1008" s="5">
        <f>168 / 86400</f>
        <v>1.9444444444444444E-3</v>
      </c>
      <c r="L1008" s="5">
        <f>357 / 86400</f>
        <v>4.1319444444444442E-3</v>
      </c>
    </row>
    <row r="1009" spans="1:12" x14ac:dyDescent="0.25">
      <c r="A1009" s="3">
        <v>45695.427372685182</v>
      </c>
      <c r="B1009" t="s">
        <v>22</v>
      </c>
      <c r="C1009" s="3">
        <v>45695.560289351852</v>
      </c>
      <c r="D1009" t="s">
        <v>336</v>
      </c>
      <c r="E1009" s="4">
        <v>52.411999999999999</v>
      </c>
      <c r="F1009" s="4">
        <v>101859.757</v>
      </c>
      <c r="G1009" s="4">
        <v>101912.16899999999</v>
      </c>
      <c r="H1009" s="5">
        <f>4358 / 86400</f>
        <v>5.0439814814814812E-2</v>
      </c>
      <c r="I1009" t="s">
        <v>56</v>
      </c>
      <c r="J1009" t="s">
        <v>20</v>
      </c>
      <c r="K1009" s="5">
        <f>11484 / 86400</f>
        <v>0.13291666666666666</v>
      </c>
      <c r="L1009" s="5">
        <f>2380 / 86400</f>
        <v>2.7546296296296298E-2</v>
      </c>
    </row>
    <row r="1010" spans="1:12" x14ac:dyDescent="0.25">
      <c r="A1010" s="3">
        <v>45695.587835648148</v>
      </c>
      <c r="B1010" t="s">
        <v>336</v>
      </c>
      <c r="C1010" s="3">
        <v>45695.710173611107</v>
      </c>
      <c r="D1010" t="s">
        <v>110</v>
      </c>
      <c r="E1010" s="4">
        <v>49.988</v>
      </c>
      <c r="F1010" s="4">
        <v>101912.16899999999</v>
      </c>
      <c r="G1010" s="4">
        <v>101962.15700000001</v>
      </c>
      <c r="H1010" s="5">
        <f>3398 / 86400</f>
        <v>3.9328703703703706E-2</v>
      </c>
      <c r="I1010" t="s">
        <v>318</v>
      </c>
      <c r="J1010" t="s">
        <v>28</v>
      </c>
      <c r="K1010" s="5">
        <f>10570 / 86400</f>
        <v>0.12233796296296297</v>
      </c>
      <c r="L1010" s="5">
        <f>900 / 86400</f>
        <v>1.0416666666666666E-2</v>
      </c>
    </row>
    <row r="1011" spans="1:12" x14ac:dyDescent="0.25">
      <c r="A1011" s="3">
        <v>45695.720590277779</v>
      </c>
      <c r="B1011" t="s">
        <v>110</v>
      </c>
      <c r="C1011" s="3">
        <v>45695.914456018523</v>
      </c>
      <c r="D1011" t="s">
        <v>342</v>
      </c>
      <c r="E1011" s="4">
        <v>75.418000000000006</v>
      </c>
      <c r="F1011" s="4">
        <v>101962.15700000001</v>
      </c>
      <c r="G1011" s="4">
        <v>102037.575</v>
      </c>
      <c r="H1011" s="5">
        <f>7157 / 86400</f>
        <v>8.2835648148148144E-2</v>
      </c>
      <c r="I1011" t="s">
        <v>96</v>
      </c>
      <c r="J1011" t="s">
        <v>20</v>
      </c>
      <c r="K1011" s="5">
        <f>16750 / 86400</f>
        <v>0.19386574074074073</v>
      </c>
      <c r="L1011" s="5">
        <f>430 / 86400</f>
        <v>4.9768518518518521E-3</v>
      </c>
    </row>
    <row r="1012" spans="1:12" x14ac:dyDescent="0.25">
      <c r="A1012" s="3">
        <v>45695.919432870374</v>
      </c>
      <c r="B1012" t="s">
        <v>342</v>
      </c>
      <c r="C1012" s="3">
        <v>45695.99998842593</v>
      </c>
      <c r="D1012" t="s">
        <v>101</v>
      </c>
      <c r="E1012" s="4">
        <v>35.853000000000002</v>
      </c>
      <c r="F1012" s="4">
        <v>102037.575</v>
      </c>
      <c r="G1012" s="4">
        <v>102073.428</v>
      </c>
      <c r="H1012" s="5">
        <f>2860 / 86400</f>
        <v>3.3101851851851855E-2</v>
      </c>
      <c r="I1012" t="s">
        <v>102</v>
      </c>
      <c r="J1012" t="s">
        <v>90</v>
      </c>
      <c r="K1012" s="5">
        <f>6960 / 86400</f>
        <v>8.0555555555555561E-2</v>
      </c>
      <c r="L1012" s="5">
        <f>0 / 86400</f>
        <v>0</v>
      </c>
    </row>
    <row r="1013" spans="1:12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</row>
    <row r="1014" spans="1:12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</row>
    <row r="1015" spans="1:12" s="10" customFormat="1" ht="20.100000000000001" customHeight="1" x14ac:dyDescent="0.35">
      <c r="A1015" s="12" t="s">
        <v>435</v>
      </c>
      <c r="B1015" s="12"/>
      <c r="C1015" s="12"/>
      <c r="D1015" s="12"/>
      <c r="E1015" s="12"/>
      <c r="F1015" s="12"/>
      <c r="G1015" s="12"/>
      <c r="H1015" s="12"/>
      <c r="I1015" s="12"/>
      <c r="J1015" s="12"/>
    </row>
    <row r="1016" spans="1:12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</row>
    <row r="1017" spans="1:12" ht="30" x14ac:dyDescent="0.25">
      <c r="A1017" s="2" t="s">
        <v>6</v>
      </c>
      <c r="B1017" s="2" t="s">
        <v>7</v>
      </c>
      <c r="C1017" s="2" t="s">
        <v>8</v>
      </c>
      <c r="D1017" s="2" t="s">
        <v>9</v>
      </c>
      <c r="E1017" s="2" t="s">
        <v>10</v>
      </c>
      <c r="F1017" s="2" t="s">
        <v>11</v>
      </c>
      <c r="G1017" s="2" t="s">
        <v>12</v>
      </c>
      <c r="H1017" s="2" t="s">
        <v>13</v>
      </c>
      <c r="I1017" s="2" t="s">
        <v>14</v>
      </c>
      <c r="J1017" s="2" t="s">
        <v>15</v>
      </c>
      <c r="K1017" s="2" t="s">
        <v>16</v>
      </c>
      <c r="L1017" s="2" t="s">
        <v>17</v>
      </c>
    </row>
    <row r="1018" spans="1:12" x14ac:dyDescent="0.25">
      <c r="A1018" s="3">
        <v>45695.315428240741</v>
      </c>
      <c r="B1018" t="s">
        <v>29</v>
      </c>
      <c r="C1018" s="3">
        <v>45695.365393518514</v>
      </c>
      <c r="D1018" t="s">
        <v>147</v>
      </c>
      <c r="E1018" s="4">
        <v>26.721</v>
      </c>
      <c r="F1018" s="4">
        <v>53168.055999999997</v>
      </c>
      <c r="G1018" s="4">
        <v>53194.777000000002</v>
      </c>
      <c r="H1018" s="5">
        <f>1018 / 86400</f>
        <v>1.1782407407407408E-2</v>
      </c>
      <c r="I1018" t="s">
        <v>75</v>
      </c>
      <c r="J1018" t="s">
        <v>187</v>
      </c>
      <c r="K1018" s="5">
        <f>4317 / 86400</f>
        <v>4.9965277777777775E-2</v>
      </c>
      <c r="L1018" s="5">
        <f>27303 / 86400</f>
        <v>0.31600694444444444</v>
      </c>
    </row>
    <row r="1019" spans="1:12" x14ac:dyDescent="0.25">
      <c r="A1019" s="3">
        <v>45695.365972222222</v>
      </c>
      <c r="B1019" t="s">
        <v>147</v>
      </c>
      <c r="C1019" s="3">
        <v>45695.366053240738</v>
      </c>
      <c r="D1019" t="s">
        <v>147</v>
      </c>
      <c r="E1019" s="4">
        <v>0</v>
      </c>
      <c r="F1019" s="4">
        <v>53194.777000000002</v>
      </c>
      <c r="G1019" s="4">
        <v>53194.777000000002</v>
      </c>
      <c r="H1019" s="5">
        <f>0 / 86400</f>
        <v>0</v>
      </c>
      <c r="I1019" t="s">
        <v>129</v>
      </c>
      <c r="J1019" t="s">
        <v>129</v>
      </c>
      <c r="K1019" s="5">
        <f>7 / 86400</f>
        <v>8.1018518518518516E-5</v>
      </c>
      <c r="L1019" s="5">
        <f>118 / 86400</f>
        <v>1.3657407407407407E-3</v>
      </c>
    </row>
    <row r="1020" spans="1:12" x14ac:dyDescent="0.25">
      <c r="A1020" s="3">
        <v>45695.367418981477</v>
      </c>
      <c r="B1020" t="s">
        <v>147</v>
      </c>
      <c r="C1020" s="3">
        <v>45695.370127314818</v>
      </c>
      <c r="D1020" t="s">
        <v>121</v>
      </c>
      <c r="E1020" s="4">
        <v>0.93300000000000005</v>
      </c>
      <c r="F1020" s="4">
        <v>53194.777000000002</v>
      </c>
      <c r="G1020" s="4">
        <v>53195.71</v>
      </c>
      <c r="H1020" s="5">
        <f>0 / 86400</f>
        <v>0</v>
      </c>
      <c r="I1020" t="s">
        <v>139</v>
      </c>
      <c r="J1020" t="s">
        <v>34</v>
      </c>
      <c r="K1020" s="5">
        <f>234 / 86400</f>
        <v>2.7083333333333334E-3</v>
      </c>
      <c r="L1020" s="5">
        <f>1007 / 86400</f>
        <v>1.1655092592592592E-2</v>
      </c>
    </row>
    <row r="1021" spans="1:12" x14ac:dyDescent="0.25">
      <c r="A1021" s="3">
        <v>45695.381782407407</v>
      </c>
      <c r="B1021" t="s">
        <v>121</v>
      </c>
      <c r="C1021" s="3">
        <v>45695.44840277778</v>
      </c>
      <c r="D1021" t="s">
        <v>166</v>
      </c>
      <c r="E1021" s="4">
        <v>31.423999999999999</v>
      </c>
      <c r="F1021" s="4">
        <v>53195.71</v>
      </c>
      <c r="G1021" s="4">
        <v>53227.133999999998</v>
      </c>
      <c r="H1021" s="5">
        <f>1797 / 86400</f>
        <v>2.0798611111111111E-2</v>
      </c>
      <c r="I1021" t="s">
        <v>56</v>
      </c>
      <c r="J1021" t="s">
        <v>78</v>
      </c>
      <c r="K1021" s="5">
        <f>5756 / 86400</f>
        <v>6.6620370370370371E-2</v>
      </c>
      <c r="L1021" s="5">
        <f>136 / 86400</f>
        <v>1.5740740740740741E-3</v>
      </c>
    </row>
    <row r="1022" spans="1:12" x14ac:dyDescent="0.25">
      <c r="A1022" s="3">
        <v>45695.449976851851</v>
      </c>
      <c r="B1022" t="s">
        <v>166</v>
      </c>
      <c r="C1022" s="3">
        <v>45695.479583333334</v>
      </c>
      <c r="D1022" t="s">
        <v>237</v>
      </c>
      <c r="E1022" s="4">
        <v>11.041</v>
      </c>
      <c r="F1022" s="4">
        <v>53227.133999999998</v>
      </c>
      <c r="G1022" s="4">
        <v>53238.175000000003</v>
      </c>
      <c r="H1022" s="5">
        <f>996 / 86400</f>
        <v>1.1527777777777777E-2</v>
      </c>
      <c r="I1022" t="s">
        <v>99</v>
      </c>
      <c r="J1022" t="s">
        <v>20</v>
      </c>
      <c r="K1022" s="5">
        <f>2558 / 86400</f>
        <v>2.960648148148148E-2</v>
      </c>
      <c r="L1022" s="5">
        <f>66 / 86400</f>
        <v>7.6388888888888893E-4</v>
      </c>
    </row>
    <row r="1023" spans="1:12" x14ac:dyDescent="0.25">
      <c r="A1023" s="3">
        <v>45695.480347222227</v>
      </c>
      <c r="B1023" t="s">
        <v>237</v>
      </c>
      <c r="C1023" s="3">
        <v>45695.482858796298</v>
      </c>
      <c r="D1023" t="s">
        <v>237</v>
      </c>
      <c r="E1023" s="4">
        <v>0</v>
      </c>
      <c r="F1023" s="4">
        <v>53238.175000000003</v>
      </c>
      <c r="G1023" s="4">
        <v>53238.175000000003</v>
      </c>
      <c r="H1023" s="5">
        <f>197 / 86400</f>
        <v>2.2800925925925927E-3</v>
      </c>
      <c r="I1023" t="s">
        <v>129</v>
      </c>
      <c r="J1023" t="s">
        <v>129</v>
      </c>
      <c r="K1023" s="5">
        <f>217 / 86400</f>
        <v>2.5115740740740741E-3</v>
      </c>
      <c r="L1023" s="5">
        <f>65 / 86400</f>
        <v>7.5231481481481482E-4</v>
      </c>
    </row>
    <row r="1024" spans="1:12" x14ac:dyDescent="0.25">
      <c r="A1024" s="3">
        <v>45695.483611111107</v>
      </c>
      <c r="B1024" t="s">
        <v>237</v>
      </c>
      <c r="C1024" s="3">
        <v>45695.520150462966</v>
      </c>
      <c r="D1024" t="s">
        <v>322</v>
      </c>
      <c r="E1024" s="4">
        <v>10.362</v>
      </c>
      <c r="F1024" s="4">
        <v>53238.175000000003</v>
      </c>
      <c r="G1024" s="4">
        <v>53248.536999999997</v>
      </c>
      <c r="H1024" s="5">
        <f>1279 / 86400</f>
        <v>1.480324074074074E-2</v>
      </c>
      <c r="I1024" t="s">
        <v>208</v>
      </c>
      <c r="J1024" t="s">
        <v>57</v>
      </c>
      <c r="K1024" s="5">
        <f>3157 / 86400</f>
        <v>3.6539351851851851E-2</v>
      </c>
      <c r="L1024" s="5">
        <f>1721 / 86400</f>
        <v>1.9918981481481482E-2</v>
      </c>
    </row>
    <row r="1025" spans="1:12" x14ac:dyDescent="0.25">
      <c r="A1025" s="3">
        <v>45695.54006944444</v>
      </c>
      <c r="B1025" t="s">
        <v>322</v>
      </c>
      <c r="C1025" s="3">
        <v>45695.543900462959</v>
      </c>
      <c r="D1025" t="s">
        <v>323</v>
      </c>
      <c r="E1025" s="4">
        <v>0.26800000000000002</v>
      </c>
      <c r="F1025" s="4">
        <v>53248.536999999997</v>
      </c>
      <c r="G1025" s="4">
        <v>53248.805</v>
      </c>
      <c r="H1025" s="5">
        <f>278 / 86400</f>
        <v>3.2175925925925926E-3</v>
      </c>
      <c r="I1025" t="s">
        <v>143</v>
      </c>
      <c r="J1025" t="s">
        <v>140</v>
      </c>
      <c r="K1025" s="5">
        <f>331 / 86400</f>
        <v>3.8310185185185183E-3</v>
      </c>
      <c r="L1025" s="5">
        <f>47 / 86400</f>
        <v>5.4398148148148144E-4</v>
      </c>
    </row>
    <row r="1026" spans="1:12" x14ac:dyDescent="0.25">
      <c r="A1026" s="3">
        <v>45695.544444444444</v>
      </c>
      <c r="B1026" t="s">
        <v>323</v>
      </c>
      <c r="C1026" s="3">
        <v>45695.54451388889</v>
      </c>
      <c r="D1026" t="s">
        <v>323</v>
      </c>
      <c r="E1026" s="4">
        <v>0</v>
      </c>
      <c r="F1026" s="4">
        <v>53248.805</v>
      </c>
      <c r="G1026" s="4">
        <v>53248.805</v>
      </c>
      <c r="H1026" s="5">
        <f>0 / 86400</f>
        <v>0</v>
      </c>
      <c r="I1026" t="s">
        <v>129</v>
      </c>
      <c r="J1026" t="s">
        <v>129</v>
      </c>
      <c r="K1026" s="5">
        <f>6 / 86400</f>
        <v>6.9444444444444444E-5</v>
      </c>
      <c r="L1026" s="5">
        <f>175 / 86400</f>
        <v>2.0254629629629629E-3</v>
      </c>
    </row>
    <row r="1027" spans="1:12" x14ac:dyDescent="0.25">
      <c r="A1027" s="3">
        <v>45695.546539351853</v>
      </c>
      <c r="B1027" t="s">
        <v>323</v>
      </c>
      <c r="C1027" s="3">
        <v>45695.546782407408</v>
      </c>
      <c r="D1027" t="s">
        <v>323</v>
      </c>
      <c r="E1027" s="4">
        <v>0</v>
      </c>
      <c r="F1027" s="4">
        <v>53248.805</v>
      </c>
      <c r="G1027" s="4">
        <v>53248.805</v>
      </c>
      <c r="H1027" s="5">
        <f>18 / 86400</f>
        <v>2.0833333333333335E-4</v>
      </c>
      <c r="I1027" t="s">
        <v>129</v>
      </c>
      <c r="J1027" t="s">
        <v>129</v>
      </c>
      <c r="K1027" s="5">
        <f>21 / 86400</f>
        <v>2.4305555555555555E-4</v>
      </c>
      <c r="L1027" s="5">
        <f>8 / 86400</f>
        <v>9.2592592592592588E-5</v>
      </c>
    </row>
    <row r="1028" spans="1:12" x14ac:dyDescent="0.25">
      <c r="A1028" s="3">
        <v>45695.546875</v>
      </c>
      <c r="B1028" t="s">
        <v>323</v>
      </c>
      <c r="C1028" s="3">
        <v>45695.557592592595</v>
      </c>
      <c r="D1028" t="s">
        <v>323</v>
      </c>
      <c r="E1028" s="4">
        <v>0</v>
      </c>
      <c r="F1028" s="4">
        <v>53248.805</v>
      </c>
      <c r="G1028" s="4">
        <v>53248.805</v>
      </c>
      <c r="H1028" s="5">
        <f>909 / 86400</f>
        <v>1.0520833333333333E-2</v>
      </c>
      <c r="I1028" t="s">
        <v>129</v>
      </c>
      <c r="J1028" t="s">
        <v>129</v>
      </c>
      <c r="K1028" s="5">
        <f>926 / 86400</f>
        <v>1.0717592592592593E-2</v>
      </c>
      <c r="L1028" s="5">
        <f>60 / 86400</f>
        <v>6.9444444444444447E-4</v>
      </c>
    </row>
    <row r="1029" spans="1:12" x14ac:dyDescent="0.25">
      <c r="A1029" s="3">
        <v>45695.558287037042</v>
      </c>
      <c r="B1029" t="s">
        <v>323</v>
      </c>
      <c r="C1029" s="3">
        <v>45695.673483796301</v>
      </c>
      <c r="D1029" t="s">
        <v>342</v>
      </c>
      <c r="E1029" s="4">
        <v>45.901000000000003</v>
      </c>
      <c r="F1029" s="4">
        <v>53248.805</v>
      </c>
      <c r="G1029" s="4">
        <v>53294.705999999998</v>
      </c>
      <c r="H1029" s="5">
        <f>3718 / 86400</f>
        <v>4.3032407407407408E-2</v>
      </c>
      <c r="I1029" t="s">
        <v>75</v>
      </c>
      <c r="J1029" t="s">
        <v>28</v>
      </c>
      <c r="K1029" s="5">
        <f>9953 / 86400</f>
        <v>0.11519675925925926</v>
      </c>
      <c r="L1029" s="5">
        <f>101 / 86400</f>
        <v>1.1689814814814816E-3</v>
      </c>
    </row>
    <row r="1030" spans="1:12" x14ac:dyDescent="0.25">
      <c r="A1030" s="3">
        <v>45695.67465277778</v>
      </c>
      <c r="B1030" t="s">
        <v>342</v>
      </c>
      <c r="C1030" s="3">
        <v>45695.739444444444</v>
      </c>
      <c r="D1030" t="s">
        <v>370</v>
      </c>
      <c r="E1030" s="4">
        <v>34.261000000000003</v>
      </c>
      <c r="F1030" s="4">
        <v>53294.705999999998</v>
      </c>
      <c r="G1030" s="4">
        <v>53328.966999999997</v>
      </c>
      <c r="H1030" s="5">
        <f>1979 / 86400</f>
        <v>2.2905092592592591E-2</v>
      </c>
      <c r="I1030" t="s">
        <v>104</v>
      </c>
      <c r="J1030" t="s">
        <v>187</v>
      </c>
      <c r="K1030" s="5">
        <f>5598 / 86400</f>
        <v>6.4791666666666664E-2</v>
      </c>
      <c r="L1030" s="5">
        <f>226 / 86400</f>
        <v>2.6157407407407405E-3</v>
      </c>
    </row>
    <row r="1031" spans="1:12" x14ac:dyDescent="0.25">
      <c r="A1031" s="3">
        <v>45695.742060185185</v>
      </c>
      <c r="B1031" t="s">
        <v>228</v>
      </c>
      <c r="C1031" s="3">
        <v>45695.794918981483</v>
      </c>
      <c r="D1031" t="s">
        <v>183</v>
      </c>
      <c r="E1031" s="4">
        <v>19.420000000000002</v>
      </c>
      <c r="F1031" s="4">
        <v>53328.966999999997</v>
      </c>
      <c r="G1031" s="4">
        <v>53348.387000000002</v>
      </c>
      <c r="H1031" s="5">
        <f>1541 / 86400</f>
        <v>1.7835648148148149E-2</v>
      </c>
      <c r="I1031" t="s">
        <v>165</v>
      </c>
      <c r="J1031" t="s">
        <v>24</v>
      </c>
      <c r="K1031" s="5">
        <f>4567 / 86400</f>
        <v>5.28587962962963E-2</v>
      </c>
      <c r="L1031" s="5">
        <f>70 / 86400</f>
        <v>8.1018518518518516E-4</v>
      </c>
    </row>
    <row r="1032" spans="1:12" x14ac:dyDescent="0.25">
      <c r="A1032" s="3">
        <v>45695.795729166668</v>
      </c>
      <c r="B1032" t="s">
        <v>183</v>
      </c>
      <c r="C1032" s="3">
        <v>45695.832696759258</v>
      </c>
      <c r="D1032" t="s">
        <v>341</v>
      </c>
      <c r="E1032" s="4">
        <v>15.196</v>
      </c>
      <c r="F1032" s="4">
        <v>53348.387000000002</v>
      </c>
      <c r="G1032" s="4">
        <v>53363.582999999999</v>
      </c>
      <c r="H1032" s="5">
        <f>1279 / 86400</f>
        <v>1.480324074074074E-2</v>
      </c>
      <c r="I1032" t="s">
        <v>23</v>
      </c>
      <c r="J1032" t="s">
        <v>28</v>
      </c>
      <c r="K1032" s="5">
        <f>3194 / 86400</f>
        <v>3.6967592592592594E-2</v>
      </c>
      <c r="L1032" s="5">
        <f>94 / 86400</f>
        <v>1.0879629629629629E-3</v>
      </c>
    </row>
    <row r="1033" spans="1:12" x14ac:dyDescent="0.25">
      <c r="A1033" s="3">
        <v>45695.833784722221</v>
      </c>
      <c r="B1033" t="s">
        <v>341</v>
      </c>
      <c r="C1033" s="3">
        <v>45695.836898148147</v>
      </c>
      <c r="D1033" t="s">
        <v>371</v>
      </c>
      <c r="E1033" s="4">
        <v>0.17399999999999999</v>
      </c>
      <c r="F1033" s="4">
        <v>53363.582999999999</v>
      </c>
      <c r="G1033" s="4">
        <v>53363.756999999998</v>
      </c>
      <c r="H1033" s="5">
        <f>160 / 86400</f>
        <v>1.8518518518518519E-3</v>
      </c>
      <c r="I1033" t="s">
        <v>53</v>
      </c>
      <c r="J1033" t="s">
        <v>87</v>
      </c>
      <c r="K1033" s="5">
        <f>269 / 86400</f>
        <v>3.1134259259259257E-3</v>
      </c>
      <c r="L1033" s="5">
        <f>568 / 86400</f>
        <v>6.5740740740740742E-3</v>
      </c>
    </row>
    <row r="1034" spans="1:12" x14ac:dyDescent="0.25">
      <c r="A1034" s="3">
        <v>45695.843472222223</v>
      </c>
      <c r="B1034" t="s">
        <v>371</v>
      </c>
      <c r="C1034" s="3">
        <v>45695.921157407407</v>
      </c>
      <c r="D1034" t="s">
        <v>372</v>
      </c>
      <c r="E1034" s="4">
        <v>36.216999999999999</v>
      </c>
      <c r="F1034" s="4">
        <v>53363.756999999998</v>
      </c>
      <c r="G1034" s="4">
        <v>53399.974000000002</v>
      </c>
      <c r="H1034" s="5">
        <f>2378 / 86400</f>
        <v>2.7523148148148147E-2</v>
      </c>
      <c r="I1034" t="s">
        <v>68</v>
      </c>
      <c r="J1034" t="s">
        <v>90</v>
      </c>
      <c r="K1034" s="5">
        <f>6712 / 86400</f>
        <v>7.768518518518519E-2</v>
      </c>
      <c r="L1034" s="5">
        <f>205 / 86400</f>
        <v>2.3726851851851851E-3</v>
      </c>
    </row>
    <row r="1035" spans="1:12" x14ac:dyDescent="0.25">
      <c r="A1035" s="3">
        <v>45695.923530092594</v>
      </c>
      <c r="B1035" t="s">
        <v>372</v>
      </c>
      <c r="C1035" s="3">
        <v>45695.982175925921</v>
      </c>
      <c r="D1035" t="s">
        <v>88</v>
      </c>
      <c r="E1035" s="4">
        <v>25.808</v>
      </c>
      <c r="F1035" s="4">
        <v>53399.974000000002</v>
      </c>
      <c r="G1035" s="4">
        <v>53425.781999999999</v>
      </c>
      <c r="H1035" s="5">
        <f>1540 / 86400</f>
        <v>1.7824074074074076E-2</v>
      </c>
      <c r="I1035" t="s">
        <v>165</v>
      </c>
      <c r="J1035" t="s">
        <v>69</v>
      </c>
      <c r="K1035" s="5">
        <f>5067 / 86400</f>
        <v>5.8645833333333335E-2</v>
      </c>
      <c r="L1035" s="5">
        <f>1086 / 86400</f>
        <v>1.2569444444444444E-2</v>
      </c>
    </row>
    <row r="1036" spans="1:12" x14ac:dyDescent="0.25">
      <c r="A1036" s="3">
        <v>45695.994745370372</v>
      </c>
      <c r="B1036" t="s">
        <v>88</v>
      </c>
      <c r="C1036" s="3">
        <v>45695.99998842593</v>
      </c>
      <c r="D1036" t="s">
        <v>103</v>
      </c>
      <c r="E1036" s="4">
        <v>2.06</v>
      </c>
      <c r="F1036" s="4">
        <v>53425.781999999999</v>
      </c>
      <c r="G1036" s="4">
        <v>53427.841999999997</v>
      </c>
      <c r="H1036" s="5">
        <f>60 / 86400</f>
        <v>6.9444444444444447E-4</v>
      </c>
      <c r="I1036" t="s">
        <v>260</v>
      </c>
      <c r="J1036" t="s">
        <v>20</v>
      </c>
      <c r="K1036" s="5">
        <f>453 / 86400</f>
        <v>5.2430555555555555E-3</v>
      </c>
      <c r="L1036" s="5">
        <f>0 / 86400</f>
        <v>0</v>
      </c>
    </row>
    <row r="1037" spans="1:12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</row>
    <row r="1038" spans="1:12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</row>
    <row r="1039" spans="1:12" s="10" customFormat="1" ht="20.100000000000001" customHeight="1" x14ac:dyDescent="0.35">
      <c r="A1039" s="12" t="s">
        <v>436</v>
      </c>
      <c r="B1039" s="12"/>
      <c r="C1039" s="12"/>
      <c r="D1039" s="12"/>
      <c r="E1039" s="12"/>
      <c r="F1039" s="12"/>
      <c r="G1039" s="12"/>
      <c r="H1039" s="12"/>
      <c r="I1039" s="12"/>
      <c r="J1039" s="12"/>
    </row>
    <row r="1040" spans="1:12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2" ht="30" x14ac:dyDescent="0.25">
      <c r="A1041" s="2" t="s">
        <v>6</v>
      </c>
      <c r="B1041" s="2" t="s">
        <v>7</v>
      </c>
      <c r="C1041" s="2" t="s">
        <v>8</v>
      </c>
      <c r="D1041" s="2" t="s">
        <v>9</v>
      </c>
      <c r="E1041" s="2" t="s">
        <v>10</v>
      </c>
      <c r="F1041" s="2" t="s">
        <v>11</v>
      </c>
      <c r="G1041" s="2" t="s">
        <v>12</v>
      </c>
      <c r="H1041" s="2" t="s">
        <v>13</v>
      </c>
      <c r="I1041" s="2" t="s">
        <v>14</v>
      </c>
      <c r="J1041" s="2" t="s">
        <v>15</v>
      </c>
      <c r="K1041" s="2" t="s">
        <v>16</v>
      </c>
      <c r="L1041" s="2" t="s">
        <v>17</v>
      </c>
    </row>
    <row r="1042" spans="1:12" x14ac:dyDescent="0.25">
      <c r="A1042" s="3">
        <v>45695.212361111116</v>
      </c>
      <c r="B1042" t="s">
        <v>105</v>
      </c>
      <c r="C1042" s="3">
        <v>45695.316666666666</v>
      </c>
      <c r="D1042" t="s">
        <v>370</v>
      </c>
      <c r="E1042" s="4">
        <v>37.704000000000001</v>
      </c>
      <c r="F1042" s="4">
        <v>45295.724000000002</v>
      </c>
      <c r="G1042" s="4">
        <v>45333.428</v>
      </c>
      <c r="H1042" s="5">
        <f>4241 / 86400</f>
        <v>4.9085648148148149E-2</v>
      </c>
      <c r="I1042" t="s">
        <v>59</v>
      </c>
      <c r="J1042" t="s">
        <v>24</v>
      </c>
      <c r="K1042" s="5">
        <f>9012 / 86400</f>
        <v>0.10430555555555555</v>
      </c>
      <c r="L1042" s="5">
        <f>18436 / 86400</f>
        <v>0.21337962962962964</v>
      </c>
    </row>
    <row r="1043" spans="1:12" x14ac:dyDescent="0.25">
      <c r="A1043" s="3">
        <v>45695.317685185189</v>
      </c>
      <c r="B1043" t="s">
        <v>370</v>
      </c>
      <c r="C1043" s="3">
        <v>45695.413194444445</v>
      </c>
      <c r="D1043" t="s">
        <v>113</v>
      </c>
      <c r="E1043" s="4">
        <v>30.155999999999999</v>
      </c>
      <c r="F1043" s="4">
        <v>45333.428</v>
      </c>
      <c r="G1043" s="4">
        <v>45363.584000000003</v>
      </c>
      <c r="H1043" s="5">
        <f>3298 / 86400</f>
        <v>3.8171296296296293E-2</v>
      </c>
      <c r="I1043" t="s">
        <v>111</v>
      </c>
      <c r="J1043" t="s">
        <v>53</v>
      </c>
      <c r="K1043" s="5">
        <f>8252 / 86400</f>
        <v>9.5509259259259266E-2</v>
      </c>
      <c r="L1043" s="5">
        <f>68 / 86400</f>
        <v>7.8703703703703705E-4</v>
      </c>
    </row>
    <row r="1044" spans="1:12" x14ac:dyDescent="0.25">
      <c r="A1044" s="3">
        <v>45695.413981481484</v>
      </c>
      <c r="B1044" t="s">
        <v>113</v>
      </c>
      <c r="C1044" s="3">
        <v>45695.484594907408</v>
      </c>
      <c r="D1044" t="s">
        <v>251</v>
      </c>
      <c r="E1044" s="4">
        <v>17.218</v>
      </c>
      <c r="F1044" s="4">
        <v>45363.584000000003</v>
      </c>
      <c r="G1044" s="4">
        <v>45380.802000000003</v>
      </c>
      <c r="H1044" s="5">
        <f>3000 / 86400</f>
        <v>3.4722222222222224E-2</v>
      </c>
      <c r="I1044" t="s">
        <v>182</v>
      </c>
      <c r="J1044" t="s">
        <v>45</v>
      </c>
      <c r="K1044" s="5">
        <f>6101 / 86400</f>
        <v>7.0613425925925927E-2</v>
      </c>
      <c r="L1044" s="5">
        <f>757 / 86400</f>
        <v>8.7615740740740744E-3</v>
      </c>
    </row>
    <row r="1045" spans="1:12" x14ac:dyDescent="0.25">
      <c r="A1045" s="3">
        <v>45695.493356481486</v>
      </c>
      <c r="B1045" t="s">
        <v>251</v>
      </c>
      <c r="C1045" s="3">
        <v>45695.600497685184</v>
      </c>
      <c r="D1045" t="s">
        <v>333</v>
      </c>
      <c r="E1045" s="4">
        <v>46.621000000000002</v>
      </c>
      <c r="F1045" s="4">
        <v>45380.802000000003</v>
      </c>
      <c r="G1045" s="4">
        <v>45427.423000000003</v>
      </c>
      <c r="H1045" s="5">
        <f>2722 / 86400</f>
        <v>3.1504629629629632E-2</v>
      </c>
      <c r="I1045" t="s">
        <v>153</v>
      </c>
      <c r="J1045" t="s">
        <v>69</v>
      </c>
      <c r="K1045" s="5">
        <f>9257 / 86400</f>
        <v>0.1071412037037037</v>
      </c>
      <c r="L1045" s="5">
        <f>6841 / 86400</f>
        <v>7.9178240740740743E-2</v>
      </c>
    </row>
    <row r="1046" spans="1:12" x14ac:dyDescent="0.25">
      <c r="A1046" s="3">
        <v>45695.67967592593</v>
      </c>
      <c r="B1046" t="s">
        <v>333</v>
      </c>
      <c r="C1046" s="3">
        <v>45695.679733796293</v>
      </c>
      <c r="D1046" t="s">
        <v>333</v>
      </c>
      <c r="E1046" s="4">
        <v>0</v>
      </c>
      <c r="F1046" s="4">
        <v>45427.423000000003</v>
      </c>
      <c r="G1046" s="4">
        <v>45427.423000000003</v>
      </c>
      <c r="H1046" s="5">
        <f>0 / 86400</f>
        <v>0</v>
      </c>
      <c r="I1046" t="s">
        <v>129</v>
      </c>
      <c r="J1046" t="s">
        <v>129</v>
      </c>
      <c r="K1046" s="5">
        <f>5 / 86400</f>
        <v>5.7870370370370373E-5</v>
      </c>
      <c r="L1046" s="5">
        <f>22 / 86400</f>
        <v>2.5462962962962961E-4</v>
      </c>
    </row>
    <row r="1047" spans="1:12" x14ac:dyDescent="0.25">
      <c r="A1047" s="3">
        <v>45695.679988425924</v>
      </c>
      <c r="B1047" t="s">
        <v>333</v>
      </c>
      <c r="C1047" s="3">
        <v>45695.682928240742</v>
      </c>
      <c r="D1047" t="s">
        <v>110</v>
      </c>
      <c r="E1047" s="4">
        <v>0.88400000000000001</v>
      </c>
      <c r="F1047" s="4">
        <v>45427.423000000003</v>
      </c>
      <c r="G1047" s="4">
        <v>45428.307000000001</v>
      </c>
      <c r="H1047" s="5">
        <f>57 / 86400</f>
        <v>6.5972222222222224E-4</v>
      </c>
      <c r="I1047" t="s">
        <v>191</v>
      </c>
      <c r="J1047" t="s">
        <v>53</v>
      </c>
      <c r="K1047" s="5">
        <f>254 / 86400</f>
        <v>2.9398148148148148E-3</v>
      </c>
      <c r="L1047" s="5">
        <f>365 / 86400</f>
        <v>4.2245370370370371E-3</v>
      </c>
    </row>
    <row r="1048" spans="1:12" x14ac:dyDescent="0.25">
      <c r="A1048" s="3">
        <v>45695.687152777777</v>
      </c>
      <c r="B1048" t="s">
        <v>110</v>
      </c>
      <c r="C1048" s="3">
        <v>45695.689803240741</v>
      </c>
      <c r="D1048" t="s">
        <v>327</v>
      </c>
      <c r="E1048" s="4">
        <v>0.60099999999999998</v>
      </c>
      <c r="F1048" s="4">
        <v>45428.307000000001</v>
      </c>
      <c r="G1048" s="4">
        <v>45428.908000000003</v>
      </c>
      <c r="H1048" s="5">
        <f>80 / 86400</f>
        <v>9.2592592592592596E-4</v>
      </c>
      <c r="I1048" t="s">
        <v>195</v>
      </c>
      <c r="J1048" t="s">
        <v>71</v>
      </c>
      <c r="K1048" s="5">
        <f>229 / 86400</f>
        <v>2.650462962962963E-3</v>
      </c>
      <c r="L1048" s="5">
        <f>240 / 86400</f>
        <v>2.7777777777777779E-3</v>
      </c>
    </row>
    <row r="1049" spans="1:12" x14ac:dyDescent="0.25">
      <c r="A1049" s="3">
        <v>45695.69258101852</v>
      </c>
      <c r="B1049" t="s">
        <v>327</v>
      </c>
      <c r="C1049" s="3">
        <v>45695.697199074071</v>
      </c>
      <c r="D1049" t="s">
        <v>373</v>
      </c>
      <c r="E1049" s="4">
        <v>1.5669999999999999</v>
      </c>
      <c r="F1049" s="4">
        <v>45428.908000000003</v>
      </c>
      <c r="G1049" s="4">
        <v>45430.474999999999</v>
      </c>
      <c r="H1049" s="5">
        <f>20 / 86400</f>
        <v>2.3148148148148149E-4</v>
      </c>
      <c r="I1049" t="s">
        <v>157</v>
      </c>
      <c r="J1049" t="s">
        <v>34</v>
      </c>
      <c r="K1049" s="5">
        <f>399 / 86400</f>
        <v>4.6180555555555558E-3</v>
      </c>
      <c r="L1049" s="5">
        <f>371 / 86400</f>
        <v>4.2939814814814811E-3</v>
      </c>
    </row>
    <row r="1050" spans="1:12" x14ac:dyDescent="0.25">
      <c r="A1050" s="3">
        <v>45695.70149305556</v>
      </c>
      <c r="B1050" t="s">
        <v>373</v>
      </c>
      <c r="C1050" s="3">
        <v>45695.702523148153</v>
      </c>
      <c r="D1050" t="s">
        <v>374</v>
      </c>
      <c r="E1050" s="4">
        <v>0.16500000000000001</v>
      </c>
      <c r="F1050" s="4">
        <v>45430.474999999999</v>
      </c>
      <c r="G1050" s="4">
        <v>45430.64</v>
      </c>
      <c r="H1050" s="5">
        <f>0 / 86400</f>
        <v>0</v>
      </c>
      <c r="I1050" t="s">
        <v>45</v>
      </c>
      <c r="J1050" t="s">
        <v>91</v>
      </c>
      <c r="K1050" s="5">
        <f>89 / 86400</f>
        <v>1.0300925925925926E-3</v>
      </c>
      <c r="L1050" s="5">
        <f>1552 / 86400</f>
        <v>1.7962962962962962E-2</v>
      </c>
    </row>
    <row r="1051" spans="1:12" x14ac:dyDescent="0.25">
      <c r="A1051" s="3">
        <v>45695.720486111109</v>
      </c>
      <c r="B1051" t="s">
        <v>374</v>
      </c>
      <c r="C1051" s="3">
        <v>45695.721886574072</v>
      </c>
      <c r="D1051" t="s">
        <v>106</v>
      </c>
      <c r="E1051" s="4">
        <v>0.126</v>
      </c>
      <c r="F1051" s="4">
        <v>45430.64</v>
      </c>
      <c r="G1051" s="4">
        <v>45430.766000000003</v>
      </c>
      <c r="H1051" s="5">
        <f>97 / 86400</f>
        <v>1.1226851851851851E-3</v>
      </c>
      <c r="I1051" t="s">
        <v>112</v>
      </c>
      <c r="J1051" t="s">
        <v>82</v>
      </c>
      <c r="K1051" s="5">
        <f>121 / 86400</f>
        <v>1.4004629629629629E-3</v>
      </c>
      <c r="L1051" s="5">
        <f>24028 / 86400</f>
        <v>0.27810185185185188</v>
      </c>
    </row>
    <row r="1052" spans="1:12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</row>
    <row r="1053" spans="1:12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</row>
    <row r="1054" spans="1:12" s="10" customFormat="1" ht="20.100000000000001" customHeight="1" x14ac:dyDescent="0.35">
      <c r="A1054" s="12" t="s">
        <v>437</v>
      </c>
      <c r="B1054" s="12"/>
      <c r="C1054" s="12"/>
      <c r="D1054" s="12"/>
      <c r="E1054" s="12"/>
      <c r="F1054" s="12"/>
      <c r="G1054" s="12"/>
      <c r="H1054" s="12"/>
      <c r="I1054" s="12"/>
      <c r="J1054" s="12"/>
    </row>
    <row r="1055" spans="1:12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</row>
    <row r="1056" spans="1:12" ht="30" x14ac:dyDescent="0.25">
      <c r="A1056" s="2" t="s">
        <v>6</v>
      </c>
      <c r="B1056" s="2" t="s">
        <v>7</v>
      </c>
      <c r="C1056" s="2" t="s">
        <v>8</v>
      </c>
      <c r="D1056" s="2" t="s">
        <v>9</v>
      </c>
      <c r="E1056" s="2" t="s">
        <v>10</v>
      </c>
      <c r="F1056" s="2" t="s">
        <v>11</v>
      </c>
      <c r="G1056" s="2" t="s">
        <v>12</v>
      </c>
      <c r="H1056" s="2" t="s">
        <v>13</v>
      </c>
      <c r="I1056" s="2" t="s">
        <v>14</v>
      </c>
      <c r="J1056" s="2" t="s">
        <v>15</v>
      </c>
      <c r="K1056" s="2" t="s">
        <v>16</v>
      </c>
      <c r="L1056" s="2" t="s">
        <v>17</v>
      </c>
    </row>
    <row r="1057" spans="1:12" x14ac:dyDescent="0.25">
      <c r="A1057" s="3">
        <v>45695.33798611111</v>
      </c>
      <c r="B1057" t="s">
        <v>107</v>
      </c>
      <c r="C1057" s="3">
        <v>45695.354374999995</v>
      </c>
      <c r="D1057" t="s">
        <v>128</v>
      </c>
      <c r="E1057" s="4">
        <v>0.83299999999999996</v>
      </c>
      <c r="F1057" s="4">
        <v>77512.459000000003</v>
      </c>
      <c r="G1057" s="4">
        <v>77513.292000000001</v>
      </c>
      <c r="H1057" s="5">
        <f>1157 / 86400</f>
        <v>1.3391203703703704E-2</v>
      </c>
      <c r="I1057" t="s">
        <v>143</v>
      </c>
      <c r="J1057" t="s">
        <v>87</v>
      </c>
      <c r="K1057" s="5">
        <f>1416 / 86400</f>
        <v>1.638888888888889E-2</v>
      </c>
      <c r="L1057" s="5">
        <f>30190 / 86400</f>
        <v>0.34942129629629631</v>
      </c>
    </row>
    <row r="1058" spans="1:12" x14ac:dyDescent="0.25">
      <c r="A1058" s="3">
        <v>45695.365810185191</v>
      </c>
      <c r="B1058" t="s">
        <v>128</v>
      </c>
      <c r="C1058" s="3">
        <v>45695.366793981477</v>
      </c>
      <c r="D1058" t="s">
        <v>128</v>
      </c>
      <c r="E1058" s="4">
        <v>2.5000000000000001E-2</v>
      </c>
      <c r="F1058" s="4">
        <v>77513.292000000001</v>
      </c>
      <c r="G1058" s="4">
        <v>77513.316999999995</v>
      </c>
      <c r="H1058" s="5">
        <f>18 / 86400</f>
        <v>2.0833333333333335E-4</v>
      </c>
      <c r="I1058" t="s">
        <v>126</v>
      </c>
      <c r="J1058" t="s">
        <v>127</v>
      </c>
      <c r="K1058" s="5">
        <f>85 / 86400</f>
        <v>9.837962962962962E-4</v>
      </c>
      <c r="L1058" s="5">
        <f>1514 / 86400</f>
        <v>1.7523148148148149E-2</v>
      </c>
    </row>
    <row r="1059" spans="1:12" x14ac:dyDescent="0.25">
      <c r="A1059" s="3">
        <v>45695.384317129632</v>
      </c>
      <c r="B1059" t="s">
        <v>128</v>
      </c>
      <c r="C1059" s="3">
        <v>45695.38480324074</v>
      </c>
      <c r="D1059" t="s">
        <v>128</v>
      </c>
      <c r="E1059" s="4">
        <v>0</v>
      </c>
      <c r="F1059" s="4">
        <v>77513.316999999995</v>
      </c>
      <c r="G1059" s="4">
        <v>77513.316999999995</v>
      </c>
      <c r="H1059" s="5">
        <f>38 / 86400</f>
        <v>4.3981481481481481E-4</v>
      </c>
      <c r="I1059" t="s">
        <v>129</v>
      </c>
      <c r="J1059" t="s">
        <v>129</v>
      </c>
      <c r="K1059" s="5">
        <f>42 / 86400</f>
        <v>4.861111111111111E-4</v>
      </c>
      <c r="L1059" s="5">
        <f>4369 / 86400</f>
        <v>5.0567129629629629E-2</v>
      </c>
    </row>
    <row r="1060" spans="1:12" x14ac:dyDescent="0.25">
      <c r="A1060" s="3">
        <v>45695.435370370367</v>
      </c>
      <c r="B1060" t="s">
        <v>128</v>
      </c>
      <c r="C1060" s="3">
        <v>45695.441342592589</v>
      </c>
      <c r="D1060" t="s">
        <v>121</v>
      </c>
      <c r="E1060" s="4">
        <v>1.506</v>
      </c>
      <c r="F1060" s="4">
        <v>77513.316999999995</v>
      </c>
      <c r="G1060" s="4">
        <v>77514.823000000004</v>
      </c>
      <c r="H1060" s="5">
        <f>218 / 86400</f>
        <v>2.5231481481481481E-3</v>
      </c>
      <c r="I1060" t="s">
        <v>175</v>
      </c>
      <c r="J1060" t="s">
        <v>112</v>
      </c>
      <c r="K1060" s="5">
        <f>516 / 86400</f>
        <v>5.9722222222222225E-3</v>
      </c>
      <c r="L1060" s="5">
        <f>1325 / 86400</f>
        <v>1.5335648148148149E-2</v>
      </c>
    </row>
    <row r="1061" spans="1:12" x14ac:dyDescent="0.25">
      <c r="A1061" s="3">
        <v>45695.456678240742</v>
      </c>
      <c r="B1061" t="s">
        <v>121</v>
      </c>
      <c r="C1061" s="3">
        <v>45695.664583333331</v>
      </c>
      <c r="D1061" t="s">
        <v>345</v>
      </c>
      <c r="E1061" s="4">
        <v>91.195999999999998</v>
      </c>
      <c r="F1061" s="4">
        <v>77514.823000000004</v>
      </c>
      <c r="G1061" s="4">
        <v>77606.019</v>
      </c>
      <c r="H1061" s="5">
        <f>6199 / 86400</f>
        <v>7.1747685185185192E-2</v>
      </c>
      <c r="I1061" t="s">
        <v>50</v>
      </c>
      <c r="J1061" t="s">
        <v>69</v>
      </c>
      <c r="K1061" s="5">
        <f>17963 / 86400</f>
        <v>0.2079050925925926</v>
      </c>
      <c r="L1061" s="5">
        <f>1447 / 86400</f>
        <v>1.6747685185185185E-2</v>
      </c>
    </row>
    <row r="1062" spans="1:12" x14ac:dyDescent="0.25">
      <c r="A1062" s="3">
        <v>45695.681331018517</v>
      </c>
      <c r="B1062" t="s">
        <v>345</v>
      </c>
      <c r="C1062" s="3">
        <v>45695.787731481483</v>
      </c>
      <c r="D1062" t="s">
        <v>375</v>
      </c>
      <c r="E1062" s="4">
        <v>43.353999999999999</v>
      </c>
      <c r="F1062" s="4">
        <v>77606.019</v>
      </c>
      <c r="G1062" s="4">
        <v>77649.373000000007</v>
      </c>
      <c r="H1062" s="5">
        <f>3419 / 86400</f>
        <v>3.9571759259259258E-2</v>
      </c>
      <c r="I1062" t="s">
        <v>27</v>
      </c>
      <c r="J1062" t="s">
        <v>28</v>
      </c>
      <c r="K1062" s="5">
        <f>9193 / 86400</f>
        <v>0.10640046296296296</v>
      </c>
      <c r="L1062" s="5">
        <f>447 / 86400</f>
        <v>5.1736111111111115E-3</v>
      </c>
    </row>
    <row r="1063" spans="1:12" x14ac:dyDescent="0.25">
      <c r="A1063" s="3">
        <v>45695.792905092589</v>
      </c>
      <c r="B1063" t="s">
        <v>375</v>
      </c>
      <c r="C1063" s="3">
        <v>45695.914143518516</v>
      </c>
      <c r="D1063" t="s">
        <v>110</v>
      </c>
      <c r="E1063" s="4">
        <v>47.601999999999997</v>
      </c>
      <c r="F1063" s="4">
        <v>77649.373000000007</v>
      </c>
      <c r="G1063" s="4">
        <v>77696.975000000006</v>
      </c>
      <c r="H1063" s="5">
        <f>3381 / 86400</f>
        <v>3.9131944444444441E-2</v>
      </c>
      <c r="I1063" t="s">
        <v>30</v>
      </c>
      <c r="J1063" t="s">
        <v>20</v>
      </c>
      <c r="K1063" s="5">
        <f>10475 / 86400</f>
        <v>0.12123842592592593</v>
      </c>
      <c r="L1063" s="5">
        <f>139 / 86400</f>
        <v>1.6087962962962963E-3</v>
      </c>
    </row>
    <row r="1064" spans="1:12" x14ac:dyDescent="0.25">
      <c r="A1064" s="3">
        <v>45695.915752314817</v>
      </c>
      <c r="B1064" t="s">
        <v>110</v>
      </c>
      <c r="C1064" s="3">
        <v>45695.915995370371</v>
      </c>
      <c r="D1064" t="s">
        <v>128</v>
      </c>
      <c r="E1064" s="4">
        <v>1.4999999999999999E-2</v>
      </c>
      <c r="F1064" s="4">
        <v>77696.975000000006</v>
      </c>
      <c r="G1064" s="4">
        <v>77696.990000000005</v>
      </c>
      <c r="H1064" s="5">
        <f>0 / 86400</f>
        <v>0</v>
      </c>
      <c r="I1064" t="s">
        <v>129</v>
      </c>
      <c r="J1064" t="s">
        <v>140</v>
      </c>
      <c r="K1064" s="5">
        <f>21 / 86400</f>
        <v>2.4305555555555555E-4</v>
      </c>
      <c r="L1064" s="5">
        <f>373 / 86400</f>
        <v>4.31712962962963E-3</v>
      </c>
    </row>
    <row r="1065" spans="1:12" x14ac:dyDescent="0.25">
      <c r="A1065" s="3">
        <v>45695.920312499999</v>
      </c>
      <c r="B1065" t="s">
        <v>128</v>
      </c>
      <c r="C1065" s="3">
        <v>45695.921435185184</v>
      </c>
      <c r="D1065" t="s">
        <v>128</v>
      </c>
      <c r="E1065" s="4">
        <v>0.23899999999999999</v>
      </c>
      <c r="F1065" s="4">
        <v>77696.990000000005</v>
      </c>
      <c r="G1065" s="4">
        <v>77697.229000000007</v>
      </c>
      <c r="H1065" s="5">
        <f>0 / 86400</f>
        <v>0</v>
      </c>
      <c r="I1065" t="s">
        <v>28</v>
      </c>
      <c r="J1065" t="s">
        <v>71</v>
      </c>
      <c r="K1065" s="5">
        <f>97 / 86400</f>
        <v>1.1226851851851851E-3</v>
      </c>
      <c r="L1065" s="5">
        <f>1027 / 86400</f>
        <v>1.1886574074074074E-2</v>
      </c>
    </row>
    <row r="1066" spans="1:12" x14ac:dyDescent="0.25">
      <c r="A1066" s="3">
        <v>45695.933321759258</v>
      </c>
      <c r="B1066" t="s">
        <v>128</v>
      </c>
      <c r="C1066" s="3">
        <v>45695.933969907404</v>
      </c>
      <c r="D1066" t="s">
        <v>147</v>
      </c>
      <c r="E1066" s="4">
        <v>3.2000000000000001E-2</v>
      </c>
      <c r="F1066" s="4">
        <v>77697.229000000007</v>
      </c>
      <c r="G1066" s="4">
        <v>77697.260999999999</v>
      </c>
      <c r="H1066" s="5">
        <f>37 / 86400</f>
        <v>4.2824074074074075E-4</v>
      </c>
      <c r="I1066" t="s">
        <v>141</v>
      </c>
      <c r="J1066" t="s">
        <v>87</v>
      </c>
      <c r="K1066" s="5">
        <f>56 / 86400</f>
        <v>6.4814814814814813E-4</v>
      </c>
      <c r="L1066" s="5">
        <f>567 / 86400</f>
        <v>6.5624999999999998E-3</v>
      </c>
    </row>
    <row r="1067" spans="1:12" x14ac:dyDescent="0.25">
      <c r="A1067" s="3">
        <v>45695.940532407403</v>
      </c>
      <c r="B1067" t="s">
        <v>147</v>
      </c>
      <c r="C1067" s="3">
        <v>45695.943518518514</v>
      </c>
      <c r="D1067" t="s">
        <v>107</v>
      </c>
      <c r="E1067" s="4">
        <v>0.73099999999999998</v>
      </c>
      <c r="F1067" s="4">
        <v>77697.260999999999</v>
      </c>
      <c r="G1067" s="4">
        <v>77697.991999999998</v>
      </c>
      <c r="H1067" s="5">
        <f>60 / 86400</f>
        <v>6.9444444444444447E-4</v>
      </c>
      <c r="I1067" t="s">
        <v>37</v>
      </c>
      <c r="J1067" t="s">
        <v>45</v>
      </c>
      <c r="K1067" s="5">
        <f>258 / 86400</f>
        <v>2.9861111111111113E-3</v>
      </c>
      <c r="L1067" s="5">
        <f>4879 / 86400</f>
        <v>5.6469907407407406E-2</v>
      </c>
    </row>
    <row r="1068" spans="1:12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</row>
    <row r="1069" spans="1:12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</row>
    <row r="1070" spans="1:12" s="10" customFormat="1" ht="20.100000000000001" customHeight="1" x14ac:dyDescent="0.35">
      <c r="A1070" s="12" t="s">
        <v>438</v>
      </c>
      <c r="B1070" s="12"/>
      <c r="C1070" s="12"/>
      <c r="D1070" s="12"/>
      <c r="E1070" s="12"/>
      <c r="F1070" s="12"/>
      <c r="G1070" s="12"/>
      <c r="H1070" s="12"/>
      <c r="I1070" s="12"/>
      <c r="J1070" s="12"/>
    </row>
    <row r="1071" spans="1:12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</row>
    <row r="1072" spans="1:12" ht="30" x14ac:dyDescent="0.25">
      <c r="A1072" s="2" t="s">
        <v>6</v>
      </c>
      <c r="B1072" s="2" t="s">
        <v>7</v>
      </c>
      <c r="C1072" s="2" t="s">
        <v>8</v>
      </c>
      <c r="D1072" s="2" t="s">
        <v>9</v>
      </c>
      <c r="E1072" s="2" t="s">
        <v>10</v>
      </c>
      <c r="F1072" s="2" t="s">
        <v>11</v>
      </c>
      <c r="G1072" s="2" t="s">
        <v>12</v>
      </c>
      <c r="H1072" s="2" t="s">
        <v>13</v>
      </c>
      <c r="I1072" s="2" t="s">
        <v>14</v>
      </c>
      <c r="J1072" s="2" t="s">
        <v>15</v>
      </c>
      <c r="K1072" s="2" t="s">
        <v>16</v>
      </c>
      <c r="L1072" s="2" t="s">
        <v>17</v>
      </c>
    </row>
    <row r="1073" spans="1:12" x14ac:dyDescent="0.25">
      <c r="A1073" s="3">
        <v>45695.261180555557</v>
      </c>
      <c r="B1073" t="s">
        <v>108</v>
      </c>
      <c r="C1073" s="3">
        <v>45695.267384259263</v>
      </c>
      <c r="D1073" t="s">
        <v>376</v>
      </c>
      <c r="E1073" s="4">
        <v>0.17299999999999999</v>
      </c>
      <c r="F1073" s="4">
        <v>38645.773000000001</v>
      </c>
      <c r="G1073" s="4">
        <v>38645.946000000004</v>
      </c>
      <c r="H1073" s="5">
        <f>390 / 86400</f>
        <v>4.5138888888888885E-3</v>
      </c>
      <c r="I1073" t="s">
        <v>141</v>
      </c>
      <c r="J1073" t="s">
        <v>127</v>
      </c>
      <c r="K1073" s="5">
        <f>536 / 86400</f>
        <v>6.2037037037037035E-3</v>
      </c>
      <c r="L1073" s="5">
        <f>28178 / 86400</f>
        <v>0.32613425925925926</v>
      </c>
    </row>
    <row r="1074" spans="1:12" x14ac:dyDescent="0.25">
      <c r="A1074" s="3">
        <v>45695.332337962958</v>
      </c>
      <c r="B1074" t="s">
        <v>376</v>
      </c>
      <c r="C1074" s="3">
        <v>45695.34211805556</v>
      </c>
      <c r="D1074" t="s">
        <v>377</v>
      </c>
      <c r="E1074" s="4">
        <v>5.4329999999999998</v>
      </c>
      <c r="F1074" s="4">
        <v>38645.946000000004</v>
      </c>
      <c r="G1074" s="4">
        <v>38651.379000000001</v>
      </c>
      <c r="H1074" s="5">
        <f>269 / 86400</f>
        <v>3.1134259259259257E-3</v>
      </c>
      <c r="I1074" t="s">
        <v>235</v>
      </c>
      <c r="J1074" t="s">
        <v>135</v>
      </c>
      <c r="K1074" s="5">
        <f>845 / 86400</f>
        <v>9.780092592592592E-3</v>
      </c>
      <c r="L1074" s="5">
        <f>205 / 86400</f>
        <v>2.3726851851851851E-3</v>
      </c>
    </row>
    <row r="1075" spans="1:12" x14ac:dyDescent="0.25">
      <c r="A1075" s="3">
        <v>45695.344490740739</v>
      </c>
      <c r="B1075" t="s">
        <v>377</v>
      </c>
      <c r="C1075" s="3">
        <v>45695.36991898148</v>
      </c>
      <c r="D1075" t="s">
        <v>333</v>
      </c>
      <c r="E1075" s="4">
        <v>13.95</v>
      </c>
      <c r="F1075" s="4">
        <v>38651.379000000001</v>
      </c>
      <c r="G1075" s="4">
        <v>38665.328999999998</v>
      </c>
      <c r="H1075" s="5">
        <f>330 / 86400</f>
        <v>3.8194444444444443E-3</v>
      </c>
      <c r="I1075" t="s">
        <v>169</v>
      </c>
      <c r="J1075" t="s">
        <v>135</v>
      </c>
      <c r="K1075" s="5">
        <f>2197 / 86400</f>
        <v>2.5428240740740741E-2</v>
      </c>
      <c r="L1075" s="5">
        <f>9601 / 86400</f>
        <v>0.11112268518518519</v>
      </c>
    </row>
    <row r="1076" spans="1:12" x14ac:dyDescent="0.25">
      <c r="A1076" s="3">
        <v>45695.481041666666</v>
      </c>
      <c r="B1076" t="s">
        <v>333</v>
      </c>
      <c r="C1076" s="3">
        <v>45695.492604166662</v>
      </c>
      <c r="D1076" t="s">
        <v>147</v>
      </c>
      <c r="E1076" s="4">
        <v>1.1220000000000001</v>
      </c>
      <c r="F1076" s="4">
        <v>38665.328999999998</v>
      </c>
      <c r="G1076" s="4">
        <v>38666.451000000001</v>
      </c>
      <c r="H1076" s="5">
        <f>720 / 86400</f>
        <v>8.3333333333333332E-3</v>
      </c>
      <c r="I1076" t="s">
        <v>196</v>
      </c>
      <c r="J1076" t="s">
        <v>82</v>
      </c>
      <c r="K1076" s="5">
        <f>999 / 86400</f>
        <v>1.15625E-2</v>
      </c>
      <c r="L1076" s="5">
        <f>3534 / 86400</f>
        <v>4.0902777777777781E-2</v>
      </c>
    </row>
    <row r="1077" spans="1:12" x14ac:dyDescent="0.25">
      <c r="A1077" s="3">
        <v>45695.533506944441</v>
      </c>
      <c r="B1077" t="s">
        <v>147</v>
      </c>
      <c r="C1077" s="3">
        <v>45695.540092592593</v>
      </c>
      <c r="D1077" t="s">
        <v>22</v>
      </c>
      <c r="E1077" s="4">
        <v>0.52500000000000002</v>
      </c>
      <c r="F1077" s="4">
        <v>38666.451000000001</v>
      </c>
      <c r="G1077" s="4">
        <v>38666.976000000002</v>
      </c>
      <c r="H1077" s="5">
        <f>389 / 86400</f>
        <v>4.5023148148148149E-3</v>
      </c>
      <c r="I1077" t="s">
        <v>212</v>
      </c>
      <c r="J1077" t="s">
        <v>140</v>
      </c>
      <c r="K1077" s="5">
        <f>569 / 86400</f>
        <v>6.5856481481481478E-3</v>
      </c>
      <c r="L1077" s="5">
        <f>1985 / 86400</f>
        <v>2.2974537037037036E-2</v>
      </c>
    </row>
    <row r="1078" spans="1:12" x14ac:dyDescent="0.25">
      <c r="A1078" s="3">
        <v>45695.563067129631</v>
      </c>
      <c r="B1078" t="s">
        <v>22</v>
      </c>
      <c r="C1078" s="3">
        <v>45695.563344907408</v>
      </c>
      <c r="D1078" t="s">
        <v>22</v>
      </c>
      <c r="E1078" s="4">
        <v>7.0000000000000001E-3</v>
      </c>
      <c r="F1078" s="4">
        <v>38666.976000000002</v>
      </c>
      <c r="G1078" s="4">
        <v>38666.983</v>
      </c>
      <c r="H1078" s="5">
        <f>0 / 86400</f>
        <v>0</v>
      </c>
      <c r="I1078" t="s">
        <v>129</v>
      </c>
      <c r="J1078" t="s">
        <v>127</v>
      </c>
      <c r="K1078" s="5">
        <f>24 / 86400</f>
        <v>2.7777777777777778E-4</v>
      </c>
      <c r="L1078" s="5">
        <f>8892 / 86400</f>
        <v>0.10291666666666667</v>
      </c>
    </row>
    <row r="1079" spans="1:12" x14ac:dyDescent="0.25">
      <c r="A1079" s="3">
        <v>45695.666261574079</v>
      </c>
      <c r="B1079" t="s">
        <v>22</v>
      </c>
      <c r="C1079" s="3">
        <v>45695.676238425927</v>
      </c>
      <c r="D1079" t="s">
        <v>128</v>
      </c>
      <c r="E1079" s="4">
        <v>1.081</v>
      </c>
      <c r="F1079" s="4">
        <v>38666.983</v>
      </c>
      <c r="G1079" s="4">
        <v>38668.063999999998</v>
      </c>
      <c r="H1079" s="5">
        <f>389 / 86400</f>
        <v>4.5023148148148149E-3</v>
      </c>
      <c r="I1079" t="s">
        <v>135</v>
      </c>
      <c r="J1079" t="s">
        <v>126</v>
      </c>
      <c r="K1079" s="5">
        <f>862 / 86400</f>
        <v>9.9768518518518513E-3</v>
      </c>
      <c r="L1079" s="5">
        <f>3543 / 86400</f>
        <v>4.1006944444444443E-2</v>
      </c>
    </row>
    <row r="1080" spans="1:12" x14ac:dyDescent="0.25">
      <c r="A1080" s="3">
        <v>45695.717245370368</v>
      </c>
      <c r="B1080" t="s">
        <v>128</v>
      </c>
      <c r="C1080" s="3">
        <v>45695.7190162037</v>
      </c>
      <c r="D1080" t="s">
        <v>147</v>
      </c>
      <c r="E1080" s="4">
        <v>0.11600000000000001</v>
      </c>
      <c r="F1080" s="4">
        <v>38668.063999999998</v>
      </c>
      <c r="G1080" s="4">
        <v>38668.18</v>
      </c>
      <c r="H1080" s="5">
        <f>30 / 86400</f>
        <v>3.4722222222222224E-4</v>
      </c>
      <c r="I1080" t="s">
        <v>71</v>
      </c>
      <c r="J1080" t="s">
        <v>140</v>
      </c>
      <c r="K1080" s="5">
        <f>153 / 86400</f>
        <v>1.7708333333333332E-3</v>
      </c>
      <c r="L1080" s="5">
        <f>147 / 86400</f>
        <v>1.7013888888888888E-3</v>
      </c>
    </row>
    <row r="1081" spans="1:12" x14ac:dyDescent="0.25">
      <c r="A1081" s="3">
        <v>45695.720717592594</v>
      </c>
      <c r="B1081" t="s">
        <v>147</v>
      </c>
      <c r="C1081" s="3">
        <v>45695.735115740739</v>
      </c>
      <c r="D1081" t="s">
        <v>342</v>
      </c>
      <c r="E1081" s="4">
        <v>4.2930000000000001</v>
      </c>
      <c r="F1081" s="4">
        <v>38668.18</v>
      </c>
      <c r="G1081" s="4">
        <v>38672.472999999998</v>
      </c>
      <c r="H1081" s="5">
        <f>421 / 86400</f>
        <v>4.8726851851851848E-3</v>
      </c>
      <c r="I1081" t="s">
        <v>191</v>
      </c>
      <c r="J1081" t="s">
        <v>57</v>
      </c>
      <c r="K1081" s="5">
        <f>1244 / 86400</f>
        <v>1.4398148148148148E-2</v>
      </c>
      <c r="L1081" s="5">
        <f>2 / 86400</f>
        <v>2.3148148148148147E-5</v>
      </c>
    </row>
    <row r="1082" spans="1:12" x14ac:dyDescent="0.25">
      <c r="A1082" s="3">
        <v>45695.735138888893</v>
      </c>
      <c r="B1082" t="s">
        <v>342</v>
      </c>
      <c r="C1082" s="3">
        <v>45695.76462962963</v>
      </c>
      <c r="D1082" t="s">
        <v>88</v>
      </c>
      <c r="E1082" s="4">
        <v>18.181999999999999</v>
      </c>
      <c r="F1082" s="4">
        <v>38672.472999999998</v>
      </c>
      <c r="G1082" s="4">
        <v>38690.654999999999</v>
      </c>
      <c r="H1082" s="5">
        <f>469 / 86400</f>
        <v>5.4282407407407404E-3</v>
      </c>
      <c r="I1082" t="s">
        <v>61</v>
      </c>
      <c r="J1082" t="s">
        <v>160</v>
      </c>
      <c r="K1082" s="5">
        <f>2548 / 86400</f>
        <v>2.9490740740740741E-2</v>
      </c>
      <c r="L1082" s="5">
        <f>159 / 86400</f>
        <v>1.8402777777777777E-3</v>
      </c>
    </row>
    <row r="1083" spans="1:12" x14ac:dyDescent="0.25">
      <c r="A1083" s="3">
        <v>45695.766469907408</v>
      </c>
      <c r="B1083" t="s">
        <v>88</v>
      </c>
      <c r="C1083" s="3">
        <v>45695.779675925922</v>
      </c>
      <c r="D1083" t="s">
        <v>108</v>
      </c>
      <c r="E1083" s="4">
        <v>3.4180000000000001</v>
      </c>
      <c r="F1083" s="4">
        <v>38690.654999999999</v>
      </c>
      <c r="G1083" s="4">
        <v>38694.072999999997</v>
      </c>
      <c r="H1083" s="5">
        <f>571 / 86400</f>
        <v>6.6087962962962966E-3</v>
      </c>
      <c r="I1083" t="s">
        <v>174</v>
      </c>
      <c r="J1083" t="s">
        <v>112</v>
      </c>
      <c r="K1083" s="5">
        <f>1141 / 86400</f>
        <v>1.3206018518518518E-2</v>
      </c>
      <c r="L1083" s="5">
        <f>19035 / 86400</f>
        <v>0.22031249999999999</v>
      </c>
    </row>
    <row r="1084" spans="1:12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</row>
    <row r="1085" spans="1:12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</row>
    <row r="1086" spans="1:12" s="10" customFormat="1" ht="20.100000000000001" customHeight="1" x14ac:dyDescent="0.35">
      <c r="A1086" s="12" t="s">
        <v>439</v>
      </c>
      <c r="B1086" s="12"/>
      <c r="C1086" s="12"/>
      <c r="D1086" s="12"/>
      <c r="E1086" s="12"/>
      <c r="F1086" s="12"/>
      <c r="G1086" s="12"/>
      <c r="H1086" s="12"/>
      <c r="I1086" s="12"/>
      <c r="J1086" s="12"/>
    </row>
    <row r="1087" spans="1:12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</row>
    <row r="1088" spans="1:12" ht="30" x14ac:dyDescent="0.25">
      <c r="A1088" s="2" t="s">
        <v>6</v>
      </c>
      <c r="B1088" s="2" t="s">
        <v>7</v>
      </c>
      <c r="C1088" s="2" t="s">
        <v>8</v>
      </c>
      <c r="D1088" s="2" t="s">
        <v>9</v>
      </c>
      <c r="E1088" s="2" t="s">
        <v>10</v>
      </c>
      <c r="F1088" s="2" t="s">
        <v>11</v>
      </c>
      <c r="G1088" s="2" t="s">
        <v>12</v>
      </c>
      <c r="H1088" s="2" t="s">
        <v>13</v>
      </c>
      <c r="I1088" s="2" t="s">
        <v>14</v>
      </c>
      <c r="J1088" s="2" t="s">
        <v>15</v>
      </c>
      <c r="K1088" s="2" t="s">
        <v>16</v>
      </c>
      <c r="L1088" s="2" t="s">
        <v>17</v>
      </c>
    </row>
    <row r="1089" spans="1:12" x14ac:dyDescent="0.25">
      <c r="A1089" s="3">
        <v>45695.264999999999</v>
      </c>
      <c r="B1089" t="s">
        <v>109</v>
      </c>
      <c r="C1089" s="3">
        <v>45695.272731481484</v>
      </c>
      <c r="D1089" t="s">
        <v>348</v>
      </c>
      <c r="E1089" s="4">
        <v>2.3559999999999999</v>
      </c>
      <c r="F1089" s="4">
        <v>191257.74</v>
      </c>
      <c r="G1089" s="4">
        <v>191260.09599999999</v>
      </c>
      <c r="H1089" s="5">
        <f>154 / 86400</f>
        <v>1.7824074074074075E-3</v>
      </c>
      <c r="I1089" t="s">
        <v>246</v>
      </c>
      <c r="J1089" t="s">
        <v>53</v>
      </c>
      <c r="K1089" s="5">
        <f>668 / 86400</f>
        <v>7.7314814814814815E-3</v>
      </c>
      <c r="L1089" s="5">
        <f>23097 / 86400</f>
        <v>0.26732638888888888</v>
      </c>
    </row>
    <row r="1090" spans="1:12" x14ac:dyDescent="0.25">
      <c r="A1090" s="3">
        <v>45695.275057870371</v>
      </c>
      <c r="B1090" t="s">
        <v>348</v>
      </c>
      <c r="C1090" s="3">
        <v>45695.353067129632</v>
      </c>
      <c r="D1090" t="s">
        <v>161</v>
      </c>
      <c r="E1090" s="4">
        <v>33.350999999999999</v>
      </c>
      <c r="F1090" s="4">
        <v>191260.09599999999</v>
      </c>
      <c r="G1090" s="4">
        <v>191293.44699999999</v>
      </c>
      <c r="H1090" s="5">
        <f>2080 / 86400</f>
        <v>2.4074074074074074E-2</v>
      </c>
      <c r="I1090" t="s">
        <v>36</v>
      </c>
      <c r="J1090" t="s">
        <v>69</v>
      </c>
      <c r="K1090" s="5">
        <f>6740 / 86400</f>
        <v>7.8009259259259264E-2</v>
      </c>
      <c r="L1090" s="5">
        <f>2398 / 86400</f>
        <v>2.7754629629629629E-2</v>
      </c>
    </row>
    <row r="1091" spans="1:12" x14ac:dyDescent="0.25">
      <c r="A1091" s="3">
        <v>45695.38082175926</v>
      </c>
      <c r="B1091" t="s">
        <v>161</v>
      </c>
      <c r="C1091" s="3">
        <v>45695.380972222221</v>
      </c>
      <c r="D1091" t="s">
        <v>161</v>
      </c>
      <c r="E1091" s="4">
        <v>6.0000000000000001E-3</v>
      </c>
      <c r="F1091" s="4">
        <v>191293.44699999999</v>
      </c>
      <c r="G1091" s="4">
        <v>191293.45300000001</v>
      </c>
      <c r="H1091" s="5">
        <f>0 / 86400</f>
        <v>0</v>
      </c>
      <c r="I1091" t="s">
        <v>129</v>
      </c>
      <c r="J1091" t="s">
        <v>87</v>
      </c>
      <c r="K1091" s="5">
        <f>13 / 86400</f>
        <v>1.5046296296296297E-4</v>
      </c>
      <c r="L1091" s="5">
        <f>1614 / 86400</f>
        <v>1.8680555555555554E-2</v>
      </c>
    </row>
    <row r="1092" spans="1:12" x14ac:dyDescent="0.25">
      <c r="A1092" s="3">
        <v>45695.399652777778</v>
      </c>
      <c r="B1092" t="s">
        <v>161</v>
      </c>
      <c r="C1092" s="3">
        <v>45695.538541666669</v>
      </c>
      <c r="D1092" t="s">
        <v>336</v>
      </c>
      <c r="E1092" s="4">
        <v>52.354999999999997</v>
      </c>
      <c r="F1092" s="4">
        <v>191293.45300000001</v>
      </c>
      <c r="G1092" s="4">
        <v>191345.80799999999</v>
      </c>
      <c r="H1092" s="5">
        <f>3840 / 86400</f>
        <v>4.4444444444444446E-2</v>
      </c>
      <c r="I1092" t="s">
        <v>318</v>
      </c>
      <c r="J1092" t="s">
        <v>20</v>
      </c>
      <c r="K1092" s="5">
        <f>11999 / 86400</f>
        <v>0.13887731481481483</v>
      </c>
      <c r="L1092" s="5">
        <f>238 / 86400</f>
        <v>2.7546296296296294E-3</v>
      </c>
    </row>
    <row r="1093" spans="1:12" x14ac:dyDescent="0.25">
      <c r="A1093" s="3">
        <v>45695.541296296295</v>
      </c>
      <c r="B1093" t="s">
        <v>336</v>
      </c>
      <c r="C1093" s="3">
        <v>45695.663391203707</v>
      </c>
      <c r="D1093" t="s">
        <v>128</v>
      </c>
      <c r="E1093" s="4">
        <v>49.5</v>
      </c>
      <c r="F1093" s="4">
        <v>191345.80799999999</v>
      </c>
      <c r="G1093" s="4">
        <v>191395.30799999999</v>
      </c>
      <c r="H1093" s="5">
        <f>3060 / 86400</f>
        <v>3.5416666666666666E-2</v>
      </c>
      <c r="I1093" t="s">
        <v>111</v>
      </c>
      <c r="J1093" t="s">
        <v>28</v>
      </c>
      <c r="K1093" s="5">
        <f>10549 / 86400</f>
        <v>0.1220949074074074</v>
      </c>
      <c r="L1093" s="5">
        <f>255 / 86400</f>
        <v>2.9513888888888888E-3</v>
      </c>
    </row>
    <row r="1094" spans="1:12" x14ac:dyDescent="0.25">
      <c r="A1094" s="3">
        <v>45695.666342592594</v>
      </c>
      <c r="B1094" t="s">
        <v>128</v>
      </c>
      <c r="C1094" s="3">
        <v>45695.666898148149</v>
      </c>
      <c r="D1094" t="s">
        <v>147</v>
      </c>
      <c r="E1094" s="4">
        <v>3.7999999999999999E-2</v>
      </c>
      <c r="F1094" s="4">
        <v>191395.30799999999</v>
      </c>
      <c r="G1094" s="4">
        <v>191395.34599999999</v>
      </c>
      <c r="H1094" s="5">
        <f>19 / 86400</f>
        <v>2.199074074074074E-4</v>
      </c>
      <c r="I1094" t="s">
        <v>132</v>
      </c>
      <c r="J1094" t="s">
        <v>140</v>
      </c>
      <c r="K1094" s="5">
        <f>48 / 86400</f>
        <v>5.5555555555555556E-4</v>
      </c>
      <c r="L1094" s="5">
        <f>120 / 86400</f>
        <v>1.3888888888888889E-3</v>
      </c>
    </row>
    <row r="1095" spans="1:12" x14ac:dyDescent="0.25">
      <c r="A1095" s="3">
        <v>45695.668287037042</v>
      </c>
      <c r="B1095" t="s">
        <v>147</v>
      </c>
      <c r="C1095" s="3">
        <v>45695.668703703705</v>
      </c>
      <c r="D1095" t="s">
        <v>147</v>
      </c>
      <c r="E1095" s="4">
        <v>1.4999999999999999E-2</v>
      </c>
      <c r="F1095" s="4">
        <v>191395.34599999999</v>
      </c>
      <c r="G1095" s="4">
        <v>191395.361</v>
      </c>
      <c r="H1095" s="5">
        <f>0 / 86400</f>
        <v>0</v>
      </c>
      <c r="I1095" t="s">
        <v>126</v>
      </c>
      <c r="J1095" t="s">
        <v>87</v>
      </c>
      <c r="K1095" s="5">
        <f>36 / 86400</f>
        <v>4.1666666666666669E-4</v>
      </c>
      <c r="L1095" s="5">
        <f>865 / 86400</f>
        <v>1.0011574074074074E-2</v>
      </c>
    </row>
    <row r="1096" spans="1:12" x14ac:dyDescent="0.25">
      <c r="A1096" s="3">
        <v>45695.678715277776</v>
      </c>
      <c r="B1096" t="s">
        <v>147</v>
      </c>
      <c r="C1096" s="3">
        <v>45695.680636574078</v>
      </c>
      <c r="D1096" t="s">
        <v>48</v>
      </c>
      <c r="E1096" s="4">
        <v>0.86499999999999999</v>
      </c>
      <c r="F1096" s="4">
        <v>191395.361</v>
      </c>
      <c r="G1096" s="4">
        <v>191396.226</v>
      </c>
      <c r="H1096" s="5">
        <f>0 / 86400</f>
        <v>0</v>
      </c>
      <c r="I1096" t="s">
        <v>209</v>
      </c>
      <c r="J1096" t="s">
        <v>90</v>
      </c>
      <c r="K1096" s="5">
        <f>166 / 86400</f>
        <v>1.9212962962962964E-3</v>
      </c>
      <c r="L1096" s="5">
        <f>2387 / 86400</f>
        <v>2.7627314814814816E-2</v>
      </c>
    </row>
    <row r="1097" spans="1:12" x14ac:dyDescent="0.25">
      <c r="A1097" s="3">
        <v>45695.70826388889</v>
      </c>
      <c r="B1097" t="s">
        <v>48</v>
      </c>
      <c r="C1097" s="3">
        <v>45695.712824074071</v>
      </c>
      <c r="D1097" t="s">
        <v>92</v>
      </c>
      <c r="E1097" s="4">
        <v>1.24</v>
      </c>
      <c r="F1097" s="4">
        <v>191396.226</v>
      </c>
      <c r="G1097" s="4">
        <v>191397.46599999999</v>
      </c>
      <c r="H1097" s="5">
        <f>20 / 86400</f>
        <v>2.3148148148148149E-4</v>
      </c>
      <c r="I1097" t="s">
        <v>146</v>
      </c>
      <c r="J1097" t="s">
        <v>112</v>
      </c>
      <c r="K1097" s="5">
        <f>393 / 86400</f>
        <v>4.5486111111111109E-3</v>
      </c>
      <c r="L1097" s="5">
        <f>407 / 86400</f>
        <v>4.7106481481481478E-3</v>
      </c>
    </row>
    <row r="1098" spans="1:12" x14ac:dyDescent="0.25">
      <c r="A1098" s="3">
        <v>45695.717534722222</v>
      </c>
      <c r="B1098" t="s">
        <v>92</v>
      </c>
      <c r="C1098" s="3">
        <v>45695.717835648145</v>
      </c>
      <c r="D1098" t="s">
        <v>92</v>
      </c>
      <c r="E1098" s="4">
        <v>8.0000000000000002E-3</v>
      </c>
      <c r="F1098" s="4">
        <v>191397.46599999999</v>
      </c>
      <c r="G1098" s="4">
        <v>191397.47399999999</v>
      </c>
      <c r="H1098" s="5">
        <f>19 / 86400</f>
        <v>2.199074074074074E-4</v>
      </c>
      <c r="I1098" t="s">
        <v>129</v>
      </c>
      <c r="J1098" t="s">
        <v>127</v>
      </c>
      <c r="K1098" s="5">
        <f>25 / 86400</f>
        <v>2.8935185185185184E-4</v>
      </c>
      <c r="L1098" s="5">
        <f>26 / 86400</f>
        <v>3.0092592592592595E-4</v>
      </c>
    </row>
    <row r="1099" spans="1:12" x14ac:dyDescent="0.25">
      <c r="A1099" s="3">
        <v>45695.718136574069</v>
      </c>
      <c r="B1099" t="s">
        <v>92</v>
      </c>
      <c r="C1099" s="3">
        <v>45695.720775462964</v>
      </c>
      <c r="D1099" t="s">
        <v>128</v>
      </c>
      <c r="E1099" s="4">
        <v>0.19900000000000001</v>
      </c>
      <c r="F1099" s="4">
        <v>191397.47399999999</v>
      </c>
      <c r="G1099" s="4">
        <v>191397.67300000001</v>
      </c>
      <c r="H1099" s="5">
        <f>60 / 86400</f>
        <v>6.9444444444444447E-4</v>
      </c>
      <c r="I1099" t="s">
        <v>45</v>
      </c>
      <c r="J1099" t="s">
        <v>140</v>
      </c>
      <c r="K1099" s="5">
        <f>227 / 86400</f>
        <v>2.627314814814815E-3</v>
      </c>
      <c r="L1099" s="5">
        <f>1030 / 86400</f>
        <v>1.1921296296296296E-2</v>
      </c>
    </row>
    <row r="1100" spans="1:12" x14ac:dyDescent="0.25">
      <c r="A1100" s="3">
        <v>45695.73269675926</v>
      </c>
      <c r="B1100" t="s">
        <v>128</v>
      </c>
      <c r="C1100" s="3">
        <v>45695.838645833333</v>
      </c>
      <c r="D1100" t="s">
        <v>148</v>
      </c>
      <c r="E1100" s="4">
        <v>47.127000000000002</v>
      </c>
      <c r="F1100" s="4">
        <v>191397.67300000001</v>
      </c>
      <c r="G1100" s="4">
        <v>191444.8</v>
      </c>
      <c r="H1100" s="5">
        <f>2242 / 86400</f>
        <v>2.5949074074074076E-2</v>
      </c>
      <c r="I1100" t="s">
        <v>75</v>
      </c>
      <c r="J1100" t="s">
        <v>90</v>
      </c>
      <c r="K1100" s="5">
        <f>9154 / 86400</f>
        <v>0.10594907407407407</v>
      </c>
      <c r="L1100" s="5">
        <f>123 / 86400</f>
        <v>1.4236111111111112E-3</v>
      </c>
    </row>
    <row r="1101" spans="1:12" x14ac:dyDescent="0.25">
      <c r="A1101" s="3">
        <v>45695.840069444443</v>
      </c>
      <c r="B1101" t="s">
        <v>148</v>
      </c>
      <c r="C1101" s="3">
        <v>45695.893576388888</v>
      </c>
      <c r="D1101" t="s">
        <v>378</v>
      </c>
      <c r="E1101" s="4">
        <v>16.834</v>
      </c>
      <c r="F1101" s="4">
        <v>191444.8</v>
      </c>
      <c r="G1101" s="4">
        <v>191461.63399999999</v>
      </c>
      <c r="H1101" s="5">
        <f>1500 / 86400</f>
        <v>1.7361111111111112E-2</v>
      </c>
      <c r="I1101" t="s">
        <v>165</v>
      </c>
      <c r="J1101" t="s">
        <v>53</v>
      </c>
      <c r="K1101" s="5">
        <f>4622 / 86400</f>
        <v>5.3495370370370374E-2</v>
      </c>
      <c r="L1101" s="5">
        <f>250 / 86400</f>
        <v>2.8935185185185184E-3</v>
      </c>
    </row>
    <row r="1102" spans="1:12" x14ac:dyDescent="0.25">
      <c r="A1102" s="3">
        <v>45695.896469907406</v>
      </c>
      <c r="B1102" t="s">
        <v>170</v>
      </c>
      <c r="C1102" s="3">
        <v>45695.896620370375</v>
      </c>
      <c r="D1102" t="s">
        <v>378</v>
      </c>
      <c r="E1102" s="4">
        <v>1.0999999999999999E-2</v>
      </c>
      <c r="F1102" s="4">
        <v>191461.63399999999</v>
      </c>
      <c r="G1102" s="4">
        <v>191461.64499999999</v>
      </c>
      <c r="H1102" s="5">
        <f>0 / 86400</f>
        <v>0</v>
      </c>
      <c r="I1102" t="s">
        <v>129</v>
      </c>
      <c r="J1102" t="s">
        <v>140</v>
      </c>
      <c r="K1102" s="5">
        <f>13 / 86400</f>
        <v>1.5046296296296297E-4</v>
      </c>
      <c r="L1102" s="5">
        <f>375 / 86400</f>
        <v>4.340277777777778E-3</v>
      </c>
    </row>
    <row r="1103" spans="1:12" x14ac:dyDescent="0.25">
      <c r="A1103" s="3">
        <v>45695.900960648149</v>
      </c>
      <c r="B1103" t="s">
        <v>378</v>
      </c>
      <c r="C1103" s="3">
        <v>45695.904467592598</v>
      </c>
      <c r="D1103" t="s">
        <v>109</v>
      </c>
      <c r="E1103" s="4">
        <v>1.407</v>
      </c>
      <c r="F1103" s="4">
        <v>191461.64499999999</v>
      </c>
      <c r="G1103" s="4">
        <v>191463.052</v>
      </c>
      <c r="H1103" s="5">
        <f>0 / 86400</f>
        <v>0</v>
      </c>
      <c r="I1103" t="s">
        <v>212</v>
      </c>
      <c r="J1103" t="s">
        <v>28</v>
      </c>
      <c r="K1103" s="5">
        <f>302 / 86400</f>
        <v>3.4953703703703705E-3</v>
      </c>
      <c r="L1103" s="5">
        <f>104 / 86400</f>
        <v>1.2037037037037038E-3</v>
      </c>
    </row>
    <row r="1104" spans="1:12" x14ac:dyDescent="0.25">
      <c r="A1104" s="3">
        <v>45695.905671296292</v>
      </c>
      <c r="B1104" t="s">
        <v>109</v>
      </c>
      <c r="C1104" s="3">
        <v>45695.910555555558</v>
      </c>
      <c r="D1104" t="s">
        <v>109</v>
      </c>
      <c r="E1104" s="4">
        <v>0.129</v>
      </c>
      <c r="F1104" s="4">
        <v>191463.052</v>
      </c>
      <c r="G1104" s="4">
        <v>191463.18100000001</v>
      </c>
      <c r="H1104" s="5">
        <f>320 / 86400</f>
        <v>3.7037037037037038E-3</v>
      </c>
      <c r="I1104" t="s">
        <v>71</v>
      </c>
      <c r="J1104" t="s">
        <v>127</v>
      </c>
      <c r="K1104" s="5">
        <f>422 / 86400</f>
        <v>4.8842592592592592E-3</v>
      </c>
      <c r="L1104" s="5">
        <f>7727 / 86400</f>
        <v>8.9432870370370371E-2</v>
      </c>
    </row>
    <row r="1105" spans="1:12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</row>
    <row r="1106" spans="1:12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</row>
    <row r="1107" spans="1:12" s="10" customFormat="1" ht="20.100000000000001" customHeight="1" x14ac:dyDescent="0.35">
      <c r="A1107" s="12" t="s">
        <v>440</v>
      </c>
      <c r="B1107" s="12"/>
      <c r="C1107" s="12"/>
      <c r="D1107" s="12"/>
      <c r="E1107" s="12"/>
      <c r="F1107" s="12"/>
      <c r="G1107" s="12"/>
      <c r="H1107" s="12"/>
      <c r="I1107" s="12"/>
      <c r="J1107" s="12"/>
    </row>
    <row r="1108" spans="1:12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</row>
    <row r="1109" spans="1:12" ht="30" x14ac:dyDescent="0.25">
      <c r="A1109" s="2" t="s">
        <v>6</v>
      </c>
      <c r="B1109" s="2" t="s">
        <v>7</v>
      </c>
      <c r="C1109" s="2" t="s">
        <v>8</v>
      </c>
      <c r="D1109" s="2" t="s">
        <v>9</v>
      </c>
      <c r="E1109" s="2" t="s">
        <v>10</v>
      </c>
      <c r="F1109" s="2" t="s">
        <v>11</v>
      </c>
      <c r="G1109" s="2" t="s">
        <v>12</v>
      </c>
      <c r="H1109" s="2" t="s">
        <v>13</v>
      </c>
      <c r="I1109" s="2" t="s">
        <v>14</v>
      </c>
      <c r="J1109" s="2" t="s">
        <v>15</v>
      </c>
      <c r="K1109" s="2" t="s">
        <v>16</v>
      </c>
      <c r="L1109" s="2" t="s">
        <v>17</v>
      </c>
    </row>
    <row r="1110" spans="1:12" x14ac:dyDescent="0.25">
      <c r="A1110" s="3">
        <v>45695</v>
      </c>
      <c r="B1110" t="s">
        <v>110</v>
      </c>
      <c r="C1110" s="3">
        <v>45695.011423611111</v>
      </c>
      <c r="D1110" t="s">
        <v>92</v>
      </c>
      <c r="E1110" s="4">
        <v>0.17599999999999999</v>
      </c>
      <c r="F1110" s="4">
        <v>521542.32299999997</v>
      </c>
      <c r="G1110" s="4">
        <v>521542.49900000001</v>
      </c>
      <c r="H1110" s="5">
        <f>840 / 86400</f>
        <v>9.7222222222222224E-3</v>
      </c>
      <c r="I1110" t="s">
        <v>24</v>
      </c>
      <c r="J1110" t="s">
        <v>127</v>
      </c>
      <c r="K1110" s="5">
        <f>987 / 86400</f>
        <v>1.1423611111111112E-2</v>
      </c>
      <c r="L1110" s="5">
        <f>17227 / 86400</f>
        <v>0.19938657407407406</v>
      </c>
    </row>
    <row r="1111" spans="1:12" x14ac:dyDescent="0.25">
      <c r="A1111" s="3">
        <v>45695.210810185185</v>
      </c>
      <c r="B1111" t="s">
        <v>92</v>
      </c>
      <c r="C1111" s="3">
        <v>45695.523726851854</v>
      </c>
      <c r="D1111" t="s">
        <v>128</v>
      </c>
      <c r="E1111" s="4">
        <v>100.378</v>
      </c>
      <c r="F1111" s="4">
        <v>521542.49900000001</v>
      </c>
      <c r="G1111" s="4">
        <v>521642.87699999998</v>
      </c>
      <c r="H1111" s="5">
        <f>12812 / 86400</f>
        <v>0.14828703703703705</v>
      </c>
      <c r="I1111" t="s">
        <v>33</v>
      </c>
      <c r="J1111" t="s">
        <v>53</v>
      </c>
      <c r="K1111" s="5">
        <f>27036 / 86400</f>
        <v>0.31291666666666668</v>
      </c>
      <c r="L1111" s="5">
        <f>620 / 86400</f>
        <v>7.1759259259259259E-3</v>
      </c>
    </row>
    <row r="1112" spans="1:12" x14ac:dyDescent="0.25">
      <c r="A1112" s="3">
        <v>45695.530902777777</v>
      </c>
      <c r="B1112" t="s">
        <v>128</v>
      </c>
      <c r="C1112" s="3">
        <v>45695.533437499995</v>
      </c>
      <c r="D1112" t="s">
        <v>333</v>
      </c>
      <c r="E1112" s="4">
        <v>0.68300000000000005</v>
      </c>
      <c r="F1112" s="4">
        <v>521642.87699999998</v>
      </c>
      <c r="G1112" s="4">
        <v>521643.56</v>
      </c>
      <c r="H1112" s="5">
        <f>80 / 86400</f>
        <v>9.2592592592592596E-4</v>
      </c>
      <c r="I1112" t="s">
        <v>201</v>
      </c>
      <c r="J1112" t="s">
        <v>112</v>
      </c>
      <c r="K1112" s="5">
        <f>219 / 86400</f>
        <v>2.5347222222222221E-3</v>
      </c>
      <c r="L1112" s="5">
        <f>1812 / 86400</f>
        <v>2.0972222222222222E-2</v>
      </c>
    </row>
    <row r="1113" spans="1:12" x14ac:dyDescent="0.25">
      <c r="A1113" s="3">
        <v>45695.554409722223</v>
      </c>
      <c r="B1113" t="s">
        <v>333</v>
      </c>
      <c r="C1113" s="3">
        <v>45695.55868055555</v>
      </c>
      <c r="D1113" t="s">
        <v>161</v>
      </c>
      <c r="E1113" s="4">
        <v>1.0669999999999999</v>
      </c>
      <c r="F1113" s="4">
        <v>521643.56</v>
      </c>
      <c r="G1113" s="4">
        <v>521644.62699999998</v>
      </c>
      <c r="H1113" s="5">
        <f>19 / 86400</f>
        <v>2.199074074074074E-4</v>
      </c>
      <c r="I1113" t="s">
        <v>137</v>
      </c>
      <c r="J1113" t="s">
        <v>45</v>
      </c>
      <c r="K1113" s="5">
        <f>368 / 86400</f>
        <v>4.2592592592592595E-3</v>
      </c>
      <c r="L1113" s="5">
        <f>1907 / 86400</f>
        <v>2.207175925925926E-2</v>
      </c>
    </row>
    <row r="1114" spans="1:12" x14ac:dyDescent="0.25">
      <c r="A1114" s="3">
        <v>45695.580752314811</v>
      </c>
      <c r="B1114" t="s">
        <v>161</v>
      </c>
      <c r="C1114" s="3">
        <v>45695.825486111113</v>
      </c>
      <c r="D1114" t="s">
        <v>147</v>
      </c>
      <c r="E1114" s="4">
        <v>95.394999999999996</v>
      </c>
      <c r="F1114" s="4">
        <v>521644.62699999998</v>
      </c>
      <c r="G1114" s="4">
        <v>521740.022</v>
      </c>
      <c r="H1114" s="5">
        <f>7360 / 86400</f>
        <v>8.5185185185185183E-2</v>
      </c>
      <c r="I1114" t="s">
        <v>36</v>
      </c>
      <c r="J1114" t="s">
        <v>20</v>
      </c>
      <c r="K1114" s="5">
        <f>21144 / 86400</f>
        <v>0.24472222222222223</v>
      </c>
      <c r="L1114" s="5">
        <f>737 / 86400</f>
        <v>8.5300925925925926E-3</v>
      </c>
    </row>
    <row r="1115" spans="1:12" x14ac:dyDescent="0.25">
      <c r="A1115" s="3">
        <v>45695.834016203706</v>
      </c>
      <c r="B1115" t="s">
        <v>147</v>
      </c>
      <c r="C1115" s="3">
        <v>45695.835555555561</v>
      </c>
      <c r="D1115" t="s">
        <v>92</v>
      </c>
      <c r="E1115" s="4">
        <v>0.193</v>
      </c>
      <c r="F1115" s="4">
        <v>521740.022</v>
      </c>
      <c r="G1115" s="4">
        <v>521740.21500000003</v>
      </c>
      <c r="H1115" s="5">
        <f>20 / 86400</f>
        <v>2.3148148148148149E-4</v>
      </c>
      <c r="I1115" t="s">
        <v>20</v>
      </c>
      <c r="J1115" t="s">
        <v>126</v>
      </c>
      <c r="K1115" s="5">
        <f>132 / 86400</f>
        <v>1.5277777777777779E-3</v>
      </c>
      <c r="L1115" s="5">
        <f>14207 / 86400</f>
        <v>0.16443287037037038</v>
      </c>
    </row>
    <row r="1116" spans="1:12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</row>
    <row r="1117" spans="1:12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</row>
    <row r="1118" spans="1:12" s="10" customFormat="1" ht="20.100000000000001" customHeight="1" x14ac:dyDescent="0.35">
      <c r="A1118" s="12" t="s">
        <v>441</v>
      </c>
      <c r="B1118" s="12"/>
      <c r="C1118" s="12"/>
      <c r="D1118" s="12"/>
      <c r="E1118" s="12"/>
      <c r="F1118" s="12"/>
      <c r="G1118" s="12"/>
      <c r="H1118" s="12"/>
      <c r="I1118" s="12"/>
      <c r="J1118" s="12"/>
    </row>
    <row r="1119" spans="1:12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</row>
    <row r="1120" spans="1:12" ht="30" x14ac:dyDescent="0.25">
      <c r="A1120" s="2" t="s">
        <v>6</v>
      </c>
      <c r="B1120" s="2" t="s">
        <v>7</v>
      </c>
      <c r="C1120" s="2" t="s">
        <v>8</v>
      </c>
      <c r="D1120" s="2" t="s">
        <v>9</v>
      </c>
      <c r="E1120" s="2" t="s">
        <v>10</v>
      </c>
      <c r="F1120" s="2" t="s">
        <v>11</v>
      </c>
      <c r="G1120" s="2" t="s">
        <v>12</v>
      </c>
      <c r="H1120" s="2" t="s">
        <v>13</v>
      </c>
      <c r="I1120" s="2" t="s">
        <v>14</v>
      </c>
      <c r="J1120" s="2" t="s">
        <v>15</v>
      </c>
      <c r="K1120" s="2" t="s">
        <v>16</v>
      </c>
      <c r="L1120" s="2" t="s">
        <v>17</v>
      </c>
    </row>
    <row r="1121" spans="1:12" x14ac:dyDescent="0.25">
      <c r="A1121" s="3">
        <v>45695.263275462959</v>
      </c>
      <c r="B1121" t="s">
        <v>95</v>
      </c>
      <c r="C1121" s="3">
        <v>45695.281759259262</v>
      </c>
      <c r="D1121" t="s">
        <v>142</v>
      </c>
      <c r="E1121" s="4">
        <v>1.3580000000000001</v>
      </c>
      <c r="F1121" s="4">
        <v>21811.013999999999</v>
      </c>
      <c r="G1121" s="4">
        <v>21812.371999999999</v>
      </c>
      <c r="H1121" s="5">
        <f>1159 / 86400</f>
        <v>1.3414351851851853E-2</v>
      </c>
      <c r="I1121" t="s">
        <v>160</v>
      </c>
      <c r="J1121" t="s">
        <v>140</v>
      </c>
      <c r="K1121" s="5">
        <f>1596 / 86400</f>
        <v>1.8472222222222223E-2</v>
      </c>
      <c r="L1121" s="5">
        <f>23128 / 86400</f>
        <v>0.26768518518518519</v>
      </c>
    </row>
    <row r="1122" spans="1:12" x14ac:dyDescent="0.25">
      <c r="A1122" s="3">
        <v>45695.286168981482</v>
      </c>
      <c r="B1122" t="s">
        <v>142</v>
      </c>
      <c r="C1122" s="3">
        <v>45695.451817129629</v>
      </c>
      <c r="D1122" t="s">
        <v>336</v>
      </c>
      <c r="E1122" s="4">
        <v>49.128</v>
      </c>
      <c r="F1122" s="4">
        <v>21812.371999999999</v>
      </c>
      <c r="G1122" s="4">
        <v>21861.5</v>
      </c>
      <c r="H1122" s="5">
        <f>6059 / 86400</f>
        <v>7.0127314814814809E-2</v>
      </c>
      <c r="I1122" t="s">
        <v>111</v>
      </c>
      <c r="J1122" t="s">
        <v>57</v>
      </c>
      <c r="K1122" s="5">
        <f>14311 / 86400</f>
        <v>0.16563657407407406</v>
      </c>
      <c r="L1122" s="5">
        <f>661 / 86400</f>
        <v>7.6504629629629631E-3</v>
      </c>
    </row>
    <row r="1123" spans="1:12" x14ac:dyDescent="0.25">
      <c r="A1123" s="3">
        <v>45695.459467592591</v>
      </c>
      <c r="B1123" t="s">
        <v>336</v>
      </c>
      <c r="C1123" s="3">
        <v>45695.600532407407</v>
      </c>
      <c r="D1123" t="s">
        <v>161</v>
      </c>
      <c r="E1123" s="4">
        <v>50.646000000000001</v>
      </c>
      <c r="F1123" s="4">
        <v>21861.5</v>
      </c>
      <c r="G1123" s="4">
        <v>21912.146000000001</v>
      </c>
      <c r="H1123" s="5">
        <f>3799 / 86400</f>
        <v>4.3969907407407409E-2</v>
      </c>
      <c r="I1123" t="s">
        <v>111</v>
      </c>
      <c r="J1123" t="s">
        <v>24</v>
      </c>
      <c r="K1123" s="5">
        <f>12187 / 86400</f>
        <v>0.14105324074074074</v>
      </c>
      <c r="L1123" s="5">
        <f>19 / 86400</f>
        <v>2.199074074074074E-4</v>
      </c>
    </row>
    <row r="1124" spans="1:12" x14ac:dyDescent="0.25">
      <c r="A1124" s="3">
        <v>45695.600752314815</v>
      </c>
      <c r="B1124" t="s">
        <v>161</v>
      </c>
      <c r="C1124" s="3">
        <v>45695.602696759262</v>
      </c>
      <c r="D1124" t="s">
        <v>316</v>
      </c>
      <c r="E1124" s="4">
        <v>0.67500000000000004</v>
      </c>
      <c r="F1124" s="4">
        <v>21912.146000000001</v>
      </c>
      <c r="G1124" s="4">
        <v>21912.821</v>
      </c>
      <c r="H1124" s="5">
        <f>20 / 86400</f>
        <v>2.3148148148148149E-4</v>
      </c>
      <c r="I1124" t="s">
        <v>187</v>
      </c>
      <c r="J1124" t="s">
        <v>24</v>
      </c>
      <c r="K1124" s="5">
        <f>167 / 86400</f>
        <v>1.9328703703703704E-3</v>
      </c>
      <c r="L1124" s="5">
        <f>989 / 86400</f>
        <v>1.1446759259259259E-2</v>
      </c>
    </row>
    <row r="1125" spans="1:12" x14ac:dyDescent="0.25">
      <c r="A1125" s="3">
        <v>45695.61414351852</v>
      </c>
      <c r="B1125" t="s">
        <v>316</v>
      </c>
      <c r="C1125" s="3">
        <v>45695.892650462964</v>
      </c>
      <c r="D1125" t="s">
        <v>333</v>
      </c>
      <c r="E1125" s="4">
        <v>93.706999999999994</v>
      </c>
      <c r="F1125" s="4">
        <v>21912.821</v>
      </c>
      <c r="G1125" s="4">
        <v>22006.527999999998</v>
      </c>
      <c r="H1125" s="5">
        <f>8279 / 86400</f>
        <v>9.5821759259259259E-2</v>
      </c>
      <c r="I1125" t="s">
        <v>44</v>
      </c>
      <c r="J1125" t="s">
        <v>34</v>
      </c>
      <c r="K1125" s="5">
        <f>24062 / 86400</f>
        <v>0.27849537037037037</v>
      </c>
      <c r="L1125" s="5">
        <f>380 / 86400</f>
        <v>4.3981481481481484E-3</v>
      </c>
    </row>
    <row r="1126" spans="1:12" x14ac:dyDescent="0.25">
      <c r="A1126" s="3">
        <v>45695.897048611107</v>
      </c>
      <c r="B1126" t="s">
        <v>333</v>
      </c>
      <c r="C1126" s="3">
        <v>45695.898935185185</v>
      </c>
      <c r="D1126" t="s">
        <v>128</v>
      </c>
      <c r="E1126" s="4">
        <v>0.71899999999999997</v>
      </c>
      <c r="F1126" s="4">
        <v>22006.527999999998</v>
      </c>
      <c r="G1126" s="4">
        <v>22007.246999999999</v>
      </c>
      <c r="H1126" s="5">
        <f>0 / 86400</f>
        <v>0</v>
      </c>
      <c r="I1126" t="s">
        <v>246</v>
      </c>
      <c r="J1126" t="s">
        <v>20</v>
      </c>
      <c r="K1126" s="5">
        <f>162 / 86400</f>
        <v>1.8749999999999999E-3</v>
      </c>
      <c r="L1126" s="5">
        <f>337 / 86400</f>
        <v>3.9004629629629628E-3</v>
      </c>
    </row>
    <row r="1127" spans="1:12" x14ac:dyDescent="0.25">
      <c r="A1127" s="3">
        <v>45695.902835648143</v>
      </c>
      <c r="B1127" t="s">
        <v>128</v>
      </c>
      <c r="C1127" s="3">
        <v>45695.905671296292</v>
      </c>
      <c r="D1127" t="s">
        <v>95</v>
      </c>
      <c r="E1127" s="4">
        <v>0.745</v>
      </c>
      <c r="F1127" s="4">
        <v>22007.246999999999</v>
      </c>
      <c r="G1127" s="4">
        <v>22007.991999999998</v>
      </c>
      <c r="H1127" s="5">
        <f>59 / 86400</f>
        <v>6.8287037037037036E-4</v>
      </c>
      <c r="I1127" t="s">
        <v>213</v>
      </c>
      <c r="J1127" t="s">
        <v>112</v>
      </c>
      <c r="K1127" s="5">
        <f>244 / 86400</f>
        <v>2.8240740740740739E-3</v>
      </c>
      <c r="L1127" s="5">
        <f>8149 / 86400</f>
        <v>9.4317129629629626E-2</v>
      </c>
    </row>
    <row r="1128" spans="1:12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</row>
    <row r="1129" spans="1:12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</row>
    <row r="1130" spans="1:12" s="10" customFormat="1" ht="20.100000000000001" customHeight="1" x14ac:dyDescent="0.35">
      <c r="A1130" s="12" t="s">
        <v>442</v>
      </c>
      <c r="B1130" s="12"/>
      <c r="C1130" s="12"/>
      <c r="D1130" s="12"/>
      <c r="E1130" s="12"/>
      <c r="F1130" s="12"/>
      <c r="G1130" s="12"/>
      <c r="H1130" s="12"/>
      <c r="I1130" s="12"/>
      <c r="J1130" s="12"/>
    </row>
    <row r="1131" spans="1:12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</row>
    <row r="1132" spans="1:12" ht="30" x14ac:dyDescent="0.25">
      <c r="A1132" s="2" t="s">
        <v>6</v>
      </c>
      <c r="B1132" s="2" t="s">
        <v>7</v>
      </c>
      <c r="C1132" s="2" t="s">
        <v>8</v>
      </c>
      <c r="D1132" s="2" t="s">
        <v>9</v>
      </c>
      <c r="E1132" s="2" t="s">
        <v>10</v>
      </c>
      <c r="F1132" s="2" t="s">
        <v>11</v>
      </c>
      <c r="G1132" s="2" t="s">
        <v>12</v>
      </c>
      <c r="H1132" s="2" t="s">
        <v>13</v>
      </c>
      <c r="I1132" s="2" t="s">
        <v>14</v>
      </c>
      <c r="J1132" s="2" t="s">
        <v>15</v>
      </c>
      <c r="K1132" s="2" t="s">
        <v>16</v>
      </c>
      <c r="L1132" s="2" t="s">
        <v>17</v>
      </c>
    </row>
    <row r="1133" spans="1:12" x14ac:dyDescent="0.25">
      <c r="A1133" s="3">
        <v>45695.247418981482</v>
      </c>
      <c r="B1133" t="s">
        <v>38</v>
      </c>
      <c r="C1133" s="3">
        <v>45695.455983796295</v>
      </c>
      <c r="D1133" t="s">
        <v>298</v>
      </c>
      <c r="E1133" s="4">
        <v>51.508000000000003</v>
      </c>
      <c r="F1133" s="4">
        <v>63337.275999999998</v>
      </c>
      <c r="G1133" s="4">
        <v>63388.784</v>
      </c>
      <c r="H1133" s="5">
        <f>8998 / 86400</f>
        <v>0.10414351851851852</v>
      </c>
      <c r="I1133" t="s">
        <v>75</v>
      </c>
      <c r="J1133" t="s">
        <v>45</v>
      </c>
      <c r="K1133" s="5">
        <f>18020 / 86400</f>
        <v>0.20856481481481481</v>
      </c>
      <c r="L1133" s="5">
        <f>21410 / 86400</f>
        <v>0.24780092592592592</v>
      </c>
    </row>
    <row r="1134" spans="1:12" x14ac:dyDescent="0.25">
      <c r="A1134" s="3">
        <v>45695.456365740742</v>
      </c>
      <c r="B1134" t="s">
        <v>298</v>
      </c>
      <c r="C1134" s="3">
        <v>45695.534699074073</v>
      </c>
      <c r="D1134" t="s">
        <v>128</v>
      </c>
      <c r="E1134" s="4">
        <v>30.303000000000001</v>
      </c>
      <c r="F1134" s="4">
        <v>63388.784</v>
      </c>
      <c r="G1134" s="4">
        <v>63419.087</v>
      </c>
      <c r="H1134" s="5">
        <f>2359 / 86400</f>
        <v>2.7303240740740739E-2</v>
      </c>
      <c r="I1134" t="s">
        <v>50</v>
      </c>
      <c r="J1134" t="s">
        <v>20</v>
      </c>
      <c r="K1134" s="5">
        <f>6767 / 86400</f>
        <v>7.8321759259259258E-2</v>
      </c>
      <c r="L1134" s="5">
        <f>382 / 86400</f>
        <v>4.4212962962962964E-3</v>
      </c>
    </row>
    <row r="1135" spans="1:12" x14ac:dyDescent="0.25">
      <c r="A1135" s="3">
        <v>45695.539120370369</v>
      </c>
      <c r="B1135" t="s">
        <v>128</v>
      </c>
      <c r="C1135" s="3">
        <v>45695.543703703705</v>
      </c>
      <c r="D1135" t="s">
        <v>92</v>
      </c>
      <c r="E1135" s="4">
        <v>0.17699999999999999</v>
      </c>
      <c r="F1135" s="4">
        <v>63419.087</v>
      </c>
      <c r="G1135" s="4">
        <v>63419.264000000003</v>
      </c>
      <c r="H1135" s="5">
        <f>240 / 86400</f>
        <v>2.7777777777777779E-3</v>
      </c>
      <c r="I1135" t="s">
        <v>45</v>
      </c>
      <c r="J1135" t="s">
        <v>87</v>
      </c>
      <c r="K1135" s="5">
        <f>395 / 86400</f>
        <v>4.5717592592592589E-3</v>
      </c>
      <c r="L1135" s="5">
        <f>14967 / 86400</f>
        <v>0.17322916666666666</v>
      </c>
    </row>
    <row r="1136" spans="1:12" x14ac:dyDescent="0.25">
      <c r="A1136" s="3">
        <v>45695.716932870375</v>
      </c>
      <c r="B1136" t="s">
        <v>92</v>
      </c>
      <c r="C1136" s="3">
        <v>45695.744594907403</v>
      </c>
      <c r="D1136" t="s">
        <v>379</v>
      </c>
      <c r="E1136" s="4">
        <v>0</v>
      </c>
      <c r="F1136" s="4">
        <v>63419.264000000003</v>
      </c>
      <c r="G1136" s="4">
        <v>63419.264000000003</v>
      </c>
      <c r="H1136" s="5">
        <f>2379 / 86400</f>
        <v>2.7534722222222221E-2</v>
      </c>
      <c r="I1136" t="s">
        <v>129</v>
      </c>
      <c r="J1136" t="s">
        <v>129</v>
      </c>
      <c r="K1136" s="5">
        <f>2390 / 86400</f>
        <v>2.7662037037037037E-2</v>
      </c>
      <c r="L1136" s="5">
        <f>9353 / 86400</f>
        <v>0.10825231481481482</v>
      </c>
    </row>
    <row r="1137" spans="1:12" x14ac:dyDescent="0.25">
      <c r="A1137" s="3">
        <v>45695.852847222224</v>
      </c>
      <c r="B1137" t="s">
        <v>92</v>
      </c>
      <c r="C1137" s="3">
        <v>45695.904467592598</v>
      </c>
      <c r="D1137" t="s">
        <v>38</v>
      </c>
      <c r="E1137" s="4">
        <v>18.896999999999998</v>
      </c>
      <c r="F1137" s="4">
        <v>63419.264000000003</v>
      </c>
      <c r="G1137" s="4">
        <v>63438.161</v>
      </c>
      <c r="H1137" s="5">
        <f>1858 / 86400</f>
        <v>2.150462962962963E-2</v>
      </c>
      <c r="I1137" t="s">
        <v>85</v>
      </c>
      <c r="J1137" t="s">
        <v>24</v>
      </c>
      <c r="K1137" s="5">
        <f>4460 / 86400</f>
        <v>5.1620370370370372E-2</v>
      </c>
      <c r="L1137" s="5">
        <f>8253 / 86400</f>
        <v>9.5520833333333333E-2</v>
      </c>
    </row>
    <row r="1138" spans="1:12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</row>
    <row r="1139" spans="1:12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</row>
    <row r="1140" spans="1:12" s="10" customFormat="1" ht="20.100000000000001" customHeight="1" x14ac:dyDescent="0.35">
      <c r="A1140" s="12" t="s">
        <v>443</v>
      </c>
      <c r="B1140" s="12"/>
      <c r="C1140" s="12"/>
      <c r="D1140" s="12"/>
      <c r="E1140" s="12"/>
      <c r="F1140" s="12"/>
      <c r="G1140" s="12"/>
      <c r="H1140" s="12"/>
      <c r="I1140" s="12"/>
      <c r="J1140" s="12"/>
    </row>
    <row r="1141" spans="1:12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</row>
    <row r="1142" spans="1:12" ht="30" x14ac:dyDescent="0.25">
      <c r="A1142" s="2" t="s">
        <v>6</v>
      </c>
      <c r="B1142" s="2" t="s">
        <v>7</v>
      </c>
      <c r="C1142" s="2" t="s">
        <v>8</v>
      </c>
      <c r="D1142" s="2" t="s">
        <v>9</v>
      </c>
      <c r="E1142" s="2" t="s">
        <v>10</v>
      </c>
      <c r="F1142" s="2" t="s">
        <v>11</v>
      </c>
      <c r="G1142" s="2" t="s">
        <v>12</v>
      </c>
      <c r="H1142" s="2" t="s">
        <v>13</v>
      </c>
      <c r="I1142" s="2" t="s">
        <v>14</v>
      </c>
      <c r="J1142" s="2" t="s">
        <v>15</v>
      </c>
      <c r="K1142" s="2" t="s">
        <v>16</v>
      </c>
      <c r="L1142" s="2" t="s">
        <v>17</v>
      </c>
    </row>
    <row r="1143" spans="1:12" x14ac:dyDescent="0.25">
      <c r="A1143" s="3">
        <v>45695.265138888892</v>
      </c>
      <c r="B1143" t="s">
        <v>113</v>
      </c>
      <c r="C1143" s="3">
        <v>45695.350231481483</v>
      </c>
      <c r="D1143" t="s">
        <v>128</v>
      </c>
      <c r="E1143" s="4">
        <v>36.073</v>
      </c>
      <c r="F1143" s="4">
        <v>4406.4849999999997</v>
      </c>
      <c r="G1143" s="4">
        <v>4442.558</v>
      </c>
      <c r="H1143" s="5">
        <f>2279 / 86400</f>
        <v>2.6377314814814815E-2</v>
      </c>
      <c r="I1143" t="s">
        <v>171</v>
      </c>
      <c r="J1143" t="s">
        <v>69</v>
      </c>
      <c r="K1143" s="5">
        <f>7352 / 86400</f>
        <v>8.5092592592592595E-2</v>
      </c>
      <c r="L1143" s="5">
        <f>26127 / 86400</f>
        <v>0.30239583333333331</v>
      </c>
    </row>
    <row r="1144" spans="1:12" x14ac:dyDescent="0.25">
      <c r="A1144" s="3">
        <v>45695.387488425928</v>
      </c>
      <c r="B1144" t="s">
        <v>128</v>
      </c>
      <c r="C1144" s="3">
        <v>45695.389953703707</v>
      </c>
      <c r="D1144" t="s">
        <v>333</v>
      </c>
      <c r="E1144" s="4">
        <v>1.056</v>
      </c>
      <c r="F1144" s="4">
        <v>4442.558</v>
      </c>
      <c r="G1144" s="4">
        <v>4443.6139999999996</v>
      </c>
      <c r="H1144" s="5">
        <f>39 / 86400</f>
        <v>4.5138888888888887E-4</v>
      </c>
      <c r="I1144" t="s">
        <v>201</v>
      </c>
      <c r="J1144" t="s">
        <v>69</v>
      </c>
      <c r="K1144" s="5">
        <f>213 / 86400</f>
        <v>2.4652777777777776E-3</v>
      </c>
      <c r="L1144" s="5">
        <f>443 / 86400</f>
        <v>5.1273148148148146E-3</v>
      </c>
    </row>
    <row r="1145" spans="1:12" x14ac:dyDescent="0.25">
      <c r="A1145" s="3">
        <v>45695.39508101852</v>
      </c>
      <c r="B1145" t="s">
        <v>333</v>
      </c>
      <c r="C1145" s="3">
        <v>45695.593275462961</v>
      </c>
      <c r="D1145" t="s">
        <v>18</v>
      </c>
      <c r="E1145" s="4">
        <v>67.977000000000004</v>
      </c>
      <c r="F1145" s="4">
        <v>4443.6139999999996</v>
      </c>
      <c r="G1145" s="4">
        <v>4511.5910000000003</v>
      </c>
      <c r="H1145" s="5">
        <f>6196 / 86400</f>
        <v>7.1712962962962964E-2</v>
      </c>
      <c r="I1145" t="s">
        <v>39</v>
      </c>
      <c r="J1145" t="s">
        <v>34</v>
      </c>
      <c r="K1145" s="5">
        <f>17123 / 86400</f>
        <v>0.19818287037037038</v>
      </c>
      <c r="L1145" s="5">
        <f>581 / 86400</f>
        <v>6.7245370370370367E-3</v>
      </c>
    </row>
    <row r="1146" spans="1:12" x14ac:dyDescent="0.25">
      <c r="A1146" s="3">
        <v>45695.6</v>
      </c>
      <c r="B1146" t="s">
        <v>18</v>
      </c>
      <c r="C1146" s="3">
        <v>45695.604131944448</v>
      </c>
      <c r="D1146" t="s">
        <v>67</v>
      </c>
      <c r="E1146" s="4">
        <v>0.85499999999999998</v>
      </c>
      <c r="F1146" s="4">
        <v>4511.5910000000003</v>
      </c>
      <c r="G1146" s="4">
        <v>4512.4459999999999</v>
      </c>
      <c r="H1146" s="5">
        <f>79 / 86400</f>
        <v>9.1435185185185185E-4</v>
      </c>
      <c r="I1146" t="s">
        <v>69</v>
      </c>
      <c r="J1146" t="s">
        <v>71</v>
      </c>
      <c r="K1146" s="5">
        <f>357 / 86400</f>
        <v>4.1319444444444442E-3</v>
      </c>
      <c r="L1146" s="5">
        <f>353 / 86400</f>
        <v>4.0856481481481481E-3</v>
      </c>
    </row>
    <row r="1147" spans="1:12" x14ac:dyDescent="0.25">
      <c r="A1147" s="3">
        <v>45695.608217592591</v>
      </c>
      <c r="B1147" t="s">
        <v>67</v>
      </c>
      <c r="C1147" s="3">
        <v>45695.609074074076</v>
      </c>
      <c r="D1147" t="s">
        <v>67</v>
      </c>
      <c r="E1147" s="4">
        <v>1.2999999999999999E-2</v>
      </c>
      <c r="F1147" s="4">
        <v>4512.4459999999999</v>
      </c>
      <c r="G1147" s="4">
        <v>4512.4589999999998</v>
      </c>
      <c r="H1147" s="5">
        <f>60 / 86400</f>
        <v>6.9444444444444447E-4</v>
      </c>
      <c r="I1147" t="s">
        <v>132</v>
      </c>
      <c r="J1147" t="s">
        <v>127</v>
      </c>
      <c r="K1147" s="5">
        <f>74 / 86400</f>
        <v>8.564814814814815E-4</v>
      </c>
      <c r="L1147" s="5">
        <f>33775 / 86400</f>
        <v>0.39091435185185186</v>
      </c>
    </row>
    <row r="1148" spans="1:12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</row>
    <row r="1149" spans="1:12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</row>
    <row r="1150" spans="1:12" s="10" customFormat="1" ht="20.100000000000001" customHeight="1" x14ac:dyDescent="0.35">
      <c r="A1150" s="12" t="s">
        <v>444</v>
      </c>
      <c r="B1150" s="12"/>
      <c r="C1150" s="12"/>
      <c r="D1150" s="12"/>
      <c r="E1150" s="12"/>
      <c r="F1150" s="12"/>
      <c r="G1150" s="12"/>
      <c r="H1150" s="12"/>
      <c r="I1150" s="12"/>
      <c r="J1150" s="12"/>
    </row>
    <row r="1151" spans="1:12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</row>
    <row r="1152" spans="1:12" ht="30" x14ac:dyDescent="0.25">
      <c r="A1152" s="2" t="s">
        <v>6</v>
      </c>
      <c r="B1152" s="2" t="s">
        <v>7</v>
      </c>
      <c r="C1152" s="2" t="s">
        <v>8</v>
      </c>
      <c r="D1152" s="2" t="s">
        <v>9</v>
      </c>
      <c r="E1152" s="2" t="s">
        <v>10</v>
      </c>
      <c r="F1152" s="2" t="s">
        <v>11</v>
      </c>
      <c r="G1152" s="2" t="s">
        <v>12</v>
      </c>
      <c r="H1152" s="2" t="s">
        <v>13</v>
      </c>
      <c r="I1152" s="2" t="s">
        <v>14</v>
      </c>
      <c r="J1152" s="2" t="s">
        <v>15</v>
      </c>
      <c r="K1152" s="2" t="s">
        <v>16</v>
      </c>
      <c r="L1152" s="2" t="s">
        <v>17</v>
      </c>
    </row>
    <row r="1153" spans="1:12" x14ac:dyDescent="0.25">
      <c r="A1153" s="3">
        <v>45695.208472222221</v>
      </c>
      <c r="B1153" t="s">
        <v>29</v>
      </c>
      <c r="C1153" s="3">
        <v>45695.366539351853</v>
      </c>
      <c r="D1153" t="s">
        <v>380</v>
      </c>
      <c r="E1153" s="4">
        <v>69.566000000000003</v>
      </c>
      <c r="F1153" s="4">
        <v>406856.41899999999</v>
      </c>
      <c r="G1153" s="4">
        <v>406925.98499999999</v>
      </c>
      <c r="H1153" s="5">
        <f>4796 / 86400</f>
        <v>5.5509259259259258E-2</v>
      </c>
      <c r="I1153" t="s">
        <v>61</v>
      </c>
      <c r="J1153" t="s">
        <v>69</v>
      </c>
      <c r="K1153" s="5">
        <f>13657 / 86400</f>
        <v>0.15806712962962963</v>
      </c>
      <c r="L1153" s="5">
        <f>20427 / 86400</f>
        <v>0.2364236111111111</v>
      </c>
    </row>
    <row r="1154" spans="1:12" x14ac:dyDescent="0.25">
      <c r="A1154" s="3">
        <v>45695.394490740742</v>
      </c>
      <c r="B1154" t="s">
        <v>380</v>
      </c>
      <c r="C1154" s="3">
        <v>45695.402800925927</v>
      </c>
      <c r="D1154" t="s">
        <v>18</v>
      </c>
      <c r="E1154" s="4">
        <v>2.6680000000000001</v>
      </c>
      <c r="F1154" s="4">
        <v>406925.98499999999</v>
      </c>
      <c r="G1154" s="4">
        <v>406928.65299999999</v>
      </c>
      <c r="H1154" s="5">
        <f>239 / 86400</f>
        <v>2.7662037037037039E-3</v>
      </c>
      <c r="I1154" t="s">
        <v>146</v>
      </c>
      <c r="J1154" t="s">
        <v>53</v>
      </c>
      <c r="K1154" s="5">
        <f>717 / 86400</f>
        <v>8.2986111111111108E-3</v>
      </c>
      <c r="L1154" s="5">
        <f>6898 / 86400</f>
        <v>7.9837962962962958E-2</v>
      </c>
    </row>
    <row r="1155" spans="1:12" x14ac:dyDescent="0.25">
      <c r="A1155" s="3">
        <v>45695.482638888891</v>
      </c>
      <c r="B1155" t="s">
        <v>18</v>
      </c>
      <c r="C1155" s="3">
        <v>45695.595868055556</v>
      </c>
      <c r="D1155" t="s">
        <v>128</v>
      </c>
      <c r="E1155" s="4">
        <v>47.338000000000001</v>
      </c>
      <c r="F1155" s="4">
        <v>406928.65299999999</v>
      </c>
      <c r="G1155" s="4">
        <v>406975.99099999998</v>
      </c>
      <c r="H1155" s="5">
        <f>3080 / 86400</f>
        <v>3.5648148148148151E-2</v>
      </c>
      <c r="I1155" t="s">
        <v>30</v>
      </c>
      <c r="J1155" t="s">
        <v>28</v>
      </c>
      <c r="K1155" s="5">
        <f>9783 / 86400</f>
        <v>0.11322916666666667</v>
      </c>
      <c r="L1155" s="5">
        <f>1933 / 86400</f>
        <v>2.2372685185185186E-2</v>
      </c>
    </row>
    <row r="1156" spans="1:12" x14ac:dyDescent="0.25">
      <c r="A1156" s="3">
        <v>45695.61824074074</v>
      </c>
      <c r="B1156" t="s">
        <v>128</v>
      </c>
      <c r="C1156" s="3">
        <v>45695.619780092587</v>
      </c>
      <c r="D1156" t="s">
        <v>128</v>
      </c>
      <c r="E1156" s="4">
        <v>1.6E-2</v>
      </c>
      <c r="F1156" s="4">
        <v>406975.99099999998</v>
      </c>
      <c r="G1156" s="4">
        <v>406976.00699999998</v>
      </c>
      <c r="H1156" s="5">
        <f>99 / 86400</f>
        <v>1.1458333333333333E-3</v>
      </c>
      <c r="I1156" t="s">
        <v>140</v>
      </c>
      <c r="J1156" t="s">
        <v>129</v>
      </c>
      <c r="K1156" s="5">
        <f>133 / 86400</f>
        <v>1.5393518518518519E-3</v>
      </c>
      <c r="L1156" s="5">
        <f>264 / 86400</f>
        <v>3.0555555555555557E-3</v>
      </c>
    </row>
    <row r="1157" spans="1:12" x14ac:dyDescent="0.25">
      <c r="A1157" s="3">
        <v>45695.622835648144</v>
      </c>
      <c r="B1157" t="s">
        <v>128</v>
      </c>
      <c r="C1157" s="3">
        <v>45695.623495370368</v>
      </c>
      <c r="D1157" t="s">
        <v>128</v>
      </c>
      <c r="E1157" s="4">
        <v>1.6E-2</v>
      </c>
      <c r="F1157" s="4">
        <v>406976.00699999998</v>
      </c>
      <c r="G1157" s="4">
        <v>406976.02299999999</v>
      </c>
      <c r="H1157" s="5">
        <f>39 / 86400</f>
        <v>4.5138888888888887E-4</v>
      </c>
      <c r="I1157" t="s">
        <v>132</v>
      </c>
      <c r="J1157" t="s">
        <v>127</v>
      </c>
      <c r="K1157" s="5">
        <f>56 / 86400</f>
        <v>6.4814814814814813E-4</v>
      </c>
      <c r="L1157" s="5">
        <f>537 / 86400</f>
        <v>6.2152777777777779E-3</v>
      </c>
    </row>
    <row r="1158" spans="1:12" x14ac:dyDescent="0.25">
      <c r="A1158" s="3">
        <v>45695.629710648151</v>
      </c>
      <c r="B1158" t="s">
        <v>128</v>
      </c>
      <c r="C1158" s="3">
        <v>45695.676296296297</v>
      </c>
      <c r="D1158" t="s">
        <v>188</v>
      </c>
      <c r="E1158" s="4">
        <v>24.565999999999999</v>
      </c>
      <c r="F1158" s="4">
        <v>406976.02299999999</v>
      </c>
      <c r="G1158" s="4">
        <v>407000.58899999998</v>
      </c>
      <c r="H1158" s="5">
        <f>1119 / 86400</f>
        <v>1.2951388888888889E-2</v>
      </c>
      <c r="I1158" t="s">
        <v>61</v>
      </c>
      <c r="J1158" t="s">
        <v>187</v>
      </c>
      <c r="K1158" s="5">
        <f>4025 / 86400</f>
        <v>4.6585648148148147E-2</v>
      </c>
      <c r="L1158" s="5">
        <f>435 / 86400</f>
        <v>5.0347222222222225E-3</v>
      </c>
    </row>
    <row r="1159" spans="1:12" x14ac:dyDescent="0.25">
      <c r="A1159" s="3">
        <v>45695.681331018517</v>
      </c>
      <c r="B1159" t="s">
        <v>188</v>
      </c>
      <c r="C1159" s="3">
        <v>45695.685706018514</v>
      </c>
      <c r="D1159" t="s">
        <v>29</v>
      </c>
      <c r="E1159" s="4">
        <v>0.84499999999999997</v>
      </c>
      <c r="F1159" s="4">
        <v>407000.58899999998</v>
      </c>
      <c r="G1159" s="4">
        <v>407001.43400000001</v>
      </c>
      <c r="H1159" s="5">
        <f>99 / 86400</f>
        <v>1.1458333333333333E-3</v>
      </c>
      <c r="I1159" t="s">
        <v>20</v>
      </c>
      <c r="J1159" t="s">
        <v>141</v>
      </c>
      <c r="K1159" s="5">
        <f>378 / 86400</f>
        <v>4.3750000000000004E-3</v>
      </c>
      <c r="L1159" s="5">
        <f>10504 / 86400</f>
        <v>0.12157407407407407</v>
      </c>
    </row>
    <row r="1160" spans="1:12" x14ac:dyDescent="0.25">
      <c r="A1160" s="3">
        <v>45695.807280092587</v>
      </c>
      <c r="B1160" t="s">
        <v>29</v>
      </c>
      <c r="C1160" s="3">
        <v>45695.814641203702</v>
      </c>
      <c r="D1160" t="s">
        <v>88</v>
      </c>
      <c r="E1160" s="4">
        <v>2.4790000000000001</v>
      </c>
      <c r="F1160" s="4">
        <v>407001.43400000001</v>
      </c>
      <c r="G1160" s="4">
        <v>407003.913</v>
      </c>
      <c r="H1160" s="5">
        <f>179 / 86400</f>
        <v>2.0717592592592593E-3</v>
      </c>
      <c r="I1160" t="s">
        <v>332</v>
      </c>
      <c r="J1160" t="s">
        <v>34</v>
      </c>
      <c r="K1160" s="5">
        <f>636 / 86400</f>
        <v>7.3611111111111108E-3</v>
      </c>
      <c r="L1160" s="5">
        <f>1888 / 86400</f>
        <v>2.1851851851851851E-2</v>
      </c>
    </row>
    <row r="1161" spans="1:12" x14ac:dyDescent="0.25">
      <c r="A1161" s="3">
        <v>45695.836493055554</v>
      </c>
      <c r="B1161" t="s">
        <v>88</v>
      </c>
      <c r="C1161" s="3">
        <v>45695.884756944448</v>
      </c>
      <c r="D1161" t="s">
        <v>150</v>
      </c>
      <c r="E1161" s="4">
        <v>19.129000000000001</v>
      </c>
      <c r="F1161" s="4">
        <v>407003.913</v>
      </c>
      <c r="G1161" s="4">
        <v>407023.04200000002</v>
      </c>
      <c r="H1161" s="5">
        <f>1420 / 86400</f>
        <v>1.6435185185185185E-2</v>
      </c>
      <c r="I1161" t="s">
        <v>182</v>
      </c>
      <c r="J1161" t="s">
        <v>28</v>
      </c>
      <c r="K1161" s="5">
        <f>4169 / 86400</f>
        <v>4.8252314814814817E-2</v>
      </c>
      <c r="L1161" s="5">
        <f>53 / 86400</f>
        <v>6.134259259259259E-4</v>
      </c>
    </row>
    <row r="1162" spans="1:12" x14ac:dyDescent="0.25">
      <c r="A1162" s="3">
        <v>45695.885370370372</v>
      </c>
      <c r="B1162" t="s">
        <v>150</v>
      </c>
      <c r="C1162" s="3">
        <v>45695.984050925923</v>
      </c>
      <c r="D1162" t="s">
        <v>150</v>
      </c>
      <c r="E1162" s="4">
        <v>50.472000000000001</v>
      </c>
      <c r="F1162" s="4">
        <v>407023.04200000002</v>
      </c>
      <c r="G1162" s="4">
        <v>407073.51400000002</v>
      </c>
      <c r="H1162" s="5">
        <f>2700 / 86400</f>
        <v>3.125E-2</v>
      </c>
      <c r="I1162" t="s">
        <v>55</v>
      </c>
      <c r="J1162" t="s">
        <v>37</v>
      </c>
      <c r="K1162" s="5">
        <f>8526 / 86400</f>
        <v>9.8680555555555549E-2</v>
      </c>
      <c r="L1162" s="5">
        <f>94 / 86400</f>
        <v>1.0879629629629629E-3</v>
      </c>
    </row>
    <row r="1163" spans="1:12" x14ac:dyDescent="0.25">
      <c r="A1163" s="3">
        <v>45695.985138888893</v>
      </c>
      <c r="B1163" t="s">
        <v>150</v>
      </c>
      <c r="C1163" s="3">
        <v>45695.985219907408</v>
      </c>
      <c r="D1163" t="s">
        <v>150</v>
      </c>
      <c r="E1163" s="4">
        <v>7.0000000000000001E-3</v>
      </c>
      <c r="F1163" s="4">
        <v>407073.51400000002</v>
      </c>
      <c r="G1163" s="4">
        <v>407073.52100000001</v>
      </c>
      <c r="H1163" s="5">
        <f>0 / 86400</f>
        <v>0</v>
      </c>
      <c r="I1163" t="s">
        <v>129</v>
      </c>
      <c r="J1163" t="s">
        <v>82</v>
      </c>
      <c r="K1163" s="5">
        <f>7 / 86400</f>
        <v>8.1018518518518516E-5</v>
      </c>
      <c r="L1163" s="5">
        <f>611 / 86400</f>
        <v>7.0717592592592594E-3</v>
      </c>
    </row>
    <row r="1164" spans="1:12" x14ac:dyDescent="0.25">
      <c r="A1164" s="3">
        <v>45695.992291666669</v>
      </c>
      <c r="B1164" t="s">
        <v>114</v>
      </c>
      <c r="C1164" s="3">
        <v>45695.992685185185</v>
      </c>
      <c r="D1164" t="s">
        <v>114</v>
      </c>
      <c r="E1164" s="4">
        <v>4.0000000000000001E-3</v>
      </c>
      <c r="F1164" s="4">
        <v>407073.52100000001</v>
      </c>
      <c r="G1164" s="4">
        <v>407073.52500000002</v>
      </c>
      <c r="H1164" s="5">
        <f>19 / 86400</f>
        <v>2.199074074074074E-4</v>
      </c>
      <c r="I1164" t="s">
        <v>129</v>
      </c>
      <c r="J1164" t="s">
        <v>129</v>
      </c>
      <c r="K1164" s="5">
        <f>34 / 86400</f>
        <v>3.9351851851851852E-4</v>
      </c>
      <c r="L1164" s="5">
        <f>631 / 86400</f>
        <v>7.3032407407407404E-3</v>
      </c>
    </row>
    <row r="1165" spans="1:12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</row>
    <row r="1166" spans="1:12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</row>
    <row r="1167" spans="1:12" s="10" customFormat="1" ht="20.100000000000001" customHeight="1" x14ac:dyDescent="0.35">
      <c r="A1167" s="12" t="s">
        <v>445</v>
      </c>
      <c r="B1167" s="12"/>
      <c r="C1167" s="12"/>
      <c r="D1167" s="12"/>
      <c r="E1167" s="12"/>
      <c r="F1167" s="12"/>
      <c r="G1167" s="12"/>
      <c r="H1167" s="12"/>
      <c r="I1167" s="12"/>
      <c r="J1167" s="12"/>
    </row>
    <row r="1168" spans="1:12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</row>
    <row r="1169" spans="1:12" ht="30" x14ac:dyDescent="0.25">
      <c r="A1169" s="2" t="s">
        <v>6</v>
      </c>
      <c r="B1169" s="2" t="s">
        <v>7</v>
      </c>
      <c r="C1169" s="2" t="s">
        <v>8</v>
      </c>
      <c r="D1169" s="2" t="s">
        <v>9</v>
      </c>
      <c r="E1169" s="2" t="s">
        <v>10</v>
      </c>
      <c r="F1169" s="2" t="s">
        <v>11</v>
      </c>
      <c r="G1169" s="2" t="s">
        <v>12</v>
      </c>
      <c r="H1169" s="2" t="s">
        <v>13</v>
      </c>
      <c r="I1169" s="2" t="s">
        <v>14</v>
      </c>
      <c r="J1169" s="2" t="s">
        <v>15</v>
      </c>
      <c r="K1169" s="2" t="s">
        <v>16</v>
      </c>
      <c r="L1169" s="2" t="s">
        <v>17</v>
      </c>
    </row>
    <row r="1170" spans="1:12" x14ac:dyDescent="0.25">
      <c r="A1170" s="3">
        <v>45695</v>
      </c>
      <c r="B1170" t="s">
        <v>115</v>
      </c>
      <c r="C1170" s="3">
        <v>45695.034861111111</v>
      </c>
      <c r="D1170" t="s">
        <v>122</v>
      </c>
      <c r="E1170" s="4">
        <v>22.925999999999998</v>
      </c>
      <c r="F1170" s="4">
        <v>548342.799</v>
      </c>
      <c r="G1170" s="4">
        <v>548365.72499999998</v>
      </c>
      <c r="H1170" s="5">
        <f>480 / 86400</f>
        <v>5.5555555555555558E-3</v>
      </c>
      <c r="I1170" t="s">
        <v>111</v>
      </c>
      <c r="J1170" t="s">
        <v>212</v>
      </c>
      <c r="K1170" s="5">
        <f>3012 / 86400</f>
        <v>3.4861111111111114E-2</v>
      </c>
      <c r="L1170" s="5">
        <f>309 / 86400</f>
        <v>3.5763888888888889E-3</v>
      </c>
    </row>
    <row r="1171" spans="1:12" x14ac:dyDescent="0.25">
      <c r="A1171" s="3">
        <v>45695.038437499999</v>
      </c>
      <c r="B1171" t="s">
        <v>122</v>
      </c>
      <c r="C1171" s="3">
        <v>45695.039409722223</v>
      </c>
      <c r="D1171" t="s">
        <v>88</v>
      </c>
      <c r="E1171" s="4">
        <v>7.0999999999999994E-2</v>
      </c>
      <c r="F1171" s="4">
        <v>548365.72499999998</v>
      </c>
      <c r="G1171" s="4">
        <v>548365.79599999997</v>
      </c>
      <c r="H1171" s="5">
        <f>0 / 86400</f>
        <v>0</v>
      </c>
      <c r="I1171" t="s">
        <v>91</v>
      </c>
      <c r="J1171" t="s">
        <v>140</v>
      </c>
      <c r="K1171" s="5">
        <f>84 / 86400</f>
        <v>9.7222222222222219E-4</v>
      </c>
      <c r="L1171" s="5">
        <f>2405 / 86400</f>
        <v>2.7835648148148148E-2</v>
      </c>
    </row>
    <row r="1172" spans="1:12" x14ac:dyDescent="0.25">
      <c r="A1172" s="3">
        <v>45695.067245370374</v>
      </c>
      <c r="B1172" t="s">
        <v>88</v>
      </c>
      <c r="C1172" s="3">
        <v>45695.076817129629</v>
      </c>
      <c r="D1172" t="s">
        <v>81</v>
      </c>
      <c r="E1172" s="4">
        <v>0.79700000000000004</v>
      </c>
      <c r="F1172" s="4">
        <v>548365.79599999997</v>
      </c>
      <c r="G1172" s="4">
        <v>548366.59299999999</v>
      </c>
      <c r="H1172" s="5">
        <f>520 / 86400</f>
        <v>6.0185185185185185E-3</v>
      </c>
      <c r="I1172" t="s">
        <v>213</v>
      </c>
      <c r="J1172" t="s">
        <v>140</v>
      </c>
      <c r="K1172" s="5">
        <f>826 / 86400</f>
        <v>9.5601851851851855E-3</v>
      </c>
      <c r="L1172" s="5">
        <f>18867 / 86400</f>
        <v>0.21836805555555555</v>
      </c>
    </row>
    <row r="1173" spans="1:12" x14ac:dyDescent="0.25">
      <c r="A1173" s="3">
        <v>45695.295185185183</v>
      </c>
      <c r="B1173" t="s">
        <v>81</v>
      </c>
      <c r="C1173" s="3">
        <v>45695.582685185189</v>
      </c>
      <c r="D1173" t="s">
        <v>315</v>
      </c>
      <c r="E1173" s="4">
        <v>109.88800000000001</v>
      </c>
      <c r="F1173" s="4">
        <v>548366.59299999999</v>
      </c>
      <c r="G1173" s="4">
        <v>548476.48100000003</v>
      </c>
      <c r="H1173" s="5">
        <f>8301 / 86400</f>
        <v>9.6076388888888892E-2</v>
      </c>
      <c r="I1173" t="s">
        <v>75</v>
      </c>
      <c r="J1173" t="s">
        <v>20</v>
      </c>
      <c r="K1173" s="5">
        <f>24840 / 86400</f>
        <v>0.28749999999999998</v>
      </c>
      <c r="L1173" s="5">
        <f>4054 / 86400</f>
        <v>4.6921296296296294E-2</v>
      </c>
    </row>
    <row r="1174" spans="1:12" x14ac:dyDescent="0.25">
      <c r="A1174" s="3">
        <v>45695.629606481481</v>
      </c>
      <c r="B1174" t="s">
        <v>315</v>
      </c>
      <c r="C1174" s="3">
        <v>45695.632951388892</v>
      </c>
      <c r="D1174" t="s">
        <v>22</v>
      </c>
      <c r="E1174" s="4">
        <v>0.50800000000000001</v>
      </c>
      <c r="F1174" s="4">
        <v>548476.48100000003</v>
      </c>
      <c r="G1174" s="4">
        <v>548476.98899999994</v>
      </c>
      <c r="H1174" s="5">
        <f>79 / 86400</f>
        <v>9.1435185185185185E-4</v>
      </c>
      <c r="I1174" t="s">
        <v>196</v>
      </c>
      <c r="J1174" t="s">
        <v>132</v>
      </c>
      <c r="K1174" s="5">
        <f>289 / 86400</f>
        <v>3.3449074074074076E-3</v>
      </c>
      <c r="L1174" s="5">
        <f>369 / 86400</f>
        <v>4.2708333333333331E-3</v>
      </c>
    </row>
    <row r="1175" spans="1:12" x14ac:dyDescent="0.25">
      <c r="A1175" s="3">
        <v>45695.637222222227</v>
      </c>
      <c r="B1175" t="s">
        <v>22</v>
      </c>
      <c r="C1175" s="3">
        <v>45695.63857638889</v>
      </c>
      <c r="D1175" t="s">
        <v>22</v>
      </c>
      <c r="E1175" s="4">
        <v>1.4999999999999999E-2</v>
      </c>
      <c r="F1175" s="4">
        <v>548476.98899999994</v>
      </c>
      <c r="G1175" s="4">
        <v>548477.00399999996</v>
      </c>
      <c r="H1175" s="5">
        <f>99 / 86400</f>
        <v>1.1458333333333333E-3</v>
      </c>
      <c r="I1175" t="s">
        <v>129</v>
      </c>
      <c r="J1175" t="s">
        <v>129</v>
      </c>
      <c r="K1175" s="5">
        <f>116 / 86400</f>
        <v>1.3425925925925925E-3</v>
      </c>
      <c r="L1175" s="5">
        <f>8427 / 86400</f>
        <v>9.7534722222222217E-2</v>
      </c>
    </row>
    <row r="1176" spans="1:12" x14ac:dyDescent="0.25">
      <c r="A1176" s="3">
        <v>45695.736111111109</v>
      </c>
      <c r="B1176" t="s">
        <v>22</v>
      </c>
      <c r="C1176" s="3">
        <v>45695.738715277781</v>
      </c>
      <c r="D1176" t="s">
        <v>22</v>
      </c>
      <c r="E1176" s="4">
        <v>7.0000000000000001E-3</v>
      </c>
      <c r="F1176" s="4">
        <v>548477.00399999996</v>
      </c>
      <c r="G1176" s="4">
        <v>548477.01100000006</v>
      </c>
      <c r="H1176" s="5">
        <f>220 / 86400</f>
        <v>2.5462962962962965E-3</v>
      </c>
      <c r="I1176" t="s">
        <v>129</v>
      </c>
      <c r="J1176" t="s">
        <v>129</v>
      </c>
      <c r="K1176" s="5">
        <f>225 / 86400</f>
        <v>2.6041666666666665E-3</v>
      </c>
      <c r="L1176" s="5">
        <f>950 / 86400</f>
        <v>1.0995370370370371E-2</v>
      </c>
    </row>
    <row r="1177" spans="1:12" x14ac:dyDescent="0.25">
      <c r="A1177" s="3">
        <v>45695.749710648146</v>
      </c>
      <c r="B1177" t="s">
        <v>22</v>
      </c>
      <c r="C1177" s="3">
        <v>45695.75681712963</v>
      </c>
      <c r="D1177" t="s">
        <v>147</v>
      </c>
      <c r="E1177" s="4">
        <v>1.133</v>
      </c>
      <c r="F1177" s="4">
        <v>548477.01100000006</v>
      </c>
      <c r="G1177" s="4">
        <v>548478.14399999997</v>
      </c>
      <c r="H1177" s="5">
        <f>219 / 86400</f>
        <v>2.5347222222222221E-3</v>
      </c>
      <c r="I1177" t="s">
        <v>213</v>
      </c>
      <c r="J1177" t="s">
        <v>91</v>
      </c>
      <c r="K1177" s="5">
        <f>613 / 86400</f>
        <v>7.0949074074074074E-3</v>
      </c>
      <c r="L1177" s="5">
        <f>1422 / 86400</f>
        <v>1.6458333333333332E-2</v>
      </c>
    </row>
    <row r="1178" spans="1:12" x14ac:dyDescent="0.25">
      <c r="A1178" s="3">
        <v>45695.773275462961</v>
      </c>
      <c r="B1178" t="s">
        <v>128</v>
      </c>
      <c r="C1178" s="3">
        <v>45695.915972222225</v>
      </c>
      <c r="D1178" t="s">
        <v>133</v>
      </c>
      <c r="E1178" s="4">
        <v>65.343000000000004</v>
      </c>
      <c r="F1178" s="4">
        <v>548478.14399999997</v>
      </c>
      <c r="G1178" s="4">
        <v>548543.48699999996</v>
      </c>
      <c r="H1178" s="5">
        <f>3079 / 86400</f>
        <v>3.5636574074074077E-2</v>
      </c>
      <c r="I1178" t="s">
        <v>318</v>
      </c>
      <c r="J1178" t="s">
        <v>90</v>
      </c>
      <c r="K1178" s="5">
        <f>12328 / 86400</f>
        <v>0.14268518518518519</v>
      </c>
      <c r="L1178" s="5">
        <f>2384 / 86400</f>
        <v>2.7592592592592592E-2</v>
      </c>
    </row>
    <row r="1179" spans="1:12" x14ac:dyDescent="0.25">
      <c r="A1179" s="3">
        <v>45695.943564814814</v>
      </c>
      <c r="B1179" t="s">
        <v>133</v>
      </c>
      <c r="C1179" s="3">
        <v>45695.99998842593</v>
      </c>
      <c r="D1179" t="s">
        <v>116</v>
      </c>
      <c r="E1179" s="4">
        <v>23.198</v>
      </c>
      <c r="F1179" s="4">
        <v>548543.48699999996</v>
      </c>
      <c r="G1179" s="4">
        <v>548566.68500000006</v>
      </c>
      <c r="H1179" s="5">
        <f>1620 / 86400</f>
        <v>1.8749999999999999E-2</v>
      </c>
      <c r="I1179" t="s">
        <v>171</v>
      </c>
      <c r="J1179" t="s">
        <v>28</v>
      </c>
      <c r="K1179" s="5">
        <f>4875 / 86400</f>
        <v>5.6423611111111112E-2</v>
      </c>
      <c r="L1179" s="5">
        <f>0 / 86400</f>
        <v>0</v>
      </c>
    </row>
    <row r="1180" spans="1:12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</row>
    <row r="1181" spans="1:12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</row>
    <row r="1182" spans="1:12" s="10" customFormat="1" ht="20.100000000000001" customHeight="1" x14ac:dyDescent="0.35">
      <c r="A1182" s="12" t="s">
        <v>446</v>
      </c>
      <c r="B1182" s="12"/>
      <c r="C1182" s="12"/>
      <c r="D1182" s="12"/>
      <c r="E1182" s="12"/>
      <c r="F1182" s="12"/>
      <c r="G1182" s="12"/>
      <c r="H1182" s="12"/>
      <c r="I1182" s="12"/>
      <c r="J1182" s="12"/>
    </row>
    <row r="1183" spans="1:12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</row>
    <row r="1184" spans="1:12" ht="30" x14ac:dyDescent="0.25">
      <c r="A1184" s="2" t="s">
        <v>6</v>
      </c>
      <c r="B1184" s="2" t="s">
        <v>7</v>
      </c>
      <c r="C1184" s="2" t="s">
        <v>8</v>
      </c>
      <c r="D1184" s="2" t="s">
        <v>9</v>
      </c>
      <c r="E1184" s="2" t="s">
        <v>10</v>
      </c>
      <c r="F1184" s="2" t="s">
        <v>11</v>
      </c>
      <c r="G1184" s="2" t="s">
        <v>12</v>
      </c>
      <c r="H1184" s="2" t="s">
        <v>13</v>
      </c>
      <c r="I1184" s="2" t="s">
        <v>14</v>
      </c>
      <c r="J1184" s="2" t="s">
        <v>15</v>
      </c>
      <c r="K1184" s="2" t="s">
        <v>16</v>
      </c>
      <c r="L1184" s="2" t="s">
        <v>17</v>
      </c>
    </row>
    <row r="1185" spans="1:12" x14ac:dyDescent="0.25">
      <c r="A1185" s="3">
        <v>45695.286921296298</v>
      </c>
      <c r="B1185" t="s">
        <v>117</v>
      </c>
      <c r="C1185" s="3">
        <v>45695.338645833333</v>
      </c>
      <c r="D1185" t="s">
        <v>118</v>
      </c>
      <c r="E1185" s="4">
        <v>101.38</v>
      </c>
      <c r="F1185" s="4">
        <v>47138.254999999997</v>
      </c>
      <c r="G1185" s="4">
        <v>47239.635000000002</v>
      </c>
      <c r="H1185" s="5">
        <f>1919 / 86400</f>
        <v>2.2210648148148149E-2</v>
      </c>
      <c r="I1185" t="s">
        <v>165</v>
      </c>
      <c r="J1185" t="s">
        <v>27</v>
      </c>
      <c r="K1185" s="5">
        <f>4469 / 86400</f>
        <v>5.1724537037037034E-2</v>
      </c>
      <c r="L1185" s="5">
        <f>24794 / 86400</f>
        <v>0.28696759259259258</v>
      </c>
    </row>
    <row r="1186" spans="1:12" x14ac:dyDescent="0.25">
      <c r="A1186" s="3">
        <v>45695.338692129633</v>
      </c>
      <c r="B1186" t="s">
        <v>118</v>
      </c>
      <c r="C1186" s="3">
        <v>45695.352638888886</v>
      </c>
      <c r="D1186" t="s">
        <v>41</v>
      </c>
      <c r="E1186" s="4">
        <v>33.619999999999997</v>
      </c>
      <c r="F1186" s="4">
        <v>47239.635000000002</v>
      </c>
      <c r="G1186" s="4">
        <v>47273.254999999997</v>
      </c>
      <c r="H1186" s="5">
        <f>280 / 86400</f>
        <v>3.2407407407407406E-3</v>
      </c>
      <c r="I1186" t="s">
        <v>317</v>
      </c>
      <c r="J1186" t="s">
        <v>47</v>
      </c>
      <c r="K1186" s="5">
        <f>1205 / 86400</f>
        <v>1.3946759259259259E-2</v>
      </c>
      <c r="L1186" s="5">
        <f>16 / 86400</f>
        <v>1.8518518518518518E-4</v>
      </c>
    </row>
    <row r="1187" spans="1:12" x14ac:dyDescent="0.25">
      <c r="A1187" s="3">
        <v>45695.352824074071</v>
      </c>
      <c r="B1187" t="s">
        <v>41</v>
      </c>
      <c r="C1187" s="3">
        <v>45695.353136574078</v>
      </c>
      <c r="D1187" t="s">
        <v>41</v>
      </c>
      <c r="E1187" s="4">
        <v>0</v>
      </c>
      <c r="F1187" s="4">
        <v>47273.254999999997</v>
      </c>
      <c r="G1187" s="4">
        <v>47273.254999999997</v>
      </c>
      <c r="H1187" s="5">
        <f>19 / 86400</f>
        <v>2.199074074074074E-4</v>
      </c>
      <c r="I1187" t="s">
        <v>129</v>
      </c>
      <c r="J1187" t="s">
        <v>129</v>
      </c>
      <c r="K1187" s="5">
        <f>27 / 86400</f>
        <v>3.1250000000000001E-4</v>
      </c>
      <c r="L1187" s="5">
        <f>3 / 86400</f>
        <v>3.4722222222222222E-5</v>
      </c>
    </row>
    <row r="1188" spans="1:12" x14ac:dyDescent="0.25">
      <c r="A1188" s="3">
        <v>45695.353171296301</v>
      </c>
      <c r="B1188" t="s">
        <v>41</v>
      </c>
      <c r="C1188" s="3">
        <v>45695.353958333333</v>
      </c>
      <c r="D1188" t="s">
        <v>41</v>
      </c>
      <c r="E1188" s="4">
        <v>6.5000000000000002E-2</v>
      </c>
      <c r="F1188" s="4">
        <v>47273.254999999997</v>
      </c>
      <c r="G1188" s="4">
        <v>47273.32</v>
      </c>
      <c r="H1188" s="5">
        <f>40 / 86400</f>
        <v>4.6296296296296298E-4</v>
      </c>
      <c r="I1188" t="s">
        <v>132</v>
      </c>
      <c r="J1188" t="s">
        <v>140</v>
      </c>
      <c r="K1188" s="5">
        <f>68 / 86400</f>
        <v>7.8703703703703705E-4</v>
      </c>
      <c r="L1188" s="5">
        <f>3 / 86400</f>
        <v>3.4722222222222222E-5</v>
      </c>
    </row>
    <row r="1189" spans="1:12" x14ac:dyDescent="0.25">
      <c r="A1189" s="3">
        <v>45695.353993055556</v>
      </c>
      <c r="B1189" t="s">
        <v>41</v>
      </c>
      <c r="C1189" s="3">
        <v>45695.355590277773</v>
      </c>
      <c r="D1189" t="s">
        <v>121</v>
      </c>
      <c r="E1189" s="4">
        <v>1.665</v>
      </c>
      <c r="F1189" s="4">
        <v>47273.32</v>
      </c>
      <c r="G1189" s="4">
        <v>47274.985000000001</v>
      </c>
      <c r="H1189" s="5">
        <f>0 / 86400</f>
        <v>0</v>
      </c>
      <c r="I1189" t="s">
        <v>20</v>
      </c>
      <c r="J1189" t="s">
        <v>300</v>
      </c>
      <c r="K1189" s="5">
        <f>137 / 86400</f>
        <v>1.5856481481481481E-3</v>
      </c>
      <c r="L1189" s="5">
        <f>4 / 86400</f>
        <v>4.6296296296296294E-5</v>
      </c>
    </row>
    <row r="1190" spans="1:12" x14ac:dyDescent="0.25">
      <c r="A1190" s="3">
        <v>45695.355636574073</v>
      </c>
      <c r="B1190" t="s">
        <v>121</v>
      </c>
      <c r="C1190" s="3">
        <v>45695.355810185181</v>
      </c>
      <c r="D1190" t="s">
        <v>121</v>
      </c>
      <c r="E1190" s="4">
        <v>5.0000000000000001E-3</v>
      </c>
      <c r="F1190" s="4">
        <v>47274.985000000001</v>
      </c>
      <c r="G1190" s="4">
        <v>47274.99</v>
      </c>
      <c r="H1190" s="5">
        <f>0 / 86400</f>
        <v>0</v>
      </c>
      <c r="I1190" t="s">
        <v>127</v>
      </c>
      <c r="J1190" t="s">
        <v>127</v>
      </c>
      <c r="K1190" s="5">
        <f>15 / 86400</f>
        <v>1.7361111111111112E-4</v>
      </c>
      <c r="L1190" s="5">
        <f>3 / 86400</f>
        <v>3.4722222222222222E-5</v>
      </c>
    </row>
    <row r="1191" spans="1:12" x14ac:dyDescent="0.25">
      <c r="A1191" s="3">
        <v>45695.355844907404</v>
      </c>
      <c r="B1191" t="s">
        <v>121</v>
      </c>
      <c r="C1191" s="3">
        <v>45695.356053240743</v>
      </c>
      <c r="D1191" t="s">
        <v>121</v>
      </c>
      <c r="E1191" s="4">
        <v>0.04</v>
      </c>
      <c r="F1191" s="4">
        <v>47274.99</v>
      </c>
      <c r="G1191" s="4">
        <v>47275.03</v>
      </c>
      <c r="H1191" s="5">
        <f>0 / 86400</f>
        <v>0</v>
      </c>
      <c r="I1191" t="s">
        <v>132</v>
      </c>
      <c r="J1191" t="s">
        <v>141</v>
      </c>
      <c r="K1191" s="5">
        <f>18 / 86400</f>
        <v>2.0833333333333335E-4</v>
      </c>
      <c r="L1191" s="5">
        <f>57 / 86400</f>
        <v>6.5972222222222224E-4</v>
      </c>
    </row>
    <row r="1192" spans="1:12" x14ac:dyDescent="0.25">
      <c r="A1192" s="3">
        <v>45695.356712962966</v>
      </c>
      <c r="B1192" t="s">
        <v>121</v>
      </c>
      <c r="C1192" s="3">
        <v>45695.356724537036</v>
      </c>
      <c r="D1192" t="s">
        <v>121</v>
      </c>
      <c r="E1192" s="4">
        <v>0</v>
      </c>
      <c r="F1192" s="4">
        <v>47275.03</v>
      </c>
      <c r="G1192" s="4">
        <v>47275.03</v>
      </c>
      <c r="H1192" s="5">
        <f>0 / 86400</f>
        <v>0</v>
      </c>
      <c r="I1192" t="s">
        <v>129</v>
      </c>
      <c r="J1192" t="s">
        <v>129</v>
      </c>
      <c r="K1192" s="5">
        <f>1 / 86400</f>
        <v>1.1574074074074073E-5</v>
      </c>
      <c r="L1192" s="5">
        <f>4 / 86400</f>
        <v>4.6296296296296294E-5</v>
      </c>
    </row>
    <row r="1193" spans="1:12" x14ac:dyDescent="0.25">
      <c r="A1193" s="3">
        <v>45695.356770833328</v>
      </c>
      <c r="B1193" t="s">
        <v>121</v>
      </c>
      <c r="C1193" s="3">
        <v>45695.36273148148</v>
      </c>
      <c r="D1193" t="s">
        <v>41</v>
      </c>
      <c r="E1193" s="4">
        <v>1.5349999999999999</v>
      </c>
      <c r="F1193" s="4">
        <v>47275.03</v>
      </c>
      <c r="G1193" s="4">
        <v>47276.565000000002</v>
      </c>
      <c r="H1193" s="5">
        <f>354 / 86400</f>
        <v>4.0972222222222226E-3</v>
      </c>
      <c r="I1193" t="s">
        <v>37</v>
      </c>
      <c r="J1193" t="s">
        <v>112</v>
      </c>
      <c r="K1193" s="5">
        <f>515 / 86400</f>
        <v>5.9606481481481481E-3</v>
      </c>
      <c r="L1193" s="5">
        <f>28658 / 86400</f>
        <v>0.3316898148148148</v>
      </c>
    </row>
    <row r="1194" spans="1:12" x14ac:dyDescent="0.25">
      <c r="A1194" s="3">
        <v>45695.694421296299</v>
      </c>
      <c r="B1194" t="s">
        <v>41</v>
      </c>
      <c r="C1194" s="3">
        <v>45695.695717592593</v>
      </c>
      <c r="D1194" t="s">
        <v>41</v>
      </c>
      <c r="E1194" s="4">
        <v>0</v>
      </c>
      <c r="F1194" s="4">
        <v>47276.565000000002</v>
      </c>
      <c r="G1194" s="4">
        <v>47276.565000000002</v>
      </c>
      <c r="H1194" s="5">
        <f>99 / 86400</f>
        <v>1.1458333333333333E-3</v>
      </c>
      <c r="I1194" t="s">
        <v>129</v>
      </c>
      <c r="J1194" t="s">
        <v>129</v>
      </c>
      <c r="K1194" s="5">
        <f>111 / 86400</f>
        <v>1.2847222222222223E-3</v>
      </c>
      <c r="L1194" s="5">
        <f>1083 / 86400</f>
        <v>1.2534722222222221E-2</v>
      </c>
    </row>
    <row r="1195" spans="1:12" x14ac:dyDescent="0.25">
      <c r="A1195" s="3">
        <v>45695.708252314813</v>
      </c>
      <c r="B1195" t="s">
        <v>41</v>
      </c>
      <c r="C1195" s="3">
        <v>45695.715578703705</v>
      </c>
      <c r="D1195" t="s">
        <v>121</v>
      </c>
      <c r="E1195" s="4">
        <v>1.86</v>
      </c>
      <c r="F1195" s="4">
        <v>47276.565000000002</v>
      </c>
      <c r="G1195" s="4">
        <v>47278.425000000003</v>
      </c>
      <c r="H1195" s="5">
        <f>479 / 86400</f>
        <v>5.5439814814814813E-3</v>
      </c>
      <c r="I1195" t="s">
        <v>37</v>
      </c>
      <c r="J1195" t="s">
        <v>112</v>
      </c>
      <c r="K1195" s="5">
        <f>633 / 86400</f>
        <v>7.3263888888888892E-3</v>
      </c>
      <c r="L1195" s="5">
        <f>919 / 86400</f>
        <v>1.0636574074074074E-2</v>
      </c>
    </row>
    <row r="1196" spans="1:12" x14ac:dyDescent="0.25">
      <c r="A1196" s="3">
        <v>45695.726215277777</v>
      </c>
      <c r="B1196" t="s">
        <v>121</v>
      </c>
      <c r="C1196" s="3">
        <v>45695.935925925922</v>
      </c>
      <c r="D1196" t="s">
        <v>188</v>
      </c>
      <c r="E1196" s="4">
        <v>437.98500000000001</v>
      </c>
      <c r="F1196" s="4">
        <v>47278.425000000003</v>
      </c>
      <c r="G1196" s="4">
        <v>47716.41</v>
      </c>
      <c r="H1196" s="5">
        <f>6079 / 86400</f>
        <v>7.0358796296296294E-2</v>
      </c>
      <c r="I1196" t="s">
        <v>61</v>
      </c>
      <c r="J1196" t="s">
        <v>59</v>
      </c>
      <c r="K1196" s="5">
        <f>18119 / 86400</f>
        <v>0.20971064814814816</v>
      </c>
      <c r="L1196" s="5">
        <f>534 / 86400</f>
        <v>6.1805555555555555E-3</v>
      </c>
    </row>
    <row r="1197" spans="1:12" x14ac:dyDescent="0.25">
      <c r="A1197" s="3">
        <v>45695.942106481481</v>
      </c>
      <c r="B1197" t="s">
        <v>188</v>
      </c>
      <c r="C1197" s="3">
        <v>45695.945462962962</v>
      </c>
      <c r="D1197" t="s">
        <v>117</v>
      </c>
      <c r="E1197" s="4">
        <v>2.0299999999999998</v>
      </c>
      <c r="F1197" s="4">
        <v>47716.41</v>
      </c>
      <c r="G1197" s="4">
        <v>47718.44</v>
      </c>
      <c r="H1197" s="5">
        <f>99 / 86400</f>
        <v>1.1458333333333333E-3</v>
      </c>
      <c r="I1197" t="s">
        <v>53</v>
      </c>
      <c r="J1197" t="s">
        <v>195</v>
      </c>
      <c r="K1197" s="5">
        <f>290 / 86400</f>
        <v>3.3564814814814816E-3</v>
      </c>
      <c r="L1197" s="5">
        <f>2481 / 86400</f>
        <v>2.8715277777777777E-2</v>
      </c>
    </row>
    <row r="1198" spans="1:12" x14ac:dyDescent="0.25">
      <c r="A1198" s="3">
        <v>45695.974178240736</v>
      </c>
      <c r="B1198" t="s">
        <v>29</v>
      </c>
      <c r="C1198" s="3">
        <v>45695.975312499999</v>
      </c>
      <c r="D1198" t="s">
        <v>117</v>
      </c>
      <c r="E1198" s="4">
        <v>0.53</v>
      </c>
      <c r="F1198" s="4">
        <v>47718.44</v>
      </c>
      <c r="G1198" s="4">
        <v>47718.97</v>
      </c>
      <c r="H1198" s="5">
        <f>40 / 86400</f>
        <v>4.6296296296296298E-4</v>
      </c>
      <c r="I1198" t="s">
        <v>71</v>
      </c>
      <c r="J1198" t="s">
        <v>78</v>
      </c>
      <c r="K1198" s="5">
        <f>97 / 86400</f>
        <v>1.1226851851851851E-3</v>
      </c>
      <c r="L1198" s="5">
        <f>2132 / 86400</f>
        <v>2.4675925925925928E-2</v>
      </c>
    </row>
    <row r="1199" spans="1:12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</row>
    <row r="1200" spans="1:12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</row>
    <row r="1201" spans="1:12" s="10" customFormat="1" ht="20.100000000000001" customHeight="1" x14ac:dyDescent="0.35">
      <c r="A1201" s="12" t="s">
        <v>447</v>
      </c>
      <c r="B1201" s="12"/>
      <c r="C1201" s="12"/>
      <c r="D1201" s="12"/>
      <c r="E1201" s="12"/>
      <c r="F1201" s="12"/>
      <c r="G1201" s="12"/>
      <c r="H1201" s="12"/>
      <c r="I1201" s="12"/>
      <c r="J1201" s="12"/>
    </row>
    <row r="1202" spans="1:12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</row>
    <row r="1203" spans="1:12" ht="30" x14ac:dyDescent="0.25">
      <c r="A1203" s="2" t="s">
        <v>6</v>
      </c>
      <c r="B1203" s="2" t="s">
        <v>7</v>
      </c>
      <c r="C1203" s="2" t="s">
        <v>8</v>
      </c>
      <c r="D1203" s="2" t="s">
        <v>9</v>
      </c>
      <c r="E1203" s="2" t="s">
        <v>10</v>
      </c>
      <c r="F1203" s="2" t="s">
        <v>11</v>
      </c>
      <c r="G1203" s="2" t="s">
        <v>12</v>
      </c>
      <c r="H1203" s="2" t="s">
        <v>13</v>
      </c>
      <c r="I1203" s="2" t="s">
        <v>14</v>
      </c>
      <c r="J1203" s="2" t="s">
        <v>15</v>
      </c>
      <c r="K1203" s="2" t="s">
        <v>16</v>
      </c>
      <c r="L1203" s="2" t="s">
        <v>17</v>
      </c>
    </row>
    <row r="1204" spans="1:12" x14ac:dyDescent="0.25">
      <c r="A1204" s="3">
        <v>45695</v>
      </c>
      <c r="B1204" t="s">
        <v>118</v>
      </c>
      <c r="C1204" s="3">
        <v>45695.009791666671</v>
      </c>
      <c r="D1204" t="s">
        <v>327</v>
      </c>
      <c r="E1204" s="4">
        <v>5.0380000000000003</v>
      </c>
      <c r="F1204" s="4">
        <v>57656.796999999999</v>
      </c>
      <c r="G1204" s="4">
        <v>57661.834999999999</v>
      </c>
      <c r="H1204" s="5">
        <f>180 / 86400</f>
        <v>2.0833333333333333E-3</v>
      </c>
      <c r="I1204" t="s">
        <v>230</v>
      </c>
      <c r="J1204" t="s">
        <v>37</v>
      </c>
      <c r="K1204" s="5">
        <f>846 / 86400</f>
        <v>9.7916666666666673E-3</v>
      </c>
      <c r="L1204" s="5">
        <f>350 / 86400</f>
        <v>4.0509259259259257E-3</v>
      </c>
    </row>
    <row r="1205" spans="1:12" x14ac:dyDescent="0.25">
      <c r="A1205" s="3">
        <v>45695.013842592598</v>
      </c>
      <c r="B1205" t="s">
        <v>327</v>
      </c>
      <c r="C1205" s="3">
        <v>45695.014097222222</v>
      </c>
      <c r="D1205" t="s">
        <v>327</v>
      </c>
      <c r="E1205" s="4">
        <v>8.9999999999999993E-3</v>
      </c>
      <c r="F1205" s="4">
        <v>57661.834999999999</v>
      </c>
      <c r="G1205" s="4">
        <v>57661.843999999997</v>
      </c>
      <c r="H1205" s="5">
        <f>0 / 86400</f>
        <v>0</v>
      </c>
      <c r="I1205" t="s">
        <v>132</v>
      </c>
      <c r="J1205" t="s">
        <v>127</v>
      </c>
      <c r="K1205" s="5">
        <f>22 / 86400</f>
        <v>2.5462962962962961E-4</v>
      </c>
      <c r="L1205" s="5">
        <f>595 / 86400</f>
        <v>6.8865740740740745E-3</v>
      </c>
    </row>
    <row r="1206" spans="1:12" x14ac:dyDescent="0.25">
      <c r="A1206" s="3">
        <v>45695.020983796298</v>
      </c>
      <c r="B1206" t="s">
        <v>315</v>
      </c>
      <c r="C1206" s="3">
        <v>45695.02244212963</v>
      </c>
      <c r="D1206" t="s">
        <v>381</v>
      </c>
      <c r="E1206" s="4">
        <v>0.28299999999999997</v>
      </c>
      <c r="F1206" s="4">
        <v>57661.843999999997</v>
      </c>
      <c r="G1206" s="4">
        <v>57662.127</v>
      </c>
      <c r="H1206" s="5">
        <f>40 / 86400</f>
        <v>4.6296296296296298E-4</v>
      </c>
      <c r="I1206" t="s">
        <v>135</v>
      </c>
      <c r="J1206" t="s">
        <v>141</v>
      </c>
      <c r="K1206" s="5">
        <f>125 / 86400</f>
        <v>1.4467592592592592E-3</v>
      </c>
      <c r="L1206" s="5">
        <f>161 / 86400</f>
        <v>1.8634259259259259E-3</v>
      </c>
    </row>
    <row r="1207" spans="1:12" x14ac:dyDescent="0.25">
      <c r="A1207" s="3">
        <v>45695.024305555555</v>
      </c>
      <c r="B1207" t="s">
        <v>381</v>
      </c>
      <c r="C1207" s="3">
        <v>45695.025138888886</v>
      </c>
      <c r="D1207" t="s">
        <v>381</v>
      </c>
      <c r="E1207" s="4">
        <v>4.2999999999999997E-2</v>
      </c>
      <c r="F1207" s="4">
        <v>57662.127</v>
      </c>
      <c r="G1207" s="4">
        <v>57662.17</v>
      </c>
      <c r="H1207" s="5">
        <f>39 / 86400</f>
        <v>4.5138888888888887E-4</v>
      </c>
      <c r="I1207" t="s">
        <v>126</v>
      </c>
      <c r="J1207" t="s">
        <v>87</v>
      </c>
      <c r="K1207" s="5">
        <f>72 / 86400</f>
        <v>8.3333333333333339E-4</v>
      </c>
      <c r="L1207" s="5">
        <f>14263 / 86400</f>
        <v>0.16508101851851853</v>
      </c>
    </row>
    <row r="1208" spans="1:12" x14ac:dyDescent="0.25">
      <c r="A1208" s="3">
        <v>45695.19021990741</v>
      </c>
      <c r="B1208" t="s">
        <v>381</v>
      </c>
      <c r="C1208" s="3">
        <v>45695.193020833336</v>
      </c>
      <c r="D1208" t="s">
        <v>110</v>
      </c>
      <c r="E1208" s="4">
        <v>0.41099999999999998</v>
      </c>
      <c r="F1208" s="4">
        <v>57662.17</v>
      </c>
      <c r="G1208" s="4">
        <v>57662.580999999998</v>
      </c>
      <c r="H1208" s="5">
        <f>99 / 86400</f>
        <v>1.1458333333333333E-3</v>
      </c>
      <c r="I1208" t="s">
        <v>24</v>
      </c>
      <c r="J1208" t="s">
        <v>132</v>
      </c>
      <c r="K1208" s="5">
        <f>241 / 86400</f>
        <v>2.7893518518518519E-3</v>
      </c>
      <c r="L1208" s="5">
        <f>94 / 86400</f>
        <v>1.0879629629629629E-3</v>
      </c>
    </row>
    <row r="1209" spans="1:12" x14ac:dyDescent="0.25">
      <c r="A1209" s="3">
        <v>45695.194108796291</v>
      </c>
      <c r="B1209" t="s">
        <v>110</v>
      </c>
      <c r="C1209" s="3">
        <v>45695.33258101852</v>
      </c>
      <c r="D1209" t="s">
        <v>265</v>
      </c>
      <c r="E1209" s="4">
        <v>51.280999999999999</v>
      </c>
      <c r="F1209" s="4">
        <v>57662.580999999998</v>
      </c>
      <c r="G1209" s="4">
        <v>57713.862000000001</v>
      </c>
      <c r="H1209" s="5">
        <f>4860 / 86400</f>
        <v>5.6250000000000001E-2</v>
      </c>
      <c r="I1209" t="s">
        <v>33</v>
      </c>
      <c r="J1209" t="s">
        <v>24</v>
      </c>
      <c r="K1209" s="5">
        <f>11963 / 86400</f>
        <v>0.13846064814814815</v>
      </c>
      <c r="L1209" s="5">
        <f>69 / 86400</f>
        <v>7.9861111111111116E-4</v>
      </c>
    </row>
    <row r="1210" spans="1:12" x14ac:dyDescent="0.25">
      <c r="A1210" s="3">
        <v>45695.333379629628</v>
      </c>
      <c r="B1210" t="s">
        <v>265</v>
      </c>
      <c r="C1210" s="3">
        <v>45695.476886574077</v>
      </c>
      <c r="D1210" t="s">
        <v>369</v>
      </c>
      <c r="E1210" s="4">
        <v>49.829000000000001</v>
      </c>
      <c r="F1210" s="4">
        <v>57713.862000000001</v>
      </c>
      <c r="G1210" s="4">
        <v>57763.690999999999</v>
      </c>
      <c r="H1210" s="5">
        <f>4780 / 86400</f>
        <v>5.5324074074074074E-2</v>
      </c>
      <c r="I1210" t="s">
        <v>85</v>
      </c>
      <c r="J1210" t="s">
        <v>34</v>
      </c>
      <c r="K1210" s="5">
        <f>12398 / 86400</f>
        <v>0.14349537037037038</v>
      </c>
      <c r="L1210" s="5">
        <f>112 / 86400</f>
        <v>1.2962962962962963E-3</v>
      </c>
    </row>
    <row r="1211" spans="1:12" x14ac:dyDescent="0.25">
      <c r="A1211" s="3">
        <v>45695.478182870371</v>
      </c>
      <c r="B1211" t="s">
        <v>369</v>
      </c>
      <c r="C1211" s="3">
        <v>45695.557499999995</v>
      </c>
      <c r="D1211" t="s">
        <v>382</v>
      </c>
      <c r="E1211" s="4">
        <v>42.64</v>
      </c>
      <c r="F1211" s="4">
        <v>57763.690999999999</v>
      </c>
      <c r="G1211" s="4">
        <v>57806.330999999998</v>
      </c>
      <c r="H1211" s="5">
        <f>2040 / 86400</f>
        <v>2.361111111111111E-2</v>
      </c>
      <c r="I1211" t="s">
        <v>33</v>
      </c>
      <c r="J1211" t="s">
        <v>187</v>
      </c>
      <c r="K1211" s="5">
        <f>6852 / 86400</f>
        <v>7.930555555555556E-2</v>
      </c>
      <c r="L1211" s="5">
        <f>23 / 86400</f>
        <v>2.6620370370370372E-4</v>
      </c>
    </row>
    <row r="1212" spans="1:12" x14ac:dyDescent="0.25">
      <c r="A1212" s="3">
        <v>45695.557766203703</v>
      </c>
      <c r="B1212" t="s">
        <v>382</v>
      </c>
      <c r="C1212" s="3">
        <v>45695.635462962964</v>
      </c>
      <c r="D1212" t="s">
        <v>128</v>
      </c>
      <c r="E1212" s="4">
        <v>44.33</v>
      </c>
      <c r="F1212" s="4">
        <v>57806.330999999998</v>
      </c>
      <c r="G1212" s="4">
        <v>57850.661</v>
      </c>
      <c r="H1212" s="5">
        <f>1139 / 86400</f>
        <v>1.3182870370370371E-2</v>
      </c>
      <c r="I1212" t="s">
        <v>59</v>
      </c>
      <c r="J1212" t="s">
        <v>143</v>
      </c>
      <c r="K1212" s="5">
        <f>6713 / 86400</f>
        <v>7.7696759259259257E-2</v>
      </c>
      <c r="L1212" s="5">
        <f>271 / 86400</f>
        <v>3.1365740740740742E-3</v>
      </c>
    </row>
    <row r="1213" spans="1:12" x14ac:dyDescent="0.25">
      <c r="A1213" s="3">
        <v>45695.638599537036</v>
      </c>
      <c r="B1213" t="s">
        <v>128</v>
      </c>
      <c r="C1213" s="3">
        <v>45695.639224537037</v>
      </c>
      <c r="D1213" t="s">
        <v>128</v>
      </c>
      <c r="E1213" s="4">
        <v>0.192</v>
      </c>
      <c r="F1213" s="4">
        <v>57850.661</v>
      </c>
      <c r="G1213" s="4">
        <v>57850.853000000003</v>
      </c>
      <c r="H1213" s="5">
        <f>0 / 86400</f>
        <v>0</v>
      </c>
      <c r="I1213" t="s">
        <v>78</v>
      </c>
      <c r="J1213" t="s">
        <v>53</v>
      </c>
      <c r="K1213" s="5">
        <f>54 / 86400</f>
        <v>6.2500000000000001E-4</v>
      </c>
      <c r="L1213" s="5">
        <f>66 / 86400</f>
        <v>7.6388888888888893E-4</v>
      </c>
    </row>
    <row r="1214" spans="1:12" x14ac:dyDescent="0.25">
      <c r="A1214" s="3">
        <v>45695.63998842593</v>
      </c>
      <c r="B1214" t="s">
        <v>128</v>
      </c>
      <c r="C1214" s="3">
        <v>45695.646365740744</v>
      </c>
      <c r="D1214" t="s">
        <v>381</v>
      </c>
      <c r="E1214" s="4">
        <v>0.20499999999999999</v>
      </c>
      <c r="F1214" s="4">
        <v>57850.853000000003</v>
      </c>
      <c r="G1214" s="4">
        <v>57851.057999999997</v>
      </c>
      <c r="H1214" s="5">
        <f>479 / 86400</f>
        <v>5.5439814814814813E-3</v>
      </c>
      <c r="I1214" t="s">
        <v>24</v>
      </c>
      <c r="J1214" t="s">
        <v>127</v>
      </c>
      <c r="K1214" s="5">
        <f>551 / 86400</f>
        <v>6.3773148148148148E-3</v>
      </c>
      <c r="L1214" s="5">
        <f>84 / 86400</f>
        <v>9.7222222222222219E-4</v>
      </c>
    </row>
    <row r="1215" spans="1:12" x14ac:dyDescent="0.25">
      <c r="A1215" s="3">
        <v>45695.647337962961</v>
      </c>
      <c r="B1215" t="s">
        <v>381</v>
      </c>
      <c r="C1215" s="3">
        <v>45695.651412037041</v>
      </c>
      <c r="D1215" t="s">
        <v>369</v>
      </c>
      <c r="E1215" s="4">
        <v>0.96199999999999997</v>
      </c>
      <c r="F1215" s="4">
        <v>57851.057999999997</v>
      </c>
      <c r="G1215" s="4">
        <v>57852.02</v>
      </c>
      <c r="H1215" s="5">
        <f>140 / 86400</f>
        <v>1.6203703703703703E-3</v>
      </c>
      <c r="I1215" t="s">
        <v>201</v>
      </c>
      <c r="J1215" t="s">
        <v>45</v>
      </c>
      <c r="K1215" s="5">
        <f>352 / 86400</f>
        <v>4.0740740740740737E-3</v>
      </c>
      <c r="L1215" s="5">
        <f>93 / 86400</f>
        <v>1.0763888888888889E-3</v>
      </c>
    </row>
    <row r="1216" spans="1:12" x14ac:dyDescent="0.25">
      <c r="A1216" s="3">
        <v>45695.652488425927</v>
      </c>
      <c r="B1216" t="s">
        <v>369</v>
      </c>
      <c r="C1216" s="3">
        <v>45695.654548611114</v>
      </c>
      <c r="D1216" t="s">
        <v>41</v>
      </c>
      <c r="E1216" s="4">
        <v>0.216</v>
      </c>
      <c r="F1216" s="4">
        <v>57852.02</v>
      </c>
      <c r="G1216" s="4">
        <v>57852.235999999997</v>
      </c>
      <c r="H1216" s="5">
        <f>80 / 86400</f>
        <v>9.2592592592592596E-4</v>
      </c>
      <c r="I1216" t="s">
        <v>34</v>
      </c>
      <c r="J1216" t="s">
        <v>82</v>
      </c>
      <c r="K1216" s="5">
        <f>178 / 86400</f>
        <v>2.0601851851851853E-3</v>
      </c>
      <c r="L1216" s="5">
        <f>314 / 86400</f>
        <v>3.6342592592592594E-3</v>
      </c>
    </row>
    <row r="1217" spans="1:12" x14ac:dyDescent="0.25">
      <c r="A1217" s="3">
        <v>45695.658182870371</v>
      </c>
      <c r="B1217" t="s">
        <v>41</v>
      </c>
      <c r="C1217" s="3">
        <v>45695.661932870367</v>
      </c>
      <c r="D1217" t="s">
        <v>92</v>
      </c>
      <c r="E1217" s="4">
        <v>1.1919999999999999</v>
      </c>
      <c r="F1217" s="4">
        <v>57852.235999999997</v>
      </c>
      <c r="G1217" s="4">
        <v>57853.428</v>
      </c>
      <c r="H1217" s="5">
        <f>80 / 86400</f>
        <v>9.2592592592592596E-4</v>
      </c>
      <c r="I1217" t="s">
        <v>230</v>
      </c>
      <c r="J1217" t="s">
        <v>53</v>
      </c>
      <c r="K1217" s="5">
        <f>323 / 86400</f>
        <v>3.7384259259259259E-3</v>
      </c>
      <c r="L1217" s="5">
        <f>1088 / 86400</f>
        <v>1.2592592592592593E-2</v>
      </c>
    </row>
    <row r="1218" spans="1:12" x14ac:dyDescent="0.25">
      <c r="A1218" s="3">
        <v>45695.674525462964</v>
      </c>
      <c r="B1218" t="s">
        <v>92</v>
      </c>
      <c r="C1218" s="3">
        <v>45695.67559027778</v>
      </c>
      <c r="D1218" t="s">
        <v>92</v>
      </c>
      <c r="E1218" s="4">
        <v>0</v>
      </c>
      <c r="F1218" s="4">
        <v>57853.428</v>
      </c>
      <c r="G1218" s="4">
        <v>57853.428</v>
      </c>
      <c r="H1218" s="5">
        <f>79 / 86400</f>
        <v>9.1435185185185185E-4</v>
      </c>
      <c r="I1218" t="s">
        <v>129</v>
      </c>
      <c r="J1218" t="s">
        <v>129</v>
      </c>
      <c r="K1218" s="5">
        <f>91 / 86400</f>
        <v>1.0532407407407407E-3</v>
      </c>
      <c r="L1218" s="5">
        <f>533 / 86400</f>
        <v>6.1689814814814819E-3</v>
      </c>
    </row>
    <row r="1219" spans="1:12" x14ac:dyDescent="0.25">
      <c r="A1219" s="3">
        <v>45695.681759259256</v>
      </c>
      <c r="B1219" t="s">
        <v>92</v>
      </c>
      <c r="C1219" s="3">
        <v>45695.681898148148</v>
      </c>
      <c r="D1219" t="s">
        <v>92</v>
      </c>
      <c r="E1219" s="4">
        <v>1E-3</v>
      </c>
      <c r="F1219" s="4">
        <v>57853.428</v>
      </c>
      <c r="G1219" s="4">
        <v>57853.428999999996</v>
      </c>
      <c r="H1219" s="5">
        <f>0 / 86400</f>
        <v>0</v>
      </c>
      <c r="I1219" t="s">
        <v>129</v>
      </c>
      <c r="J1219" t="s">
        <v>129</v>
      </c>
      <c r="K1219" s="5">
        <f>11 / 86400</f>
        <v>1.273148148148148E-4</v>
      </c>
      <c r="L1219" s="5">
        <f>660 / 86400</f>
        <v>7.6388888888888886E-3</v>
      </c>
    </row>
    <row r="1220" spans="1:12" x14ac:dyDescent="0.25">
      <c r="A1220" s="3">
        <v>45695.689537037033</v>
      </c>
      <c r="B1220" t="s">
        <v>92</v>
      </c>
      <c r="C1220" s="3">
        <v>45695.691168981481</v>
      </c>
      <c r="D1220" t="s">
        <v>92</v>
      </c>
      <c r="E1220" s="4">
        <v>0.01</v>
      </c>
      <c r="F1220" s="4">
        <v>57853.428999999996</v>
      </c>
      <c r="G1220" s="4">
        <v>57853.438999999998</v>
      </c>
      <c r="H1220" s="5">
        <f>119 / 86400</f>
        <v>1.3773148148148147E-3</v>
      </c>
      <c r="I1220" t="s">
        <v>82</v>
      </c>
      <c r="J1220" t="s">
        <v>129</v>
      </c>
      <c r="K1220" s="5">
        <f>140 / 86400</f>
        <v>1.6203703703703703E-3</v>
      </c>
      <c r="L1220" s="5">
        <f>914 / 86400</f>
        <v>1.0578703703703703E-2</v>
      </c>
    </row>
    <row r="1221" spans="1:12" x14ac:dyDescent="0.25">
      <c r="A1221" s="3">
        <v>45695.701747685191</v>
      </c>
      <c r="B1221" t="s">
        <v>92</v>
      </c>
      <c r="C1221" s="3">
        <v>45695.702650462961</v>
      </c>
      <c r="D1221" t="s">
        <v>315</v>
      </c>
      <c r="E1221" s="4">
        <v>2.5999999999999999E-2</v>
      </c>
      <c r="F1221" s="4">
        <v>57853.438999999998</v>
      </c>
      <c r="G1221" s="4">
        <v>57853.464999999997</v>
      </c>
      <c r="H1221" s="5">
        <f>19 / 86400</f>
        <v>2.199074074074074E-4</v>
      </c>
      <c r="I1221" t="s">
        <v>91</v>
      </c>
      <c r="J1221" t="s">
        <v>127</v>
      </c>
      <c r="K1221" s="5">
        <f>78 / 86400</f>
        <v>9.0277777777777774E-4</v>
      </c>
      <c r="L1221" s="5">
        <f>555 / 86400</f>
        <v>6.4236111111111108E-3</v>
      </c>
    </row>
    <row r="1222" spans="1:12" x14ac:dyDescent="0.25">
      <c r="A1222" s="3">
        <v>45695.709074074075</v>
      </c>
      <c r="B1222" t="s">
        <v>315</v>
      </c>
      <c r="C1222" s="3">
        <v>45695.847997685181</v>
      </c>
      <c r="D1222" t="s">
        <v>383</v>
      </c>
      <c r="E1222" s="4">
        <v>52.835000000000001</v>
      </c>
      <c r="F1222" s="4">
        <v>57853.464999999997</v>
      </c>
      <c r="G1222" s="4">
        <v>57906.3</v>
      </c>
      <c r="H1222" s="5">
        <f>4098 / 86400</f>
        <v>4.7430555555555552E-2</v>
      </c>
      <c r="I1222" t="s">
        <v>32</v>
      </c>
      <c r="J1222" t="s">
        <v>20</v>
      </c>
      <c r="K1222" s="5">
        <f>12002 / 86400</f>
        <v>0.13891203703703703</v>
      </c>
      <c r="L1222" s="5">
        <f>52 / 86400</f>
        <v>6.018518518518519E-4</v>
      </c>
    </row>
    <row r="1223" spans="1:12" x14ac:dyDescent="0.25">
      <c r="A1223" s="3">
        <v>45695.848599537036</v>
      </c>
      <c r="B1223" t="s">
        <v>383</v>
      </c>
      <c r="C1223" s="3">
        <v>45695.895972222221</v>
      </c>
      <c r="D1223" t="s">
        <v>115</v>
      </c>
      <c r="E1223" s="4">
        <v>18.869</v>
      </c>
      <c r="F1223" s="4">
        <v>57906.3</v>
      </c>
      <c r="G1223" s="4">
        <v>57925.169000000002</v>
      </c>
      <c r="H1223" s="5">
        <f>1280 / 86400</f>
        <v>1.4814814814814815E-2</v>
      </c>
      <c r="I1223" t="s">
        <v>318</v>
      </c>
      <c r="J1223" t="s">
        <v>28</v>
      </c>
      <c r="K1223" s="5">
        <f>4093 / 86400</f>
        <v>4.7372685185185184E-2</v>
      </c>
      <c r="L1223" s="5">
        <f>2032 / 86400</f>
        <v>2.3518518518518518E-2</v>
      </c>
    </row>
    <row r="1224" spans="1:12" x14ac:dyDescent="0.25">
      <c r="A1224" s="3">
        <v>45695.919490740736</v>
      </c>
      <c r="B1224" t="s">
        <v>115</v>
      </c>
      <c r="C1224" s="3">
        <v>45695.971782407403</v>
      </c>
      <c r="D1224" t="s">
        <v>100</v>
      </c>
      <c r="E1224" s="4">
        <v>17.431000000000001</v>
      </c>
      <c r="F1224" s="4">
        <v>57925.169000000002</v>
      </c>
      <c r="G1224" s="4">
        <v>57942.6</v>
      </c>
      <c r="H1224" s="5">
        <f>1780 / 86400</f>
        <v>2.060185185185185E-2</v>
      </c>
      <c r="I1224" t="s">
        <v>159</v>
      </c>
      <c r="J1224" t="s">
        <v>34</v>
      </c>
      <c r="K1224" s="5">
        <f>4517 / 86400</f>
        <v>5.2280092592592593E-2</v>
      </c>
      <c r="L1224" s="5">
        <f>85 / 86400</f>
        <v>9.837962962962962E-4</v>
      </c>
    </row>
    <row r="1225" spans="1:12" x14ac:dyDescent="0.25">
      <c r="A1225" s="3">
        <v>45695.972766203704</v>
      </c>
      <c r="B1225" t="s">
        <v>100</v>
      </c>
      <c r="C1225" s="3">
        <v>45695.99998842593</v>
      </c>
      <c r="D1225" t="s">
        <v>119</v>
      </c>
      <c r="E1225" s="4">
        <v>4.8659999999999997</v>
      </c>
      <c r="F1225" s="4">
        <v>57942.6</v>
      </c>
      <c r="G1225" s="4">
        <v>57947.466</v>
      </c>
      <c r="H1225" s="5">
        <f>1240 / 86400</f>
        <v>1.4351851851851852E-2</v>
      </c>
      <c r="I1225" t="s">
        <v>201</v>
      </c>
      <c r="J1225" t="s">
        <v>91</v>
      </c>
      <c r="K1225" s="5">
        <f>2352 / 86400</f>
        <v>2.7222222222222221E-2</v>
      </c>
      <c r="L1225" s="5">
        <f>0 / 86400</f>
        <v>0</v>
      </c>
    </row>
    <row r="1226" spans="1:12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</row>
    <row r="1227" spans="1:12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</row>
    <row r="1228" spans="1:12" s="10" customFormat="1" ht="20.100000000000001" customHeight="1" x14ac:dyDescent="0.35">
      <c r="A1228" s="12" t="s">
        <v>448</v>
      </c>
      <c r="B1228" s="12"/>
      <c r="C1228" s="12"/>
      <c r="D1228" s="12"/>
      <c r="E1228" s="12"/>
      <c r="F1228" s="12"/>
      <c r="G1228" s="12"/>
      <c r="H1228" s="12"/>
      <c r="I1228" s="12"/>
      <c r="J1228" s="12"/>
    </row>
    <row r="1229" spans="1:12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</row>
    <row r="1230" spans="1:12" ht="30" x14ac:dyDescent="0.25">
      <c r="A1230" s="2" t="s">
        <v>6</v>
      </c>
      <c r="B1230" s="2" t="s">
        <v>7</v>
      </c>
      <c r="C1230" s="2" t="s">
        <v>8</v>
      </c>
      <c r="D1230" s="2" t="s">
        <v>9</v>
      </c>
      <c r="E1230" s="2" t="s">
        <v>10</v>
      </c>
      <c r="F1230" s="2" t="s">
        <v>11</v>
      </c>
      <c r="G1230" s="2" t="s">
        <v>12</v>
      </c>
      <c r="H1230" s="2" t="s">
        <v>13</v>
      </c>
      <c r="I1230" s="2" t="s">
        <v>14</v>
      </c>
      <c r="J1230" s="2" t="s">
        <v>15</v>
      </c>
      <c r="K1230" s="2" t="s">
        <v>16</v>
      </c>
      <c r="L1230" s="2" t="s">
        <v>17</v>
      </c>
    </row>
    <row r="1231" spans="1:12" x14ac:dyDescent="0.25">
      <c r="A1231" s="3">
        <v>45695.002476851849</v>
      </c>
      <c r="B1231" t="s">
        <v>41</v>
      </c>
      <c r="C1231" s="3">
        <v>45695.015740740739</v>
      </c>
      <c r="D1231" t="s">
        <v>41</v>
      </c>
      <c r="E1231" s="4">
        <v>0</v>
      </c>
      <c r="F1231" s="4">
        <v>60591.728999999999</v>
      </c>
      <c r="G1231" s="4">
        <v>60591.728999999999</v>
      </c>
      <c r="H1231" s="5">
        <f>1139 / 86400</f>
        <v>1.3182870370370371E-2</v>
      </c>
      <c r="I1231" t="s">
        <v>127</v>
      </c>
      <c r="J1231" t="s">
        <v>129</v>
      </c>
      <c r="K1231" s="5">
        <f>1146 / 86400</f>
        <v>1.3263888888888889E-2</v>
      </c>
      <c r="L1231" s="5">
        <f>12707 / 86400</f>
        <v>0.14707175925925925</v>
      </c>
    </row>
    <row r="1232" spans="1:12" x14ac:dyDescent="0.25">
      <c r="A1232" s="3">
        <v>45695.16033564815</v>
      </c>
      <c r="B1232" t="s">
        <v>41</v>
      </c>
      <c r="C1232" s="3">
        <v>45695.162870370375</v>
      </c>
      <c r="D1232" t="s">
        <v>147</v>
      </c>
      <c r="E1232" s="4">
        <v>0.67400000000000004</v>
      </c>
      <c r="F1232" s="4">
        <v>60591.728999999999</v>
      </c>
      <c r="G1232" s="4">
        <v>60592.402999999998</v>
      </c>
      <c r="H1232" s="5">
        <f>39 / 86400</f>
        <v>4.5138888888888887E-4</v>
      </c>
      <c r="I1232" t="s">
        <v>300</v>
      </c>
      <c r="J1232" t="s">
        <v>112</v>
      </c>
      <c r="K1232" s="5">
        <f>218 / 86400</f>
        <v>2.5231481481481481E-3</v>
      </c>
      <c r="L1232" s="5">
        <f>1267 / 86400</f>
        <v>1.4664351851851852E-2</v>
      </c>
    </row>
    <row r="1233" spans="1:12" x14ac:dyDescent="0.25">
      <c r="A1233" s="3">
        <v>45695.177534722221</v>
      </c>
      <c r="B1233" t="s">
        <v>147</v>
      </c>
      <c r="C1233" s="3">
        <v>45695.328344907408</v>
      </c>
      <c r="D1233" t="s">
        <v>345</v>
      </c>
      <c r="E1233" s="4">
        <v>76.72</v>
      </c>
      <c r="F1233" s="4">
        <v>60592.402999999998</v>
      </c>
      <c r="G1233" s="4">
        <v>60669.123</v>
      </c>
      <c r="H1233" s="5">
        <f>4300 / 86400</f>
        <v>4.9768518518518517E-2</v>
      </c>
      <c r="I1233" t="s">
        <v>120</v>
      </c>
      <c r="J1233" t="s">
        <v>37</v>
      </c>
      <c r="K1233" s="5">
        <f>13030 / 86400</f>
        <v>0.15081018518518519</v>
      </c>
      <c r="L1233" s="5">
        <f>1045 / 86400</f>
        <v>1.2094907407407407E-2</v>
      </c>
    </row>
    <row r="1234" spans="1:12" x14ac:dyDescent="0.25">
      <c r="A1234" s="3">
        <v>45695.340439814812</v>
      </c>
      <c r="B1234" t="s">
        <v>384</v>
      </c>
      <c r="C1234" s="3">
        <v>45695.343101851853</v>
      </c>
      <c r="D1234" t="s">
        <v>385</v>
      </c>
      <c r="E1234" s="4">
        <v>0.90400000000000003</v>
      </c>
      <c r="F1234" s="4">
        <v>60669.123</v>
      </c>
      <c r="G1234" s="4">
        <v>60670.027000000002</v>
      </c>
      <c r="H1234" s="5">
        <f>40 / 86400</f>
        <v>4.6296296296296298E-4</v>
      </c>
      <c r="I1234" t="s">
        <v>157</v>
      </c>
      <c r="J1234" t="s">
        <v>34</v>
      </c>
      <c r="K1234" s="5">
        <f>230 / 86400</f>
        <v>2.662037037037037E-3</v>
      </c>
      <c r="L1234" s="5">
        <f>4390 / 86400</f>
        <v>5.0810185185185187E-2</v>
      </c>
    </row>
    <row r="1235" spans="1:12" x14ac:dyDescent="0.25">
      <c r="A1235" s="3">
        <v>45695.393912037034</v>
      </c>
      <c r="B1235" t="s">
        <v>385</v>
      </c>
      <c r="C1235" s="3">
        <v>45695.64334490741</v>
      </c>
      <c r="D1235" t="s">
        <v>128</v>
      </c>
      <c r="E1235" s="4">
        <v>90.528999999999996</v>
      </c>
      <c r="F1235" s="4">
        <v>60670.027000000002</v>
      </c>
      <c r="G1235" s="4">
        <v>60760.555999999997</v>
      </c>
      <c r="H1235" s="5">
        <f>8519 / 86400</f>
        <v>9.8599537037037041E-2</v>
      </c>
      <c r="I1235" t="s">
        <v>44</v>
      </c>
      <c r="J1235" t="s">
        <v>24</v>
      </c>
      <c r="K1235" s="5">
        <f>21550 / 86400</f>
        <v>0.24942129629629631</v>
      </c>
      <c r="L1235" s="5">
        <f>341 / 86400</f>
        <v>3.9467592592592592E-3</v>
      </c>
    </row>
    <row r="1236" spans="1:12" x14ac:dyDescent="0.25">
      <c r="A1236" s="3">
        <v>45695.647291666668</v>
      </c>
      <c r="B1236" t="s">
        <v>128</v>
      </c>
      <c r="C1236" s="3">
        <v>45695.648125</v>
      </c>
      <c r="D1236" t="s">
        <v>110</v>
      </c>
      <c r="E1236" s="4">
        <v>0.2</v>
      </c>
      <c r="F1236" s="4">
        <v>60760.555999999997</v>
      </c>
      <c r="G1236" s="4">
        <v>60760.756000000001</v>
      </c>
      <c r="H1236" s="5">
        <f>0 / 86400</f>
        <v>0</v>
      </c>
      <c r="I1236" t="s">
        <v>143</v>
      </c>
      <c r="J1236" t="s">
        <v>45</v>
      </c>
      <c r="K1236" s="5">
        <f>71 / 86400</f>
        <v>8.2175925925925927E-4</v>
      </c>
      <c r="L1236" s="5">
        <f>428 / 86400</f>
        <v>4.9537037037037041E-3</v>
      </c>
    </row>
    <row r="1237" spans="1:12" x14ac:dyDescent="0.25">
      <c r="A1237" s="3">
        <v>45695.653078703705</v>
      </c>
      <c r="B1237" t="s">
        <v>110</v>
      </c>
      <c r="C1237" s="3">
        <v>45695.655682870369</v>
      </c>
      <c r="D1237" t="s">
        <v>121</v>
      </c>
      <c r="E1237" s="4">
        <v>0.78200000000000003</v>
      </c>
      <c r="F1237" s="4">
        <v>60760.756000000001</v>
      </c>
      <c r="G1237" s="4">
        <v>60761.538</v>
      </c>
      <c r="H1237" s="5">
        <f>40 / 86400</f>
        <v>4.6296296296296298E-4</v>
      </c>
      <c r="I1237" t="s">
        <v>146</v>
      </c>
      <c r="J1237" t="s">
        <v>53</v>
      </c>
      <c r="K1237" s="5">
        <f>224 / 86400</f>
        <v>2.5925925925925925E-3</v>
      </c>
      <c r="L1237" s="5">
        <f>511 / 86400</f>
        <v>5.9143518518518521E-3</v>
      </c>
    </row>
    <row r="1238" spans="1:12" x14ac:dyDescent="0.25">
      <c r="A1238" s="3">
        <v>45695.661597222221</v>
      </c>
      <c r="B1238" t="s">
        <v>121</v>
      </c>
      <c r="C1238" s="3">
        <v>45695.997812500005</v>
      </c>
      <c r="D1238" t="s">
        <v>22</v>
      </c>
      <c r="E1238" s="4">
        <v>156.29599999999999</v>
      </c>
      <c r="F1238" s="4">
        <v>60761.538</v>
      </c>
      <c r="G1238" s="4">
        <v>60917.834000000003</v>
      </c>
      <c r="H1238" s="5">
        <f>9186 / 86400</f>
        <v>0.10631944444444444</v>
      </c>
      <c r="I1238" t="s">
        <v>33</v>
      </c>
      <c r="J1238" t="s">
        <v>90</v>
      </c>
      <c r="K1238" s="5">
        <f>29048 / 86400</f>
        <v>0.33620370370370373</v>
      </c>
      <c r="L1238" s="5">
        <f>188 / 86400</f>
        <v>2.1759259259259258E-3</v>
      </c>
    </row>
    <row r="1239" spans="1:12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</row>
    <row r="1240" spans="1:12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</row>
    <row r="1241" spans="1:12" s="10" customFormat="1" ht="20.100000000000001" customHeight="1" x14ac:dyDescent="0.35">
      <c r="A1241" s="12" t="s">
        <v>449</v>
      </c>
      <c r="B1241" s="12"/>
      <c r="C1241" s="12"/>
      <c r="D1241" s="12"/>
      <c r="E1241" s="12"/>
      <c r="F1241" s="12"/>
      <c r="G1241" s="12"/>
      <c r="H1241" s="12"/>
      <c r="I1241" s="12"/>
      <c r="J1241" s="12"/>
    </row>
    <row r="1242" spans="1:12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</row>
    <row r="1243" spans="1:12" ht="30" x14ac:dyDescent="0.25">
      <c r="A1243" s="2" t="s">
        <v>6</v>
      </c>
      <c r="B1243" s="2" t="s">
        <v>7</v>
      </c>
      <c r="C1243" s="2" t="s">
        <v>8</v>
      </c>
      <c r="D1243" s="2" t="s">
        <v>9</v>
      </c>
      <c r="E1243" s="2" t="s">
        <v>10</v>
      </c>
      <c r="F1243" s="2" t="s">
        <v>11</v>
      </c>
      <c r="G1243" s="2" t="s">
        <v>12</v>
      </c>
      <c r="H1243" s="2" t="s">
        <v>13</v>
      </c>
      <c r="I1243" s="2" t="s">
        <v>14</v>
      </c>
      <c r="J1243" s="2" t="s">
        <v>15</v>
      </c>
      <c r="K1243" s="2" t="s">
        <v>16</v>
      </c>
      <c r="L1243" s="2" t="s">
        <v>17</v>
      </c>
    </row>
    <row r="1244" spans="1:12" x14ac:dyDescent="0.25">
      <c r="A1244" s="3">
        <v>45695.425532407404</v>
      </c>
      <c r="B1244" t="s">
        <v>121</v>
      </c>
      <c r="C1244" s="3">
        <v>45695.435995370368</v>
      </c>
      <c r="D1244" t="s">
        <v>48</v>
      </c>
      <c r="E1244" s="4">
        <v>0.38900000000000001</v>
      </c>
      <c r="F1244" s="4">
        <v>290572.62400000001</v>
      </c>
      <c r="G1244" s="4">
        <v>290573.01299999998</v>
      </c>
      <c r="H1244" s="5">
        <f>678 / 86400</f>
        <v>7.8472222222222224E-3</v>
      </c>
      <c r="I1244" t="s">
        <v>34</v>
      </c>
      <c r="J1244" t="s">
        <v>87</v>
      </c>
      <c r="K1244" s="5">
        <f>904 / 86400</f>
        <v>1.0462962962962962E-2</v>
      </c>
      <c r="L1244" s="5">
        <f>38293 / 86400</f>
        <v>0.44320601851851854</v>
      </c>
    </row>
    <row r="1245" spans="1:12" x14ac:dyDescent="0.25">
      <c r="A1245" s="3">
        <v>45695.453668981485</v>
      </c>
      <c r="B1245" t="s">
        <v>48</v>
      </c>
      <c r="C1245" s="3">
        <v>45695.454317129625</v>
      </c>
      <c r="D1245" t="s">
        <v>48</v>
      </c>
      <c r="E1245" s="4">
        <v>3.6999999999999998E-2</v>
      </c>
      <c r="F1245" s="4">
        <v>290573.01299999998</v>
      </c>
      <c r="G1245" s="4">
        <v>290573.05</v>
      </c>
      <c r="H1245" s="5">
        <f>20 / 86400</f>
        <v>2.3148148148148149E-4</v>
      </c>
      <c r="I1245" t="s">
        <v>132</v>
      </c>
      <c r="J1245" t="s">
        <v>87</v>
      </c>
      <c r="K1245" s="5">
        <f>56 / 86400</f>
        <v>6.4814814814814813E-4</v>
      </c>
      <c r="L1245" s="5">
        <f>1683 / 86400</f>
        <v>1.9479166666666665E-2</v>
      </c>
    </row>
    <row r="1246" spans="1:12" x14ac:dyDescent="0.25">
      <c r="A1246" s="3">
        <v>45695.473796296297</v>
      </c>
      <c r="B1246" t="s">
        <v>48</v>
      </c>
      <c r="C1246" s="3">
        <v>45695.778738425928</v>
      </c>
      <c r="D1246" t="s">
        <v>41</v>
      </c>
      <c r="E1246" s="4">
        <v>106.41500000000001</v>
      </c>
      <c r="F1246" s="4">
        <v>290573.05</v>
      </c>
      <c r="G1246" s="4">
        <v>290679.46500000003</v>
      </c>
      <c r="H1246" s="5">
        <f>10537 / 86400</f>
        <v>0.12195601851851852</v>
      </c>
      <c r="I1246" t="s">
        <v>386</v>
      </c>
      <c r="J1246" t="s">
        <v>24</v>
      </c>
      <c r="K1246" s="5">
        <f>26347 / 86400</f>
        <v>0.30494212962962963</v>
      </c>
      <c r="L1246" s="5">
        <f>620 / 86400</f>
        <v>7.1759259259259259E-3</v>
      </c>
    </row>
    <row r="1247" spans="1:12" x14ac:dyDescent="0.25">
      <c r="A1247" s="3">
        <v>45695.785914351851</v>
      </c>
      <c r="B1247" t="s">
        <v>41</v>
      </c>
      <c r="C1247" s="3">
        <v>45695.99998842593</v>
      </c>
      <c r="D1247" t="s">
        <v>122</v>
      </c>
      <c r="E1247" s="4">
        <v>77.546000000000006</v>
      </c>
      <c r="F1247" s="4">
        <v>290679.46500000003</v>
      </c>
      <c r="G1247" s="4">
        <v>290757.011</v>
      </c>
      <c r="H1247" s="5">
        <f>8101 / 86400</f>
        <v>9.3761574074074081E-2</v>
      </c>
      <c r="I1247" t="s">
        <v>47</v>
      </c>
      <c r="J1247" t="s">
        <v>24</v>
      </c>
      <c r="K1247" s="5">
        <f>18496 / 86400</f>
        <v>0.21407407407407408</v>
      </c>
      <c r="L1247" s="5">
        <f>0 / 86400</f>
        <v>0</v>
      </c>
    </row>
    <row r="1248" spans="1:12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</row>
    <row r="1249" spans="1:10" x14ac:dyDescent="0.25">
      <c r="A1249" s="11" t="s">
        <v>124</v>
      </c>
      <c r="B1249" s="11"/>
      <c r="C1249" s="11"/>
      <c r="D1249" s="11"/>
      <c r="E1249" s="11"/>
      <c r="F1249" s="11"/>
      <c r="G1249" s="11"/>
      <c r="H1249" s="11"/>
      <c r="I1249" s="11"/>
      <c r="J1249" s="11"/>
    </row>
  </sheetData>
  <mergeCells count="262">
    <mergeCell ref="A1:J1"/>
    <mergeCell ref="A2:J2"/>
    <mergeCell ref="A3:J3"/>
    <mergeCell ref="A4:J4"/>
    <mergeCell ref="A5:J5"/>
    <mergeCell ref="A6:J6"/>
    <mergeCell ref="A72:J72"/>
    <mergeCell ref="A73:J73"/>
    <mergeCell ref="A74:J74"/>
    <mergeCell ref="A75:J75"/>
    <mergeCell ref="A76:J76"/>
    <mergeCell ref="A77:J77"/>
    <mergeCell ref="A95:J95"/>
    <mergeCell ref="A96:J96"/>
    <mergeCell ref="A97:J97"/>
    <mergeCell ref="A98:J98"/>
    <mergeCell ref="A108:J108"/>
    <mergeCell ref="A109:J109"/>
    <mergeCell ref="A110:J110"/>
    <mergeCell ref="A111:J111"/>
    <mergeCell ref="A127:J127"/>
    <mergeCell ref="A128:J128"/>
    <mergeCell ref="A129:J129"/>
    <mergeCell ref="A130:J130"/>
    <mergeCell ref="A143:J143"/>
    <mergeCell ref="A144:J144"/>
    <mergeCell ref="A145:J145"/>
    <mergeCell ref="A146:J146"/>
    <mergeCell ref="A159:J159"/>
    <mergeCell ref="A160:J160"/>
    <mergeCell ref="A161:J161"/>
    <mergeCell ref="A162:J162"/>
    <mergeCell ref="A172:J172"/>
    <mergeCell ref="A173:J173"/>
    <mergeCell ref="A174:J174"/>
    <mergeCell ref="A175:J175"/>
    <mergeCell ref="A185:J185"/>
    <mergeCell ref="A186:J186"/>
    <mergeCell ref="A187:J187"/>
    <mergeCell ref="A188:J188"/>
    <mergeCell ref="A371:J371"/>
    <mergeCell ref="A372:J372"/>
    <mergeCell ref="A373:J373"/>
    <mergeCell ref="A374:J374"/>
    <mergeCell ref="A377:J377"/>
    <mergeCell ref="A378:J378"/>
    <mergeCell ref="A379:J379"/>
    <mergeCell ref="A380:J380"/>
    <mergeCell ref="A395:J395"/>
    <mergeCell ref="A396:J396"/>
    <mergeCell ref="A397:J397"/>
    <mergeCell ref="A398:J398"/>
    <mergeCell ref="A413:J413"/>
    <mergeCell ref="A414:J414"/>
    <mergeCell ref="A415:J415"/>
    <mergeCell ref="A416:J416"/>
    <mergeCell ref="A425:J425"/>
    <mergeCell ref="A426:J426"/>
    <mergeCell ref="A427:J427"/>
    <mergeCell ref="A428:J428"/>
    <mergeCell ref="A443:J443"/>
    <mergeCell ref="A444:J444"/>
    <mergeCell ref="A445:J445"/>
    <mergeCell ref="A446:J446"/>
    <mergeCell ref="A455:J455"/>
    <mergeCell ref="A456:J456"/>
    <mergeCell ref="A457:J457"/>
    <mergeCell ref="A458:J458"/>
    <mergeCell ref="A466:J466"/>
    <mergeCell ref="A467:J467"/>
    <mergeCell ref="A468:J468"/>
    <mergeCell ref="A469:J469"/>
    <mergeCell ref="A482:J482"/>
    <mergeCell ref="A483:J483"/>
    <mergeCell ref="A484:J484"/>
    <mergeCell ref="A485:J485"/>
    <mergeCell ref="A500:J500"/>
    <mergeCell ref="A501:J501"/>
    <mergeCell ref="A502:J502"/>
    <mergeCell ref="A503:J503"/>
    <mergeCell ref="A513:J513"/>
    <mergeCell ref="A514:J514"/>
    <mergeCell ref="A515:J515"/>
    <mergeCell ref="A516:J516"/>
    <mergeCell ref="A525:J525"/>
    <mergeCell ref="A526:J526"/>
    <mergeCell ref="A527:J527"/>
    <mergeCell ref="A528:J528"/>
    <mergeCell ref="A559:J559"/>
    <mergeCell ref="A560:J560"/>
    <mergeCell ref="A561:J561"/>
    <mergeCell ref="A562:J562"/>
    <mergeCell ref="A573:J573"/>
    <mergeCell ref="A574:J574"/>
    <mergeCell ref="A575:J575"/>
    <mergeCell ref="A576:J576"/>
    <mergeCell ref="A583:J583"/>
    <mergeCell ref="A584:J584"/>
    <mergeCell ref="A585:J585"/>
    <mergeCell ref="A586:J586"/>
    <mergeCell ref="A600:J600"/>
    <mergeCell ref="A601:J601"/>
    <mergeCell ref="A602:J602"/>
    <mergeCell ref="A603:J603"/>
    <mergeCell ref="A614:J614"/>
    <mergeCell ref="A615:J615"/>
    <mergeCell ref="A616:J616"/>
    <mergeCell ref="A617:J617"/>
    <mergeCell ref="A628:J628"/>
    <mergeCell ref="A629:J629"/>
    <mergeCell ref="A630:J630"/>
    <mergeCell ref="A631:J631"/>
    <mergeCell ref="A636:J636"/>
    <mergeCell ref="A637:J637"/>
    <mergeCell ref="A638:J638"/>
    <mergeCell ref="A639:J639"/>
    <mergeCell ref="A648:J648"/>
    <mergeCell ref="A649:J649"/>
    <mergeCell ref="A650:J650"/>
    <mergeCell ref="A651:J651"/>
    <mergeCell ref="A671:J671"/>
    <mergeCell ref="A672:J672"/>
    <mergeCell ref="A673:J673"/>
    <mergeCell ref="A674:J674"/>
    <mergeCell ref="A693:J693"/>
    <mergeCell ref="A694:J694"/>
    <mergeCell ref="A695:J695"/>
    <mergeCell ref="A696:J696"/>
    <mergeCell ref="A707:J707"/>
    <mergeCell ref="A708:J708"/>
    <mergeCell ref="A709:J709"/>
    <mergeCell ref="A710:J710"/>
    <mergeCell ref="A730:J730"/>
    <mergeCell ref="A731:J731"/>
    <mergeCell ref="A732:J732"/>
    <mergeCell ref="A733:J733"/>
    <mergeCell ref="A751:J751"/>
    <mergeCell ref="A752:J752"/>
    <mergeCell ref="A753:J753"/>
    <mergeCell ref="A754:J754"/>
    <mergeCell ref="A757:J757"/>
    <mergeCell ref="A758:J758"/>
    <mergeCell ref="A759:J759"/>
    <mergeCell ref="A760:J760"/>
    <mergeCell ref="A777:J777"/>
    <mergeCell ref="A778:J778"/>
    <mergeCell ref="A779:J779"/>
    <mergeCell ref="A780:J780"/>
    <mergeCell ref="A788:J788"/>
    <mergeCell ref="A789:J789"/>
    <mergeCell ref="A790:J790"/>
    <mergeCell ref="A791:J791"/>
    <mergeCell ref="A802:J802"/>
    <mergeCell ref="A803:J803"/>
    <mergeCell ref="A804:J804"/>
    <mergeCell ref="A805:J805"/>
    <mergeCell ref="A818:J818"/>
    <mergeCell ref="A819:J819"/>
    <mergeCell ref="A820:J820"/>
    <mergeCell ref="A821:J821"/>
    <mergeCell ref="A839:J839"/>
    <mergeCell ref="A840:J840"/>
    <mergeCell ref="A841:J841"/>
    <mergeCell ref="A842:J842"/>
    <mergeCell ref="A852:J852"/>
    <mergeCell ref="A853:J853"/>
    <mergeCell ref="A854:J854"/>
    <mergeCell ref="A855:J855"/>
    <mergeCell ref="A868:J868"/>
    <mergeCell ref="A869:J869"/>
    <mergeCell ref="A870:J870"/>
    <mergeCell ref="A871:J871"/>
    <mergeCell ref="A881:J881"/>
    <mergeCell ref="A882:J882"/>
    <mergeCell ref="A883:J883"/>
    <mergeCell ref="A884:J884"/>
    <mergeCell ref="A898:J898"/>
    <mergeCell ref="A899:J899"/>
    <mergeCell ref="A900:J900"/>
    <mergeCell ref="A901:J901"/>
    <mergeCell ref="A916:J916"/>
    <mergeCell ref="A917:J917"/>
    <mergeCell ref="A918:J918"/>
    <mergeCell ref="A919:J919"/>
    <mergeCell ref="A933:J933"/>
    <mergeCell ref="A934:J934"/>
    <mergeCell ref="A935:J935"/>
    <mergeCell ref="A936:J936"/>
    <mergeCell ref="A947:J947"/>
    <mergeCell ref="A948:J948"/>
    <mergeCell ref="A949:J949"/>
    <mergeCell ref="A950:J950"/>
    <mergeCell ref="A979:J979"/>
    <mergeCell ref="A980:J980"/>
    <mergeCell ref="A981:J981"/>
    <mergeCell ref="A982:J982"/>
    <mergeCell ref="A992:J992"/>
    <mergeCell ref="A993:J993"/>
    <mergeCell ref="A994:J994"/>
    <mergeCell ref="A995:J995"/>
    <mergeCell ref="A1013:J1013"/>
    <mergeCell ref="A1014:J1014"/>
    <mergeCell ref="A1015:J1015"/>
    <mergeCell ref="A1016:J1016"/>
    <mergeCell ref="A1037:J1037"/>
    <mergeCell ref="A1038:J1038"/>
    <mergeCell ref="A1039:J1039"/>
    <mergeCell ref="A1040:J1040"/>
    <mergeCell ref="A1052:J1052"/>
    <mergeCell ref="A1053:J1053"/>
    <mergeCell ref="A1054:J1054"/>
    <mergeCell ref="A1055:J1055"/>
    <mergeCell ref="A1068:J1068"/>
    <mergeCell ref="A1069:J1069"/>
    <mergeCell ref="A1070:J1070"/>
    <mergeCell ref="A1071:J1071"/>
    <mergeCell ref="A1084:J1084"/>
    <mergeCell ref="A1085:J1085"/>
    <mergeCell ref="A1086:J1086"/>
    <mergeCell ref="A1087:J1087"/>
    <mergeCell ref="A1105:J1105"/>
    <mergeCell ref="A1106:J1106"/>
    <mergeCell ref="A1107:J1107"/>
    <mergeCell ref="A1108:J1108"/>
    <mergeCell ref="A1116:J1116"/>
    <mergeCell ref="A1117:J1117"/>
    <mergeCell ref="A1118:J1118"/>
    <mergeCell ref="A1119:J1119"/>
    <mergeCell ref="A1128:J1128"/>
    <mergeCell ref="A1129:J1129"/>
    <mergeCell ref="A1130:J1130"/>
    <mergeCell ref="A1131:J1131"/>
    <mergeCell ref="A1138:J1138"/>
    <mergeCell ref="A1139:J1139"/>
    <mergeCell ref="A1140:J1140"/>
    <mergeCell ref="A1141:J1141"/>
    <mergeCell ref="A1148:J1148"/>
    <mergeCell ref="A1149:J1149"/>
    <mergeCell ref="A1150:J1150"/>
    <mergeCell ref="A1151:J1151"/>
    <mergeCell ref="A1165:J1165"/>
    <mergeCell ref="A1166:J1166"/>
    <mergeCell ref="A1167:J1167"/>
    <mergeCell ref="A1168:J1168"/>
    <mergeCell ref="A1180:J1180"/>
    <mergeCell ref="A1181:J1181"/>
    <mergeCell ref="A1182:J1182"/>
    <mergeCell ref="A1183:J1183"/>
    <mergeCell ref="A1199:J1199"/>
    <mergeCell ref="A1200:J1200"/>
    <mergeCell ref="A1201:J1201"/>
    <mergeCell ref="A1248:J1248"/>
    <mergeCell ref="A1249:J1249"/>
    <mergeCell ref="A1202:J1202"/>
    <mergeCell ref="A1226:J1226"/>
    <mergeCell ref="A1227:J1227"/>
    <mergeCell ref="A1228:J1228"/>
    <mergeCell ref="A1229:J1229"/>
    <mergeCell ref="A1239:J1239"/>
    <mergeCell ref="A1240:J1240"/>
    <mergeCell ref="A1241:J1241"/>
    <mergeCell ref="A1242:J1242"/>
  </mergeCells>
  <phoneticPr fontId="5" type="noConversion"/>
  <conditionalFormatting sqref="A8:A71">
    <cfRule type="duplicateValues" dxfId="0" priority="1"/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2025-09-22T19:52:09Z</dcterms:created>
  <dcterms:modified xsi:type="dcterms:W3CDTF">2025-09-23T04:58:24Z</dcterms:modified>
</cp:coreProperties>
</file>