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98A74EE7-5E42-4253-8A66-15E3D709E77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110" i="1" l="1"/>
  <c r="K1110" i="1"/>
  <c r="H1110" i="1"/>
  <c r="L1109" i="1"/>
  <c r="K1109" i="1"/>
  <c r="H1109" i="1"/>
  <c r="L1108" i="1"/>
  <c r="K1108" i="1"/>
  <c r="H1108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39" i="1"/>
  <c r="K1039" i="1"/>
  <c r="H1039" i="1"/>
  <c r="L1038" i="1"/>
  <c r="K1038" i="1"/>
  <c r="H1038" i="1"/>
  <c r="L1037" i="1"/>
  <c r="K1037" i="1"/>
  <c r="H1037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57" i="1"/>
  <c r="K957" i="1"/>
  <c r="H957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29" i="1"/>
  <c r="K929" i="1"/>
  <c r="H929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0" i="1"/>
  <c r="K890" i="1"/>
  <c r="H890" i="1"/>
  <c r="L889" i="1"/>
  <c r="K889" i="1"/>
  <c r="H889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16" i="1"/>
  <c r="K816" i="1"/>
  <c r="H816" i="1"/>
  <c r="L815" i="1"/>
  <c r="K815" i="1"/>
  <c r="H815" i="1"/>
  <c r="L814" i="1"/>
  <c r="K814" i="1"/>
  <c r="H814" i="1"/>
  <c r="L808" i="1"/>
  <c r="K808" i="1"/>
  <c r="H808" i="1"/>
  <c r="L807" i="1"/>
  <c r="K807" i="1"/>
  <c r="H807" i="1"/>
  <c r="L806" i="1"/>
  <c r="K806" i="1"/>
  <c r="H806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1" i="1"/>
  <c r="K621" i="1"/>
  <c r="H621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4" i="1"/>
  <c r="K594" i="1"/>
  <c r="H594" i="1"/>
  <c r="L593" i="1"/>
  <c r="K593" i="1"/>
  <c r="H593" i="1"/>
  <c r="L592" i="1"/>
  <c r="K592" i="1"/>
  <c r="H592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3" i="1"/>
  <c r="K473" i="1"/>
  <c r="H473" i="1"/>
  <c r="L472" i="1"/>
  <c r="K472" i="1"/>
  <c r="H472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38" i="1"/>
  <c r="K138" i="1"/>
  <c r="H138" i="1"/>
  <c r="L137" i="1"/>
  <c r="K137" i="1"/>
  <c r="H137" i="1"/>
  <c r="L136" i="1"/>
  <c r="K136" i="1"/>
  <c r="H136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3" i="1"/>
  <c r="K113" i="1"/>
  <c r="H113" i="1"/>
  <c r="L112" i="1"/>
  <c r="K112" i="1"/>
  <c r="H112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L70" i="1"/>
  <c r="K70" i="1"/>
  <c r="H70" i="1"/>
  <c r="L69" i="1"/>
  <c r="K69" i="1"/>
  <c r="H69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<sst xmlns="http://schemas.openxmlformats.org/spreadsheetml/2006/main" count="4111" uniqueCount="448">
  <si>
    <t>Informe de trayectos</t>
  </si>
  <si>
    <t>Periodo: 9 de febrero de 2025 0:00 - 9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</si>
  <si>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</si>
  <si>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</si>
  <si>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</si>
  <si>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</si>
  <si>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</si>
  <si>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</si>
  <si>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</si>
  <si>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</si>
  <si>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</si>
  <si>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</si>
  <si>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</si>
  <si>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</si>
  <si>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</si>
  <si>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</si>
  <si>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</si>
  <si>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</si>
  <si>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</si>
  <si>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84 km/h</t>
  </si>
  <si>
    <t>18 km/h</t>
  </si>
  <si>
    <t>Avenida Lima Norte, Santa Eulalia, Lima Metropolitana, Lima, 15468, Perú</t>
  </si>
  <si>
    <t>99 km/h</t>
  </si>
  <si>
    <t>19 km/h</t>
  </si>
  <si>
    <t>Avenida Los Incas, Ate, Lima Metropolitana, Lima, 15483, Perú</t>
  </si>
  <si>
    <t>89 km/h</t>
  </si>
  <si>
    <t>22 km/h</t>
  </si>
  <si>
    <t>Ate, Lima Metropolitana, Lima, 15483, Perú</t>
  </si>
  <si>
    <t>20 km/h</t>
  </si>
  <si>
    <t>6 km/h</t>
  </si>
  <si>
    <t>Calle Manantiales de Vida, Ate, Lima Metropolitana, Lima, 15487, Perú</t>
  </si>
  <si>
    <t>87 km/h</t>
  </si>
  <si>
    <t>39 km/h</t>
  </si>
  <si>
    <t>10 km/h</t>
  </si>
  <si>
    <t>105 km/h</t>
  </si>
  <si>
    <t>Avenida de La Cultura, 808, Ate, Lima Metropolitana, Lima, 15009, Perú, (RUTA DESVIO TEM.  4507)</t>
  </si>
  <si>
    <t>Avenida Nicolás de Ayllón, Ate, Lima Metropolitana, Lima, 15008, Perú, (Ruta4507nueva era 23-10-23, RUTA DESVIO TEM.  4507)</t>
  </si>
  <si>
    <t>70 km/h</t>
  </si>
  <si>
    <t>Calle los Alamos, Chosica, Lima Metropolitana, Lima, 15468, Perú</t>
  </si>
  <si>
    <t>7 km/h</t>
  </si>
  <si>
    <t>1 km/h</t>
  </si>
  <si>
    <t>Avenida José Santos Chocano, Ricardo Palma, Huarochirí, Lima, 15468, Perú</t>
  </si>
  <si>
    <t>Calle A, Chosica, Lima Metropolitana, Lima, 15468, Perú</t>
  </si>
  <si>
    <t>Avenida José Carlos Mariátegui, Ricardo Palma, Huarochirí, Lima, 15468, Perú</t>
  </si>
  <si>
    <t>Jirón Coronel Miguel Baquero, 210, Lima, Lima Metropolitana, Lima, 15082, Perú</t>
  </si>
  <si>
    <t>97 km/h</t>
  </si>
  <si>
    <t>Calle Atahualpa, 200, Chaclacayo, Lima Metropolitana, Lima, 15474, Perú</t>
  </si>
  <si>
    <t>Calle Huayna Cápac, 200, Chaclacayo, Lima Metropolitana, Lima, 15474, Perú</t>
  </si>
  <si>
    <t>85 km/h</t>
  </si>
  <si>
    <t>21 km/h</t>
  </si>
  <si>
    <t>Calle Cerro de Pasco, Ate, Lima Metropolitana, Lima, 15498, Perú</t>
  </si>
  <si>
    <t>77 km/h</t>
  </si>
  <si>
    <t>9 km/h</t>
  </si>
  <si>
    <t>Pasaje A, Ate, Lima Metropolitana, Lima, 15487, Perú</t>
  </si>
  <si>
    <t>Carretera Central, Chaclacayo, Lima Metropolitana, Lima, 15476, Perú</t>
  </si>
  <si>
    <t>Calle 1, Ate, Lima Metropolitana, Lima, 15483, Perú</t>
  </si>
  <si>
    <t>72 km/h</t>
  </si>
  <si>
    <t>Avenida Las Retamas, Chaclacayo, Lima Metropolitana, Lima, 15474, Perú</t>
  </si>
  <si>
    <t>Simón Bolívar, Ricardo Palma, Huarochirí, Lima, 15468, Perú</t>
  </si>
  <si>
    <t>62 km/h</t>
  </si>
  <si>
    <t>Calle Leoncio Prado, Santa Eulalia, Huarochirí, Lima, 15468, Perú</t>
  </si>
  <si>
    <t>73 km/h</t>
  </si>
  <si>
    <t>Calle Los Topacios, Lurigancho, Lima Metropolitana, Lima, 15472, Perú</t>
  </si>
  <si>
    <t>0 km/h</t>
  </si>
  <si>
    <t>Avenida Panamericana Sur, Santiago de Surco, Lima Metropolitana, Lima, 15803, Perú</t>
  </si>
  <si>
    <t>92 km/h</t>
  </si>
  <si>
    <t>Avenida Nicolás de Ayllón, El Agustino, Lima Metropolitana, Lima, 15002, Perú, (Ruta4507nueva era 23-10-23, RUTA DESVIO TEM.  4507)</t>
  </si>
  <si>
    <t>Avenida Paseo de la República, Lima, Lima Metropolitana, Lima, 15083, Perú, (Ruta4507nueva era 23-10-23)</t>
  </si>
  <si>
    <t>90 km/h</t>
  </si>
  <si>
    <t>Calle 11, Santa Anita, Lima Metropolitana, Lima, 15009, Perú</t>
  </si>
  <si>
    <t>86 km/h</t>
  </si>
  <si>
    <t>17 km/h</t>
  </si>
  <si>
    <t>Avenida Simón Bolívar, Santa Eulalia, Huarochirí, Lima, 15468, Perú</t>
  </si>
  <si>
    <t>78 km/h</t>
  </si>
  <si>
    <t>Avenida Lima Sur, Chosica, Lima Metropolitana, Lima, 15468, Perú, (Ruta4507nueva era 23-10-23)</t>
  </si>
  <si>
    <t>Avenida Enrique Guzmán y Valle, Chosica, Lima Metropolitana, Lima, 15468, Perú</t>
  </si>
  <si>
    <t>69 km/h</t>
  </si>
  <si>
    <t>75 km/h</t>
  </si>
  <si>
    <t>Carretera Central, Ate, Lima Metropolitana, Lima, 15474, Perú, (Ruta4507nueva era 23-10-23)</t>
  </si>
  <si>
    <t>Ate, Lima Metropolitana, Lima, 15474, Perú</t>
  </si>
  <si>
    <t>34 km/h</t>
  </si>
  <si>
    <t>25 km/h</t>
  </si>
  <si>
    <t>5 km/h</t>
  </si>
  <si>
    <t>Santa Eulalia, Huarochirí, Lima, 15468, Perú</t>
  </si>
  <si>
    <t>Avenida Las Retamas, Ricardo Palma, Huarochirí, Lima, 15468, Perú</t>
  </si>
  <si>
    <t>95 km/h</t>
  </si>
  <si>
    <t>Avenida Lima Norte, Chosica, Lima Metropolitana, Lima, 15468, Perú</t>
  </si>
  <si>
    <t>93 km/h</t>
  </si>
  <si>
    <t>83 km/h</t>
  </si>
  <si>
    <t>Los Ciruelos, San Juan de Lurigancho, Lima Metropolitana, Lima, 15419, Perú</t>
  </si>
  <si>
    <t>Ate, Lima Metropolitana, Lima, 15487, Perú</t>
  </si>
  <si>
    <t>52 km/h</t>
  </si>
  <si>
    <t>12 km/h</t>
  </si>
  <si>
    <t>Corcona, Huarochirí, Lima, Perú</t>
  </si>
  <si>
    <t>66 km/h</t>
  </si>
  <si>
    <t>16 km/h</t>
  </si>
  <si>
    <t>Lurigancho, Lima Metropolitana, Lima, 15468, Perú</t>
  </si>
  <si>
    <t>Avenida Huancaray, Santa Anita, Lima Metropolitana, Lima, 15009, Perú, (RUTA DESVIO TEM.  4507)</t>
  </si>
  <si>
    <t>Avenida Los Cipreses, Santa Anita, Lima Metropolitana, Lima, 15002, Perú, (RUTA DESVIO TEM.  4507)</t>
  </si>
  <si>
    <t>Avenida Colectora, Chosica, Lima Metropolitana, Lima, 15468, Perú</t>
  </si>
  <si>
    <t>Avenida Micaela Bastidas, 561, Santa Eulalia, Huarochirí, Lima, 15468, Perú</t>
  </si>
  <si>
    <t>Carretera Central, Ate, Lima Metropolitana, Lima, 15474, Perú</t>
  </si>
  <si>
    <t>Calle Estocolmo, Ate, Lima Metropolitana, Lima, 15498, Perú</t>
  </si>
  <si>
    <t>Jirón Tacna, Chosica, Lima Metropolitana, Lima, 15468, Perú, (Ruta4507nueva era 23-10-23)</t>
  </si>
  <si>
    <t>Plaza Francisco Bolognesi, Lima, Lima Metropolitana, Lima, 15083, Perú, (Ruta4507nueva era 23-10-23)</t>
  </si>
  <si>
    <t>Carretera Central, Ate, Lima Metropolitana, Lima, 15487, Perú, (Ruta4507nueva era 23-10-23)</t>
  </si>
  <si>
    <t>Calle 2, Ate, Lima Metropolitana, Lima, 15487, Perú</t>
  </si>
  <si>
    <t>Avenida Nicolás de Ayllón, Ate, Lima Metropolitana, Lima, 15008, Perú, (Ruta4507nueva era 23-10-23)</t>
  </si>
  <si>
    <t>107 km/h</t>
  </si>
  <si>
    <t>Metropolitano, Lima, Lima Metropolitana, Lima, 15083, Perú, (Ruta4507nueva era 23-10-23)</t>
  </si>
  <si>
    <t>Avenida Nicolás de Ayllón, Ate, Lima Metropolitana, Lima, 15498, Perú, (Ruta4507nueva era 23-10-23)</t>
  </si>
  <si>
    <t>Chaclacayo, Lima Metropolitana, Lima, 15474, Perú, (Ruta4507nueva era 23-10-23)</t>
  </si>
  <si>
    <t>Avenida Los Eucaliptos, Santa Anita, Lima Metropolitana, Lima, 15008, Perú, (RUTA DESVIO TEM.  4507)</t>
  </si>
  <si>
    <t>Carretera Central, Ate, Lima Metropolitana, Lima, 15487, Perú, (S06 SANTA CLARA, Ruta4507nueva era 23-10-23)</t>
  </si>
  <si>
    <t>Totales:</t>
  </si>
  <si>
    <t/>
  </si>
  <si>
    <t>* Los datos de combustible se calculan de acuerdo con el consumo medio de combustible del vehículo especificado en su configuración</t>
  </si>
  <si>
    <t>Abraham Valdelomar, Ricardo Palma, Huarochirí, Lima, 15468, Perú</t>
  </si>
  <si>
    <t>Jose Carlos Mariátegui, Ricardo Palma, Lima Metropolitana, Lima, 15468, Perú, (PARADERO RICARDO PALMA)</t>
  </si>
  <si>
    <t>30 km/h</t>
  </si>
  <si>
    <t>11 km/h</t>
  </si>
  <si>
    <t>Jirón Huarochirí, 643, Lima, Lima Metropolitana, Lima, 15082, Perú</t>
  </si>
  <si>
    <t>Ricardo Palma, Huarochirí, Lima, 15468, Perú, (Ruta4507nueva era 23-10-23)</t>
  </si>
  <si>
    <t>14 km/h</t>
  </si>
  <si>
    <t>Calle Berlín, Ate, Lima Metropolitana, Lima, 15498, Perú</t>
  </si>
  <si>
    <t>3 km/h</t>
  </si>
  <si>
    <t>Avenida Óscar Raimundo Benavides, 150, Lima, Lima Metropolitana, Lima, 15082, Perú</t>
  </si>
  <si>
    <t>Avenida Simón Bolívar, Santa Eulalia, Huarochirí, Lima, 15468, Perú, (Ruta4507nueva era 23-10-23)</t>
  </si>
  <si>
    <t>Ricardo Palma, Huarochirí, Lima, 15468, Perú, (CURVA RICARDO PALMA, Ruta4507nueva era 23-10-23)</t>
  </si>
  <si>
    <t>35 km/h</t>
  </si>
  <si>
    <t>Ciclovía Colonial, Lima, Lima Metropolitana, Lima, 15082, Perú, (Ruta4507nueva era 23-10-23)</t>
  </si>
  <si>
    <t>76 km/h</t>
  </si>
  <si>
    <t>Ciclovía Colonial, Lima, Lima Metropolitana, Lima, 15082, Perú</t>
  </si>
  <si>
    <t>74 km/h</t>
  </si>
  <si>
    <t>27 km/h</t>
  </si>
  <si>
    <t>8 km/h</t>
  </si>
  <si>
    <t>Calle Salaverry, 280, Chosica, Lima Metropolitana, Lima, 15468, Perú, (Ruta4507nueva era 23-10-23)</t>
  </si>
  <si>
    <t>26 km/h</t>
  </si>
  <si>
    <t>Calle Salaverry, 280, Chosica, Lima Metropolitana, Lima, 15468, Perú</t>
  </si>
  <si>
    <t>Avenida Alexander Fleming, Ate, Lima Metropolitana, Lima, 15002, Perú</t>
  </si>
  <si>
    <t>23 km/h</t>
  </si>
  <si>
    <t>82 km/h</t>
  </si>
  <si>
    <t>Vía de Evitamiento, Ate, Lima Metropolitana, Lima, 15008, Perú, (Ruta4507nueva era 23-10-23, RUTA DESVIO TEM.  4507)</t>
  </si>
  <si>
    <t>Avenida José Carlos Mariátegui, Ricardo Palma, Huarochirí, Lima, 15468, Perú, (Ruta4507nueva era 23-10-23)</t>
  </si>
  <si>
    <t>Jirón Sánchez Pinillos, Lima, Lima Metropolitana, Lima, 15082, Perú</t>
  </si>
  <si>
    <t>Jirón Sánchez Pinillos, Breña, Lima Metropolitana, Lima, 15082, Perú</t>
  </si>
  <si>
    <t>71 km/h</t>
  </si>
  <si>
    <t>13 km/h</t>
  </si>
  <si>
    <t>Carretera Central, Chaclacayo, Lima Metropolitana, Lima, 15474, Perú</t>
  </si>
  <si>
    <t>65 km/h</t>
  </si>
  <si>
    <t>Carretera Central, Chaclacayo, Lima Metropolitana, Lima, 15474, Perú, (Ruta4507nueva era 23-10-23)</t>
  </si>
  <si>
    <t>56 km/h</t>
  </si>
  <si>
    <t>38 km/h</t>
  </si>
  <si>
    <t>2 km/h</t>
  </si>
  <si>
    <t>Avenida Michael Faraday, 306, Ate, Lima Metropolitana, Lima, 15022, Perú</t>
  </si>
  <si>
    <t>54 km/h</t>
  </si>
  <si>
    <t>55 km/h</t>
  </si>
  <si>
    <t>Simón Bolívar, Ricardo Palma, Huarochirí, Lima, 15468, Perú, (TALLER TRASANDINO)</t>
  </si>
  <si>
    <t>79 km/h</t>
  </si>
  <si>
    <t>Simón Bolívar, Ricardo Palma, Huarochirí, Lima, 15468, Perú, (TALLER TRASANDINO, Ruta4507nueva era 23-10-23)</t>
  </si>
  <si>
    <t>Simón Bolívar, Ricardo Palma, Huarochirí, Lima, 15468, Perú, (Ruta4507nueva era 23-10-23)</t>
  </si>
  <si>
    <t>100 km/h</t>
  </si>
  <si>
    <t>Carretera Central, Sol de Cupiche, Huarochirí, Lima, 15500, Perú</t>
  </si>
  <si>
    <t>36 km/h</t>
  </si>
  <si>
    <t>Víctor Raúl Haya de la Torre, Ate, Lima Metropolitana, Lima, 15498, Perú, (Ruta4507nueva era 23-10-23)</t>
  </si>
  <si>
    <t>61 km/h</t>
  </si>
  <si>
    <t>Prolongación Javier Prado Este, Ate, Lima Metropolitana, Lima, 15498, Perú, (Ruta4507nueva era 23-10-23)</t>
  </si>
  <si>
    <t>Prolongación Javier Prado Este, Ate, Lima Metropolitana, Lima, 15498, Perú, (Ruta4507nueva era 23-10-23, RUTA DESVIO TEM.  4507)</t>
  </si>
  <si>
    <t>41 km/h</t>
  </si>
  <si>
    <t>Avenida Nicolás de Ayllón, Ate, Lima Metropolitana, Lima, 15498, Perú, (Ruta4507nueva era 23-10-23, RUTA DESVIO TEM.  4507)</t>
  </si>
  <si>
    <t>Avenida Nicolás de Ayllón, 5880, Ate, Lima Metropolitana, Lima, 15498, Perú, (S05Vitarte/ ALT. Hospital, Ruta4507nueva era 23-10-23)</t>
  </si>
  <si>
    <t>Avenida Nicolás de Ayllón, 5818, Ate, Lima Metropolitana, Lima, 15498, Perú, (Ruta4507nueva era 23-10-23)</t>
  </si>
  <si>
    <t>Pasaje Unión, 107, Ate, Lima Metropolitana, Lima, 15498, Perú, (Ruta4507nueva era 23-10-23)</t>
  </si>
  <si>
    <t>29 km/h</t>
  </si>
  <si>
    <t>Avenida Nicolás de Ayllón, 500, Ate, Lima Metropolitana, Lima, 15498, Perú, (Ruta4507nueva era 23-10-23)</t>
  </si>
  <si>
    <t>15 km/h</t>
  </si>
  <si>
    <t>Avenida Nicolás de Ayllón, Ate, Lima Metropolitana, Lima, 15487, Perú, (Ruta4507nueva era 23-10-23)</t>
  </si>
  <si>
    <t>49 km/h</t>
  </si>
  <si>
    <t>46 km/h</t>
  </si>
  <si>
    <t>32 km/h</t>
  </si>
  <si>
    <t>45 km/h</t>
  </si>
  <si>
    <t>40 km/h</t>
  </si>
  <si>
    <t>Avenida Nueva Neópolis, Ate, Lima Metropolitana, Lima, 15487, Perú, (Ruta4507nueva era 23-10-23)</t>
  </si>
  <si>
    <t>64 km/h</t>
  </si>
  <si>
    <t>37 km/h</t>
  </si>
  <si>
    <t>Ate, Lima Metropolitana, Lima, 15483, Perú, (Ruta4507nueva era 23-10-23)</t>
  </si>
  <si>
    <t>Avenida Jaime Zubieta Calderón, Ate, Lima Metropolitana, Lima, 15483, Perú, (Ruta4507nueva era 23-10-23)</t>
  </si>
  <si>
    <t>50 km/h</t>
  </si>
  <si>
    <t>51 km/h</t>
  </si>
  <si>
    <t>28 km/h</t>
  </si>
  <si>
    <t>Avenida José Carlos Mariátegui, Ate, Lima Metropolitana, Lima, 15474, Perú, (Horacio Zeballos)</t>
  </si>
  <si>
    <t>4 km/h</t>
  </si>
  <si>
    <t>Carretera Central, Chaclacayo, Lima Metropolitana, Lima, 15474, Perú, (S07ÑAÑA, Ruta4507nueva era 23-10-23)</t>
  </si>
  <si>
    <t>Avenida Unión, Chaclacayo, Lima Metropolitana, Lima, 15474, Perú, (S07ÑAÑA, Ruta4507nueva era 23-10-23)</t>
  </si>
  <si>
    <t>33 km/h</t>
  </si>
  <si>
    <t>Carretera Central, Ate, Lima Metropolitana, Lima, 15474, Perú, (Horacio Zeballos, Ruta4507nueva era 23-10-23)</t>
  </si>
  <si>
    <t>Avenida Metropolitana, Ate, Lima Metropolitana, Lima, 15498, Perú, (RUTA DESVIO TEM.  4507)</t>
  </si>
  <si>
    <t>Avenida Metropolitana, Santa Anita, Lima Metropolitana, Lima, 15009, Perú, (RUTA DESVIO TEM.  4507)</t>
  </si>
  <si>
    <t>24 km/h</t>
  </si>
  <si>
    <t>31 km/h</t>
  </si>
  <si>
    <t>Avenida Huarochiri, Santa Anita, Lima Metropolitana, Lima, 15009, Perú, (RUTA DESVIO TEM.  4507)</t>
  </si>
  <si>
    <t>Avenida Huancaray, Santa Anita, Lima Metropolitana, Lima, 15009, Perú, (S04 AV. Metropolitana / Colectora Industrial, RUTA DESVIO TEM.  4507)</t>
  </si>
  <si>
    <t>Avenida Huancaray, Santa Anita, Lima Metropolitana, Lima, 15009, Perú, (S04 AV. Metropolitana / Colectora Industrial)</t>
  </si>
  <si>
    <t>Avenida Los Ruiseñores, Santa Anita, Lima Metropolitana, Lima, 15008, Perú, (RUTA DESVIO TEM.  4507)</t>
  </si>
  <si>
    <t>44 km/h</t>
  </si>
  <si>
    <t>Avenida Huancaray, Santa Anita, Lima Metropolitana, Lima, 15007, Perú</t>
  </si>
  <si>
    <t>Avenida Los Ruiseñores, Santa Anita, Lima Metropolitana, Lima, 15008, Perú, (Ruta4507nueva era 23-10-23)</t>
  </si>
  <si>
    <t>43 km/h</t>
  </si>
  <si>
    <t>Las Alondras, 175, Santa Anita, Lima Metropolitana, Lima, 15008, Perú, (Ruta4507nueva era 23-10-23)</t>
  </si>
  <si>
    <t>42 km/h</t>
  </si>
  <si>
    <t>Avenida Nicolás de Ayllón, 816-818, Ate, Lima Metropolitana, Lima, 15487, Perú, (Ruta4507nueva era 23-10-23)</t>
  </si>
  <si>
    <t>Avenida La Estrella, Ate, Lima Metropolitana, Lima, 15487, Perú</t>
  </si>
  <si>
    <t>Avenida La Estrella, Ate, Lima Metropolitana, Lima, 15487, Perú, (Ruta4507nueva era 23-10-23)</t>
  </si>
  <si>
    <t>Carretera Central, Chaclacayo, Lima Metropolitana, Lima, 15476, Perú, (Ruta4507nueva era 23-10-23)</t>
  </si>
  <si>
    <t>48 km/h</t>
  </si>
  <si>
    <t>68 km/h</t>
  </si>
  <si>
    <t>60 km/h</t>
  </si>
  <si>
    <t>53 km/h</t>
  </si>
  <si>
    <t>59 km/h</t>
  </si>
  <si>
    <t>Auxiliar Avenida Circunvalación, San Luis, Lima Metropolitana, Lima, 15019, Perú</t>
  </si>
  <si>
    <t>58 km/h</t>
  </si>
  <si>
    <t>Avenida Circunvalación, San Luis, Lima Metropolitana, Lima, 15019, Perú</t>
  </si>
  <si>
    <t>Avenida Aviación, La Victoria, Lima Metropolitana, Lima, 15018, Perú</t>
  </si>
  <si>
    <t>Ciclovía México, La Victoria, Lima Metropolitana, Lima, 15018, Perú</t>
  </si>
  <si>
    <t>Jirón Abtao, La Victoria, Lima Metropolitana, Lima, 15018, Perú</t>
  </si>
  <si>
    <t>Avenida México, La Victoria, Lima Metropolitana, Lima, 15018, Perú</t>
  </si>
  <si>
    <t>Avenida Manco Cápac, 699, La Victoria, Lima Metropolitana, Lima, 15011, Perú</t>
  </si>
  <si>
    <t>Avenida Manco Cápac, 680, La Victoria, Lima Metropolitana, Lima, 15011, Perú</t>
  </si>
  <si>
    <t>Avenida 28 de Julio, 715, Jesús María, Lima Metropolitana, Lima, 15083, Perú</t>
  </si>
  <si>
    <t>Jirón Washington, 1741, Lima, Lima Metropolitana, Lima, 15083, Perú</t>
  </si>
  <si>
    <t>Jirón Washington, 1509, Lima, Lima Metropolitana, Lima, 15083, Perú</t>
  </si>
  <si>
    <t>Avenida Alfonso Ugarte, 1235, Lima, Lima Metropolitana, Lima, 15083, Perú</t>
  </si>
  <si>
    <t>Avenida Alfonso Ugarte, 1378, Breña, Lima Metropolitana, Lima, 15083, Perú, (Ruta4507nueva era 23-10-23)</t>
  </si>
  <si>
    <t>Avenida Bolivia, 527, Breña, Lima Metropolitana, Lima, 15083, Perú</t>
  </si>
  <si>
    <t>Avenida Bolivia, 527, Breña, Lima Metropolitana, Lima, 15083, Perú, (Ruta4507nueva era 23-10-23)</t>
  </si>
  <si>
    <t>Avenida Alfonso Ugarte, 1227, Breña, Lima Metropolitana, Lima, 15083, Perú, (Ruta4507nueva era 23-10-23)</t>
  </si>
  <si>
    <t>Avenida Alfonso Ugarte, Lima, Lima Metropolitana, Lima, 15082, Perú, (Ruta4507nueva era 23-10-23)</t>
  </si>
  <si>
    <t>Jirón Pomabamba, 780, Breña, Lima Metropolitana, Lima, 15082, Perú</t>
  </si>
  <si>
    <t>Avenida Óscar Raimundo Benavides, 150, Lima, Lima Metropolitana, Lima, 15082, Perú, (Ruta4507nueva era 23-10-23)</t>
  </si>
  <si>
    <t>Jirón Ascope, 150, Lima, Lima Metropolitana, Lima, 15082, Perú</t>
  </si>
  <si>
    <t>Ciclovía Colonial, 100, Lima, Lima Metropolitana, Lima, 15082, Perú</t>
  </si>
  <si>
    <t>Avenida Óscar Raimundo Benavides, 300, Lima, Lima Metropolitana, Lima, 15082, Perú</t>
  </si>
  <si>
    <t>Avenida Alfonso Ugarte, 650, Lima, Lima Metropolitana, Lima, 15082, Perú</t>
  </si>
  <si>
    <t>Avenida Alfonso Ugarte, 699, Lima, Lima Metropolitana, Lima, 15082, Perú, (Ruta4507nueva era 23-10-23)</t>
  </si>
  <si>
    <t>Avenida Bolivia, 475, Breña, Lima Metropolitana, Lima, 15083, Perú</t>
  </si>
  <si>
    <t>Avenida Bolivia, 222, Lima, Lima Metropolitana, Lima, 15001, Perú</t>
  </si>
  <si>
    <t>Avenida Bolivia, 180, Lima, Lima Metropolitana, Lima, 15001, Perú</t>
  </si>
  <si>
    <t>Avenida José de la Riva Aguero, Lima, Lima Metropolitana, Lima, 15004, Perú, (Ruta4507nueva era 23-10-23)</t>
  </si>
  <si>
    <t>57 km/h</t>
  </si>
  <si>
    <t>Avenida José de la Riva Aguero, Lima, Lima Metropolitana, Lima, 15004, Perú</t>
  </si>
  <si>
    <t>Auxiliar Avenida Circunvalación, La Victoria, Lima Metropolitana, Lima, 15019, Perú</t>
  </si>
  <si>
    <t>Avenida Nicolás Arriola, San Luis, Lima Metropolitana, Lima, 15019, Perú, (RUTA DESVIO TEM.  4507)</t>
  </si>
  <si>
    <t>Avenida Nicolás de Ayllón, Ate, Lima Metropolitana, Lima, 15002, Perú, (Ruta4507nueva era 23-10-23)</t>
  </si>
  <si>
    <t>Avenida Minería, Santa Anita, Lima Metropolitana, Lima, 15008, Perú, (Ruta4507nueva era 23-10-23, RUTA DESVIO TEM.  4507)</t>
  </si>
  <si>
    <t>Avenida Los Cipreses, Santa Anita, Lima Metropolitana, Lima, 15008, Perú, (RUTA DESVIO TEM.  4507)</t>
  </si>
  <si>
    <t>Avenida Huancaray, Santa Anita, Lima Metropolitana, Lima, 15007, Perú, (S04 AV. Metropolitana / Colectora Industrial, RUTA DESVIO TEM.  4507)</t>
  </si>
  <si>
    <t>47 km/h</t>
  </si>
  <si>
    <t>Avenida Nicolás de Ayllón, 6376, Ate, Lima Metropolitana, Lima, 15498, Perú, (Ruta4507nueva era 23-10-23, RUTA DESVIO TEM.  4507)</t>
  </si>
  <si>
    <t>Carretera Central, Ate, Lima Metropolitana, Lima, 15487, Perú</t>
  </si>
  <si>
    <t>Calle B, Ate, Lima Metropolitana, Lima, 15483, Perú</t>
  </si>
  <si>
    <t>Avenida Gloria Grande, Ate, Lima Metropolitana, Lima, 15483, Perú</t>
  </si>
  <si>
    <t>Avenida Andrés Avelino Cáceres, Ate, Lima Metropolitana, Lima, 15483, Perú</t>
  </si>
  <si>
    <t>Avenida Los Incas, 205, Ate, Lima Metropolitana, Lima, 15483, Perú</t>
  </si>
  <si>
    <t>Avenida Jaime Zubieta Calderon, Ate, Lima Metropolitana, Lima, 15483, Perú</t>
  </si>
  <si>
    <t>Ate, Lima Metropolitana, Lima, 15487, Perú, (Ruta4507nueva era 23-10-23)</t>
  </si>
  <si>
    <t>Avenida Santa María, Ate, Lima Metropolitana, Lima, 15498, Perú, (RUTA DESVIO TEM.  4507)</t>
  </si>
  <si>
    <t>Prolongación Javier Prado Este, Ate, Lima Metropolitana, Lima, 15498, Perú, (RUTA DESVIO TEM.  4507)</t>
  </si>
  <si>
    <t>Avenida Huancaray, Santa Anita, Lima Metropolitana, Lima, 15007, Perú, (RUTA DESVIO TEM.  4507)</t>
  </si>
  <si>
    <t>Avenida 7 de Junio, Santa Anita, Lima Metropolitana, Lima, 15008, Perú, (RUTA DESVIO TEM.  4507)</t>
  </si>
  <si>
    <t>Avenida Francisco Bolognesi,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</si>
  <si>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</si>
  <si>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Perú, (RUTA DESVIO TEM.  4507)</t>
  </si>
  <si>
    <t>Avenida Nicolás de Ayllón, Santa Anita, Lima Metropolitana, Lima, 15008, Perú, (Ruta4507nueva era 23-10-23, RUTA DESVIO TEM.  4507)</t>
  </si>
  <si>
    <t>Avenida Nicolás de Ayllón, El Agustino, Lima Metropolitana, Lima, 15008, Perú, (Ruta4507nueva era 23-10-23, RUTA DESVIO TEM.  4507)</t>
  </si>
  <si>
    <t>Avenida Nicolás de Ayllón, 2941, El Agustino, Lima Metropolitana, Lima, 15002, Perú, (Ruta4507nueva era 23-10-23, RUTA DESVIO TEM.  4507)</t>
  </si>
  <si>
    <t>Avenida Nicolás de Ayllón, Ate, Lima Metropolitana, Lima, 15002, Perú, (Ruta4507nueva era 23-10-23, RUTA DESVIO TEM.  4507)</t>
  </si>
  <si>
    <t>Calle Ollanta, San Luis, Lima Metropolitana, Lima, 15019, Perú</t>
  </si>
  <si>
    <t>Inca Garcilaso de la Vega, Lima, Lima Metropolitana, Lima, 15019, Perú</t>
  </si>
  <si>
    <t>Calle Angel Cepollini, San Luis, Lima Metropolitana, Lima, 15019, Perú</t>
  </si>
  <si>
    <t>Avenida Circunvalación, La Victoria, Lima Metropolitana, Lima, 15019, Perú</t>
  </si>
  <si>
    <t>Calle Santa Inés, Ate, Lima Metropolitana, Lima, 15008, Perú, (Ruta4507nueva era 23-10-23, RUTA DESVIO TEM.  4507)</t>
  </si>
  <si>
    <t>Avenida Nicolás de Ayllón, Ate, Lima Metropolitana, Lima, 15498, Perú, (S05Vitarte/ ALT. Hospital)</t>
  </si>
  <si>
    <t>Avenida José Carlos Mariátegui, Ate, Lima Metropolitana, Lima, 15498, Perú, (S05Vitarte/ ALT. Hospital, Ruta4507nueva era 23-10-23)</t>
  </si>
  <si>
    <t>Avenida José Carlos Mariátegui, Ate, Lima Metropolitana, Lima, 15483, Perú</t>
  </si>
  <si>
    <t>Avenida Jaime Zubieta Calderon, Ate, Lima Metropolitana, Lima, 15483, Perú, (Ruta4507nueva era 23-10-23)</t>
  </si>
  <si>
    <t>Ate, Lima Metropolitana, Lima, 15487, Perú, (S06 SANTA CLARA, Ruta4507nueva era 23-10-23)</t>
  </si>
  <si>
    <t>Avenida Nicolás de Ayllón, 836, Ate, Lima Metropolitana, Lima, 15487, Perú, (Ruta4507nueva era 23-10-23)</t>
  </si>
  <si>
    <t>Avenida Central, Ate, Lima Metropolitana, Lima, 15498, Perú, (Ruta4507nueva era 23-10-23, RUTA DESVIO TEM.  4507)</t>
  </si>
  <si>
    <t>Avenida Bernardino Rivadavia, Ate, Lima Metropolitana, Lima, 15498, Perú, (RUTA DESVIO TEM.  4507)</t>
  </si>
  <si>
    <t>Avenida Huancaray, Santa Anita, Lima Metropolitana, Lima, 15009, Perú</t>
  </si>
  <si>
    <t>Calle Leonardo Da Vinci, Santa Anita, Lima Metropolitana, Lima, 15009, Perú</t>
  </si>
  <si>
    <t>Avenida Los Ruiseñores, Santa Anita, Lima Metropolitana, Lima, 15007, Perú, (RUTA DESVIO TEM.  4507)</t>
  </si>
  <si>
    <t>Avenida Santiago de Chuco, Santa Anita, Lima Metropolitana, Lima, 15008, Perú, (RUTA DESVIO TEM.  4507)</t>
  </si>
  <si>
    <t>Satuchi, Santa Anita, Lima Metropolitana, Lima, 15008, Perú, (RUTA DESVIO TEM.  4507)</t>
  </si>
  <si>
    <t>Avenida Francisco Bolognesi, 1082, Santa Anita, Lima Metropolitana, Lima, 15008, Perú, (RUTA DESVIO TEM.  4507)</t>
  </si>
  <si>
    <t>Pasaje Santa Rosa, Ate, Lima Metropolitana, Lima, 15008, Perú, (Ruta4507nueva era 23-10-23)</t>
  </si>
  <si>
    <t>Pasaje 9 de Setiembre, Ate, Lima Metropolitana, Lima, 15008, Perú, (Ruta4507nueva era 23-10-23)</t>
  </si>
  <si>
    <t>Avenida Nicolás de Ayllón, Km. 3.5, Santa Anita, Lima Metropolitana, Lima, 00051, Perú, (Ruta4507nueva era 23-10-23)</t>
  </si>
  <si>
    <t>Avenida Asturias, Ate, Lima Metropolitana, Lima, 00051, Perú, (Ruta4507nueva era 23-10-23)</t>
  </si>
  <si>
    <t>Avenida Simón Bolivar, Ate, Lima Metropolitana, Lima, 15498, Perú, (Ruta4507nueva era 23-10-23)</t>
  </si>
  <si>
    <t>Avenida Nicolás de Ayllón, 4770, Ate, Lima Metropolitana, Lima, 15498, Perú, (Ruta4507nueva era 23-10-23)</t>
  </si>
  <si>
    <t>Víctor Raúl Haya de la Torre, Ate, Lima Metropolitana, Lima, 15498, Perú</t>
  </si>
  <si>
    <t>Victor Raul Haya de la Torre, Ate, Lima Metropolitana, Lima, 15498, Perú, (Ruta4507nueva era 23-10-23, RUTA DESVIO TEM.  4507)</t>
  </si>
  <si>
    <t>Avenida Jaime Zubieta Calderón, Ate, Lima Metropolitana, Lima, 15483, Perú</t>
  </si>
  <si>
    <t>Ate, Lima Metropolitana, Lima, 15498, Perú, (Ruta4507nueva era 23-10-23)</t>
  </si>
  <si>
    <t>Avenida Separadora Industrial, Ate, Lima Metropolitana, Lima, 15498, Perú, (RUTA DESVIO TEM.  4507)</t>
  </si>
  <si>
    <t>Avenida Huancaray, Santa Anita, Lima Metropolitana, Lima, 15008, Perú, (RUTA DESVIO TEM.  4507)</t>
  </si>
  <si>
    <t>Avenida Manuel de la Torre Ugarte, Santa Anita, Lima Metropolitana, Lima, 15008, Perú, (RUTA DESVIO TEM.  4507)</t>
  </si>
  <si>
    <t>Avenida Santa Rosa, El Agustino, Lima Metropolitana, Lima, 15002, Perú, (Ruta4507nueva era 23-10-23, RUTA DESVIO TEM.  4507)</t>
  </si>
  <si>
    <t>Vía de Evitamiento, Ate, Lima Metropolitana, Lima, 15008, Perú</t>
  </si>
  <si>
    <t>Avenida Los Eucaliptos, Santa Anita, Lima Metropolitana, Lima, 15002, Perú</t>
  </si>
  <si>
    <t>Avenida Los Eucaliptos, Santa Anita, Lima Metropolitana, Lima, 15008, Perú</t>
  </si>
  <si>
    <t>Avenida Santa Rosa, Santa Anita, Lima Metropolitana, Lima, 15007, Perú, (RUTA DESVIO TEM.  4507)</t>
  </si>
  <si>
    <t>Avenida de La Cultura, Santa Anita, Lima Metropolitana, Lima, 15009, Perú, (RUTA DESVIO TEM.  4507)</t>
  </si>
  <si>
    <t>Calle 4, Ate, Lima Metropolitana, Lima, 15498, Perú</t>
  </si>
  <si>
    <t>Carretera Central, Ate, Lima Metropolitana, Lima, 15483, Perú, (Ruta4507nueva era 23-10-23)</t>
  </si>
  <si>
    <t>Carretera Central, Ate, Lima Metropolitana, Lima, 15474, Perú, (Horacio Zeballos)</t>
  </si>
  <si>
    <t>Avenida Malecón Manco Cápac, Chaclacayo, Lima Metropolitana, Lima, 15472, Perú, (Ruta4507nueva era 23-10-23)</t>
  </si>
  <si>
    <t>Avenida Nicolás Ayllón, 477, Chaclacayo, Lima Metropolitana, Lima, 15472, Perú</t>
  </si>
  <si>
    <t>Avenida Nicolás Ayllón, 477, Chaclacayo, Lima Metropolitana, Lima, 15472, Perú, (Ruta4507nueva era 23-10-23)</t>
  </si>
  <si>
    <t>Avenida Nicolás Ayllón, Chaclacayo, Lima Metropolitana, Lima, 15472, Perú, (Ruta4507nueva era 23-10-23)</t>
  </si>
  <si>
    <t>Carretera Central, Chaclacayo, Lima Metropolitana, Lima, 15464, Perú, (Ruta4507nueva era 23-10-23)</t>
  </si>
  <si>
    <t>Calle Progreso, Ate, Lima Metropolitana, Lima, 15498, Perú</t>
  </si>
  <si>
    <t>Avenida Metropolitana, Santa Anita, Lima Metropolitana, Lima, 15009, Perú</t>
  </si>
  <si>
    <t>Jirón Cornelio Borda, Breña, Lima Metropolitana, Lima, 15082, Perú, (Ruta4507nueva era 23-10-23)</t>
  </si>
  <si>
    <t>Chosica, Lima Metropolitana, Lima, 15468, Perú</t>
  </si>
  <si>
    <t>Avenida Iquitos, Lima, Lima Metropolitana, Lima, 15001, Perú, (Ruta4507nueva era 23-10-23)</t>
  </si>
  <si>
    <t>Avenida Almirante Miguel Grau, 243, Lima, Lima Metropolitana, Lima, 15001, Perú, (Ruta4507nueva era 23-10-23)</t>
  </si>
  <si>
    <t>81 km/h</t>
  </si>
  <si>
    <t>Avenida Lima Norte, Santa Eulalia, Huarochirí, Lima, 15468, Perú, (Ruta4507nueva era 23-10-23)</t>
  </si>
  <si>
    <t>Jose Carlos Mariátegui, Chosica, Lima Metropolitana, Lima, 15468, Perú, (PARADERO RICARDO PALMA)</t>
  </si>
  <si>
    <t>Avenida Óscar Raimundo Benavides, 301, Lima, Lima Metropolitana, Lima, 15082, Perú</t>
  </si>
  <si>
    <t>80 km/h</t>
  </si>
  <si>
    <t>Avenida Río Perene, Ate, Lima Metropolitana, Lima, 15498, Perú</t>
  </si>
  <si>
    <t>Jirón Ascope, Lima, Lima Metropolitana, Lima, 15082, Perú, (PARADERO DESTINO ASCOPE, Ruta4507nueva era 23-10-23)</t>
  </si>
  <si>
    <t>Vía de Evitamiento, Ate, Lima Metropolitana, Lima, 15008, Perú, (Ruta4507nueva era 23-10-23)</t>
  </si>
  <si>
    <t>Calle Arequipa, Ate, Lima Metropolitana, Lima, 15498, Perú</t>
  </si>
  <si>
    <t>Avenida Nicolás Ayllón, 137, Lima, Lima Metropolitana, Lima, 15011, Perú, (Ruta4507nueva era 23-10-23)</t>
  </si>
  <si>
    <t>Jirón Sánchez Pinillos, Lima, Lima Metropolitana, Lima, 15082, Perú, (Ruta4507nueva era 23-10-23)</t>
  </si>
  <si>
    <t>Venta, Ate, Lima Metropolitana, Lima, 15474, Perú</t>
  </si>
  <si>
    <t>Avenida Lima Norte, Santa Eulalia, Huarochirí, Lima, 15468, Perú</t>
  </si>
  <si>
    <t>Capitan Gamarra, Ricardo Palma, Huarochirí, Lima, 15468, Perú, (Ruta4507nueva era 23-10-23)</t>
  </si>
  <si>
    <t>Malecon Jose Olaya, Cerro Azul, Cañete, Lima, Perú</t>
  </si>
  <si>
    <t>Avenida Integración, Chaclacayo, Lima Metropolitana, Lima, 15476, Perú</t>
  </si>
  <si>
    <t>Avenida Alfonso Cobián, Chaclacayo, Lima Metropolitana, Lima, 15476, Perú</t>
  </si>
  <si>
    <t>Calle Alhelíes, Chaclacayo, Lima Metropolitana, Lima, 15476, Perú</t>
  </si>
  <si>
    <t>Jirón Tacna, Chosica, Lima Metropolitana, Lima, 15468, Perú</t>
  </si>
  <si>
    <t>Jirón Ascope, Lima, Lima Metropolitana, Lima, 15079, Perú</t>
  </si>
  <si>
    <t>Jirón Miguel de Cervantes, Lima, Lima Metropolitana, Lima, 15083, Perú</t>
  </si>
  <si>
    <t>Avenida Andrés Avelino Cáceres, Ate, Lima Metropolitana, Lima, 15474, Perú</t>
  </si>
  <si>
    <t>Calle 35, Santa Anita, Lima Metropolitana, Lima, 15009, Perú</t>
  </si>
  <si>
    <t>Avenida Camino Real, Santa Anita, Lima Metropolitana, Lima, 15009, Perú</t>
  </si>
  <si>
    <t>Avenida Nicolás de Ayllón, Santa Anita, Lima Metropolitana, Lima, 15008, Perú, (Ruta4507nueva era 23-10-23)</t>
  </si>
  <si>
    <t>Avenida Nicolás Ayllón, Ate, Lima Metropolitana, Lima, 15019, Perú, (Ruta4507nueva era 23-10-23)</t>
  </si>
  <si>
    <t>Jirón Sicaya, 110, Ate, Lima Metropolitana, Lima, 15019, Perú</t>
  </si>
  <si>
    <t>Avenida José de la Riva Aguero, El Agustino, Lima Metropolitana, Lima, 15004, Perú</t>
  </si>
  <si>
    <t>Calle Abraham Valdelomar, 108, Ricardo Palma, Huarochirí, Lima, 15468, Perú</t>
  </si>
  <si>
    <t>Avenida Almirante Miguel Grau, 813, Lima, Lima Metropolitana, Lima, 15001, Perú, (Ruta4507nueva era 23-10-23)</t>
  </si>
  <si>
    <t>Vía Expresa Almirante Miguel Grau, Lima, Lima Metropolitana, Lima, 15001, Perú, (Ruta4507nueva era 23-10-23)</t>
  </si>
  <si>
    <t>67 km/h</t>
  </si>
  <si>
    <t>Metropolitano, Lima, Lima Metropolitana, Lima, 15001, Perú, (Ruta4507nueva era 23-10-23)</t>
  </si>
  <si>
    <t>Avenida Lima Sur, Chosica, Lima Metropolitana, Lima, 15468, Perú</t>
  </si>
  <si>
    <t>Avenida Alfonso Ugarte, 494, Breña, Lima Metropolitana, Lima, 15083, Perú, (Ruta4507nueva era 23-10-23)</t>
  </si>
  <si>
    <t>Avenida Andrés Avelino Cáceres, Frnt. 84, Ate, Lima Metropolitana, Lima, 15483, Perú</t>
  </si>
  <si>
    <t>Avenida Nicolás Ayllón, Chaclacayo, Lima Metropolitana, Lima, 15472, Perú</t>
  </si>
  <si>
    <t>Puente Huampaní, Chaclacayo, Lima Metropolitana, Lima, 15472, Perú</t>
  </si>
  <si>
    <t>Auxiliar Avenida República de Venezuela, San Miguel, Lima Metropolitana, Lima, 06011, Perú</t>
  </si>
  <si>
    <t>Chaclacayo, Lima Metropolitana, Lima, 15476, Perú</t>
  </si>
  <si>
    <t>Alameda D, Chaclacayo, Lima Metropolitana, Lima, 15474, Perú</t>
  </si>
  <si>
    <t>LM-123, Naplo, Lima Metropolitana, Lima, 15866, Perú</t>
  </si>
  <si>
    <t>Alexander Von Humboldt, Naplo, Lima Metropolitana, Lima, 15866, Perú</t>
  </si>
  <si>
    <t>Calle Cesar Vallejo, Ricardo Palma, Huarochirí, Lima, 15468, Perú</t>
  </si>
  <si>
    <t>Avenida José Carlos Mariátegui, Ricardo Palma, Huarochirí, Lima, 15468, Perú, (CURVA RICARDO PALMA, Ruta4507nueva era 23-10-23)</t>
  </si>
  <si>
    <t>Jirón Coronel Miguel Baquero, 190, Lima, Lima Metropolitana, Lima, 15082, Perú</t>
  </si>
  <si>
    <t>63 km/h</t>
  </si>
  <si>
    <t>Calle 20 de Enero, Santa Eulalia, Huarochirí, Lima, 15468, Perú</t>
  </si>
  <si>
    <t>Avenida República de Venezuela, 3400, Bellavista, Lima Metropolitana, Callao, 06011, Perú</t>
  </si>
  <si>
    <t>Avenida Micaela Bastidas, Santa Eulalia, Huarochirí, Lima, 15468, Perú</t>
  </si>
  <si>
    <t>Alameda E, Chaclacayo, Lima Metropolitana, Lima, 15476, Perú</t>
  </si>
  <si>
    <t>Carretera Central, Ricardo Palma, Huarochirí, Lima, 15468, Perú</t>
  </si>
  <si>
    <t>Avenida Santa María, Ate, Lima Metropolitana, Lima, 15498, Perú</t>
  </si>
  <si>
    <t>Avenida Nicolás de Ayllón, 4770, Ate, Lima Metropolitana, Lima, 15498, Perú</t>
  </si>
  <si>
    <t>Jirón Huarochirí, 643, Lima, Lima Metropolitana, Lima, 15082, Perú, (Ruta4507nueva era 23-10-23)</t>
  </si>
  <si>
    <t>Avenida Óscar Raimundo Benavides, 100, Lima, Lima Metropolitana, Lima, 15082, Perú</t>
  </si>
  <si>
    <t>Avenida Lima Norte, Chosica, Lima Metropolitana, Lima, 15468, Perú, (Ruta4507nueva era 23-10-23)</t>
  </si>
  <si>
    <t>Avenida Inca Garcilazo de la Vega, Lima, Lima Metropolitana, Lima, 15004, Perú</t>
  </si>
  <si>
    <t>112 km/h</t>
  </si>
  <si>
    <t>88 km/h</t>
  </si>
  <si>
    <t>108 km/h</t>
  </si>
  <si>
    <t>111 km/h</t>
  </si>
  <si>
    <t>Avenida Paseo de la República, Lima, Lima Metropolitana, Lima, 15083, Perú</t>
  </si>
  <si>
    <t>Avenida Universitaria, Lima, Lima Metropolitana, Lima, 15032, Perú</t>
  </si>
  <si>
    <t>Avenida Universitaria, San Miguel, Lima Metropolitana, Lima, 15032, Perú</t>
  </si>
  <si>
    <t>Jirón Los Próceres, Santa Eulalia, Huarochirí, Lima, 15468, Perú</t>
  </si>
  <si>
    <t>Jirón Trujillo Sur, Chosica, Lima Metropolitana, Lima, 15468,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</si>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</sst>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112"/>
  <sheetViews>
    <sheetView tabSelected="1" workbookViewId="0">
      <selection activeCell="A6" sqref="A6:J6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395</v>
      </c>
      <c r="B8" s="3">
        <v>45697.24827546296</v>
      </c>
      <c r="C8" t="s">
        <v>18</v>
      </c>
      <c r="D8" s="3">
        <v>45697.849814814814</v>
      </c>
      <c r="E8" t="s">
        <v>18</v>
      </c>
      <c r="F8" s="4">
        <v>220.786</v>
      </c>
      <c r="G8" s="4">
        <v>513362.65100000001</v>
      </c>
      <c r="H8" s="4">
        <v>513583.43699999998</v>
      </c>
      <c r="I8" s="5">
        <f>15235 / 86400</f>
        <v>0.17633101851851851</v>
      </c>
      <c r="J8" t="s">
        <v>19</v>
      </c>
      <c r="K8" t="s">
        <v>20</v>
      </c>
      <c r="L8" s="5">
        <f>45142 / 86400</f>
        <v>0.52247685185185189</v>
      </c>
      <c r="M8" s="5">
        <f>41253 / 86400</f>
        <v>0.47746527777777775</v>
      </c>
    </row>
    <row r="9" spans="1:13" x14ac:dyDescent="0.25">
      <c r="A9" t="s">
        <v>396</v>
      </c>
      <c r="B9" s="3">
        <v>45697.259305555555</v>
      </c>
      <c r="C9" t="s">
        <v>21</v>
      </c>
      <c r="D9" s="3">
        <v>45697.943854166668</v>
      </c>
      <c r="E9" t="s">
        <v>21</v>
      </c>
      <c r="F9" s="4">
        <v>295.07300000000004</v>
      </c>
      <c r="G9" s="4">
        <v>18079.128000000001</v>
      </c>
      <c r="H9" s="4">
        <v>18374.201000000001</v>
      </c>
      <c r="I9" s="5">
        <f>16751 / 86400</f>
        <v>0.19387731481481482</v>
      </c>
      <c r="J9" t="s">
        <v>22</v>
      </c>
      <c r="K9" t="s">
        <v>23</v>
      </c>
      <c r="L9" s="5">
        <f>55979 / 86400</f>
        <v>0.64790509259259255</v>
      </c>
      <c r="M9" s="5">
        <f>30417 / 86400</f>
        <v>0.35204861111111113</v>
      </c>
    </row>
    <row r="10" spans="1:13" x14ac:dyDescent="0.25">
      <c r="A10" t="s">
        <v>397</v>
      </c>
      <c r="B10" s="3">
        <v>45697.28324074074</v>
      </c>
      <c r="C10" t="s">
        <v>24</v>
      </c>
      <c r="D10" s="3">
        <v>45697.86928240741</v>
      </c>
      <c r="E10" t="s">
        <v>24</v>
      </c>
      <c r="F10" s="4">
        <v>275.048</v>
      </c>
      <c r="G10" s="4">
        <v>327801.174</v>
      </c>
      <c r="H10" s="4">
        <v>328076.22200000001</v>
      </c>
      <c r="I10" s="5">
        <f>13841 / 86400</f>
        <v>0.16019675925925925</v>
      </c>
      <c r="J10" t="s">
        <v>25</v>
      </c>
      <c r="K10" t="s">
        <v>26</v>
      </c>
      <c r="L10" s="5">
        <f>45721 / 86400</f>
        <v>0.52917824074074071</v>
      </c>
      <c r="M10" s="5">
        <f>40675 / 86400</f>
        <v>0.47077546296296297</v>
      </c>
    </row>
    <row r="11" spans="1:13" x14ac:dyDescent="0.25">
      <c r="A11" t="s">
        <v>398</v>
      </c>
      <c r="B11" s="3">
        <v>45697.05877314815</v>
      </c>
      <c r="C11" t="s">
        <v>27</v>
      </c>
      <c r="D11" s="3">
        <v>45697.547523148147</v>
      </c>
      <c r="E11" t="s">
        <v>27</v>
      </c>
      <c r="F11" s="4">
        <v>2.2080000000000002</v>
      </c>
      <c r="G11" s="4">
        <v>20472.813999999998</v>
      </c>
      <c r="H11" s="4">
        <v>20475.022000000001</v>
      </c>
      <c r="I11" s="5">
        <f>698 / 86400</f>
        <v>8.0787037037037043E-3</v>
      </c>
      <c r="J11" t="s">
        <v>28</v>
      </c>
      <c r="K11" t="s">
        <v>29</v>
      </c>
      <c r="L11" s="5">
        <f>1384 / 86400</f>
        <v>1.6018518518518519E-2</v>
      </c>
      <c r="M11" s="5">
        <f>85014 / 86400</f>
        <v>0.98395833333333338</v>
      </c>
    </row>
    <row r="12" spans="1:13" x14ac:dyDescent="0.25">
      <c r="A12" t="s">
        <v>399</v>
      </c>
      <c r="B12" s="3">
        <v>45697.236979166672</v>
      </c>
      <c r="C12" t="s">
        <v>30</v>
      </c>
      <c r="D12" s="3">
        <v>45697.879062499997</v>
      </c>
      <c r="E12" t="s">
        <v>30</v>
      </c>
      <c r="F12" s="4">
        <v>228.977</v>
      </c>
      <c r="G12" s="4">
        <v>512575.52</v>
      </c>
      <c r="H12" s="4">
        <v>512804.49699999997</v>
      </c>
      <c r="I12" s="5">
        <f>16127 / 86400</f>
        <v>0.18665509259259258</v>
      </c>
      <c r="J12" t="s">
        <v>31</v>
      </c>
      <c r="K12" t="s">
        <v>20</v>
      </c>
      <c r="L12" s="5">
        <f>46124 / 86400</f>
        <v>0.53384259259259259</v>
      </c>
      <c r="M12" s="5">
        <f>40269 / 86400</f>
        <v>0.46607638888888892</v>
      </c>
    </row>
    <row r="13" spans="1:13" x14ac:dyDescent="0.25">
      <c r="A13" t="s">
        <v>400</v>
      </c>
      <c r="B13" s="3">
        <v>45697.364976851852</v>
      </c>
      <c r="C13" t="s">
        <v>27</v>
      </c>
      <c r="D13" s="3">
        <v>45697.545185185183</v>
      </c>
      <c r="E13" t="s">
        <v>27</v>
      </c>
      <c r="F13" s="4">
        <v>6.6230000000000002</v>
      </c>
      <c r="G13" s="4">
        <v>91828.532999999996</v>
      </c>
      <c r="H13" s="4">
        <v>91835.156000000003</v>
      </c>
      <c r="I13" s="5">
        <f>678 / 86400</f>
        <v>7.8472222222222224E-3</v>
      </c>
      <c r="J13" t="s">
        <v>32</v>
      </c>
      <c r="K13" t="s">
        <v>33</v>
      </c>
      <c r="L13" s="5">
        <f>2457 / 86400</f>
        <v>2.8437500000000001E-2</v>
      </c>
      <c r="M13" s="5">
        <f>83940 / 86400</f>
        <v>0.97152777777777777</v>
      </c>
    </row>
    <row r="14" spans="1:13" x14ac:dyDescent="0.25">
      <c r="A14" t="s">
        <v>401</v>
      </c>
      <c r="B14" s="3">
        <v>45697.299016203702</v>
      </c>
      <c r="C14" t="s">
        <v>18</v>
      </c>
      <c r="D14" s="3">
        <v>45697.901261574079</v>
      </c>
      <c r="E14" t="s">
        <v>18</v>
      </c>
      <c r="F14" s="4">
        <v>205.14699999999999</v>
      </c>
      <c r="G14" s="4">
        <v>136885.228</v>
      </c>
      <c r="H14" s="4">
        <v>137090.375</v>
      </c>
      <c r="I14" s="5">
        <f>11519 / 86400</f>
        <v>0.13332175925925926</v>
      </c>
      <c r="J14" t="s">
        <v>34</v>
      </c>
      <c r="K14" t="s">
        <v>23</v>
      </c>
      <c r="L14" s="5">
        <f>37949 / 86400</f>
        <v>0.43922453703703701</v>
      </c>
      <c r="M14" s="5">
        <f>48444 / 86400</f>
        <v>0.5606944444444445</v>
      </c>
    </row>
    <row r="15" spans="1:13" x14ac:dyDescent="0.25">
      <c r="A15" t="s">
        <v>402</v>
      </c>
      <c r="B15" s="3">
        <v>45697</v>
      </c>
      <c r="C15" t="s">
        <v>35</v>
      </c>
      <c r="D15" s="3">
        <v>45697.998402777783</v>
      </c>
      <c r="E15" t="s">
        <v>36</v>
      </c>
      <c r="F15" s="4">
        <v>290.46239284431937</v>
      </c>
      <c r="G15" s="4">
        <v>347119.02096250013</v>
      </c>
      <c r="H15" s="4">
        <v>347422.54828786128</v>
      </c>
      <c r="I15" s="5">
        <f>0 / 86400</f>
        <v>0</v>
      </c>
      <c r="J15" t="s">
        <v>37</v>
      </c>
      <c r="K15" t="s">
        <v>26</v>
      </c>
      <c r="L15" s="5">
        <f>47723 / 86400</f>
        <v>0.55234953703703704</v>
      </c>
      <c r="M15" s="5">
        <f>38676 / 86400</f>
        <v>0.44763888888888886</v>
      </c>
    </row>
    <row r="16" spans="1:13" x14ac:dyDescent="0.25">
      <c r="A16" t="s">
        <v>403</v>
      </c>
      <c r="B16" s="3">
        <v>45697.480115740742</v>
      </c>
      <c r="C16" t="s">
        <v>38</v>
      </c>
      <c r="D16" s="3">
        <v>45697.486064814817</v>
      </c>
      <c r="E16" t="s">
        <v>38</v>
      </c>
      <c r="F16" s="4">
        <v>4.2999999999999997E-2</v>
      </c>
      <c r="G16" s="4">
        <v>507529.34</v>
      </c>
      <c r="H16" s="4">
        <v>507529.38299999997</v>
      </c>
      <c r="I16" s="5">
        <f>139 / 86400</f>
        <v>1.6087962962962963E-3</v>
      </c>
      <c r="J16" t="s">
        <v>39</v>
      </c>
      <c r="K16" t="s">
        <v>40</v>
      </c>
      <c r="L16" s="5">
        <f>211 / 86400</f>
        <v>2.4421296296296296E-3</v>
      </c>
      <c r="M16" s="5">
        <f>86187 / 86400</f>
        <v>0.99753472222222217</v>
      </c>
    </row>
    <row r="17" spans="1:13" x14ac:dyDescent="0.25">
      <c r="A17" t="s">
        <v>404</v>
      </c>
      <c r="B17" s="3">
        <v>45697.352175925931</v>
      </c>
      <c r="C17" t="s">
        <v>41</v>
      </c>
      <c r="D17" s="3">
        <v>45697.902708333335</v>
      </c>
      <c r="E17" t="s">
        <v>41</v>
      </c>
      <c r="F17" s="4">
        <v>200.893</v>
      </c>
      <c r="G17" s="4">
        <v>436814.23100000003</v>
      </c>
      <c r="H17" s="4">
        <v>437015.12400000001</v>
      </c>
      <c r="I17" s="5">
        <f>11438 / 86400</f>
        <v>0.13238425925925926</v>
      </c>
      <c r="J17" t="s">
        <v>31</v>
      </c>
      <c r="K17" t="s">
        <v>23</v>
      </c>
      <c r="L17" s="5">
        <f>38703 / 86400</f>
        <v>0.44795138888888891</v>
      </c>
      <c r="M17" s="5">
        <f>47694 / 86400</f>
        <v>0.55201388888888892</v>
      </c>
    </row>
    <row r="18" spans="1:13" x14ac:dyDescent="0.25">
      <c r="A18" t="s">
        <v>405</v>
      </c>
      <c r="B18" s="3">
        <v>45697.286203703705</v>
      </c>
      <c r="C18" t="s">
        <v>42</v>
      </c>
      <c r="D18" s="3">
        <v>45697.796296296292</v>
      </c>
      <c r="E18" t="s">
        <v>21</v>
      </c>
      <c r="F18" s="4">
        <v>198.86699999999999</v>
      </c>
      <c r="G18" s="4">
        <v>53484.400999999998</v>
      </c>
      <c r="H18" s="4">
        <v>53683.267999999996</v>
      </c>
      <c r="I18" s="5">
        <f>11627 / 86400</f>
        <v>0.13457175925925927</v>
      </c>
      <c r="J18" t="s">
        <v>25</v>
      </c>
      <c r="K18" t="s">
        <v>23</v>
      </c>
      <c r="L18" s="5">
        <f>38408 / 86400</f>
        <v>0.44453703703703706</v>
      </c>
      <c r="M18" s="5">
        <f>47988 / 86400</f>
        <v>0.55541666666666667</v>
      </c>
    </row>
    <row r="19" spans="1:13" x14ac:dyDescent="0.25">
      <c r="A19" t="s">
        <v>406</v>
      </c>
      <c r="B19" s="3">
        <v>45697.258113425924</v>
      </c>
      <c r="C19" t="s">
        <v>43</v>
      </c>
      <c r="D19" s="3">
        <v>45697.98538194444</v>
      </c>
      <c r="E19" t="s">
        <v>44</v>
      </c>
      <c r="F19" s="4">
        <v>264.11</v>
      </c>
      <c r="G19" s="4">
        <v>215173.57699999999</v>
      </c>
      <c r="H19" s="4">
        <v>215437.68700000001</v>
      </c>
      <c r="I19" s="5">
        <f>17764 / 86400</f>
        <v>0.20560185185185184</v>
      </c>
      <c r="J19" t="s">
        <v>45</v>
      </c>
      <c r="K19" t="s">
        <v>20</v>
      </c>
      <c r="L19" s="5">
        <f>53999 / 86400</f>
        <v>0.62498842592592596</v>
      </c>
      <c r="M19" s="5">
        <f>32395 / 86400</f>
        <v>0.37494212962962964</v>
      </c>
    </row>
    <row r="20" spans="1:13" x14ac:dyDescent="0.25">
      <c r="A20" t="s">
        <v>407</v>
      </c>
      <c r="B20" s="3">
        <v>45697.265023148153</v>
      </c>
      <c r="C20" t="s">
        <v>46</v>
      </c>
      <c r="D20" s="3">
        <v>45697.798645833333</v>
      </c>
      <c r="E20" t="s">
        <v>47</v>
      </c>
      <c r="F20" s="4">
        <v>236.15899999999999</v>
      </c>
      <c r="G20" s="4">
        <v>524421.83700000006</v>
      </c>
      <c r="H20" s="4">
        <v>524657.99600000004</v>
      </c>
      <c r="I20" s="5">
        <f>11256 / 86400</f>
        <v>0.13027777777777777</v>
      </c>
      <c r="J20" t="s">
        <v>48</v>
      </c>
      <c r="K20" t="s">
        <v>49</v>
      </c>
      <c r="L20" s="5">
        <f>39714 / 86400</f>
        <v>0.4596527777777778</v>
      </c>
      <c r="M20" s="5">
        <f>46681 / 86400</f>
        <v>0.5402893518518519</v>
      </c>
    </row>
    <row r="21" spans="1:13" x14ac:dyDescent="0.25">
      <c r="A21" t="s">
        <v>408</v>
      </c>
      <c r="B21" s="3">
        <v>45697.263333333336</v>
      </c>
      <c r="C21" t="s">
        <v>50</v>
      </c>
      <c r="D21" s="3">
        <v>45697.822465277779</v>
      </c>
      <c r="E21" t="s">
        <v>50</v>
      </c>
      <c r="F21" s="4">
        <v>198.93799999999999</v>
      </c>
      <c r="G21" s="4">
        <v>425320.15500000003</v>
      </c>
      <c r="H21" s="4">
        <v>425519.09299999999</v>
      </c>
      <c r="I21" s="5">
        <f>11113 / 86400</f>
        <v>0.12862268518518519</v>
      </c>
      <c r="J21" t="s">
        <v>37</v>
      </c>
      <c r="K21" t="s">
        <v>23</v>
      </c>
      <c r="L21" s="5">
        <f>38317 / 86400</f>
        <v>0.44348379629629631</v>
      </c>
      <c r="M21" s="5">
        <f>48073 / 86400</f>
        <v>0.55640046296296297</v>
      </c>
    </row>
    <row r="22" spans="1:13" x14ac:dyDescent="0.25">
      <c r="A22" t="s">
        <v>409</v>
      </c>
      <c r="B22" s="3">
        <v>45697.272280092591</v>
      </c>
      <c r="C22" t="s">
        <v>27</v>
      </c>
      <c r="D22" s="3">
        <v>45697.756273148145</v>
      </c>
      <c r="E22" t="s">
        <v>27</v>
      </c>
      <c r="F22" s="4">
        <v>190.07500000000002</v>
      </c>
      <c r="G22" s="4">
        <v>12105.512000000001</v>
      </c>
      <c r="H22" s="4">
        <v>12295.587</v>
      </c>
      <c r="I22" s="5">
        <f>12028 / 86400</f>
        <v>0.13921296296296296</v>
      </c>
      <c r="J22" t="s">
        <v>51</v>
      </c>
      <c r="K22" t="s">
        <v>20</v>
      </c>
      <c r="L22" s="5">
        <f>37667 / 86400</f>
        <v>0.43596064814814817</v>
      </c>
      <c r="M22" s="5">
        <f>48811 / 86400</f>
        <v>0.56494212962962964</v>
      </c>
    </row>
    <row r="23" spans="1:13" x14ac:dyDescent="0.25">
      <c r="A23" t="s">
        <v>410</v>
      </c>
      <c r="B23" s="3">
        <v>45697.272152777776</v>
      </c>
      <c r="C23" t="s">
        <v>27</v>
      </c>
      <c r="D23" s="3">
        <v>45697.278831018513</v>
      </c>
      <c r="E23" t="s">
        <v>27</v>
      </c>
      <c r="F23" s="4">
        <v>0.124</v>
      </c>
      <c r="G23" s="4">
        <v>5063.6940000000004</v>
      </c>
      <c r="H23" s="4">
        <v>5063.8180000000002</v>
      </c>
      <c r="I23" s="5">
        <f>419 / 86400</f>
        <v>4.8495370370370368E-3</v>
      </c>
      <c r="J23" t="s">
        <v>52</v>
      </c>
      <c r="K23" t="s">
        <v>40</v>
      </c>
      <c r="L23" s="5">
        <f>577 / 86400</f>
        <v>6.6782407407407407E-3</v>
      </c>
      <c r="M23" s="5">
        <f>85822 / 86400</f>
        <v>0.99331018518518521</v>
      </c>
    </row>
    <row r="24" spans="1:13" x14ac:dyDescent="0.25">
      <c r="A24" t="s">
        <v>411</v>
      </c>
      <c r="B24" s="3">
        <v>45697.315787037034</v>
      </c>
      <c r="C24" t="s">
        <v>53</v>
      </c>
      <c r="D24" s="3">
        <v>45697.993298611109</v>
      </c>
      <c r="E24" t="s">
        <v>54</v>
      </c>
      <c r="F24" s="4">
        <v>255.78399999999999</v>
      </c>
      <c r="G24" s="4">
        <v>392069.90600000002</v>
      </c>
      <c r="H24" s="4">
        <v>392325.69</v>
      </c>
      <c r="I24" s="5">
        <f>16946 / 86400</f>
        <v>0.19613425925925926</v>
      </c>
      <c r="J24" t="s">
        <v>19</v>
      </c>
      <c r="K24" t="s">
        <v>23</v>
      </c>
      <c r="L24" s="5">
        <f>48466 / 86400</f>
        <v>0.56094907407407413</v>
      </c>
      <c r="M24" s="5">
        <f>37926 / 86400</f>
        <v>0.43895833333333334</v>
      </c>
    </row>
    <row r="25" spans="1:13" x14ac:dyDescent="0.25">
      <c r="A25" t="s">
        <v>412</v>
      </c>
      <c r="B25" s="3">
        <v>45697.147696759261</v>
      </c>
      <c r="C25" t="s">
        <v>55</v>
      </c>
      <c r="D25" s="3">
        <v>45697.562627314815</v>
      </c>
      <c r="E25" t="s">
        <v>55</v>
      </c>
      <c r="F25" s="4">
        <v>169.26300000000001</v>
      </c>
      <c r="G25" s="4">
        <v>522358.04700000002</v>
      </c>
      <c r="H25" s="4">
        <v>522527.31</v>
      </c>
      <c r="I25" s="5">
        <f>9251 / 86400</f>
        <v>0.10707175925925926</v>
      </c>
      <c r="J25" t="s">
        <v>56</v>
      </c>
      <c r="K25" t="s">
        <v>23</v>
      </c>
      <c r="L25" s="5">
        <f>31947 / 86400</f>
        <v>0.36975694444444446</v>
      </c>
      <c r="M25" s="5">
        <f>54449 / 86400</f>
        <v>0.63019675925925922</v>
      </c>
    </row>
    <row r="26" spans="1:13" x14ac:dyDescent="0.25">
      <c r="A26" t="s">
        <v>413</v>
      </c>
      <c r="B26" s="3">
        <v>45697.409351851849</v>
      </c>
      <c r="C26" t="s">
        <v>57</v>
      </c>
      <c r="D26" s="3">
        <v>45697.992326388892</v>
      </c>
      <c r="E26" t="s">
        <v>58</v>
      </c>
      <c r="F26" s="4">
        <v>226.09800000000001</v>
      </c>
      <c r="G26" s="4">
        <v>411067.73300000001</v>
      </c>
      <c r="H26" s="4">
        <v>411293.83100000001</v>
      </c>
      <c r="I26" s="5">
        <f>13474 / 86400</f>
        <v>0.15594907407407407</v>
      </c>
      <c r="J26" t="s">
        <v>59</v>
      </c>
      <c r="K26" t="s">
        <v>20</v>
      </c>
      <c r="L26" s="5">
        <f>45792 / 86400</f>
        <v>0.53</v>
      </c>
      <c r="M26" s="5">
        <f>40605 / 86400</f>
        <v>0.4699652777777778</v>
      </c>
    </row>
    <row r="27" spans="1:13" x14ac:dyDescent="0.25">
      <c r="A27" t="s">
        <v>414</v>
      </c>
      <c r="B27" s="3">
        <v>45697.258298611108</v>
      </c>
      <c r="C27" t="s">
        <v>60</v>
      </c>
      <c r="D27" s="3">
        <v>45697.748738425929</v>
      </c>
      <c r="E27" t="s">
        <v>60</v>
      </c>
      <c r="F27" s="4">
        <v>205.90899999999999</v>
      </c>
      <c r="G27" s="4">
        <v>401973.83399999997</v>
      </c>
      <c r="H27" s="4">
        <v>402179.74300000002</v>
      </c>
      <c r="I27" s="5">
        <f>11379 / 86400</f>
        <v>0.13170138888888888</v>
      </c>
      <c r="J27" t="s">
        <v>61</v>
      </c>
      <c r="K27" t="s">
        <v>23</v>
      </c>
      <c r="L27" s="5">
        <f>39178 / 86400</f>
        <v>0.45344907407407409</v>
      </c>
      <c r="M27" s="5">
        <f>47218 / 86400</f>
        <v>0.54650462962962965</v>
      </c>
    </row>
    <row r="28" spans="1:13" x14ac:dyDescent="0.25">
      <c r="A28" t="s">
        <v>415</v>
      </c>
      <c r="B28" s="3">
        <v>45697.736157407402</v>
      </c>
      <c r="C28" t="s">
        <v>62</v>
      </c>
      <c r="D28" s="3">
        <v>45697.736817129626</v>
      </c>
      <c r="E28" t="s">
        <v>62</v>
      </c>
      <c r="F28" s="4">
        <v>8.0000000000000002E-3</v>
      </c>
      <c r="G28" s="4">
        <v>40315.968999999997</v>
      </c>
      <c r="H28" s="4">
        <v>40315.976999999999</v>
      </c>
      <c r="I28" s="5">
        <f>39 / 86400</f>
        <v>4.5138888888888887E-4</v>
      </c>
      <c r="J28" t="s">
        <v>63</v>
      </c>
      <c r="K28" t="s">
        <v>40</v>
      </c>
      <c r="L28" s="5">
        <f>57 / 86400</f>
        <v>6.5972222222222224E-4</v>
      </c>
      <c r="M28" s="5">
        <f>86342 / 86400</f>
        <v>0.99932870370370375</v>
      </c>
    </row>
    <row r="29" spans="1:13" x14ac:dyDescent="0.25">
      <c r="A29" t="s">
        <v>416</v>
      </c>
      <c r="B29" s="3">
        <v>45697</v>
      </c>
      <c r="C29" t="s">
        <v>64</v>
      </c>
      <c r="D29" s="3">
        <v>45697.927442129629</v>
      </c>
      <c r="E29" t="s">
        <v>54</v>
      </c>
      <c r="F29" s="4">
        <v>278.65800000000002</v>
      </c>
      <c r="G29" s="4">
        <v>45278.881999999998</v>
      </c>
      <c r="H29" s="4">
        <v>45557.54</v>
      </c>
      <c r="I29" s="5">
        <f>3477 / 86400</f>
        <v>4.0243055555555553E-2</v>
      </c>
      <c r="J29" t="s">
        <v>65</v>
      </c>
      <c r="K29" t="s">
        <v>32</v>
      </c>
      <c r="L29" s="5">
        <f>25407 / 86400</f>
        <v>0.2940625</v>
      </c>
      <c r="M29" s="5">
        <f>60991 / 86400</f>
        <v>0.70591435185185181</v>
      </c>
    </row>
    <row r="30" spans="1:13" x14ac:dyDescent="0.25">
      <c r="A30" t="s">
        <v>417</v>
      </c>
      <c r="B30" s="3">
        <v>45697</v>
      </c>
      <c r="C30" t="s">
        <v>66</v>
      </c>
      <c r="D30" s="3">
        <v>45697.99998842593</v>
      </c>
      <c r="E30" t="s">
        <v>67</v>
      </c>
      <c r="F30" s="4">
        <v>343.21</v>
      </c>
      <c r="G30" s="4">
        <v>526586.59600000002</v>
      </c>
      <c r="H30" s="4">
        <v>526929.80599999998</v>
      </c>
      <c r="I30" s="5">
        <f>22594 / 86400</f>
        <v>0.26150462962962961</v>
      </c>
      <c r="J30" t="s">
        <v>68</v>
      </c>
      <c r="K30" t="s">
        <v>23</v>
      </c>
      <c r="L30" s="5">
        <f>64419 / 86400</f>
        <v>0.74559027777777775</v>
      </c>
      <c r="M30" s="5">
        <f>21969 / 86400</f>
        <v>0.25427083333333333</v>
      </c>
    </row>
    <row r="31" spans="1:13" x14ac:dyDescent="0.25">
      <c r="A31" t="s">
        <v>418</v>
      </c>
      <c r="B31" s="3">
        <v>45697.258391203708</v>
      </c>
      <c r="C31" t="s">
        <v>27</v>
      </c>
      <c r="D31" s="3">
        <v>45697.886469907404</v>
      </c>
      <c r="E31" t="s">
        <v>27</v>
      </c>
      <c r="F31" s="4">
        <v>238.43600000000001</v>
      </c>
      <c r="G31" s="4">
        <v>567093.92799999996</v>
      </c>
      <c r="H31" s="4">
        <v>567332.36399999994</v>
      </c>
      <c r="I31" s="5">
        <f>13003 / 86400</f>
        <v>0.15049768518518519</v>
      </c>
      <c r="J31" t="s">
        <v>68</v>
      </c>
      <c r="K31" t="s">
        <v>23</v>
      </c>
      <c r="L31" s="5">
        <f>45841 / 86400</f>
        <v>0.5305671296296296</v>
      </c>
      <c r="M31" s="5">
        <f>40556 / 86400</f>
        <v>0.46939814814814818</v>
      </c>
    </row>
    <row r="32" spans="1:13" x14ac:dyDescent="0.25">
      <c r="A32" t="s">
        <v>419</v>
      </c>
      <c r="B32" s="3">
        <v>45697.25105324074</v>
      </c>
      <c r="C32" t="s">
        <v>69</v>
      </c>
      <c r="D32" s="3">
        <v>45697.880300925928</v>
      </c>
      <c r="E32" t="s">
        <v>69</v>
      </c>
      <c r="F32" s="4">
        <v>186.02800000000002</v>
      </c>
      <c r="G32" s="4">
        <v>434738.45699999999</v>
      </c>
      <c r="H32" s="4">
        <v>434924.48499999999</v>
      </c>
      <c r="I32" s="5">
        <f>11795 / 86400</f>
        <v>0.13651620370370371</v>
      </c>
      <c r="J32" t="s">
        <v>70</v>
      </c>
      <c r="K32" t="s">
        <v>71</v>
      </c>
      <c r="L32" s="5">
        <f>38594 / 86400</f>
        <v>0.44668981481481479</v>
      </c>
      <c r="M32" s="5">
        <f>47801 / 86400</f>
        <v>0.55325231481481485</v>
      </c>
    </row>
    <row r="33" spans="1:13" x14ac:dyDescent="0.25">
      <c r="A33" t="s">
        <v>420</v>
      </c>
      <c r="B33" s="3">
        <v>45697.278182870374</v>
      </c>
      <c r="C33" t="s">
        <v>72</v>
      </c>
      <c r="D33" s="3">
        <v>45697.879872685182</v>
      </c>
      <c r="E33" t="s">
        <v>43</v>
      </c>
      <c r="F33" s="4">
        <v>214.983</v>
      </c>
      <c r="G33" s="4">
        <v>514586.402</v>
      </c>
      <c r="H33" s="4">
        <v>514802.21500000003</v>
      </c>
      <c r="I33" s="5">
        <f>15879 / 86400</f>
        <v>0.18378472222222222</v>
      </c>
      <c r="J33" t="s">
        <v>73</v>
      </c>
      <c r="K33" t="s">
        <v>20</v>
      </c>
      <c r="L33" s="5">
        <f>42838 / 86400</f>
        <v>0.49581018518518516</v>
      </c>
      <c r="M33" s="5">
        <f>43561 / 86400</f>
        <v>0.50417824074074069</v>
      </c>
    </row>
    <row r="34" spans="1:13" x14ac:dyDescent="0.25">
      <c r="A34" t="s">
        <v>421</v>
      </c>
      <c r="B34" s="3">
        <v>45697.316331018519</v>
      </c>
      <c r="C34" t="s">
        <v>74</v>
      </c>
      <c r="D34" s="3">
        <v>45697.790347222224</v>
      </c>
      <c r="E34" t="s">
        <v>75</v>
      </c>
      <c r="F34" s="4">
        <v>186.185</v>
      </c>
      <c r="G34" s="4">
        <v>351609.179</v>
      </c>
      <c r="H34" s="4">
        <v>351795.364</v>
      </c>
      <c r="I34" s="5">
        <f>10821 / 86400</f>
        <v>0.12524305555555557</v>
      </c>
      <c r="J34" t="s">
        <v>70</v>
      </c>
      <c r="K34" t="s">
        <v>23</v>
      </c>
      <c r="L34" s="5">
        <f>34958 / 86400</f>
        <v>0.40460648148148148</v>
      </c>
      <c r="M34" s="5">
        <f>51554 / 86400</f>
        <v>0.59668981481481487</v>
      </c>
    </row>
    <row r="35" spans="1:13" x14ac:dyDescent="0.25">
      <c r="A35" t="s">
        <v>422</v>
      </c>
      <c r="B35" s="3">
        <v>45697.153437500005</v>
      </c>
      <c r="C35" t="s">
        <v>27</v>
      </c>
      <c r="D35" s="3">
        <v>45697.793993055559</v>
      </c>
      <c r="E35" t="s">
        <v>27</v>
      </c>
      <c r="F35" s="4">
        <v>74.822000000000003</v>
      </c>
      <c r="G35" s="4">
        <v>441017.38299999997</v>
      </c>
      <c r="H35" s="4">
        <v>441092.20500000002</v>
      </c>
      <c r="I35" s="5">
        <f>4754 / 86400</f>
        <v>5.5023148148148147E-2</v>
      </c>
      <c r="J35" t="s">
        <v>76</v>
      </c>
      <c r="K35" t="s">
        <v>71</v>
      </c>
      <c r="L35" s="5">
        <f>16303 / 86400</f>
        <v>0.18869212962962964</v>
      </c>
      <c r="M35" s="5">
        <f>70082 / 86400</f>
        <v>0.8111342592592593</v>
      </c>
    </row>
    <row r="36" spans="1:13" x14ac:dyDescent="0.25">
      <c r="A36" t="s">
        <v>423</v>
      </c>
      <c r="B36" s="3">
        <v>45697.349965277783</v>
      </c>
      <c r="C36" t="s">
        <v>75</v>
      </c>
      <c r="D36" s="3">
        <v>45697.876527777778</v>
      </c>
      <c r="E36" t="s">
        <v>75</v>
      </c>
      <c r="F36" s="4">
        <v>206.98600000000002</v>
      </c>
      <c r="G36" s="4">
        <v>473416.027</v>
      </c>
      <c r="H36" s="4">
        <v>473623.01299999998</v>
      </c>
      <c r="I36" s="5">
        <f>13780 / 86400</f>
        <v>0.15949074074074074</v>
      </c>
      <c r="J36" t="s">
        <v>77</v>
      </c>
      <c r="K36" t="s">
        <v>20</v>
      </c>
      <c r="L36" s="5">
        <f>42222 / 86400</f>
        <v>0.48868055555555556</v>
      </c>
      <c r="M36" s="5">
        <f>44174 / 86400</f>
        <v>0.51127314814814817</v>
      </c>
    </row>
    <row r="37" spans="1:13" x14ac:dyDescent="0.25">
      <c r="A37" t="s">
        <v>424</v>
      </c>
      <c r="B37" s="3">
        <v>45697.003113425926</v>
      </c>
      <c r="C37" t="s">
        <v>78</v>
      </c>
      <c r="D37" s="3">
        <v>45697.9221412037</v>
      </c>
      <c r="E37" t="s">
        <v>79</v>
      </c>
      <c r="F37" s="4">
        <v>13.552</v>
      </c>
      <c r="G37" s="4">
        <v>412884.44</v>
      </c>
      <c r="H37" s="4">
        <v>412897.99200000003</v>
      </c>
      <c r="I37" s="5">
        <f>1737 / 86400</f>
        <v>2.0104166666666666E-2</v>
      </c>
      <c r="J37" t="s">
        <v>80</v>
      </c>
      <c r="K37" t="s">
        <v>52</v>
      </c>
      <c r="L37" s="5">
        <f>5392 / 86400</f>
        <v>6.2407407407407404E-2</v>
      </c>
      <c r="M37" s="5">
        <f>81003 / 86400</f>
        <v>0.93753472222222223</v>
      </c>
    </row>
    <row r="38" spans="1:13" x14ac:dyDescent="0.25">
      <c r="A38" t="s">
        <v>425</v>
      </c>
      <c r="B38" s="3">
        <v>45697.257708333331</v>
      </c>
      <c r="C38" t="s">
        <v>27</v>
      </c>
      <c r="D38" s="3">
        <v>45697.888020833328</v>
      </c>
      <c r="E38" t="s">
        <v>27</v>
      </c>
      <c r="F38" s="4">
        <v>188.654</v>
      </c>
      <c r="G38" s="4">
        <v>327197.64799999999</v>
      </c>
      <c r="H38" s="4">
        <v>327386.30200000003</v>
      </c>
      <c r="I38" s="5">
        <f>10675 / 86400</f>
        <v>0.12355324074074074</v>
      </c>
      <c r="J38" t="s">
        <v>65</v>
      </c>
      <c r="K38" t="s">
        <v>23</v>
      </c>
      <c r="L38" s="5">
        <f>35240 / 86400</f>
        <v>0.40787037037037038</v>
      </c>
      <c r="M38" s="5">
        <f>51158 / 86400</f>
        <v>0.59210648148148148</v>
      </c>
    </row>
    <row r="39" spans="1:13" x14ac:dyDescent="0.25">
      <c r="A39" t="s">
        <v>426</v>
      </c>
      <c r="B39" s="3">
        <v>45697.341342592597</v>
      </c>
      <c r="C39" t="s">
        <v>27</v>
      </c>
      <c r="D39" s="3">
        <v>45697.389374999999</v>
      </c>
      <c r="E39" t="s">
        <v>27</v>
      </c>
      <c r="F39" s="4">
        <v>1.5899999999999999</v>
      </c>
      <c r="G39" s="4">
        <v>359919.71799999999</v>
      </c>
      <c r="H39" s="4">
        <v>359921.30800000002</v>
      </c>
      <c r="I39" s="5">
        <f>619 / 86400</f>
        <v>7.1643518518518514E-3</v>
      </c>
      <c r="J39" t="s">
        <v>81</v>
      </c>
      <c r="K39" t="s">
        <v>82</v>
      </c>
      <c r="L39" s="5">
        <f>1134 / 86400</f>
        <v>1.3125E-2</v>
      </c>
      <c r="M39" s="5">
        <f>85264 / 86400</f>
        <v>0.98685185185185187</v>
      </c>
    </row>
    <row r="40" spans="1:13" x14ac:dyDescent="0.25">
      <c r="A40" t="s">
        <v>427</v>
      </c>
      <c r="B40" s="3">
        <v>45697.300057870365</v>
      </c>
      <c r="C40" t="s">
        <v>83</v>
      </c>
      <c r="D40" s="3">
        <v>45697.952916666662</v>
      </c>
      <c r="E40" t="s">
        <v>83</v>
      </c>
      <c r="F40" s="4">
        <v>0.25</v>
      </c>
      <c r="G40" s="4">
        <v>81188.002999999997</v>
      </c>
      <c r="H40" s="4">
        <v>81188.252999999997</v>
      </c>
      <c r="I40" s="5">
        <f>7098 / 86400</f>
        <v>8.2152777777777783E-2</v>
      </c>
      <c r="J40" t="s">
        <v>52</v>
      </c>
      <c r="K40" t="s">
        <v>63</v>
      </c>
      <c r="L40" s="5">
        <f>7326 / 86400</f>
        <v>8.4791666666666668E-2</v>
      </c>
      <c r="M40" s="5">
        <f>79073 / 86400</f>
        <v>0.91519675925925925</v>
      </c>
    </row>
    <row r="41" spans="1:13" x14ac:dyDescent="0.25">
      <c r="A41" t="s">
        <v>428</v>
      </c>
      <c r="B41" s="3">
        <v>45697.189745370371</v>
      </c>
      <c r="C41" t="s">
        <v>84</v>
      </c>
      <c r="D41" s="3">
        <v>45697.913032407407</v>
      </c>
      <c r="E41" t="s">
        <v>84</v>
      </c>
      <c r="F41" s="4">
        <v>197.33599999999998</v>
      </c>
      <c r="G41" s="4">
        <v>468767.174</v>
      </c>
      <c r="H41" s="4">
        <v>468964.51</v>
      </c>
      <c r="I41" s="5">
        <f>15037 / 86400</f>
        <v>0.17403935185185185</v>
      </c>
      <c r="J41" t="s">
        <v>85</v>
      </c>
      <c r="K41" t="s">
        <v>71</v>
      </c>
      <c r="L41" s="5">
        <f>40775 / 86400</f>
        <v>0.47193287037037035</v>
      </c>
      <c r="M41" s="5">
        <f>45622 / 86400</f>
        <v>0.52803240740740742</v>
      </c>
    </row>
    <row r="42" spans="1:13" x14ac:dyDescent="0.25">
      <c r="A42" t="s">
        <v>429</v>
      </c>
      <c r="B42" s="3">
        <v>45697.175740740742</v>
      </c>
      <c r="C42" t="s">
        <v>86</v>
      </c>
      <c r="D42" s="3">
        <v>45697.890231481477</v>
      </c>
      <c r="E42" t="s">
        <v>86</v>
      </c>
      <c r="F42" s="4">
        <v>137.57100000000003</v>
      </c>
      <c r="G42" s="4">
        <v>428002.34899999999</v>
      </c>
      <c r="H42" s="4">
        <v>428139.92</v>
      </c>
      <c r="I42" s="5">
        <f>12544 / 86400</f>
        <v>0.14518518518518519</v>
      </c>
      <c r="J42" t="s">
        <v>87</v>
      </c>
      <c r="K42" t="s">
        <v>49</v>
      </c>
      <c r="L42" s="5">
        <f>23435 / 86400</f>
        <v>0.27123842592592595</v>
      </c>
      <c r="M42" s="5">
        <f>62960 / 86400</f>
        <v>0.72870370370370374</v>
      </c>
    </row>
    <row r="43" spans="1:13" x14ac:dyDescent="0.25">
      <c r="A43" t="s">
        <v>430</v>
      </c>
      <c r="B43" s="3">
        <v>45697.187881944439</v>
      </c>
      <c r="C43" t="s">
        <v>27</v>
      </c>
      <c r="D43" s="3">
        <v>45697.900729166664</v>
      </c>
      <c r="E43" t="s">
        <v>27</v>
      </c>
      <c r="F43" s="4">
        <v>249.81200000000001</v>
      </c>
      <c r="G43" s="4">
        <v>574648.68999999994</v>
      </c>
      <c r="H43" s="4">
        <v>574898.50199999998</v>
      </c>
      <c r="I43" s="5">
        <f>12707 / 86400</f>
        <v>0.14707175925925925</v>
      </c>
      <c r="J43" t="s">
        <v>88</v>
      </c>
      <c r="K43" t="s">
        <v>23</v>
      </c>
      <c r="L43" s="5">
        <f>48272 / 86400</f>
        <v>0.5587037037037037</v>
      </c>
      <c r="M43" s="5">
        <f>38124 / 86400</f>
        <v>0.44124999999999998</v>
      </c>
    </row>
    <row r="44" spans="1:13" x14ac:dyDescent="0.25">
      <c r="A44" t="s">
        <v>431</v>
      </c>
      <c r="B44" s="3">
        <v>45697.071412037039</v>
      </c>
      <c r="C44" t="s">
        <v>89</v>
      </c>
      <c r="D44" s="3">
        <v>45697.878275462965</v>
      </c>
      <c r="E44" t="s">
        <v>90</v>
      </c>
      <c r="F44" s="4">
        <v>21.026000000000003</v>
      </c>
      <c r="G44" s="4">
        <v>415919.092</v>
      </c>
      <c r="H44" s="4">
        <v>415940.11800000002</v>
      </c>
      <c r="I44" s="5">
        <f>3152 / 86400</f>
        <v>3.6481481481481483E-2</v>
      </c>
      <c r="J44" t="s">
        <v>91</v>
      </c>
      <c r="K44" t="s">
        <v>92</v>
      </c>
      <c r="L44" s="5">
        <f>6431 / 86400</f>
        <v>7.4432870370370371E-2</v>
      </c>
      <c r="M44" s="5">
        <f>79967 / 86400</f>
        <v>0.92554398148148154</v>
      </c>
    </row>
    <row r="45" spans="1:13" x14ac:dyDescent="0.25">
      <c r="A45" t="s">
        <v>432</v>
      </c>
      <c r="B45" s="3">
        <v>45697.365624999999</v>
      </c>
      <c r="C45" t="s">
        <v>93</v>
      </c>
      <c r="D45" s="3">
        <v>45697.995983796296</v>
      </c>
      <c r="E45" t="s">
        <v>93</v>
      </c>
      <c r="F45" s="4">
        <v>204.34100000000001</v>
      </c>
      <c r="G45" s="4">
        <v>400005.19300000003</v>
      </c>
      <c r="H45" s="4">
        <v>400209.53399999999</v>
      </c>
      <c r="I45" s="5">
        <f>16637 / 86400</f>
        <v>0.19255787037037037</v>
      </c>
      <c r="J45" t="s">
        <v>94</v>
      </c>
      <c r="K45" t="s">
        <v>95</v>
      </c>
      <c r="L45" s="5">
        <f>45676 / 86400</f>
        <v>0.52865740740740741</v>
      </c>
      <c r="M45" s="5">
        <f>40715 / 86400</f>
        <v>0.47123842592592591</v>
      </c>
    </row>
    <row r="46" spans="1:13" x14ac:dyDescent="0.25">
      <c r="A46" t="s">
        <v>433</v>
      </c>
      <c r="B46" s="3">
        <v>45697.301354166666</v>
      </c>
      <c r="C46" t="s">
        <v>96</v>
      </c>
      <c r="D46" s="3">
        <v>45697.563437500001</v>
      </c>
      <c r="E46" t="s">
        <v>21</v>
      </c>
      <c r="F46" s="4">
        <v>102.572</v>
      </c>
      <c r="G46" s="4">
        <v>545433.35900000005</v>
      </c>
      <c r="H46" s="4">
        <v>545535.93099999998</v>
      </c>
      <c r="I46" s="5">
        <f>8275 / 86400</f>
        <v>9.5775462962962965E-2</v>
      </c>
      <c r="J46" t="s">
        <v>48</v>
      </c>
      <c r="K46" t="s">
        <v>71</v>
      </c>
      <c r="L46" s="5">
        <f>22364 / 86400</f>
        <v>0.25884259259259257</v>
      </c>
      <c r="M46" s="5">
        <f>64035 / 86400</f>
        <v>0.74114583333333328</v>
      </c>
    </row>
    <row r="47" spans="1:13" x14ac:dyDescent="0.25">
      <c r="A47" t="s">
        <v>434</v>
      </c>
      <c r="B47" s="3">
        <v>45697</v>
      </c>
      <c r="C47" t="s">
        <v>97</v>
      </c>
      <c r="D47" s="3">
        <v>45697.99998842593</v>
      </c>
      <c r="E47" t="s">
        <v>98</v>
      </c>
      <c r="F47" s="4">
        <v>395.56900000000002</v>
      </c>
      <c r="G47" s="4">
        <v>102349.52</v>
      </c>
      <c r="H47" s="4">
        <v>102745.08900000001</v>
      </c>
      <c r="I47" s="5">
        <f>21370 / 86400</f>
        <v>0.24733796296296295</v>
      </c>
      <c r="J47" t="s">
        <v>65</v>
      </c>
      <c r="K47" t="s">
        <v>26</v>
      </c>
      <c r="L47" s="5">
        <f>65615 / 86400</f>
        <v>0.75943287037037033</v>
      </c>
      <c r="M47" s="5">
        <f>20784 / 86400</f>
        <v>0.24055555555555555</v>
      </c>
    </row>
    <row r="48" spans="1:13" x14ac:dyDescent="0.25">
      <c r="A48" t="s">
        <v>435</v>
      </c>
      <c r="B48" s="3">
        <v>45697.054305555561</v>
      </c>
      <c r="C48" t="s">
        <v>27</v>
      </c>
      <c r="D48" s="3">
        <v>45697.98501157407</v>
      </c>
      <c r="E48" t="s">
        <v>27</v>
      </c>
      <c r="F48" s="4">
        <v>136.59299999999999</v>
      </c>
      <c r="G48" s="4">
        <v>53601.339</v>
      </c>
      <c r="H48" s="4">
        <v>53737.932999999997</v>
      </c>
      <c r="I48" s="5">
        <f>9201 / 86400</f>
        <v>0.10649305555555555</v>
      </c>
      <c r="J48" t="s">
        <v>48</v>
      </c>
      <c r="K48" t="s">
        <v>20</v>
      </c>
      <c r="L48" s="5">
        <f>27392 / 86400</f>
        <v>0.31703703703703706</v>
      </c>
      <c r="M48" s="5">
        <f>59007 / 86400</f>
        <v>0.68295138888888884</v>
      </c>
    </row>
    <row r="49" spans="1:13" x14ac:dyDescent="0.25">
      <c r="A49" t="s">
        <v>436</v>
      </c>
      <c r="B49" s="3">
        <v>45697.311736111107</v>
      </c>
      <c r="C49" t="s">
        <v>99</v>
      </c>
      <c r="D49" s="3">
        <v>45697.313576388886</v>
      </c>
      <c r="E49" t="s">
        <v>99</v>
      </c>
      <c r="F49" s="4">
        <v>0</v>
      </c>
      <c r="G49" s="4">
        <v>45605.777999999998</v>
      </c>
      <c r="H49" s="4">
        <v>45605.777999999998</v>
      </c>
      <c r="I49" s="5">
        <f>140 / 86400</f>
        <v>1.6203703703703703E-3</v>
      </c>
      <c r="J49" t="s">
        <v>63</v>
      </c>
      <c r="K49" t="s">
        <v>63</v>
      </c>
      <c r="L49" s="5">
        <f>159 / 86400</f>
        <v>1.8402777777777777E-3</v>
      </c>
      <c r="M49" s="5">
        <f>86240 / 86400</f>
        <v>0.99814814814814812</v>
      </c>
    </row>
    <row r="50" spans="1:13" x14ac:dyDescent="0.25">
      <c r="A50" t="s">
        <v>437</v>
      </c>
      <c r="B50" s="3">
        <v>45697.276828703703</v>
      </c>
      <c r="C50" t="s">
        <v>100</v>
      </c>
      <c r="D50" s="3">
        <v>45697.763738425929</v>
      </c>
      <c r="E50" t="s">
        <v>100</v>
      </c>
      <c r="F50" s="4">
        <v>197.02100000000002</v>
      </c>
      <c r="G50" s="4">
        <v>77801.752999999997</v>
      </c>
      <c r="H50" s="4">
        <v>77998.774000000005</v>
      </c>
      <c r="I50" s="5">
        <f>11737 / 86400</f>
        <v>0.1358449074074074</v>
      </c>
      <c r="J50" t="s">
        <v>31</v>
      </c>
      <c r="K50" t="s">
        <v>28</v>
      </c>
      <c r="L50" s="5">
        <f>36064 / 86400</f>
        <v>0.41740740740740739</v>
      </c>
      <c r="M50" s="5">
        <f>50335 / 86400</f>
        <v>0.58258101851851851</v>
      </c>
    </row>
    <row r="51" spans="1:13" x14ac:dyDescent="0.25">
      <c r="A51" t="s">
        <v>438</v>
      </c>
      <c r="B51" s="3">
        <v>45697</v>
      </c>
      <c r="C51" t="s">
        <v>97</v>
      </c>
      <c r="D51" s="3">
        <v>45697.990347222221</v>
      </c>
      <c r="E51" t="s">
        <v>101</v>
      </c>
      <c r="F51" s="4">
        <v>363.73599999999999</v>
      </c>
      <c r="G51" s="4">
        <v>38998.904000000002</v>
      </c>
      <c r="H51" s="4">
        <v>39362.639999999999</v>
      </c>
      <c r="I51" s="5">
        <f>16202 / 86400</f>
        <v>0.18752314814814816</v>
      </c>
      <c r="J51" t="s">
        <v>31</v>
      </c>
      <c r="K51" t="s">
        <v>26</v>
      </c>
      <c r="L51" s="5">
        <f>59337 / 86400</f>
        <v>0.68677083333333333</v>
      </c>
      <c r="M51" s="5">
        <f>27062 / 86400</f>
        <v>0.31321759259259258</v>
      </c>
    </row>
    <row r="52" spans="1:13" x14ac:dyDescent="0.25">
      <c r="A52" t="s">
        <v>439</v>
      </c>
      <c r="B52" s="3">
        <v>45697.863136574073</v>
      </c>
      <c r="C52" t="s">
        <v>83</v>
      </c>
      <c r="D52" s="3">
        <v>45697.866643518515</v>
      </c>
      <c r="E52" t="s">
        <v>83</v>
      </c>
      <c r="F52" s="4">
        <v>0</v>
      </c>
      <c r="G52" s="4">
        <v>521937.02399999998</v>
      </c>
      <c r="H52" s="4">
        <v>521937.02399999998</v>
      </c>
      <c r="I52" s="5">
        <f>300 / 86400</f>
        <v>3.472222222222222E-3</v>
      </c>
      <c r="J52" t="s">
        <v>63</v>
      </c>
      <c r="K52" t="s">
        <v>63</v>
      </c>
      <c r="L52" s="5">
        <f>303 / 86400</f>
        <v>3.5069444444444445E-3</v>
      </c>
      <c r="M52" s="5">
        <f>86096 / 86400</f>
        <v>0.99648148148148152</v>
      </c>
    </row>
    <row r="53" spans="1:13" x14ac:dyDescent="0.25">
      <c r="A53" t="s">
        <v>440</v>
      </c>
      <c r="B53" s="3">
        <v>45697.26258101852</v>
      </c>
      <c r="C53" t="s">
        <v>86</v>
      </c>
      <c r="D53" s="3">
        <v>45697.804039351853</v>
      </c>
      <c r="E53" t="s">
        <v>86</v>
      </c>
      <c r="F53" s="4">
        <v>202.072</v>
      </c>
      <c r="G53" s="4">
        <v>22194.940999999999</v>
      </c>
      <c r="H53" s="4">
        <v>22397.012999999999</v>
      </c>
      <c r="I53" s="5">
        <f>11314 / 86400</f>
        <v>0.13094907407407408</v>
      </c>
      <c r="J53" t="s">
        <v>88</v>
      </c>
      <c r="K53" t="s">
        <v>20</v>
      </c>
      <c r="L53" s="5">
        <f>40382 / 86400</f>
        <v>0.46738425925925925</v>
      </c>
      <c r="M53" s="5">
        <f>46012 / 86400</f>
        <v>0.53254629629629635</v>
      </c>
    </row>
    <row r="54" spans="1:13" x14ac:dyDescent="0.25">
      <c r="A54" t="s">
        <v>441</v>
      </c>
      <c r="B54" s="3">
        <v>45697.276458333334</v>
      </c>
      <c r="C54" t="s">
        <v>18</v>
      </c>
      <c r="D54" s="3">
        <v>45697.832731481481</v>
      </c>
      <c r="E54" t="s">
        <v>102</v>
      </c>
      <c r="F54" s="4">
        <v>236.666</v>
      </c>
      <c r="G54" s="4">
        <v>4686.6559999999999</v>
      </c>
      <c r="H54" s="4">
        <v>4923.3220000000001</v>
      </c>
      <c r="I54" s="5">
        <f>12544 / 86400</f>
        <v>0.14518518518518519</v>
      </c>
      <c r="J54" t="s">
        <v>19</v>
      </c>
      <c r="K54" t="s">
        <v>49</v>
      </c>
      <c r="L54" s="5">
        <f>40603 / 86400</f>
        <v>0.46994212962962961</v>
      </c>
      <c r="M54" s="5">
        <f>45789 / 86400</f>
        <v>0.5299652777777778</v>
      </c>
    </row>
    <row r="55" spans="1:13" x14ac:dyDescent="0.25">
      <c r="A55" t="s">
        <v>442</v>
      </c>
      <c r="B55" s="3">
        <v>45697.007199074069</v>
      </c>
      <c r="C55" t="s">
        <v>103</v>
      </c>
      <c r="D55" s="3">
        <v>45697.990347222221</v>
      </c>
      <c r="E55" t="s">
        <v>104</v>
      </c>
      <c r="F55" s="4">
        <v>253.18799999999999</v>
      </c>
      <c r="G55" s="4">
        <v>407378.43599999999</v>
      </c>
      <c r="H55" s="4">
        <v>407631.62400000001</v>
      </c>
      <c r="I55" s="5">
        <f>12196 / 86400</f>
        <v>0.1411574074074074</v>
      </c>
      <c r="J55" t="s">
        <v>65</v>
      </c>
      <c r="K55" t="s">
        <v>49</v>
      </c>
      <c r="L55" s="5">
        <f>43041 / 86400</f>
        <v>0.49815972222222221</v>
      </c>
      <c r="M55" s="5">
        <f>43343 / 86400</f>
        <v>0.50165509259259256</v>
      </c>
    </row>
    <row r="56" spans="1:13" x14ac:dyDescent="0.25">
      <c r="A56" t="s">
        <v>443</v>
      </c>
      <c r="B56" s="3">
        <v>45697.242592592593</v>
      </c>
      <c r="C56" t="s">
        <v>79</v>
      </c>
      <c r="D56" s="3">
        <v>45697.99998842593</v>
      </c>
      <c r="E56" t="s">
        <v>105</v>
      </c>
      <c r="F56" s="4">
        <v>319.55500000000001</v>
      </c>
      <c r="G56" s="4">
        <v>548841.32200000004</v>
      </c>
      <c r="H56" s="4">
        <v>549160.87699999998</v>
      </c>
      <c r="I56" s="5">
        <f>19197 / 86400</f>
        <v>0.22218750000000001</v>
      </c>
      <c r="J56" t="s">
        <v>88</v>
      </c>
      <c r="K56" t="s">
        <v>20</v>
      </c>
      <c r="L56" s="5">
        <f>62304 / 86400</f>
        <v>0.72111111111111115</v>
      </c>
      <c r="M56" s="5">
        <f>24095 / 86400</f>
        <v>0.27887731481481481</v>
      </c>
    </row>
    <row r="57" spans="1:13" x14ac:dyDescent="0.25">
      <c r="A57" t="s">
        <v>444</v>
      </c>
      <c r="B57" s="3">
        <v>45697.47756944444</v>
      </c>
      <c r="C57" t="s">
        <v>106</v>
      </c>
      <c r="D57" s="3">
        <v>45697.99998842593</v>
      </c>
      <c r="E57" t="s">
        <v>107</v>
      </c>
      <c r="F57" s="4">
        <v>1233.2800000000002</v>
      </c>
      <c r="G57" s="4">
        <v>48257.11</v>
      </c>
      <c r="H57" s="4">
        <v>49490.39</v>
      </c>
      <c r="I57" s="5">
        <f>12132 / 86400</f>
        <v>0.14041666666666666</v>
      </c>
      <c r="J57" t="s">
        <v>87</v>
      </c>
      <c r="K57" t="s">
        <v>108</v>
      </c>
      <c r="L57" s="5">
        <f>41686 / 86400</f>
        <v>0.48247685185185185</v>
      </c>
      <c r="M57" s="5">
        <f>44711 / 86400</f>
        <v>0.51748842592592592</v>
      </c>
    </row>
    <row r="58" spans="1:13" x14ac:dyDescent="0.25">
      <c r="A58" t="s">
        <v>445</v>
      </c>
      <c r="B58" s="3">
        <v>45697</v>
      </c>
      <c r="C58" t="s">
        <v>109</v>
      </c>
      <c r="D58" s="3">
        <v>45697.99998842593</v>
      </c>
      <c r="E58" t="s">
        <v>110</v>
      </c>
      <c r="F58" s="4">
        <v>209.86799999999999</v>
      </c>
      <c r="G58" s="4">
        <v>58313.889000000003</v>
      </c>
      <c r="H58" s="4">
        <v>58523.758000000002</v>
      </c>
      <c r="I58" s="5">
        <f>13698 / 86400</f>
        <v>0.15854166666666666</v>
      </c>
      <c r="J58" t="s">
        <v>25</v>
      </c>
      <c r="K58" t="s">
        <v>23</v>
      </c>
      <c r="L58" s="5">
        <f>39923 / 86400</f>
        <v>0.46207175925925925</v>
      </c>
      <c r="M58" s="5">
        <f>46604 / 86400</f>
        <v>0.53939814814814813</v>
      </c>
    </row>
    <row r="59" spans="1:13" x14ac:dyDescent="0.25">
      <c r="A59" t="s">
        <v>446</v>
      </c>
      <c r="B59" s="3">
        <v>45697</v>
      </c>
      <c r="C59" t="s">
        <v>111</v>
      </c>
      <c r="D59" s="3">
        <v>45697.99998842593</v>
      </c>
      <c r="E59" t="s">
        <v>41</v>
      </c>
      <c r="F59" s="4">
        <v>354.43200000000002</v>
      </c>
      <c r="G59" s="4">
        <v>61255.527999999998</v>
      </c>
      <c r="H59" s="4">
        <v>61609.96</v>
      </c>
      <c r="I59" s="5">
        <f>18747 / 86400</f>
        <v>0.21697916666666667</v>
      </c>
      <c r="J59" t="s">
        <v>65</v>
      </c>
      <c r="K59" t="s">
        <v>49</v>
      </c>
      <c r="L59" s="5">
        <f>61478 / 86400</f>
        <v>0.71155092592592595</v>
      </c>
      <c r="M59" s="5">
        <f>24917 / 86400</f>
        <v>0.28839120370370369</v>
      </c>
    </row>
    <row r="60" spans="1:13" x14ac:dyDescent="0.25">
      <c r="A60" t="s">
        <v>447</v>
      </c>
      <c r="B60" s="3">
        <v>45697</v>
      </c>
      <c r="C60" t="s">
        <v>112</v>
      </c>
      <c r="D60" s="3">
        <v>45697.99998842593</v>
      </c>
      <c r="E60" t="s">
        <v>113</v>
      </c>
      <c r="F60" s="4">
        <v>227.715</v>
      </c>
      <c r="G60" s="4">
        <v>290929.51299999998</v>
      </c>
      <c r="H60" s="4">
        <v>291157.228</v>
      </c>
      <c r="I60" s="5">
        <f>18860 / 86400</f>
        <v>0.21828703703703703</v>
      </c>
      <c r="J60" t="s">
        <v>31</v>
      </c>
      <c r="K60" t="s">
        <v>71</v>
      </c>
      <c r="L60" s="5">
        <f>48281 / 86400</f>
        <v>0.55880787037037039</v>
      </c>
      <c r="M60" s="5">
        <f>38118 / 86400</f>
        <v>0.44118055555555558</v>
      </c>
    </row>
    <row r="61" spans="1:13" x14ac:dyDescent="0.25">
      <c r="A61" s="6" t="s">
        <v>114</v>
      </c>
      <c r="B61" s="6" t="s">
        <v>115</v>
      </c>
      <c r="C61" s="6" t="s">
        <v>115</v>
      </c>
      <c r="D61" s="6" t="s">
        <v>115</v>
      </c>
      <c r="E61" s="6" t="s">
        <v>115</v>
      </c>
      <c r="F61" s="7">
        <v>10646.30239284432</v>
      </c>
      <c r="G61" s="6" t="s">
        <v>115</v>
      </c>
      <c r="H61" s="6" t="s">
        <v>115</v>
      </c>
      <c r="I61" s="8">
        <f>563944 / 86400</f>
        <v>6.5271296296296297</v>
      </c>
      <c r="J61" s="6" t="s">
        <v>115</v>
      </c>
      <c r="K61" s="6" t="s">
        <v>115</v>
      </c>
      <c r="L61" s="8">
        <f>1808710 / 86400</f>
        <v>20.934143518518518</v>
      </c>
      <c r="M61" s="8">
        <f>2770601 / 86400</f>
        <v>32.067141203703706</v>
      </c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3" s="9" customFormat="1" x14ac:dyDescent="0.25">
      <c r="A63" s="14" t="s">
        <v>116</v>
      </c>
      <c r="B63" s="14"/>
      <c r="C63" s="14"/>
      <c r="D63" s="14"/>
      <c r="E63" s="14"/>
      <c r="F63" s="14"/>
      <c r="G63" s="14"/>
      <c r="H63" s="14"/>
      <c r="I63" s="14"/>
      <c r="J63" s="14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2" s="10" customFormat="1" ht="20.100000000000001" customHeight="1" x14ac:dyDescent="0.35">
      <c r="A66" s="15" t="s">
        <v>395</v>
      </c>
      <c r="B66" s="15"/>
      <c r="C66" s="15"/>
      <c r="D66" s="15"/>
      <c r="E66" s="15"/>
      <c r="F66" s="15"/>
      <c r="G66" s="15"/>
      <c r="H66" s="15"/>
      <c r="I66" s="15"/>
      <c r="J66" s="15"/>
    </row>
    <row r="67" spans="1:1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2" ht="30" x14ac:dyDescent="0.25">
      <c r="A68" s="2" t="s">
        <v>6</v>
      </c>
      <c r="B68" s="2" t="s">
        <v>7</v>
      </c>
      <c r="C68" s="2" t="s">
        <v>8</v>
      </c>
      <c r="D68" s="2" t="s">
        <v>9</v>
      </c>
      <c r="E68" s="2" t="s">
        <v>10</v>
      </c>
      <c r="F68" s="2" t="s">
        <v>11</v>
      </c>
      <c r="G68" s="2" t="s">
        <v>12</v>
      </c>
      <c r="H68" s="2" t="s">
        <v>13</v>
      </c>
      <c r="I68" s="2" t="s">
        <v>14</v>
      </c>
      <c r="J68" s="2" t="s">
        <v>15</v>
      </c>
      <c r="K68" s="2" t="s">
        <v>16</v>
      </c>
      <c r="L68" s="2" t="s">
        <v>17</v>
      </c>
    </row>
    <row r="69" spans="1:12" x14ac:dyDescent="0.25">
      <c r="A69" s="3">
        <v>45697.24827546296</v>
      </c>
      <c r="B69" t="s">
        <v>18</v>
      </c>
      <c r="C69" s="3">
        <v>45697.336898148147</v>
      </c>
      <c r="D69" t="s">
        <v>117</v>
      </c>
      <c r="E69" s="4">
        <v>46.070999999999998</v>
      </c>
      <c r="F69" s="4">
        <v>513362.65100000001</v>
      </c>
      <c r="G69" s="4">
        <v>513408.72200000001</v>
      </c>
      <c r="H69" s="5">
        <f>2479 / 86400</f>
        <v>2.869212962962963E-2</v>
      </c>
      <c r="I69" t="s">
        <v>88</v>
      </c>
      <c r="J69" t="s">
        <v>26</v>
      </c>
      <c r="K69" s="5">
        <f>7657 / 86400</f>
        <v>8.8622685185185179E-2</v>
      </c>
      <c r="L69" s="5">
        <f>22631 / 86400</f>
        <v>0.26193287037037039</v>
      </c>
    </row>
    <row r="70" spans="1:12" x14ac:dyDescent="0.25">
      <c r="A70" s="3">
        <v>45697.35055555556</v>
      </c>
      <c r="B70" t="s">
        <v>117</v>
      </c>
      <c r="C70" s="3">
        <v>45697.354756944449</v>
      </c>
      <c r="D70" t="s">
        <v>118</v>
      </c>
      <c r="E70" s="4">
        <v>1.0620000000000001</v>
      </c>
      <c r="F70" s="4">
        <v>513408.72200000001</v>
      </c>
      <c r="G70" s="4">
        <v>513409.78399999999</v>
      </c>
      <c r="H70" s="5">
        <f>59 / 86400</f>
        <v>6.8287037037037036E-4</v>
      </c>
      <c r="I70" t="s">
        <v>119</v>
      </c>
      <c r="J70" t="s">
        <v>120</v>
      </c>
      <c r="K70" s="5">
        <f>362 / 86400</f>
        <v>4.1898148148148146E-3</v>
      </c>
      <c r="L70" s="5">
        <f>1585 / 86400</f>
        <v>1.8344907407407407E-2</v>
      </c>
    </row>
    <row r="71" spans="1:12" x14ac:dyDescent="0.25">
      <c r="A71" s="3">
        <v>45697.373101851852</v>
      </c>
      <c r="B71" t="s">
        <v>118</v>
      </c>
      <c r="C71" s="3">
        <v>45697.504467592589</v>
      </c>
      <c r="D71" t="s">
        <v>121</v>
      </c>
      <c r="E71" s="4">
        <v>51.057000000000002</v>
      </c>
      <c r="F71" s="4">
        <v>513409.78399999999</v>
      </c>
      <c r="G71" s="4">
        <v>513460.84100000001</v>
      </c>
      <c r="H71" s="5">
        <f>4499 / 86400</f>
        <v>5.2071759259259262E-2</v>
      </c>
      <c r="I71" t="s">
        <v>88</v>
      </c>
      <c r="J71" t="s">
        <v>95</v>
      </c>
      <c r="K71" s="5">
        <f>11350 / 86400</f>
        <v>0.13136574074074073</v>
      </c>
      <c r="L71" s="5">
        <f>1017 / 86400</f>
        <v>1.1770833333333333E-2</v>
      </c>
    </row>
    <row r="72" spans="1:12" x14ac:dyDescent="0.25">
      <c r="A72" s="3">
        <v>45697.516238425931</v>
      </c>
      <c r="B72" t="s">
        <v>121</v>
      </c>
      <c r="C72" s="3">
        <v>45697.623796296291</v>
      </c>
      <c r="D72" t="s">
        <v>122</v>
      </c>
      <c r="E72" s="4">
        <v>50.155000000000001</v>
      </c>
      <c r="F72" s="4">
        <v>513460.84100000001</v>
      </c>
      <c r="G72" s="4">
        <v>513510.99599999998</v>
      </c>
      <c r="H72" s="5">
        <f>2759 / 86400</f>
        <v>3.1932870370370368E-2</v>
      </c>
      <c r="I72" t="s">
        <v>19</v>
      </c>
      <c r="J72" t="s">
        <v>23</v>
      </c>
      <c r="K72" s="5">
        <f>9292 / 86400</f>
        <v>0.10754629629629629</v>
      </c>
      <c r="L72" s="5">
        <f>2240 / 86400</f>
        <v>2.5925925925925925E-2</v>
      </c>
    </row>
    <row r="73" spans="1:12" x14ac:dyDescent="0.25">
      <c r="A73" s="3">
        <v>45697.649722222224</v>
      </c>
      <c r="B73" t="s">
        <v>122</v>
      </c>
      <c r="C73" s="3">
        <v>45697.652002314819</v>
      </c>
      <c r="D73" t="s">
        <v>72</v>
      </c>
      <c r="E73" s="4">
        <v>0.76700000000000002</v>
      </c>
      <c r="F73" s="4">
        <v>513510.99599999998</v>
      </c>
      <c r="G73" s="4">
        <v>513511.76299999998</v>
      </c>
      <c r="H73" s="5">
        <f>39 / 86400</f>
        <v>4.5138888888888887E-4</v>
      </c>
      <c r="I73" t="s">
        <v>80</v>
      </c>
      <c r="J73" t="s">
        <v>123</v>
      </c>
      <c r="K73" s="5">
        <f>197 / 86400</f>
        <v>2.2800925925925927E-3</v>
      </c>
      <c r="L73" s="5">
        <f>277 / 86400</f>
        <v>3.2060185185185186E-3</v>
      </c>
    </row>
    <row r="74" spans="1:12" x14ac:dyDescent="0.25">
      <c r="A74" s="3">
        <v>45697.655208333337</v>
      </c>
      <c r="B74" t="s">
        <v>72</v>
      </c>
      <c r="C74" s="3">
        <v>45697.835347222222</v>
      </c>
      <c r="D74" t="s">
        <v>124</v>
      </c>
      <c r="E74" s="4">
        <v>71.105000000000004</v>
      </c>
      <c r="F74" s="4">
        <v>513511.76299999998</v>
      </c>
      <c r="G74" s="4">
        <v>513582.86800000002</v>
      </c>
      <c r="H74" s="5">
        <f>4960 / 86400</f>
        <v>5.7407407407407407E-2</v>
      </c>
      <c r="I74" t="s">
        <v>51</v>
      </c>
      <c r="J74" t="s">
        <v>95</v>
      </c>
      <c r="K74" s="5">
        <f>15563 / 86400</f>
        <v>0.18012731481481481</v>
      </c>
      <c r="L74" s="5">
        <f>528 / 86400</f>
        <v>6.1111111111111114E-3</v>
      </c>
    </row>
    <row r="75" spans="1:12" x14ac:dyDescent="0.25">
      <c r="A75" s="3">
        <v>45697.841458333336</v>
      </c>
      <c r="B75" t="s">
        <v>124</v>
      </c>
      <c r="C75" s="3">
        <v>45697.849814814814</v>
      </c>
      <c r="D75" t="s">
        <v>18</v>
      </c>
      <c r="E75" s="4">
        <v>0.56899999999999995</v>
      </c>
      <c r="F75" s="4">
        <v>513582.86800000002</v>
      </c>
      <c r="G75" s="4">
        <v>513583.43699999998</v>
      </c>
      <c r="H75" s="5">
        <f>440 / 86400</f>
        <v>5.092592592592593E-3</v>
      </c>
      <c r="I75" t="s">
        <v>49</v>
      </c>
      <c r="J75" t="s">
        <v>125</v>
      </c>
      <c r="K75" s="5">
        <f>721 / 86400</f>
        <v>8.3449074074074068E-3</v>
      </c>
      <c r="L75" s="5">
        <f>12975 / 86400</f>
        <v>0.1501736111111111</v>
      </c>
    </row>
    <row r="76" spans="1:1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2" s="10" customFormat="1" ht="20.100000000000001" customHeight="1" x14ac:dyDescent="0.35">
      <c r="A78" s="15" t="s">
        <v>396</v>
      </c>
      <c r="B78" s="15"/>
      <c r="C78" s="15"/>
      <c r="D78" s="15"/>
      <c r="E78" s="15"/>
      <c r="F78" s="15"/>
      <c r="G78" s="15"/>
      <c r="H78" s="15"/>
      <c r="I78" s="15"/>
      <c r="J78" s="15"/>
    </row>
    <row r="79" spans="1:1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2" ht="30" x14ac:dyDescent="0.25">
      <c r="A80" s="2" t="s">
        <v>6</v>
      </c>
      <c r="B80" s="2" t="s">
        <v>7</v>
      </c>
      <c r="C80" s="2" t="s">
        <v>8</v>
      </c>
      <c r="D80" s="2" t="s">
        <v>9</v>
      </c>
      <c r="E80" s="2" t="s">
        <v>10</v>
      </c>
      <c r="F80" s="2" t="s">
        <v>11</v>
      </c>
      <c r="G80" s="2" t="s">
        <v>12</v>
      </c>
      <c r="H80" s="2" t="s">
        <v>13</v>
      </c>
      <c r="I80" s="2" t="s">
        <v>14</v>
      </c>
      <c r="J80" s="2" t="s">
        <v>15</v>
      </c>
      <c r="K80" s="2" t="s">
        <v>16</v>
      </c>
      <c r="L80" s="2" t="s">
        <v>17</v>
      </c>
    </row>
    <row r="81" spans="1:12" x14ac:dyDescent="0.25">
      <c r="A81" s="3">
        <v>45697.259305555555</v>
      </c>
      <c r="B81" t="s">
        <v>21</v>
      </c>
      <c r="C81" s="3">
        <v>45697.56894675926</v>
      </c>
      <c r="D81" t="s">
        <v>126</v>
      </c>
      <c r="E81" s="4">
        <v>143.29400000000001</v>
      </c>
      <c r="F81" s="4">
        <v>18079.128000000001</v>
      </c>
      <c r="G81" s="4">
        <v>18222.421999999999</v>
      </c>
      <c r="H81" s="5">
        <f>8160 / 86400</f>
        <v>9.4444444444444442E-2</v>
      </c>
      <c r="I81" t="s">
        <v>22</v>
      </c>
      <c r="J81" t="s">
        <v>23</v>
      </c>
      <c r="K81" s="5">
        <f>26753 / 86400</f>
        <v>0.30964120370370368</v>
      </c>
      <c r="L81" s="5">
        <f>22405 / 86400</f>
        <v>0.25931712962962961</v>
      </c>
    </row>
    <row r="82" spans="1:12" x14ac:dyDescent="0.25">
      <c r="A82" s="3">
        <v>45697.56895833333</v>
      </c>
      <c r="B82" t="s">
        <v>126</v>
      </c>
      <c r="C82" s="3">
        <v>45697.569456018522</v>
      </c>
      <c r="D82" t="s">
        <v>126</v>
      </c>
      <c r="E82" s="4">
        <v>0</v>
      </c>
      <c r="F82" s="4">
        <v>18222.421999999999</v>
      </c>
      <c r="G82" s="4">
        <v>18222.421999999999</v>
      </c>
      <c r="H82" s="5">
        <f>34 / 86400</f>
        <v>3.9351851851851852E-4</v>
      </c>
      <c r="I82" t="s">
        <v>63</v>
      </c>
      <c r="J82" t="s">
        <v>63</v>
      </c>
      <c r="K82" s="5">
        <f>43 / 86400</f>
        <v>4.9768518518518521E-4</v>
      </c>
      <c r="L82" s="5">
        <f>2 / 86400</f>
        <v>2.3148148148148147E-5</v>
      </c>
    </row>
    <row r="83" spans="1:12" x14ac:dyDescent="0.25">
      <c r="A83" s="3">
        <v>45697.569479166668</v>
      </c>
      <c r="B83" t="s">
        <v>126</v>
      </c>
      <c r="C83" s="3">
        <v>45697.677118055552</v>
      </c>
      <c r="D83" t="s">
        <v>72</v>
      </c>
      <c r="E83" s="4">
        <v>49.335999999999999</v>
      </c>
      <c r="F83" s="4">
        <v>18222.421999999999</v>
      </c>
      <c r="G83" s="4">
        <v>18271.758000000002</v>
      </c>
      <c r="H83" s="5">
        <f>2688 / 86400</f>
        <v>3.111111111111111E-2</v>
      </c>
      <c r="I83" t="s">
        <v>61</v>
      </c>
      <c r="J83" t="s">
        <v>23</v>
      </c>
      <c r="K83" s="5">
        <f>9300 / 86400</f>
        <v>0.1076388888888889</v>
      </c>
      <c r="L83" s="5">
        <f>245 / 86400</f>
        <v>2.8356481481481483E-3</v>
      </c>
    </row>
    <row r="84" spans="1:12" x14ac:dyDescent="0.25">
      <c r="A84" s="3">
        <v>45697.6799537037</v>
      </c>
      <c r="B84" t="s">
        <v>72</v>
      </c>
      <c r="C84" s="3">
        <v>45697.680497685185</v>
      </c>
      <c r="D84" t="s">
        <v>127</v>
      </c>
      <c r="E84" s="4">
        <v>1.7000000000000001E-2</v>
      </c>
      <c r="F84" s="4">
        <v>18271.758000000002</v>
      </c>
      <c r="G84" s="4">
        <v>18271.775000000001</v>
      </c>
      <c r="H84" s="5">
        <f>20 / 86400</f>
        <v>2.3148148148148149E-4</v>
      </c>
      <c r="I84" t="s">
        <v>40</v>
      </c>
      <c r="J84" t="s">
        <v>40</v>
      </c>
      <c r="K84" s="5">
        <f>47 / 86400</f>
        <v>5.4398148148148144E-4</v>
      </c>
      <c r="L84" s="5">
        <f>324 / 86400</f>
        <v>3.7499999999999999E-3</v>
      </c>
    </row>
    <row r="85" spans="1:12" x14ac:dyDescent="0.25">
      <c r="A85" s="3">
        <v>45697.684247685189</v>
      </c>
      <c r="B85" t="s">
        <v>127</v>
      </c>
      <c r="C85" s="3">
        <v>45697.688819444447</v>
      </c>
      <c r="D85" t="s">
        <v>128</v>
      </c>
      <c r="E85" s="4">
        <v>0.66500000000000004</v>
      </c>
      <c r="F85" s="4">
        <v>18271.775000000001</v>
      </c>
      <c r="G85" s="4">
        <v>18272.439999999999</v>
      </c>
      <c r="H85" s="5">
        <f>200 / 86400</f>
        <v>2.3148148148148147E-3</v>
      </c>
      <c r="I85" t="s">
        <v>129</v>
      </c>
      <c r="J85" t="s">
        <v>29</v>
      </c>
      <c r="K85" s="5">
        <f>395 / 86400</f>
        <v>4.5717592592592589E-3</v>
      </c>
      <c r="L85" s="5">
        <f>234 / 86400</f>
        <v>2.7083333333333334E-3</v>
      </c>
    </row>
    <row r="86" spans="1:12" x14ac:dyDescent="0.25">
      <c r="A86" s="3">
        <v>45697.691527777773</v>
      </c>
      <c r="B86" t="s">
        <v>128</v>
      </c>
      <c r="C86" s="3">
        <v>45697.691770833335</v>
      </c>
      <c r="D86" t="s">
        <v>128</v>
      </c>
      <c r="E86" s="4">
        <v>4.0000000000000001E-3</v>
      </c>
      <c r="F86" s="4">
        <v>18272.439999999999</v>
      </c>
      <c r="G86" s="4">
        <v>18272.444</v>
      </c>
      <c r="H86" s="5">
        <f>0 / 86400</f>
        <v>0</v>
      </c>
      <c r="I86" t="s">
        <v>63</v>
      </c>
      <c r="J86" t="s">
        <v>40</v>
      </c>
      <c r="K86" s="5">
        <f>20 / 86400</f>
        <v>2.3148148148148149E-4</v>
      </c>
      <c r="L86" s="5">
        <f>145 / 86400</f>
        <v>1.6782407407407408E-3</v>
      </c>
    </row>
    <row r="87" spans="1:12" x14ac:dyDescent="0.25">
      <c r="A87" s="3">
        <v>45697.693449074075</v>
      </c>
      <c r="B87" t="s">
        <v>128</v>
      </c>
      <c r="C87" s="3">
        <v>45697.693784722222</v>
      </c>
      <c r="D87" t="s">
        <v>128</v>
      </c>
      <c r="E87" s="4">
        <v>5.0000000000000001E-3</v>
      </c>
      <c r="F87" s="4">
        <v>18272.444</v>
      </c>
      <c r="G87" s="4">
        <v>18272.449000000001</v>
      </c>
      <c r="H87" s="5">
        <f>19 / 86400</f>
        <v>2.199074074074074E-4</v>
      </c>
      <c r="I87" t="s">
        <v>63</v>
      </c>
      <c r="J87" t="s">
        <v>40</v>
      </c>
      <c r="K87" s="5">
        <f>29 / 86400</f>
        <v>3.3564814814814812E-4</v>
      </c>
      <c r="L87" s="5">
        <f>136 / 86400</f>
        <v>1.5740740740740741E-3</v>
      </c>
    </row>
    <row r="88" spans="1:12" x14ac:dyDescent="0.25">
      <c r="A88" s="3">
        <v>45697.695358796293</v>
      </c>
      <c r="B88" t="s">
        <v>128</v>
      </c>
      <c r="C88" s="3">
        <v>45697.696192129632</v>
      </c>
      <c r="D88" t="s">
        <v>128</v>
      </c>
      <c r="E88" s="4">
        <v>8.9999999999999993E-3</v>
      </c>
      <c r="F88" s="4">
        <v>18272.449000000001</v>
      </c>
      <c r="G88" s="4">
        <v>18272.457999999999</v>
      </c>
      <c r="H88" s="5">
        <f>40 / 86400</f>
        <v>4.6296296296296298E-4</v>
      </c>
      <c r="I88" t="s">
        <v>125</v>
      </c>
      <c r="J88" t="s">
        <v>63</v>
      </c>
      <c r="K88" s="5">
        <f>71 / 86400</f>
        <v>8.2175925925925927E-4</v>
      </c>
      <c r="L88" s="5">
        <f>180 / 86400</f>
        <v>2.0833333333333333E-3</v>
      </c>
    </row>
    <row r="89" spans="1:12" x14ac:dyDescent="0.25">
      <c r="A89" s="3">
        <v>45697.698275462964</v>
      </c>
      <c r="B89" t="s">
        <v>128</v>
      </c>
      <c r="C89" s="3">
        <v>45697.807673611111</v>
      </c>
      <c r="D89" t="s">
        <v>130</v>
      </c>
      <c r="E89" s="4">
        <v>50.430999999999997</v>
      </c>
      <c r="F89" s="4">
        <v>18272.457999999999</v>
      </c>
      <c r="G89" s="4">
        <v>18322.888999999999</v>
      </c>
      <c r="H89" s="5">
        <f>2580 / 86400</f>
        <v>2.9861111111111113E-2</v>
      </c>
      <c r="I89" t="s">
        <v>131</v>
      </c>
      <c r="J89" t="s">
        <v>23</v>
      </c>
      <c r="K89" s="5">
        <f>9452 / 86400</f>
        <v>0.10939814814814815</v>
      </c>
      <c r="L89" s="5">
        <f>3 / 86400</f>
        <v>3.4722222222222222E-5</v>
      </c>
    </row>
    <row r="90" spans="1:12" x14ac:dyDescent="0.25">
      <c r="A90" s="3">
        <v>45697.807708333334</v>
      </c>
      <c r="B90" t="s">
        <v>130</v>
      </c>
      <c r="C90" s="3">
        <v>45697.81050925926</v>
      </c>
      <c r="D90" t="s">
        <v>132</v>
      </c>
      <c r="E90" s="4">
        <v>0</v>
      </c>
      <c r="F90" s="4">
        <v>18322.888999999999</v>
      </c>
      <c r="G90" s="4">
        <v>18322.888999999999</v>
      </c>
      <c r="H90" s="5">
        <f>227 / 86400</f>
        <v>2.627314814814815E-3</v>
      </c>
      <c r="I90" t="s">
        <v>63</v>
      </c>
      <c r="J90" t="s">
        <v>63</v>
      </c>
      <c r="K90" s="5">
        <f>242 / 86400</f>
        <v>2.8009259259259259E-3</v>
      </c>
      <c r="L90" s="5">
        <f>2 / 86400</f>
        <v>2.3148148148148147E-5</v>
      </c>
    </row>
    <row r="91" spans="1:12" x14ac:dyDescent="0.25">
      <c r="A91" s="3">
        <v>45697.810532407406</v>
      </c>
      <c r="B91" t="s">
        <v>132</v>
      </c>
      <c r="C91" s="3">
        <v>45697.916550925926</v>
      </c>
      <c r="D91" t="s">
        <v>58</v>
      </c>
      <c r="E91" s="4">
        <v>50.58</v>
      </c>
      <c r="F91" s="4">
        <v>18322.888999999999</v>
      </c>
      <c r="G91" s="4">
        <v>18373.469000000001</v>
      </c>
      <c r="H91" s="5">
        <f>2564 / 86400</f>
        <v>2.9675925925925925E-2</v>
      </c>
      <c r="I91" t="s">
        <v>133</v>
      </c>
      <c r="J91" t="s">
        <v>28</v>
      </c>
      <c r="K91" s="5">
        <f>9160 / 86400</f>
        <v>0.10601851851851851</v>
      </c>
      <c r="L91" s="5">
        <f>616 / 86400</f>
        <v>7.1296296296296299E-3</v>
      </c>
    </row>
    <row r="92" spans="1:12" x14ac:dyDescent="0.25">
      <c r="A92" s="3">
        <v>45697.923680555556</v>
      </c>
      <c r="B92" t="s">
        <v>58</v>
      </c>
      <c r="C92" s="3">
        <v>45697.927395833336</v>
      </c>
      <c r="D92" t="s">
        <v>21</v>
      </c>
      <c r="E92" s="4">
        <v>0.71899999999999997</v>
      </c>
      <c r="F92" s="4">
        <v>18373.469000000001</v>
      </c>
      <c r="G92" s="4">
        <v>18374.187999999998</v>
      </c>
      <c r="H92" s="5">
        <f>139 / 86400</f>
        <v>1.6087962962962963E-3</v>
      </c>
      <c r="I92" t="s">
        <v>134</v>
      </c>
      <c r="J92" t="s">
        <v>135</v>
      </c>
      <c r="K92" s="5">
        <f>321 / 86400</f>
        <v>3.7152777777777778E-3</v>
      </c>
      <c r="L92" s="5">
        <f>1275 / 86400</f>
        <v>1.4756944444444444E-2</v>
      </c>
    </row>
    <row r="93" spans="1:12" x14ac:dyDescent="0.25">
      <c r="A93" s="3">
        <v>45697.942152777774</v>
      </c>
      <c r="B93" t="s">
        <v>21</v>
      </c>
      <c r="C93" s="3">
        <v>45697.943854166668</v>
      </c>
      <c r="D93" t="s">
        <v>21</v>
      </c>
      <c r="E93" s="4">
        <v>1.2999999999999999E-2</v>
      </c>
      <c r="F93" s="4">
        <v>18374.187999999998</v>
      </c>
      <c r="G93" s="4">
        <v>18374.201000000001</v>
      </c>
      <c r="H93" s="5">
        <f>80 / 86400</f>
        <v>9.2592592592592596E-4</v>
      </c>
      <c r="I93" t="s">
        <v>40</v>
      </c>
      <c r="J93" t="s">
        <v>63</v>
      </c>
      <c r="K93" s="5">
        <f>146 / 86400</f>
        <v>1.6898148148148148E-3</v>
      </c>
      <c r="L93" s="5">
        <f>4850 / 86400</f>
        <v>5.6134259259259259E-2</v>
      </c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s="10" customFormat="1" ht="20.100000000000001" customHeight="1" x14ac:dyDescent="0.35">
      <c r="A96" s="15" t="s">
        <v>397</v>
      </c>
      <c r="B96" s="15"/>
      <c r="C96" s="15"/>
      <c r="D96" s="15"/>
      <c r="E96" s="15"/>
      <c r="F96" s="15"/>
      <c r="G96" s="15"/>
      <c r="H96" s="15"/>
      <c r="I96" s="15"/>
      <c r="J96" s="15"/>
    </row>
    <row r="97" spans="1:1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2" ht="30" x14ac:dyDescent="0.25">
      <c r="A98" s="2" t="s">
        <v>6</v>
      </c>
      <c r="B98" s="2" t="s">
        <v>7</v>
      </c>
      <c r="C98" s="2" t="s">
        <v>8</v>
      </c>
      <c r="D98" s="2" t="s">
        <v>9</v>
      </c>
      <c r="E98" s="2" t="s">
        <v>10</v>
      </c>
      <c r="F98" s="2" t="s">
        <v>11</v>
      </c>
      <c r="G98" s="2" t="s">
        <v>12</v>
      </c>
      <c r="H98" s="2" t="s">
        <v>13</v>
      </c>
      <c r="I98" s="2" t="s">
        <v>14</v>
      </c>
      <c r="J98" s="2" t="s">
        <v>15</v>
      </c>
      <c r="K98" s="2" t="s">
        <v>16</v>
      </c>
      <c r="L98" s="2" t="s">
        <v>17</v>
      </c>
    </row>
    <row r="99" spans="1:12" x14ac:dyDescent="0.25">
      <c r="A99" s="3">
        <v>45697.28324074074</v>
      </c>
      <c r="B99" t="s">
        <v>24</v>
      </c>
      <c r="C99" s="3">
        <v>45697.314062500001</v>
      </c>
      <c r="D99" t="s">
        <v>136</v>
      </c>
      <c r="E99" s="4">
        <v>19.579999999999998</v>
      </c>
      <c r="F99" s="4">
        <v>327801.174</v>
      </c>
      <c r="G99" s="4">
        <v>327820.75400000002</v>
      </c>
      <c r="H99" s="5">
        <f>639 / 86400</f>
        <v>7.3958333333333333E-3</v>
      </c>
      <c r="I99" t="s">
        <v>133</v>
      </c>
      <c r="J99" t="s">
        <v>137</v>
      </c>
      <c r="K99" s="5">
        <f>2662 / 86400</f>
        <v>3.0810185185185184E-2</v>
      </c>
      <c r="L99" s="5">
        <f>26132 / 86400</f>
        <v>0.30245370370370372</v>
      </c>
    </row>
    <row r="100" spans="1:12" x14ac:dyDescent="0.25">
      <c r="A100" s="3">
        <v>45697.333275462966</v>
      </c>
      <c r="B100" t="s">
        <v>136</v>
      </c>
      <c r="C100" s="3">
        <v>45697.519328703704</v>
      </c>
      <c r="D100" t="s">
        <v>138</v>
      </c>
      <c r="E100" s="4">
        <v>88.748999999999995</v>
      </c>
      <c r="F100" s="4">
        <v>327820.75400000002</v>
      </c>
      <c r="G100" s="4">
        <v>327909.50300000003</v>
      </c>
      <c r="H100" s="5">
        <f>5360 / 86400</f>
        <v>6.2037037037037036E-2</v>
      </c>
      <c r="I100" t="s">
        <v>70</v>
      </c>
      <c r="J100" t="s">
        <v>28</v>
      </c>
      <c r="K100" s="5">
        <f>16074 / 86400</f>
        <v>0.18604166666666666</v>
      </c>
      <c r="L100" s="5">
        <f>1701 / 86400</f>
        <v>1.96875E-2</v>
      </c>
    </row>
    <row r="101" spans="1:12" x14ac:dyDescent="0.25">
      <c r="A101" s="3">
        <v>45697.539016203707</v>
      </c>
      <c r="B101" t="s">
        <v>138</v>
      </c>
      <c r="C101" s="3">
        <v>45697.604756944449</v>
      </c>
      <c r="D101" t="s">
        <v>139</v>
      </c>
      <c r="E101" s="4">
        <v>36.79</v>
      </c>
      <c r="F101" s="4">
        <v>327909.50300000003</v>
      </c>
      <c r="G101" s="4">
        <v>327946.29300000001</v>
      </c>
      <c r="H101" s="5">
        <f>1540 / 86400</f>
        <v>1.7824074074074076E-2</v>
      </c>
      <c r="I101" t="s">
        <v>25</v>
      </c>
      <c r="J101" t="s">
        <v>140</v>
      </c>
      <c r="K101" s="5">
        <f>5679 / 86400</f>
        <v>6.5729166666666672E-2</v>
      </c>
      <c r="L101" s="5">
        <f>170 / 86400</f>
        <v>1.9675925925925924E-3</v>
      </c>
    </row>
    <row r="102" spans="1:12" x14ac:dyDescent="0.25">
      <c r="A102" s="3">
        <v>45697.606724537036</v>
      </c>
      <c r="B102" t="s">
        <v>139</v>
      </c>
      <c r="C102" s="3">
        <v>45697.744722222225</v>
      </c>
      <c r="D102" t="s">
        <v>139</v>
      </c>
      <c r="E102" s="4">
        <v>73.507000000000005</v>
      </c>
      <c r="F102" s="4">
        <v>327946.29300000001</v>
      </c>
      <c r="G102" s="4">
        <v>328019.8</v>
      </c>
      <c r="H102" s="5">
        <f>3201 / 86400</f>
        <v>3.7048611111111109E-2</v>
      </c>
      <c r="I102" t="s">
        <v>141</v>
      </c>
      <c r="J102" t="s">
        <v>26</v>
      </c>
      <c r="K102" s="5">
        <f>11923 / 86400</f>
        <v>0.13799768518518518</v>
      </c>
      <c r="L102" s="5">
        <f>162 / 86400</f>
        <v>1.8749999999999999E-3</v>
      </c>
    </row>
    <row r="103" spans="1:12" x14ac:dyDescent="0.25">
      <c r="A103" s="3">
        <v>45697.746597222227</v>
      </c>
      <c r="B103" t="s">
        <v>139</v>
      </c>
      <c r="C103" s="3">
        <v>45697.749791666662</v>
      </c>
      <c r="D103" t="s">
        <v>36</v>
      </c>
      <c r="E103" s="4">
        <v>0.59399999999999997</v>
      </c>
      <c r="F103" s="4">
        <v>328019.8</v>
      </c>
      <c r="G103" s="4">
        <v>328020.39399999997</v>
      </c>
      <c r="H103" s="5">
        <f>180 / 86400</f>
        <v>2.0833333333333333E-3</v>
      </c>
      <c r="I103" t="s">
        <v>80</v>
      </c>
      <c r="J103" t="s">
        <v>135</v>
      </c>
      <c r="K103" s="5">
        <f>276 / 86400</f>
        <v>3.1944444444444446E-3</v>
      </c>
      <c r="L103" s="5">
        <f>50 / 86400</f>
        <v>5.7870370370370367E-4</v>
      </c>
    </row>
    <row r="104" spans="1:12" x14ac:dyDescent="0.25">
      <c r="A104" s="3">
        <v>45697.75037037037</v>
      </c>
      <c r="B104" t="s">
        <v>142</v>
      </c>
      <c r="C104" s="3">
        <v>45697.852222222224</v>
      </c>
      <c r="D104" t="s">
        <v>101</v>
      </c>
      <c r="E104" s="4">
        <v>54.457999999999998</v>
      </c>
      <c r="F104" s="4">
        <v>328020.39399999997</v>
      </c>
      <c r="G104" s="4">
        <v>328074.85200000001</v>
      </c>
      <c r="H104" s="5">
        <f>2820 / 86400</f>
        <v>3.2638888888888891E-2</v>
      </c>
      <c r="I104" t="s">
        <v>25</v>
      </c>
      <c r="J104" t="s">
        <v>26</v>
      </c>
      <c r="K104" s="5">
        <f>8800 / 86400</f>
        <v>0.10185185185185185</v>
      </c>
      <c r="L104" s="5">
        <f>864 / 86400</f>
        <v>0.01</v>
      </c>
    </row>
    <row r="105" spans="1:12" x14ac:dyDescent="0.25">
      <c r="A105" s="3">
        <v>45697.862222222218</v>
      </c>
      <c r="B105" t="s">
        <v>101</v>
      </c>
      <c r="C105" s="3">
        <v>45697.86246527778</v>
      </c>
      <c r="D105" t="s">
        <v>78</v>
      </c>
      <c r="E105" s="4">
        <v>0.02</v>
      </c>
      <c r="F105" s="4">
        <v>328074.85200000001</v>
      </c>
      <c r="G105" s="4">
        <v>328074.87199999997</v>
      </c>
      <c r="H105" s="5">
        <f>0 / 86400</f>
        <v>0</v>
      </c>
      <c r="I105" t="s">
        <v>39</v>
      </c>
      <c r="J105" t="s">
        <v>125</v>
      </c>
      <c r="K105" s="5">
        <f>21 / 86400</f>
        <v>2.4305555555555555E-4</v>
      </c>
      <c r="L105" s="5">
        <f>303 / 86400</f>
        <v>3.5069444444444445E-3</v>
      </c>
    </row>
    <row r="106" spans="1:12" x14ac:dyDescent="0.25">
      <c r="A106" s="3">
        <v>45697.865972222222</v>
      </c>
      <c r="B106" t="s">
        <v>78</v>
      </c>
      <c r="C106" s="3">
        <v>45697.86928240741</v>
      </c>
      <c r="D106" t="s">
        <v>24</v>
      </c>
      <c r="E106" s="4">
        <v>1.35</v>
      </c>
      <c r="F106" s="4">
        <v>328074.87199999997</v>
      </c>
      <c r="G106" s="4">
        <v>328076.22200000001</v>
      </c>
      <c r="H106" s="5">
        <f>101 / 86400</f>
        <v>1.1689814814814816E-3</v>
      </c>
      <c r="I106" t="s">
        <v>91</v>
      </c>
      <c r="J106" t="s">
        <v>71</v>
      </c>
      <c r="K106" s="5">
        <f>286 / 86400</f>
        <v>3.3101851851851851E-3</v>
      </c>
      <c r="L106" s="5">
        <f>11293 / 86400</f>
        <v>0.13070601851851851</v>
      </c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2" s="10" customFormat="1" ht="20.100000000000001" customHeight="1" x14ac:dyDescent="0.35">
      <c r="A109" s="15" t="s">
        <v>398</v>
      </c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2" ht="30" x14ac:dyDescent="0.25">
      <c r="A111" s="2" t="s">
        <v>6</v>
      </c>
      <c r="B111" s="2" t="s">
        <v>7</v>
      </c>
      <c r="C111" s="2" t="s">
        <v>8</v>
      </c>
      <c r="D111" s="2" t="s">
        <v>9</v>
      </c>
      <c r="E111" s="2" t="s">
        <v>10</v>
      </c>
      <c r="F111" s="2" t="s">
        <v>11</v>
      </c>
      <c r="G111" s="2" t="s">
        <v>12</v>
      </c>
      <c r="H111" s="2" t="s">
        <v>13</v>
      </c>
      <c r="I111" s="2" t="s">
        <v>14</v>
      </c>
      <c r="J111" s="2" t="s">
        <v>15</v>
      </c>
      <c r="K111" s="2" t="s">
        <v>16</v>
      </c>
      <c r="L111" s="2" t="s">
        <v>17</v>
      </c>
    </row>
    <row r="112" spans="1:12" x14ac:dyDescent="0.25">
      <c r="A112" s="3">
        <v>45697.05877314815</v>
      </c>
      <c r="B112" t="s">
        <v>27</v>
      </c>
      <c r="C112" s="3">
        <v>45697.071574074071</v>
      </c>
      <c r="D112" t="s">
        <v>27</v>
      </c>
      <c r="E112" s="4">
        <v>2.2080000000000002</v>
      </c>
      <c r="F112" s="4">
        <v>20472.813999999998</v>
      </c>
      <c r="G112" s="4">
        <v>20475.022000000001</v>
      </c>
      <c r="H112" s="5">
        <f>419 / 86400</f>
        <v>4.8495370370370368E-3</v>
      </c>
      <c r="I112" t="s">
        <v>28</v>
      </c>
      <c r="J112" t="s">
        <v>39</v>
      </c>
      <c r="K112" s="5">
        <f>1105 / 86400</f>
        <v>1.2789351851851852E-2</v>
      </c>
      <c r="L112" s="5">
        <f>45921 / 86400</f>
        <v>0.53149305555555559</v>
      </c>
    </row>
    <row r="113" spans="1:12" x14ac:dyDescent="0.25">
      <c r="A113" s="3">
        <v>45697.544293981482</v>
      </c>
      <c r="B113" t="s">
        <v>27</v>
      </c>
      <c r="C113" s="3">
        <v>45697.547523148147</v>
      </c>
      <c r="D113" t="s">
        <v>27</v>
      </c>
      <c r="E113" s="4">
        <v>0</v>
      </c>
      <c r="F113" s="4">
        <v>20475.022000000001</v>
      </c>
      <c r="G113" s="4">
        <v>20475.022000000001</v>
      </c>
      <c r="H113" s="5">
        <f>279 / 86400</f>
        <v>3.2291666666666666E-3</v>
      </c>
      <c r="I113" t="s">
        <v>63</v>
      </c>
      <c r="J113" t="s">
        <v>63</v>
      </c>
      <c r="K113" s="5">
        <f>279 / 86400</f>
        <v>3.2291666666666666E-3</v>
      </c>
      <c r="L113" s="5">
        <f>39093 / 86400</f>
        <v>0.45246527777777779</v>
      </c>
    </row>
    <row r="114" spans="1:1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s="10" customFormat="1" ht="20.100000000000001" customHeight="1" x14ac:dyDescent="0.35">
      <c r="A116" s="15" t="s">
        <v>399</v>
      </c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2" ht="30" x14ac:dyDescent="0.25">
      <c r="A118" s="2" t="s">
        <v>6</v>
      </c>
      <c r="B118" s="2" t="s">
        <v>7</v>
      </c>
      <c r="C118" s="2" t="s">
        <v>8</v>
      </c>
      <c r="D118" s="2" t="s">
        <v>9</v>
      </c>
      <c r="E118" s="2" t="s">
        <v>10</v>
      </c>
      <c r="F118" s="2" t="s">
        <v>11</v>
      </c>
      <c r="G118" s="2" t="s">
        <v>12</v>
      </c>
      <c r="H118" s="2" t="s">
        <v>13</v>
      </c>
      <c r="I118" s="2" t="s">
        <v>14</v>
      </c>
      <c r="J118" s="2" t="s">
        <v>15</v>
      </c>
      <c r="K118" s="2" t="s">
        <v>16</v>
      </c>
      <c r="L118" s="2" t="s">
        <v>17</v>
      </c>
    </row>
    <row r="119" spans="1:12" x14ac:dyDescent="0.25">
      <c r="A119" s="3">
        <v>45697.236979166672</v>
      </c>
      <c r="B119" t="s">
        <v>30</v>
      </c>
      <c r="C119" s="3">
        <v>45697.317025462966</v>
      </c>
      <c r="D119" t="s">
        <v>143</v>
      </c>
      <c r="E119" s="4">
        <v>33.31</v>
      </c>
      <c r="F119" s="4">
        <v>512575.52</v>
      </c>
      <c r="G119" s="4">
        <v>512608.83</v>
      </c>
      <c r="H119" s="5">
        <f>3179 / 86400</f>
        <v>3.6793981481481483E-2</v>
      </c>
      <c r="I119" t="s">
        <v>141</v>
      </c>
      <c r="J119" t="s">
        <v>71</v>
      </c>
      <c r="K119" s="5">
        <f>6916 / 86400</f>
        <v>8.0046296296296296E-2</v>
      </c>
      <c r="L119" s="5">
        <f>20499 / 86400</f>
        <v>0.23725694444444445</v>
      </c>
    </row>
    <row r="120" spans="1:12" x14ac:dyDescent="0.25">
      <c r="A120" s="3">
        <v>45697.317303240736</v>
      </c>
      <c r="B120" t="s">
        <v>143</v>
      </c>
      <c r="C120" s="3">
        <v>45697.317476851851</v>
      </c>
      <c r="D120" t="s">
        <v>143</v>
      </c>
      <c r="E120" s="4">
        <v>3.0000000000000001E-3</v>
      </c>
      <c r="F120" s="4">
        <v>512608.83</v>
      </c>
      <c r="G120" s="4">
        <v>512608.83299999998</v>
      </c>
      <c r="H120" s="5">
        <f>0 / 86400</f>
        <v>0</v>
      </c>
      <c r="I120" t="s">
        <v>63</v>
      </c>
      <c r="J120" t="s">
        <v>40</v>
      </c>
      <c r="K120" s="5">
        <f>14 / 86400</f>
        <v>1.6203703703703703E-4</v>
      </c>
      <c r="L120" s="5">
        <f>2517 / 86400</f>
        <v>2.9131944444444443E-2</v>
      </c>
    </row>
    <row r="121" spans="1:12" x14ac:dyDescent="0.25">
      <c r="A121" s="3">
        <v>45697.346608796295</v>
      </c>
      <c r="B121" t="s">
        <v>143</v>
      </c>
      <c r="C121" s="3">
        <v>45697.353703703702</v>
      </c>
      <c r="D121" t="s">
        <v>118</v>
      </c>
      <c r="E121" s="4">
        <v>1.847</v>
      </c>
      <c r="F121" s="4">
        <v>512608.83299999998</v>
      </c>
      <c r="G121" s="4">
        <v>512610.68</v>
      </c>
      <c r="H121" s="5">
        <f>100 / 86400</f>
        <v>1.1574074074074073E-3</v>
      </c>
      <c r="I121" t="s">
        <v>119</v>
      </c>
      <c r="J121" t="s">
        <v>120</v>
      </c>
      <c r="K121" s="5">
        <f>612 / 86400</f>
        <v>7.083333333333333E-3</v>
      </c>
      <c r="L121" s="5">
        <f>149 / 86400</f>
        <v>1.724537037037037E-3</v>
      </c>
    </row>
    <row r="122" spans="1:12" x14ac:dyDescent="0.25">
      <c r="A122" s="3">
        <v>45697.355428240742</v>
      </c>
      <c r="B122" t="s">
        <v>118</v>
      </c>
      <c r="C122" s="3">
        <v>45697.482361111106</v>
      </c>
      <c r="D122" t="s">
        <v>144</v>
      </c>
      <c r="E122" s="4">
        <v>51.106999999999999</v>
      </c>
      <c r="F122" s="4">
        <v>512610.68</v>
      </c>
      <c r="G122" s="4">
        <v>512661.78700000001</v>
      </c>
      <c r="H122" s="5">
        <f>4799 / 86400</f>
        <v>5.5543981481481479E-2</v>
      </c>
      <c r="I122" t="s">
        <v>51</v>
      </c>
      <c r="J122" t="s">
        <v>71</v>
      </c>
      <c r="K122" s="5">
        <f>10966 / 86400</f>
        <v>0.12692129629629631</v>
      </c>
      <c r="L122" s="5">
        <f>253 / 86400</f>
        <v>2.9282407407407408E-3</v>
      </c>
    </row>
    <row r="123" spans="1:12" x14ac:dyDescent="0.25">
      <c r="A123" s="3">
        <v>45697.485289351855</v>
      </c>
      <c r="B123" t="s">
        <v>145</v>
      </c>
      <c r="C123" s="3">
        <v>45697.485324074078</v>
      </c>
      <c r="D123" t="s">
        <v>145</v>
      </c>
      <c r="E123" s="4">
        <v>0</v>
      </c>
      <c r="F123" s="4">
        <v>512661.78700000001</v>
      </c>
      <c r="G123" s="4">
        <v>512661.78700000001</v>
      </c>
      <c r="H123" s="5">
        <f>0 / 86400</f>
        <v>0</v>
      </c>
      <c r="I123" t="s">
        <v>63</v>
      </c>
      <c r="J123" t="s">
        <v>63</v>
      </c>
      <c r="K123" s="5">
        <f>3 / 86400</f>
        <v>3.4722222222222222E-5</v>
      </c>
      <c r="L123" s="5">
        <f>5 / 86400</f>
        <v>5.7870370370370373E-5</v>
      </c>
    </row>
    <row r="124" spans="1:12" x14ac:dyDescent="0.25">
      <c r="A124" s="3">
        <v>45697.48538194444</v>
      </c>
      <c r="B124" t="s">
        <v>145</v>
      </c>
      <c r="C124" s="3">
        <v>45697.601122685184</v>
      </c>
      <c r="D124" t="s">
        <v>118</v>
      </c>
      <c r="E124" s="4">
        <v>52.195</v>
      </c>
      <c r="F124" s="4">
        <v>512661.78700000001</v>
      </c>
      <c r="G124" s="4">
        <v>512713.98200000002</v>
      </c>
      <c r="H124" s="5">
        <f>2711 / 86400</f>
        <v>3.1377314814814816E-2</v>
      </c>
      <c r="I124" t="s">
        <v>146</v>
      </c>
      <c r="J124" t="s">
        <v>23</v>
      </c>
      <c r="K124" s="5">
        <f>10000 / 86400</f>
        <v>0.11574074074074074</v>
      </c>
      <c r="L124" s="5">
        <f>289 / 86400</f>
        <v>3.3449074074074076E-3</v>
      </c>
    </row>
    <row r="125" spans="1:12" x14ac:dyDescent="0.25">
      <c r="A125" s="3">
        <v>45697.604467592595</v>
      </c>
      <c r="B125" t="s">
        <v>118</v>
      </c>
      <c r="C125" s="3">
        <v>45697.605706018519</v>
      </c>
      <c r="D125" t="s">
        <v>143</v>
      </c>
      <c r="E125" s="4">
        <v>0.38700000000000001</v>
      </c>
      <c r="F125" s="4">
        <v>512713.98200000002</v>
      </c>
      <c r="G125" s="4">
        <v>512714.36900000001</v>
      </c>
      <c r="H125" s="5">
        <f>19 / 86400</f>
        <v>2.199074074074074E-4</v>
      </c>
      <c r="I125" t="s">
        <v>80</v>
      </c>
      <c r="J125" t="s">
        <v>147</v>
      </c>
      <c r="K125" s="5">
        <f>106 / 86400</f>
        <v>1.2268518518518518E-3</v>
      </c>
      <c r="L125" s="5">
        <f>4841 / 86400</f>
        <v>5.603009259259259E-2</v>
      </c>
    </row>
    <row r="126" spans="1:12" x14ac:dyDescent="0.25">
      <c r="A126" s="3">
        <v>45697.661736111113</v>
      </c>
      <c r="B126" t="s">
        <v>143</v>
      </c>
      <c r="C126" s="3">
        <v>45697.664039351846</v>
      </c>
      <c r="D126" t="s">
        <v>72</v>
      </c>
      <c r="E126" s="4">
        <v>0.94199999999999995</v>
      </c>
      <c r="F126" s="4">
        <v>512714.36900000001</v>
      </c>
      <c r="G126" s="4">
        <v>512715.31099999999</v>
      </c>
      <c r="H126" s="5">
        <f>0 / 86400</f>
        <v>0</v>
      </c>
      <c r="I126" t="s">
        <v>119</v>
      </c>
      <c r="J126" t="s">
        <v>71</v>
      </c>
      <c r="K126" s="5">
        <f>198 / 86400</f>
        <v>2.2916666666666667E-3</v>
      </c>
      <c r="L126" s="5">
        <f>240 / 86400</f>
        <v>2.7777777777777779E-3</v>
      </c>
    </row>
    <row r="127" spans="1:12" x14ac:dyDescent="0.25">
      <c r="A127" s="3">
        <v>45697.666817129633</v>
      </c>
      <c r="B127" t="s">
        <v>72</v>
      </c>
      <c r="C127" s="3">
        <v>45697.775833333333</v>
      </c>
      <c r="D127" t="s">
        <v>145</v>
      </c>
      <c r="E127" s="4">
        <v>50.395000000000003</v>
      </c>
      <c r="F127" s="4">
        <v>512715.31099999999</v>
      </c>
      <c r="G127" s="4">
        <v>512765.70600000001</v>
      </c>
      <c r="H127" s="5">
        <f>2798 / 86400</f>
        <v>3.2384259259259258E-2</v>
      </c>
      <c r="I127" t="s">
        <v>31</v>
      </c>
      <c r="J127" t="s">
        <v>23</v>
      </c>
      <c r="K127" s="5">
        <f>9418 / 86400</f>
        <v>0.10900462962962963</v>
      </c>
      <c r="L127" s="5">
        <f>661 / 86400</f>
        <v>7.6504629629629631E-3</v>
      </c>
    </row>
    <row r="128" spans="1:12" x14ac:dyDescent="0.25">
      <c r="A128" s="3">
        <v>45697.783483796295</v>
      </c>
      <c r="B128" t="s">
        <v>145</v>
      </c>
      <c r="C128" s="3">
        <v>45697.862349537041</v>
      </c>
      <c r="D128" t="s">
        <v>148</v>
      </c>
      <c r="E128" s="4">
        <v>32.365000000000002</v>
      </c>
      <c r="F128" s="4">
        <v>512765.70600000001</v>
      </c>
      <c r="G128" s="4">
        <v>512798.071</v>
      </c>
      <c r="H128" s="5">
        <f>2140 / 86400</f>
        <v>2.476851851851852E-2</v>
      </c>
      <c r="I128" t="s">
        <v>149</v>
      </c>
      <c r="J128" t="s">
        <v>71</v>
      </c>
      <c r="K128" s="5">
        <f>6814 / 86400</f>
        <v>7.8865740740740736E-2</v>
      </c>
      <c r="L128" s="5">
        <f>296 / 86400</f>
        <v>3.425925925925926E-3</v>
      </c>
    </row>
    <row r="129" spans="1:12" x14ac:dyDescent="0.25">
      <c r="A129" s="3">
        <v>45697.865775462968</v>
      </c>
      <c r="B129" t="s">
        <v>148</v>
      </c>
      <c r="C129" s="3">
        <v>45697.867361111115</v>
      </c>
      <c r="D129" t="s">
        <v>150</v>
      </c>
      <c r="E129" s="4">
        <v>1.0369999999999999</v>
      </c>
      <c r="F129" s="4">
        <v>512798.071</v>
      </c>
      <c r="G129" s="4">
        <v>512799.10800000001</v>
      </c>
      <c r="H129" s="5">
        <f>0 / 86400</f>
        <v>0</v>
      </c>
      <c r="I129" t="s">
        <v>151</v>
      </c>
      <c r="J129" t="s">
        <v>134</v>
      </c>
      <c r="K129" s="5">
        <f>137 / 86400</f>
        <v>1.5856481481481481E-3</v>
      </c>
      <c r="L129" s="5">
        <f>71 / 86400</f>
        <v>8.2175925925925927E-4</v>
      </c>
    </row>
    <row r="130" spans="1:12" x14ac:dyDescent="0.25">
      <c r="A130" s="3">
        <v>45697.86818287037</v>
      </c>
      <c r="B130" t="s">
        <v>150</v>
      </c>
      <c r="C130" s="3">
        <v>45697.879062499997</v>
      </c>
      <c r="D130" t="s">
        <v>30</v>
      </c>
      <c r="E130" s="4">
        <v>5.3890000000000002</v>
      </c>
      <c r="F130" s="4">
        <v>512799.10800000001</v>
      </c>
      <c r="G130" s="4">
        <v>512804.49699999997</v>
      </c>
      <c r="H130" s="5">
        <f>381 / 86400</f>
        <v>4.409722222222222E-3</v>
      </c>
      <c r="I130" t="s">
        <v>76</v>
      </c>
      <c r="J130" t="s">
        <v>49</v>
      </c>
      <c r="K130" s="5">
        <f>940 / 86400</f>
        <v>1.087962962962963E-2</v>
      </c>
      <c r="L130" s="5">
        <f>10448 / 86400</f>
        <v>0.12092592592592592</v>
      </c>
    </row>
    <row r="131" spans="1:1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s="10" customFormat="1" ht="20.100000000000001" customHeight="1" x14ac:dyDescent="0.35">
      <c r="A133" s="15" t="s">
        <v>400</v>
      </c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2" ht="30" x14ac:dyDescent="0.25">
      <c r="A135" s="2" t="s">
        <v>6</v>
      </c>
      <c r="B135" s="2" t="s">
        <v>7</v>
      </c>
      <c r="C135" s="2" t="s">
        <v>8</v>
      </c>
      <c r="D135" s="2" t="s">
        <v>9</v>
      </c>
      <c r="E135" s="2" t="s">
        <v>10</v>
      </c>
      <c r="F135" s="2" t="s">
        <v>11</v>
      </c>
      <c r="G135" s="2" t="s">
        <v>12</v>
      </c>
      <c r="H135" s="2" t="s">
        <v>13</v>
      </c>
      <c r="I135" s="2" t="s">
        <v>14</v>
      </c>
      <c r="J135" s="2" t="s">
        <v>15</v>
      </c>
      <c r="K135" s="2" t="s">
        <v>16</v>
      </c>
      <c r="L135" s="2" t="s">
        <v>17</v>
      </c>
    </row>
    <row r="136" spans="1:12" x14ac:dyDescent="0.25">
      <c r="A136" s="3">
        <v>45697.364976851852</v>
      </c>
      <c r="B136" t="s">
        <v>27</v>
      </c>
      <c r="C136" s="3">
        <v>45697.380162037036</v>
      </c>
      <c r="D136" t="s">
        <v>27</v>
      </c>
      <c r="E136" s="4">
        <v>3.22</v>
      </c>
      <c r="F136" s="4">
        <v>91828.532999999996</v>
      </c>
      <c r="G136" s="4">
        <v>91831.752999999997</v>
      </c>
      <c r="H136" s="5">
        <f>579 / 86400</f>
        <v>6.7013888888888887E-3</v>
      </c>
      <c r="I136" t="s">
        <v>152</v>
      </c>
      <c r="J136" t="s">
        <v>52</v>
      </c>
      <c r="K136" s="5">
        <f>1311 / 86400</f>
        <v>1.5173611111111112E-2</v>
      </c>
      <c r="L136" s="5">
        <f>37758 / 86400</f>
        <v>0.43701388888888887</v>
      </c>
    </row>
    <row r="137" spans="1:12" x14ac:dyDescent="0.25">
      <c r="A137" s="3">
        <v>45697.452199074076</v>
      </c>
      <c r="B137" t="s">
        <v>27</v>
      </c>
      <c r="C137" s="3">
        <v>45697.464004629626</v>
      </c>
      <c r="D137" t="s">
        <v>27</v>
      </c>
      <c r="E137" s="4">
        <v>3.3450000000000002</v>
      </c>
      <c r="F137" s="4">
        <v>91831.752999999997</v>
      </c>
      <c r="G137" s="4">
        <v>91835.097999999998</v>
      </c>
      <c r="H137" s="5">
        <f>59 / 86400</f>
        <v>6.8287037037037036E-4</v>
      </c>
      <c r="I137" t="s">
        <v>32</v>
      </c>
      <c r="J137" t="s">
        <v>92</v>
      </c>
      <c r="K137" s="5">
        <f>1020 / 86400</f>
        <v>1.1805555555555555E-2</v>
      </c>
      <c r="L137" s="5">
        <f>6887 / 86400</f>
        <v>7.9710648148148142E-2</v>
      </c>
    </row>
    <row r="138" spans="1:12" x14ac:dyDescent="0.25">
      <c r="A138" s="3">
        <v>45697.543715277774</v>
      </c>
      <c r="B138" t="s">
        <v>27</v>
      </c>
      <c r="C138" s="3">
        <v>45697.545185185183</v>
      </c>
      <c r="D138" t="s">
        <v>27</v>
      </c>
      <c r="E138" s="4">
        <v>5.8000000000000003E-2</v>
      </c>
      <c r="F138" s="4">
        <v>91835.097999999998</v>
      </c>
      <c r="G138" s="4">
        <v>91835.156000000003</v>
      </c>
      <c r="H138" s="5">
        <f>40 / 86400</f>
        <v>4.6296296296296298E-4</v>
      </c>
      <c r="I138" t="s">
        <v>125</v>
      </c>
      <c r="J138" t="s">
        <v>153</v>
      </c>
      <c r="K138" s="5">
        <f>126 / 86400</f>
        <v>1.4583333333333334E-3</v>
      </c>
      <c r="L138" s="5">
        <f>39295 / 86400</f>
        <v>0.45480324074074074</v>
      </c>
    </row>
    <row r="139" spans="1:1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1:1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2" s="10" customFormat="1" ht="20.100000000000001" customHeight="1" x14ac:dyDescent="0.35">
      <c r="A141" s="15" t="s">
        <v>401</v>
      </c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2" ht="30" x14ac:dyDescent="0.25">
      <c r="A143" s="2" t="s">
        <v>6</v>
      </c>
      <c r="B143" s="2" t="s">
        <v>7</v>
      </c>
      <c r="C143" s="2" t="s">
        <v>8</v>
      </c>
      <c r="D143" s="2" t="s">
        <v>9</v>
      </c>
      <c r="E143" s="2" t="s">
        <v>10</v>
      </c>
      <c r="F143" s="2" t="s">
        <v>11</v>
      </c>
      <c r="G143" s="2" t="s">
        <v>12</v>
      </c>
      <c r="H143" s="2" t="s">
        <v>13</v>
      </c>
      <c r="I143" s="2" t="s">
        <v>14</v>
      </c>
      <c r="J143" s="2" t="s">
        <v>15</v>
      </c>
      <c r="K143" s="2" t="s">
        <v>16</v>
      </c>
      <c r="L143" s="2" t="s">
        <v>17</v>
      </c>
    </row>
    <row r="144" spans="1:12" x14ac:dyDescent="0.25">
      <c r="A144" s="3">
        <v>45697.299016203702</v>
      </c>
      <c r="B144" t="s">
        <v>18</v>
      </c>
      <c r="C144" s="3">
        <v>45697.301226851851</v>
      </c>
      <c r="D144" t="s">
        <v>18</v>
      </c>
      <c r="E144" s="4">
        <v>2.9000000000000001E-2</v>
      </c>
      <c r="F144" s="4">
        <v>136885.228</v>
      </c>
      <c r="G144" s="4">
        <v>136885.25700000001</v>
      </c>
      <c r="H144" s="5">
        <f>119 / 86400</f>
        <v>1.3773148148148147E-3</v>
      </c>
      <c r="I144" t="s">
        <v>82</v>
      </c>
      <c r="J144" t="s">
        <v>40</v>
      </c>
      <c r="K144" s="5">
        <f>190 / 86400</f>
        <v>2.1990740740740742E-3</v>
      </c>
      <c r="L144" s="5">
        <f>28030 / 86400</f>
        <v>0.32442129629629629</v>
      </c>
    </row>
    <row r="145" spans="1:12" x14ac:dyDescent="0.25">
      <c r="A145" s="3">
        <v>45697.326631944445</v>
      </c>
      <c r="B145" t="s">
        <v>18</v>
      </c>
      <c r="C145" s="3">
        <v>45697.357314814813</v>
      </c>
      <c r="D145" t="s">
        <v>154</v>
      </c>
      <c r="E145" s="4">
        <v>10.606</v>
      </c>
      <c r="F145" s="4">
        <v>136885.25700000001</v>
      </c>
      <c r="G145" s="4">
        <v>136895.86300000001</v>
      </c>
      <c r="H145" s="5">
        <f>1079 / 86400</f>
        <v>1.2488425925925925E-2</v>
      </c>
      <c r="I145" t="s">
        <v>155</v>
      </c>
      <c r="J145" t="s">
        <v>123</v>
      </c>
      <c r="K145" s="5">
        <f>2651 / 86400</f>
        <v>3.0682870370370371E-2</v>
      </c>
      <c r="L145" s="5">
        <f>1831 / 86400</f>
        <v>2.119212962962963E-2</v>
      </c>
    </row>
    <row r="146" spans="1:12" x14ac:dyDescent="0.25">
      <c r="A146" s="3">
        <v>45697.378506944442</v>
      </c>
      <c r="B146" t="s">
        <v>154</v>
      </c>
      <c r="C146" s="3">
        <v>45697.39061342593</v>
      </c>
      <c r="D146" t="s">
        <v>36</v>
      </c>
      <c r="E146" s="4">
        <v>1.907</v>
      </c>
      <c r="F146" s="4">
        <v>136895.86300000001</v>
      </c>
      <c r="G146" s="4">
        <v>136897.76999999999</v>
      </c>
      <c r="H146" s="5">
        <f>579 / 86400</f>
        <v>6.7013888888888887E-3</v>
      </c>
      <c r="I146" t="s">
        <v>156</v>
      </c>
      <c r="J146" t="s">
        <v>39</v>
      </c>
      <c r="K146" s="5">
        <f>1045 / 86400</f>
        <v>1.2094907407407407E-2</v>
      </c>
      <c r="L146" s="5">
        <f>123 / 86400</f>
        <v>1.4236111111111112E-3</v>
      </c>
    </row>
    <row r="147" spans="1:12" x14ac:dyDescent="0.25">
      <c r="A147" s="3">
        <v>45697.392037037032</v>
      </c>
      <c r="B147" t="s">
        <v>36</v>
      </c>
      <c r="C147" s="3">
        <v>45697.47383101852</v>
      </c>
      <c r="D147" t="s">
        <v>157</v>
      </c>
      <c r="E147" s="4">
        <v>40.36</v>
      </c>
      <c r="F147" s="4">
        <v>136897.76999999999</v>
      </c>
      <c r="G147" s="4">
        <v>136938.13</v>
      </c>
      <c r="H147" s="5">
        <f>1979 / 86400</f>
        <v>2.2905092592592591E-2</v>
      </c>
      <c r="I147" t="s">
        <v>158</v>
      </c>
      <c r="J147" t="s">
        <v>49</v>
      </c>
      <c r="K147" s="5">
        <f>7067 / 86400</f>
        <v>8.1793981481481481E-2</v>
      </c>
      <c r="L147" s="5">
        <f>1258 / 86400</f>
        <v>1.4560185185185185E-2</v>
      </c>
    </row>
    <row r="148" spans="1:12" x14ac:dyDescent="0.25">
      <c r="A148" s="3">
        <v>45697.488391203704</v>
      </c>
      <c r="B148" t="s">
        <v>157</v>
      </c>
      <c r="C148" s="3">
        <v>45697.488738425927</v>
      </c>
      <c r="D148" t="s">
        <v>157</v>
      </c>
      <c r="E148" s="4">
        <v>0</v>
      </c>
      <c r="F148" s="4">
        <v>136938.13</v>
      </c>
      <c r="G148" s="4">
        <v>136938.13</v>
      </c>
      <c r="H148" s="5">
        <f>19 / 86400</f>
        <v>2.199074074074074E-4</v>
      </c>
      <c r="I148" t="s">
        <v>63</v>
      </c>
      <c r="J148" t="s">
        <v>63</v>
      </c>
      <c r="K148" s="5">
        <f>30 / 86400</f>
        <v>3.4722222222222224E-4</v>
      </c>
      <c r="L148" s="5">
        <f>353 / 86400</f>
        <v>4.0856481481481481E-3</v>
      </c>
    </row>
    <row r="149" spans="1:12" x14ac:dyDescent="0.25">
      <c r="A149" s="3">
        <v>45697.49282407407</v>
      </c>
      <c r="B149" t="s">
        <v>159</v>
      </c>
      <c r="C149" s="3">
        <v>45697.493784722217</v>
      </c>
      <c r="D149" t="s">
        <v>159</v>
      </c>
      <c r="E149" s="4">
        <v>6.0000000000000001E-3</v>
      </c>
      <c r="F149" s="4">
        <v>136938.13</v>
      </c>
      <c r="G149" s="4">
        <v>136938.136</v>
      </c>
      <c r="H149" s="5">
        <f>79 / 86400</f>
        <v>9.1435185185185185E-4</v>
      </c>
      <c r="I149" t="s">
        <v>63</v>
      </c>
      <c r="J149" t="s">
        <v>63</v>
      </c>
      <c r="K149" s="5">
        <f>83 / 86400</f>
        <v>9.6064814814814819E-4</v>
      </c>
      <c r="L149" s="5">
        <f>2140 / 86400</f>
        <v>2.476851851851852E-2</v>
      </c>
    </row>
    <row r="150" spans="1:12" x14ac:dyDescent="0.25">
      <c r="A150" s="3">
        <v>45697.518553240741</v>
      </c>
      <c r="B150" t="s">
        <v>159</v>
      </c>
      <c r="C150" s="3">
        <v>45697.519062499996</v>
      </c>
      <c r="D150" t="s">
        <v>160</v>
      </c>
      <c r="E150" s="4">
        <v>1.9E-2</v>
      </c>
      <c r="F150" s="4">
        <v>136938.136</v>
      </c>
      <c r="G150" s="4">
        <v>136938.155</v>
      </c>
      <c r="H150" s="5">
        <f>0 / 86400</f>
        <v>0</v>
      </c>
      <c r="I150" t="s">
        <v>82</v>
      </c>
      <c r="J150" t="s">
        <v>153</v>
      </c>
      <c r="K150" s="5">
        <f>43 / 86400</f>
        <v>4.9768518518518521E-4</v>
      </c>
      <c r="L150" s="5">
        <f>346 / 86400</f>
        <v>4.0046296296296297E-3</v>
      </c>
    </row>
    <row r="151" spans="1:12" x14ac:dyDescent="0.25">
      <c r="A151" s="3">
        <v>45697.52306712963</v>
      </c>
      <c r="B151" t="s">
        <v>160</v>
      </c>
      <c r="C151" s="3">
        <v>45697.680451388893</v>
      </c>
      <c r="D151" t="s">
        <v>72</v>
      </c>
      <c r="E151" s="4">
        <v>83.155000000000001</v>
      </c>
      <c r="F151" s="4">
        <v>136938.155</v>
      </c>
      <c r="G151" s="4">
        <v>137021.31</v>
      </c>
      <c r="H151" s="5">
        <f>3989 / 86400</f>
        <v>4.6168981481481484E-2</v>
      </c>
      <c r="I151" t="s">
        <v>161</v>
      </c>
      <c r="J151" t="s">
        <v>26</v>
      </c>
      <c r="K151" s="5">
        <f>13597 / 86400</f>
        <v>0.15737268518518518</v>
      </c>
      <c r="L151" s="5">
        <f>294 / 86400</f>
        <v>3.4027777777777776E-3</v>
      </c>
    </row>
    <row r="152" spans="1:12" x14ac:dyDescent="0.25">
      <c r="A152" s="3">
        <v>45697.683854166666</v>
      </c>
      <c r="B152" t="s">
        <v>72</v>
      </c>
      <c r="C152" s="3">
        <v>45697.68549768519</v>
      </c>
      <c r="D152" t="s">
        <v>58</v>
      </c>
      <c r="E152" s="4">
        <v>0.24099999999999999</v>
      </c>
      <c r="F152" s="4">
        <v>137021.31</v>
      </c>
      <c r="G152" s="4">
        <v>137021.55100000001</v>
      </c>
      <c r="H152" s="5">
        <f>59 / 86400</f>
        <v>6.8287037037037036E-4</v>
      </c>
      <c r="I152" t="s">
        <v>49</v>
      </c>
      <c r="J152" t="s">
        <v>29</v>
      </c>
      <c r="K152" s="5">
        <f>142 / 86400</f>
        <v>1.6435185185185185E-3</v>
      </c>
      <c r="L152" s="5">
        <f>714 / 86400</f>
        <v>8.2638888888888883E-3</v>
      </c>
    </row>
    <row r="153" spans="1:12" x14ac:dyDescent="0.25">
      <c r="A153" s="3">
        <v>45697.693761574075</v>
      </c>
      <c r="B153" t="s">
        <v>58</v>
      </c>
      <c r="C153" s="3">
        <v>45697.70107638889</v>
      </c>
      <c r="D153" t="s">
        <v>162</v>
      </c>
      <c r="E153" s="4">
        <v>6.3710000000000004</v>
      </c>
      <c r="F153" s="4">
        <v>137021.55100000001</v>
      </c>
      <c r="G153" s="4">
        <v>137027.92199999999</v>
      </c>
      <c r="H153" s="5">
        <f>38 / 86400</f>
        <v>4.3981481481481481E-4</v>
      </c>
      <c r="I153" t="s">
        <v>59</v>
      </c>
      <c r="J153" t="s">
        <v>163</v>
      </c>
      <c r="K153" s="5">
        <f>631 / 86400</f>
        <v>7.3032407407407404E-3</v>
      </c>
      <c r="L153" s="5">
        <f>760 / 86400</f>
        <v>8.7962962962962968E-3</v>
      </c>
    </row>
    <row r="154" spans="1:12" x14ac:dyDescent="0.25">
      <c r="A154" s="3">
        <v>45697.709872685184</v>
      </c>
      <c r="B154" t="s">
        <v>162</v>
      </c>
      <c r="C154" s="3">
        <v>45697.852511574078</v>
      </c>
      <c r="D154" t="s">
        <v>18</v>
      </c>
      <c r="E154" s="4">
        <v>62.436999999999998</v>
      </c>
      <c r="F154" s="4">
        <v>137027.92199999999</v>
      </c>
      <c r="G154" s="4">
        <v>137090.359</v>
      </c>
      <c r="H154" s="5">
        <f>3460 / 86400</f>
        <v>4.0046296296296295E-2</v>
      </c>
      <c r="I154" t="s">
        <v>34</v>
      </c>
      <c r="J154" t="s">
        <v>20</v>
      </c>
      <c r="K154" s="5">
        <f>12323 / 86400</f>
        <v>0.1426273148148148</v>
      </c>
      <c r="L154" s="5">
        <f>4065 / 86400</f>
        <v>4.704861111111111E-2</v>
      </c>
    </row>
    <row r="155" spans="1:12" x14ac:dyDescent="0.25">
      <c r="A155" s="3">
        <v>45697.899560185186</v>
      </c>
      <c r="B155" t="s">
        <v>18</v>
      </c>
      <c r="C155" s="3">
        <v>45697.901261574079</v>
      </c>
      <c r="D155" t="s">
        <v>18</v>
      </c>
      <c r="E155" s="4">
        <v>1.6E-2</v>
      </c>
      <c r="F155" s="4">
        <v>137090.359</v>
      </c>
      <c r="G155" s="4">
        <v>137090.375</v>
      </c>
      <c r="H155" s="5">
        <f>119 / 86400</f>
        <v>1.3773148148148147E-3</v>
      </c>
      <c r="I155" t="s">
        <v>82</v>
      </c>
      <c r="J155" t="s">
        <v>63</v>
      </c>
      <c r="K155" s="5">
        <f>147 / 86400</f>
        <v>1.7013888888888888E-3</v>
      </c>
      <c r="L155" s="5">
        <f>8530 / 86400</f>
        <v>9.8726851851851857E-2</v>
      </c>
    </row>
    <row r="156" spans="1:1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1:12" s="10" customFormat="1" ht="20.100000000000001" customHeight="1" x14ac:dyDescent="0.35">
      <c r="A158" s="15" t="s">
        <v>402</v>
      </c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2" ht="30" x14ac:dyDescent="0.25">
      <c r="A160" s="2" t="s">
        <v>6</v>
      </c>
      <c r="B160" s="2" t="s">
        <v>7</v>
      </c>
      <c r="C160" s="2" t="s">
        <v>8</v>
      </c>
      <c r="D160" s="2" t="s">
        <v>9</v>
      </c>
      <c r="E160" s="2" t="s">
        <v>10</v>
      </c>
      <c r="F160" s="2" t="s">
        <v>11</v>
      </c>
      <c r="G160" s="2" t="s">
        <v>12</v>
      </c>
      <c r="H160" s="2" t="s">
        <v>13</v>
      </c>
      <c r="I160" s="2" t="s">
        <v>14</v>
      </c>
      <c r="J160" s="2" t="s">
        <v>15</v>
      </c>
      <c r="K160" s="2" t="s">
        <v>16</v>
      </c>
      <c r="L160" s="2" t="s">
        <v>17</v>
      </c>
    </row>
    <row r="161" spans="1:12" x14ac:dyDescent="0.25">
      <c r="A161" s="3">
        <v>45697</v>
      </c>
      <c r="B161" t="s">
        <v>35</v>
      </c>
      <c r="C161" s="3">
        <v>45697.002905092595</v>
      </c>
      <c r="D161" t="s">
        <v>164</v>
      </c>
      <c r="E161" s="4">
        <v>1.7826990552544595</v>
      </c>
      <c r="F161" s="4">
        <v>347119.02096250013</v>
      </c>
      <c r="G161" s="4">
        <v>347120.8036615554</v>
      </c>
      <c r="H161" s="5">
        <f t="shared" ref="H161:H224" si="0">0 / 86400</f>
        <v>0</v>
      </c>
      <c r="I161" t="s">
        <v>165</v>
      </c>
      <c r="J161" t="s">
        <v>137</v>
      </c>
      <c r="K161" s="5">
        <f>251 / 86400</f>
        <v>2.9050925925925928E-3</v>
      </c>
      <c r="L161" s="5">
        <f>140 / 86400</f>
        <v>1.6203703703703703E-3</v>
      </c>
    </row>
    <row r="162" spans="1:12" x14ac:dyDescent="0.25">
      <c r="A162" s="3">
        <v>45697.004525462966</v>
      </c>
      <c r="B162" t="s">
        <v>110</v>
      </c>
      <c r="C162" s="3">
        <v>45697.006076388891</v>
      </c>
      <c r="D162" t="s">
        <v>166</v>
      </c>
      <c r="E162" s="4">
        <v>0.71426465517282489</v>
      </c>
      <c r="F162" s="4">
        <v>347120.96173666528</v>
      </c>
      <c r="G162" s="4">
        <v>347121.67600132048</v>
      </c>
      <c r="H162" s="5">
        <f t="shared" si="0"/>
        <v>0</v>
      </c>
      <c r="I162" t="s">
        <v>134</v>
      </c>
      <c r="J162" t="s">
        <v>23</v>
      </c>
      <c r="K162" s="5">
        <f>134 / 86400</f>
        <v>1.5509259259259259E-3</v>
      </c>
      <c r="L162" s="5">
        <f>16 / 86400</f>
        <v>1.8518518518518518E-4</v>
      </c>
    </row>
    <row r="163" spans="1:12" x14ac:dyDescent="0.25">
      <c r="A163" s="3">
        <v>45697.006261574075</v>
      </c>
      <c r="B163" t="s">
        <v>167</v>
      </c>
      <c r="C163" s="3">
        <v>45697.007187499999</v>
      </c>
      <c r="D163" t="s">
        <v>164</v>
      </c>
      <c r="E163" s="4">
        <v>0.45595107460021972</v>
      </c>
      <c r="F163" s="4">
        <v>347121.69426550949</v>
      </c>
      <c r="G163" s="4">
        <v>347122.15021658409</v>
      </c>
      <c r="H163" s="5">
        <f t="shared" si="0"/>
        <v>0</v>
      </c>
      <c r="I163" t="s">
        <v>168</v>
      </c>
      <c r="J163" t="s">
        <v>49</v>
      </c>
      <c r="K163" s="5">
        <f>80 / 86400</f>
        <v>9.2592592592592596E-4</v>
      </c>
      <c r="L163" s="5">
        <f>20 / 86400</f>
        <v>2.3148148148148149E-4</v>
      </c>
    </row>
    <row r="164" spans="1:12" x14ac:dyDescent="0.25">
      <c r="A164" s="3">
        <v>45697.007418981477</v>
      </c>
      <c r="B164" t="s">
        <v>169</v>
      </c>
      <c r="C164" s="3">
        <v>45697.007650462961</v>
      </c>
      <c r="D164" t="s">
        <v>169</v>
      </c>
      <c r="E164" s="4">
        <v>1.1728778362274169E-2</v>
      </c>
      <c r="F164" s="4">
        <v>347122.17595879652</v>
      </c>
      <c r="G164" s="4">
        <v>347122.18768757489</v>
      </c>
      <c r="H164" s="5">
        <f t="shared" si="0"/>
        <v>0</v>
      </c>
      <c r="I164" t="s">
        <v>135</v>
      </c>
      <c r="J164" t="s">
        <v>153</v>
      </c>
      <c r="K164" s="5">
        <f>20 / 86400</f>
        <v>2.3148148148148149E-4</v>
      </c>
      <c r="L164" s="5">
        <f>16 / 86400</f>
        <v>1.8518518518518518E-4</v>
      </c>
    </row>
    <row r="165" spans="1:12" x14ac:dyDescent="0.25">
      <c r="A165" s="3">
        <v>45697.007835648154</v>
      </c>
      <c r="B165" t="s">
        <v>169</v>
      </c>
      <c r="C165" s="3">
        <v>45697.008993055555</v>
      </c>
      <c r="D165" t="s">
        <v>170</v>
      </c>
      <c r="E165" s="4">
        <v>0.51272979021072385</v>
      </c>
      <c r="F165" s="4">
        <v>347122.19194056251</v>
      </c>
      <c r="G165" s="4">
        <v>347122.70467035269</v>
      </c>
      <c r="H165" s="5">
        <f t="shared" si="0"/>
        <v>0</v>
      </c>
      <c r="I165" t="s">
        <v>80</v>
      </c>
      <c r="J165" t="s">
        <v>20</v>
      </c>
      <c r="K165" s="5">
        <f>100 / 86400</f>
        <v>1.1574074074074073E-3</v>
      </c>
      <c r="L165" s="5">
        <f t="shared" ref="L165:L170" si="1">20 / 86400</f>
        <v>2.3148148148148149E-4</v>
      </c>
    </row>
    <row r="166" spans="1:12" x14ac:dyDescent="0.25">
      <c r="A166" s="3">
        <v>45697.009224537032</v>
      </c>
      <c r="B166" t="s">
        <v>171</v>
      </c>
      <c r="C166" s="3">
        <v>45697.009687500002</v>
      </c>
      <c r="D166" t="s">
        <v>172</v>
      </c>
      <c r="E166" s="4">
        <v>0.22165848630666732</v>
      </c>
      <c r="F166" s="4">
        <v>347122.79432394792</v>
      </c>
      <c r="G166" s="4">
        <v>347123.01598243421</v>
      </c>
      <c r="H166" s="5">
        <f t="shared" si="0"/>
        <v>0</v>
      </c>
      <c r="I166" t="s">
        <v>173</v>
      </c>
      <c r="J166" t="s">
        <v>28</v>
      </c>
      <c r="K166" s="5">
        <f>40 / 86400</f>
        <v>4.6296296296296298E-4</v>
      </c>
      <c r="L166" s="5">
        <f t="shared" si="1"/>
        <v>2.3148148148148149E-4</v>
      </c>
    </row>
    <row r="167" spans="1:12" x14ac:dyDescent="0.25">
      <c r="A167" s="3">
        <v>45697.009918981479</v>
      </c>
      <c r="B167" t="s">
        <v>174</v>
      </c>
      <c r="C167" s="3">
        <v>45697.010844907403</v>
      </c>
      <c r="D167" t="s">
        <v>110</v>
      </c>
      <c r="E167" s="4">
        <v>0.33773575258255006</v>
      </c>
      <c r="F167" s="4">
        <v>347123.08386771224</v>
      </c>
      <c r="G167" s="4">
        <v>347123.42160346487</v>
      </c>
      <c r="H167" s="5">
        <f t="shared" si="0"/>
        <v>0</v>
      </c>
      <c r="I167" t="s">
        <v>137</v>
      </c>
      <c r="J167" t="s">
        <v>175</v>
      </c>
      <c r="K167" s="5">
        <f>80 / 86400</f>
        <v>9.2592592592592596E-4</v>
      </c>
      <c r="L167" s="5">
        <f t="shared" si="1"/>
        <v>2.3148148148148149E-4</v>
      </c>
    </row>
    <row r="168" spans="1:12" x14ac:dyDescent="0.25">
      <c r="A168" s="3">
        <v>45697.011076388888</v>
      </c>
      <c r="B168" t="s">
        <v>110</v>
      </c>
      <c r="C168" s="3">
        <v>45697.012002314819</v>
      </c>
      <c r="D168" t="s">
        <v>176</v>
      </c>
      <c r="E168" s="4">
        <v>0.49333621406555178</v>
      </c>
      <c r="F168" s="4">
        <v>347123.43586252816</v>
      </c>
      <c r="G168" s="4">
        <v>347123.9291987422</v>
      </c>
      <c r="H168" s="5">
        <f t="shared" si="0"/>
        <v>0</v>
      </c>
      <c r="I168" t="s">
        <v>177</v>
      </c>
      <c r="J168" t="s">
        <v>26</v>
      </c>
      <c r="K168" s="5">
        <f>80 / 86400</f>
        <v>9.2592592592592596E-4</v>
      </c>
      <c r="L168" s="5">
        <f t="shared" si="1"/>
        <v>2.3148148148148149E-4</v>
      </c>
    </row>
    <row r="169" spans="1:12" x14ac:dyDescent="0.25">
      <c r="A169" s="3">
        <v>45697.012233796297</v>
      </c>
      <c r="B169" t="s">
        <v>176</v>
      </c>
      <c r="C169" s="3">
        <v>45697.013391203705</v>
      </c>
      <c r="D169" t="s">
        <v>176</v>
      </c>
      <c r="E169" s="4">
        <v>0.90104312884807591</v>
      </c>
      <c r="F169" s="4">
        <v>347123.9636476342</v>
      </c>
      <c r="G169" s="4">
        <v>347124.86469076306</v>
      </c>
      <c r="H169" s="5">
        <f t="shared" si="0"/>
        <v>0</v>
      </c>
      <c r="I169" t="s">
        <v>178</v>
      </c>
      <c r="J169" t="s">
        <v>179</v>
      </c>
      <c r="K169" s="5">
        <f>100 / 86400</f>
        <v>1.1574074074074073E-3</v>
      </c>
      <c r="L169" s="5">
        <f t="shared" si="1"/>
        <v>2.3148148148148149E-4</v>
      </c>
    </row>
    <row r="170" spans="1:12" x14ac:dyDescent="0.25">
      <c r="A170" s="3">
        <v>45697.01362268519</v>
      </c>
      <c r="B170" t="s">
        <v>176</v>
      </c>
      <c r="C170" s="3">
        <v>45697.016400462962</v>
      </c>
      <c r="D170" t="s">
        <v>105</v>
      </c>
      <c r="E170" s="4">
        <v>1.7945972602963447</v>
      </c>
      <c r="F170" s="4">
        <v>347124.88327711332</v>
      </c>
      <c r="G170" s="4">
        <v>347126.67787437362</v>
      </c>
      <c r="H170" s="5">
        <f t="shared" si="0"/>
        <v>0</v>
      </c>
      <c r="I170" t="s">
        <v>180</v>
      </c>
      <c r="J170" t="s">
        <v>134</v>
      </c>
      <c r="K170" s="5">
        <f>240 / 86400</f>
        <v>2.7777777777777779E-3</v>
      </c>
      <c r="L170" s="5">
        <f t="shared" si="1"/>
        <v>2.3148148148148149E-4</v>
      </c>
    </row>
    <row r="171" spans="1:12" x14ac:dyDescent="0.25">
      <c r="A171" s="3">
        <v>45697.01663194444</v>
      </c>
      <c r="B171" t="s">
        <v>105</v>
      </c>
      <c r="C171" s="3">
        <v>45697.016863425924</v>
      </c>
      <c r="D171" t="s">
        <v>105</v>
      </c>
      <c r="E171" s="4">
        <v>2.6012143492698671E-3</v>
      </c>
      <c r="F171" s="4">
        <v>347126.68494819163</v>
      </c>
      <c r="G171" s="4">
        <v>347126.68754940596</v>
      </c>
      <c r="H171" s="5">
        <f t="shared" si="0"/>
        <v>0</v>
      </c>
      <c r="I171" t="s">
        <v>125</v>
      </c>
      <c r="J171" t="s">
        <v>63</v>
      </c>
      <c r="K171" s="5">
        <f>20 / 86400</f>
        <v>2.3148148148148149E-4</v>
      </c>
      <c r="L171" s="5">
        <f>280 / 86400</f>
        <v>3.2407407407407406E-3</v>
      </c>
    </row>
    <row r="172" spans="1:12" x14ac:dyDescent="0.25">
      <c r="A172" s="3">
        <v>45697.020104166666</v>
      </c>
      <c r="B172" t="s">
        <v>105</v>
      </c>
      <c r="C172" s="3">
        <v>45697.021724537037</v>
      </c>
      <c r="D172" t="s">
        <v>105</v>
      </c>
      <c r="E172" s="4">
        <v>0.9053790503740311</v>
      </c>
      <c r="F172" s="4">
        <v>347126.71600013785</v>
      </c>
      <c r="G172" s="4">
        <v>347127.62137918826</v>
      </c>
      <c r="H172" s="5">
        <f t="shared" si="0"/>
        <v>0</v>
      </c>
      <c r="I172" t="s">
        <v>181</v>
      </c>
      <c r="J172" t="s">
        <v>140</v>
      </c>
      <c r="K172" s="5">
        <f>140 / 86400</f>
        <v>1.6203703703703703E-3</v>
      </c>
      <c r="L172" s="5">
        <f>20 / 86400</f>
        <v>2.3148148148148149E-4</v>
      </c>
    </row>
    <row r="173" spans="1:12" x14ac:dyDescent="0.25">
      <c r="A173" s="3">
        <v>45697.021956018521</v>
      </c>
      <c r="B173" t="s">
        <v>182</v>
      </c>
      <c r="C173" s="3">
        <v>45697.024965277778</v>
      </c>
      <c r="D173" t="s">
        <v>105</v>
      </c>
      <c r="E173" s="4">
        <v>2.6549973080158233</v>
      </c>
      <c r="F173" s="4">
        <v>347127.66138489085</v>
      </c>
      <c r="G173" s="4">
        <v>347130.31638219889</v>
      </c>
      <c r="H173" s="5">
        <f t="shared" si="0"/>
        <v>0</v>
      </c>
      <c r="I173" t="s">
        <v>183</v>
      </c>
      <c r="J173" t="s">
        <v>184</v>
      </c>
      <c r="K173" s="5">
        <f>260 / 86400</f>
        <v>3.0092592592592593E-3</v>
      </c>
      <c r="L173" s="5">
        <f>20 / 86400</f>
        <v>2.3148148148148149E-4</v>
      </c>
    </row>
    <row r="174" spans="1:12" x14ac:dyDescent="0.25">
      <c r="A174" s="3">
        <v>45697.025196759263</v>
      </c>
      <c r="B174" t="s">
        <v>185</v>
      </c>
      <c r="C174" s="3">
        <v>45697.026122685187</v>
      </c>
      <c r="D174" t="s">
        <v>186</v>
      </c>
      <c r="E174" s="4">
        <v>0.78271128576993942</v>
      </c>
      <c r="F174" s="4">
        <v>347130.47427451232</v>
      </c>
      <c r="G174" s="4">
        <v>347131.25698579813</v>
      </c>
      <c r="H174" s="5">
        <f t="shared" si="0"/>
        <v>0</v>
      </c>
      <c r="I174" t="s">
        <v>187</v>
      </c>
      <c r="J174" t="s">
        <v>129</v>
      </c>
      <c r="K174" s="5">
        <f>80 / 86400</f>
        <v>9.2592592592592596E-4</v>
      </c>
      <c r="L174" s="5">
        <f>20 / 86400</f>
        <v>2.3148148148148149E-4</v>
      </c>
    </row>
    <row r="175" spans="1:12" x14ac:dyDescent="0.25">
      <c r="A175" s="3">
        <v>45697.026354166665</v>
      </c>
      <c r="B175" t="s">
        <v>186</v>
      </c>
      <c r="C175" s="3">
        <v>45697.027511574073</v>
      </c>
      <c r="D175" t="s">
        <v>101</v>
      </c>
      <c r="E175" s="4">
        <v>0.78620755320787428</v>
      </c>
      <c r="F175" s="4">
        <v>347131.26125895063</v>
      </c>
      <c r="G175" s="4">
        <v>347132.04746650386</v>
      </c>
      <c r="H175" s="5">
        <f t="shared" si="0"/>
        <v>0</v>
      </c>
      <c r="I175" t="s">
        <v>188</v>
      </c>
      <c r="J175" t="s">
        <v>189</v>
      </c>
      <c r="K175" s="5">
        <f>100 / 86400</f>
        <v>1.1574074074074073E-3</v>
      </c>
      <c r="L175" s="5">
        <f>100 / 86400</f>
        <v>1.1574074074074073E-3</v>
      </c>
    </row>
    <row r="176" spans="1:12" x14ac:dyDescent="0.25">
      <c r="A176" s="3">
        <v>45697.028668981482</v>
      </c>
      <c r="B176" t="s">
        <v>190</v>
      </c>
      <c r="C176" s="3">
        <v>45697.028900462959</v>
      </c>
      <c r="D176" t="s">
        <v>190</v>
      </c>
      <c r="E176" s="4">
        <v>1.3192197680473327E-3</v>
      </c>
      <c r="F176" s="4">
        <v>347132.09359125863</v>
      </c>
      <c r="G176" s="4">
        <v>347132.09491047839</v>
      </c>
      <c r="H176" s="5">
        <f t="shared" si="0"/>
        <v>0</v>
      </c>
      <c r="I176" t="s">
        <v>191</v>
      </c>
      <c r="J176" t="s">
        <v>63</v>
      </c>
      <c r="K176" s="5">
        <f>20 / 86400</f>
        <v>2.3148148148148149E-4</v>
      </c>
      <c r="L176" s="5">
        <f>20 / 86400</f>
        <v>2.3148148148148149E-4</v>
      </c>
    </row>
    <row r="177" spans="1:12" x14ac:dyDescent="0.25">
      <c r="A177" s="3">
        <v>45697.029131944444</v>
      </c>
      <c r="B177" t="s">
        <v>101</v>
      </c>
      <c r="C177" s="3">
        <v>45697.031909722224</v>
      </c>
      <c r="D177" t="s">
        <v>192</v>
      </c>
      <c r="E177" s="4">
        <v>2.4384439208507538</v>
      </c>
      <c r="F177" s="4">
        <v>347132.17657639517</v>
      </c>
      <c r="G177" s="4">
        <v>347134.61502031598</v>
      </c>
      <c r="H177" s="5">
        <f t="shared" si="0"/>
        <v>0</v>
      </c>
      <c r="I177" t="s">
        <v>151</v>
      </c>
      <c r="J177" t="s">
        <v>184</v>
      </c>
      <c r="K177" s="5">
        <f>240 / 86400</f>
        <v>2.7777777777777779E-3</v>
      </c>
      <c r="L177" s="5">
        <f>28 / 86400</f>
        <v>3.2407407407407406E-4</v>
      </c>
    </row>
    <row r="178" spans="1:12" x14ac:dyDescent="0.25">
      <c r="A178" s="3">
        <v>45697.032233796301</v>
      </c>
      <c r="B178" t="s">
        <v>192</v>
      </c>
      <c r="C178" s="3">
        <v>45697.033587962964</v>
      </c>
      <c r="D178" t="s">
        <v>192</v>
      </c>
      <c r="E178" s="4">
        <v>0.75492905545234679</v>
      </c>
      <c r="F178" s="4">
        <v>347134.62195195071</v>
      </c>
      <c r="G178" s="4">
        <v>347135.37688100617</v>
      </c>
      <c r="H178" s="5">
        <f t="shared" si="0"/>
        <v>0</v>
      </c>
      <c r="I178" t="s">
        <v>129</v>
      </c>
      <c r="J178" t="s">
        <v>140</v>
      </c>
      <c r="K178" s="5">
        <f>117 / 86400</f>
        <v>1.3541666666666667E-3</v>
      </c>
      <c r="L178" s="5">
        <f>180 / 86400</f>
        <v>2.0833333333333333E-3</v>
      </c>
    </row>
    <row r="179" spans="1:12" x14ac:dyDescent="0.25">
      <c r="A179" s="3">
        <v>45697.035671296297</v>
      </c>
      <c r="B179" t="s">
        <v>192</v>
      </c>
      <c r="C179" s="3">
        <v>45697.035902777774</v>
      </c>
      <c r="D179" t="s">
        <v>193</v>
      </c>
      <c r="E179" s="4">
        <v>6.9785258769989016E-3</v>
      </c>
      <c r="F179" s="4">
        <v>347135.40561143402</v>
      </c>
      <c r="G179" s="4">
        <v>347135.41258995992</v>
      </c>
      <c r="H179" s="5">
        <f t="shared" si="0"/>
        <v>0</v>
      </c>
      <c r="I179" t="s">
        <v>29</v>
      </c>
      <c r="J179" t="s">
        <v>40</v>
      </c>
      <c r="K179" s="5">
        <f>20 / 86400</f>
        <v>2.3148148148148149E-4</v>
      </c>
      <c r="L179" s="5">
        <f>361 / 86400</f>
        <v>4.178240740740741E-3</v>
      </c>
    </row>
    <row r="180" spans="1:12" x14ac:dyDescent="0.25">
      <c r="A180" s="3">
        <v>45697.040081018524</v>
      </c>
      <c r="B180" t="s">
        <v>192</v>
      </c>
      <c r="C180" s="3">
        <v>45697.040763888886</v>
      </c>
      <c r="D180" t="s">
        <v>150</v>
      </c>
      <c r="E180" s="4">
        <v>0.41429762291908262</v>
      </c>
      <c r="F180" s="4">
        <v>347135.44717616867</v>
      </c>
      <c r="G180" s="4">
        <v>347135.86147379159</v>
      </c>
      <c r="H180" s="5">
        <f t="shared" si="0"/>
        <v>0</v>
      </c>
      <c r="I180" t="s">
        <v>194</v>
      </c>
      <c r="J180" t="s">
        <v>81</v>
      </c>
      <c r="K180" s="5">
        <f>59 / 86400</f>
        <v>6.8287037037037036E-4</v>
      </c>
      <c r="L180" s="5">
        <f t="shared" ref="L180:L185" si="2">20 / 86400</f>
        <v>2.3148148148148149E-4</v>
      </c>
    </row>
    <row r="181" spans="1:12" x14ac:dyDescent="0.25">
      <c r="A181" s="3">
        <v>45697.040995370371</v>
      </c>
      <c r="B181" t="s">
        <v>150</v>
      </c>
      <c r="C181" s="3">
        <v>45697.041226851856</v>
      </c>
      <c r="D181" t="s">
        <v>150</v>
      </c>
      <c r="E181" s="4">
        <v>8.4023973941802985E-3</v>
      </c>
      <c r="F181" s="4">
        <v>347135.87853140366</v>
      </c>
      <c r="G181" s="4">
        <v>347135.88693380106</v>
      </c>
      <c r="H181" s="5">
        <f t="shared" si="0"/>
        <v>0</v>
      </c>
      <c r="I181" t="s">
        <v>135</v>
      </c>
      <c r="J181" t="s">
        <v>153</v>
      </c>
      <c r="K181" s="5">
        <f>20 / 86400</f>
        <v>2.3148148148148149E-4</v>
      </c>
      <c r="L181" s="5">
        <f t="shared" si="2"/>
        <v>2.3148148148148149E-4</v>
      </c>
    </row>
    <row r="182" spans="1:12" x14ac:dyDescent="0.25">
      <c r="A182" s="3">
        <v>45697.041458333333</v>
      </c>
      <c r="B182" t="s">
        <v>150</v>
      </c>
      <c r="C182" s="3">
        <v>45697.043773148151</v>
      </c>
      <c r="D182" t="s">
        <v>195</v>
      </c>
      <c r="E182" s="4">
        <v>1.9767580335140229</v>
      </c>
      <c r="F182" s="4">
        <v>347135.9764543082</v>
      </c>
      <c r="G182" s="4">
        <v>347137.9532123417</v>
      </c>
      <c r="H182" s="5">
        <f t="shared" si="0"/>
        <v>0</v>
      </c>
      <c r="I182" t="s">
        <v>156</v>
      </c>
      <c r="J182" t="s">
        <v>163</v>
      </c>
      <c r="K182" s="5">
        <f>200 / 86400</f>
        <v>2.3148148148148147E-3</v>
      </c>
      <c r="L182" s="5">
        <f t="shared" si="2"/>
        <v>2.3148148148148149E-4</v>
      </c>
    </row>
    <row r="183" spans="1:12" x14ac:dyDescent="0.25">
      <c r="A183" s="3">
        <v>45697.044004629628</v>
      </c>
      <c r="B183" t="s">
        <v>78</v>
      </c>
      <c r="C183" s="3">
        <v>45697.052337962959</v>
      </c>
      <c r="D183" t="s">
        <v>176</v>
      </c>
      <c r="E183" s="4">
        <v>7.0475835027098652</v>
      </c>
      <c r="F183" s="4">
        <v>347138.07472168125</v>
      </c>
      <c r="G183" s="4">
        <v>347145.12230518396</v>
      </c>
      <c r="H183" s="5">
        <f t="shared" si="0"/>
        <v>0</v>
      </c>
      <c r="I183" t="s">
        <v>156</v>
      </c>
      <c r="J183" t="s">
        <v>129</v>
      </c>
      <c r="K183" s="5">
        <f>720 / 86400</f>
        <v>8.3333333333333332E-3</v>
      </c>
      <c r="L183" s="5">
        <f t="shared" si="2"/>
        <v>2.3148148148148149E-4</v>
      </c>
    </row>
    <row r="184" spans="1:12" x14ac:dyDescent="0.25">
      <c r="A184" s="3">
        <v>45697.052569444444</v>
      </c>
      <c r="B184" t="s">
        <v>176</v>
      </c>
      <c r="C184" s="3">
        <v>45697.0544212963</v>
      </c>
      <c r="D184" t="s">
        <v>176</v>
      </c>
      <c r="E184" s="4">
        <v>1.4053150619268417</v>
      </c>
      <c r="F184" s="4">
        <v>347145.18987544155</v>
      </c>
      <c r="G184" s="4">
        <v>347146.59519050346</v>
      </c>
      <c r="H184" s="5">
        <f t="shared" si="0"/>
        <v>0</v>
      </c>
      <c r="I184" t="s">
        <v>168</v>
      </c>
      <c r="J184" t="s">
        <v>179</v>
      </c>
      <c r="K184" s="5">
        <f>160 / 86400</f>
        <v>1.8518518518518519E-3</v>
      </c>
      <c r="L184" s="5">
        <f t="shared" si="2"/>
        <v>2.3148148148148149E-4</v>
      </c>
    </row>
    <row r="185" spans="1:12" x14ac:dyDescent="0.25">
      <c r="A185" s="3">
        <v>45697.054652777777</v>
      </c>
      <c r="B185" t="s">
        <v>169</v>
      </c>
      <c r="C185" s="3">
        <v>45697.059189814812</v>
      </c>
      <c r="D185" t="s">
        <v>196</v>
      </c>
      <c r="E185" s="4">
        <v>2.275763139128685</v>
      </c>
      <c r="F185" s="4">
        <v>347146.71693873068</v>
      </c>
      <c r="G185" s="4">
        <v>347148.99270186981</v>
      </c>
      <c r="H185" s="5">
        <f t="shared" si="0"/>
        <v>0</v>
      </c>
      <c r="I185" t="s">
        <v>163</v>
      </c>
      <c r="J185" t="s">
        <v>49</v>
      </c>
      <c r="K185" s="5">
        <f>392 / 86400</f>
        <v>4.5370370370370373E-3</v>
      </c>
      <c r="L185" s="5">
        <f t="shared" si="2"/>
        <v>2.3148148148148149E-4</v>
      </c>
    </row>
    <row r="186" spans="1:12" x14ac:dyDescent="0.25">
      <c r="A186" s="3">
        <v>45697.059421296297</v>
      </c>
      <c r="B186" t="s">
        <v>196</v>
      </c>
      <c r="C186" s="3">
        <v>45697.061967592592</v>
      </c>
      <c r="D186" t="s">
        <v>197</v>
      </c>
      <c r="E186" s="4">
        <v>1.9695926259160041</v>
      </c>
      <c r="F186" s="4">
        <v>347149.0197785839</v>
      </c>
      <c r="G186" s="4">
        <v>347150.98937120981</v>
      </c>
      <c r="H186" s="5">
        <f t="shared" si="0"/>
        <v>0</v>
      </c>
      <c r="I186" t="s">
        <v>188</v>
      </c>
      <c r="J186" t="s">
        <v>179</v>
      </c>
      <c r="K186" s="5">
        <f>220 / 86400</f>
        <v>2.5462962962962965E-3</v>
      </c>
      <c r="L186" s="5">
        <f>15 / 86400</f>
        <v>1.7361111111111112E-4</v>
      </c>
    </row>
    <row r="187" spans="1:12" x14ac:dyDescent="0.25">
      <c r="A187" s="3">
        <v>45697.0621412037</v>
      </c>
      <c r="B187" t="s">
        <v>197</v>
      </c>
      <c r="C187" s="3">
        <v>45697.062604166669</v>
      </c>
      <c r="D187" t="s">
        <v>97</v>
      </c>
      <c r="E187" s="4">
        <v>0.2666385332942009</v>
      </c>
      <c r="F187" s="4">
        <v>347150.99556274444</v>
      </c>
      <c r="G187" s="4">
        <v>347151.26220127771</v>
      </c>
      <c r="H187" s="5">
        <f t="shared" si="0"/>
        <v>0</v>
      </c>
      <c r="I187" t="s">
        <v>184</v>
      </c>
      <c r="J187" t="s">
        <v>198</v>
      </c>
      <c r="K187" s="5">
        <f>40 / 86400</f>
        <v>4.6296296296296298E-4</v>
      </c>
      <c r="L187" s="5">
        <f>20 / 86400</f>
        <v>2.3148148148148149E-4</v>
      </c>
    </row>
    <row r="188" spans="1:12" x14ac:dyDescent="0.25">
      <c r="A188" s="3">
        <v>45697.062835648147</v>
      </c>
      <c r="B188" t="s">
        <v>97</v>
      </c>
      <c r="C188" s="3">
        <v>45697.063298611116</v>
      </c>
      <c r="D188" t="s">
        <v>97</v>
      </c>
      <c r="E188" s="4">
        <v>0.21770576137304307</v>
      </c>
      <c r="F188" s="4">
        <v>347151.36342487746</v>
      </c>
      <c r="G188" s="4">
        <v>347151.58113063884</v>
      </c>
      <c r="H188" s="5">
        <f t="shared" si="0"/>
        <v>0</v>
      </c>
      <c r="I188" t="s">
        <v>199</v>
      </c>
      <c r="J188" t="s">
        <v>28</v>
      </c>
      <c r="K188" s="5">
        <f>40 / 86400</f>
        <v>4.6296296296296298E-4</v>
      </c>
      <c r="L188" s="5">
        <f>20 / 86400</f>
        <v>2.3148148148148149E-4</v>
      </c>
    </row>
    <row r="189" spans="1:12" x14ac:dyDescent="0.25">
      <c r="A189" s="3">
        <v>45697.063530092593</v>
      </c>
      <c r="B189" t="s">
        <v>200</v>
      </c>
      <c r="C189" s="3">
        <v>45697.064456018517</v>
      </c>
      <c r="D189" t="s">
        <v>201</v>
      </c>
      <c r="E189" s="4">
        <v>0.69558650952577594</v>
      </c>
      <c r="F189" s="4">
        <v>347151.66356834758</v>
      </c>
      <c r="G189" s="4">
        <v>347152.35915485711</v>
      </c>
      <c r="H189" s="5">
        <f t="shared" si="0"/>
        <v>0</v>
      </c>
      <c r="I189" t="s">
        <v>32</v>
      </c>
      <c r="J189" t="s">
        <v>199</v>
      </c>
      <c r="K189" s="5">
        <f>80 / 86400</f>
        <v>9.2592592592592596E-4</v>
      </c>
      <c r="L189" s="5">
        <f>80 / 86400</f>
        <v>9.2592592592592596E-4</v>
      </c>
    </row>
    <row r="190" spans="1:12" x14ac:dyDescent="0.25">
      <c r="A190" s="3">
        <v>45697.065381944441</v>
      </c>
      <c r="B190" t="s">
        <v>202</v>
      </c>
      <c r="C190" s="3">
        <v>45697.067002314812</v>
      </c>
      <c r="D190" t="s">
        <v>203</v>
      </c>
      <c r="E190" s="4">
        <v>1.073048979818821</v>
      </c>
      <c r="F190" s="4">
        <v>347152.38545102597</v>
      </c>
      <c r="G190" s="4">
        <v>347153.45850000577</v>
      </c>
      <c r="H190" s="5">
        <f t="shared" si="0"/>
        <v>0</v>
      </c>
      <c r="I190" t="s">
        <v>204</v>
      </c>
      <c r="J190" t="s">
        <v>189</v>
      </c>
      <c r="K190" s="5">
        <f>140 / 86400</f>
        <v>1.6203703703703703E-3</v>
      </c>
      <c r="L190" s="5">
        <f>14 / 86400</f>
        <v>1.6203703703703703E-4</v>
      </c>
    </row>
    <row r="191" spans="1:12" x14ac:dyDescent="0.25">
      <c r="A191" s="3">
        <v>45697.067164351851</v>
      </c>
      <c r="B191" t="s">
        <v>205</v>
      </c>
      <c r="C191" s="3">
        <v>45697.069479166668</v>
      </c>
      <c r="D191" t="s">
        <v>206</v>
      </c>
      <c r="E191" s="4">
        <v>1.2907222527861595</v>
      </c>
      <c r="F191" s="4">
        <v>347153.48319559474</v>
      </c>
      <c r="G191" s="4">
        <v>347154.77391784749</v>
      </c>
      <c r="H191" s="5">
        <f t="shared" si="0"/>
        <v>0</v>
      </c>
      <c r="I191" t="s">
        <v>207</v>
      </c>
      <c r="J191" t="s">
        <v>140</v>
      </c>
      <c r="K191" s="5">
        <f>200 / 86400</f>
        <v>2.3148148148148147E-3</v>
      </c>
      <c r="L191" s="5">
        <f>20 / 86400</f>
        <v>2.3148148148148149E-4</v>
      </c>
    </row>
    <row r="192" spans="1:12" x14ac:dyDescent="0.25">
      <c r="A192" s="3">
        <v>45697.069710648153</v>
      </c>
      <c r="B192" t="s">
        <v>206</v>
      </c>
      <c r="C192" s="3">
        <v>45697.070150462961</v>
      </c>
      <c r="D192" t="s">
        <v>107</v>
      </c>
      <c r="E192" s="4">
        <v>7.2173928201198584E-2</v>
      </c>
      <c r="F192" s="4">
        <v>347154.77826012624</v>
      </c>
      <c r="G192" s="4">
        <v>347154.85043405445</v>
      </c>
      <c r="H192" s="5">
        <f t="shared" si="0"/>
        <v>0</v>
      </c>
      <c r="I192" t="s">
        <v>147</v>
      </c>
      <c r="J192" t="s">
        <v>39</v>
      </c>
      <c r="K192" s="5">
        <f>38 / 86400</f>
        <v>4.3981481481481481E-4</v>
      </c>
      <c r="L192" s="5">
        <f>60 / 86400</f>
        <v>6.9444444444444447E-4</v>
      </c>
    </row>
    <row r="193" spans="1:12" x14ac:dyDescent="0.25">
      <c r="A193" s="3">
        <v>45697.070844907408</v>
      </c>
      <c r="B193" t="s">
        <v>107</v>
      </c>
      <c r="C193" s="3">
        <v>45697.071076388893</v>
      </c>
      <c r="D193" t="s">
        <v>107</v>
      </c>
      <c r="E193" s="4">
        <v>4.436016380786896E-3</v>
      </c>
      <c r="F193" s="4">
        <v>347154.86139379739</v>
      </c>
      <c r="G193" s="4">
        <v>347154.86582981376</v>
      </c>
      <c r="H193" s="5">
        <f t="shared" si="0"/>
        <v>0</v>
      </c>
      <c r="I193" t="s">
        <v>153</v>
      </c>
      <c r="J193" t="s">
        <v>40</v>
      </c>
      <c r="K193" s="5">
        <f>20 / 86400</f>
        <v>2.3148148148148149E-4</v>
      </c>
      <c r="L193" s="5">
        <f>60 / 86400</f>
        <v>6.9444444444444447E-4</v>
      </c>
    </row>
    <row r="194" spans="1:12" x14ac:dyDescent="0.25">
      <c r="A194" s="3">
        <v>45697.071770833332</v>
      </c>
      <c r="B194" t="s">
        <v>107</v>
      </c>
      <c r="C194" s="3">
        <v>45697.072002314817</v>
      </c>
      <c r="D194" t="s">
        <v>107</v>
      </c>
      <c r="E194" s="4">
        <v>5.4440325498580936E-3</v>
      </c>
      <c r="F194" s="4">
        <v>347154.88234751835</v>
      </c>
      <c r="G194" s="4">
        <v>347154.88779155089</v>
      </c>
      <c r="H194" s="5">
        <f t="shared" si="0"/>
        <v>0</v>
      </c>
      <c r="I194" t="s">
        <v>191</v>
      </c>
      <c r="J194" t="s">
        <v>40</v>
      </c>
      <c r="K194" s="5">
        <f>20 / 86400</f>
        <v>2.3148148148148149E-4</v>
      </c>
      <c r="L194" s="5">
        <f>540 / 86400</f>
        <v>6.2500000000000003E-3</v>
      </c>
    </row>
    <row r="195" spans="1:12" x14ac:dyDescent="0.25">
      <c r="A195" s="3">
        <v>45697.078252314815</v>
      </c>
      <c r="B195" t="s">
        <v>107</v>
      </c>
      <c r="C195" s="3">
        <v>45697.079687500001</v>
      </c>
      <c r="D195" t="s">
        <v>208</v>
      </c>
      <c r="E195" s="4">
        <v>0.66216474783420565</v>
      </c>
      <c r="F195" s="4">
        <v>347155.02867101599</v>
      </c>
      <c r="G195" s="4">
        <v>347155.69083576382</v>
      </c>
      <c r="H195" s="5">
        <f t="shared" si="0"/>
        <v>0</v>
      </c>
      <c r="I195" t="s">
        <v>179</v>
      </c>
      <c r="J195" t="s">
        <v>23</v>
      </c>
      <c r="K195" s="5">
        <f>124 / 86400</f>
        <v>1.4351851851851852E-3</v>
      </c>
      <c r="L195" s="5">
        <f>20 / 86400</f>
        <v>2.3148148148148149E-4</v>
      </c>
    </row>
    <row r="196" spans="1:12" x14ac:dyDescent="0.25">
      <c r="A196" s="3">
        <v>45697.079918981486</v>
      </c>
      <c r="B196" t="s">
        <v>208</v>
      </c>
      <c r="C196" s="3">
        <v>45697.080358796295</v>
      </c>
      <c r="D196" t="s">
        <v>208</v>
      </c>
      <c r="E196" s="4">
        <v>4.2481910169124601E-2</v>
      </c>
      <c r="F196" s="4">
        <v>347155.69599487219</v>
      </c>
      <c r="G196" s="4">
        <v>347155.7384767824</v>
      </c>
      <c r="H196" s="5">
        <f t="shared" si="0"/>
        <v>0</v>
      </c>
      <c r="I196" t="s">
        <v>29</v>
      </c>
      <c r="J196" t="s">
        <v>191</v>
      </c>
      <c r="K196" s="5">
        <f>38 / 86400</f>
        <v>4.3981481481481481E-4</v>
      </c>
      <c r="L196" s="5">
        <f>1243 / 86400</f>
        <v>1.4386574074074074E-2</v>
      </c>
    </row>
    <row r="197" spans="1:12" x14ac:dyDescent="0.25">
      <c r="A197" s="3">
        <v>45697.09474537037</v>
      </c>
      <c r="B197" t="s">
        <v>206</v>
      </c>
      <c r="C197" s="3">
        <v>45697.094976851848</v>
      </c>
      <c r="D197" t="s">
        <v>206</v>
      </c>
      <c r="E197" s="4">
        <v>5.8223457336425777E-3</v>
      </c>
      <c r="F197" s="4">
        <v>347155.85211798147</v>
      </c>
      <c r="G197" s="4">
        <v>347155.8579403272</v>
      </c>
      <c r="H197" s="5">
        <f t="shared" si="0"/>
        <v>0</v>
      </c>
      <c r="I197" t="s">
        <v>40</v>
      </c>
      <c r="J197" t="s">
        <v>40</v>
      </c>
      <c r="K197" s="5">
        <f>20 / 86400</f>
        <v>2.3148148148148149E-4</v>
      </c>
      <c r="L197" s="5">
        <f>20 / 86400</f>
        <v>2.3148148148148149E-4</v>
      </c>
    </row>
    <row r="198" spans="1:12" x14ac:dyDescent="0.25">
      <c r="A198" s="3">
        <v>45697.095208333332</v>
      </c>
      <c r="B198" t="s">
        <v>206</v>
      </c>
      <c r="C198" s="3">
        <v>45697.10256944444</v>
      </c>
      <c r="D198" t="s">
        <v>97</v>
      </c>
      <c r="E198" s="4">
        <v>3.6928655619621278</v>
      </c>
      <c r="F198" s="4">
        <v>347155.85986627114</v>
      </c>
      <c r="G198" s="4">
        <v>347159.55273183307</v>
      </c>
      <c r="H198" s="5">
        <f t="shared" si="0"/>
        <v>0</v>
      </c>
      <c r="I198" t="s">
        <v>184</v>
      </c>
      <c r="J198" t="s">
        <v>49</v>
      </c>
      <c r="K198" s="5">
        <f>636 / 86400</f>
        <v>7.3611111111111108E-3</v>
      </c>
      <c r="L198" s="5">
        <f t="shared" ref="L198:L203" si="3">20 / 86400</f>
        <v>2.3148148148148149E-4</v>
      </c>
    </row>
    <row r="199" spans="1:12" x14ac:dyDescent="0.25">
      <c r="A199" s="3">
        <v>45697.102800925924</v>
      </c>
      <c r="B199" t="s">
        <v>97</v>
      </c>
      <c r="C199" s="3">
        <v>45697.104421296295</v>
      </c>
      <c r="D199" t="s">
        <v>197</v>
      </c>
      <c r="E199" s="4">
        <v>0.74900597423315052</v>
      </c>
      <c r="F199" s="4">
        <v>347159.56714549026</v>
      </c>
      <c r="G199" s="4">
        <v>347160.31615146453</v>
      </c>
      <c r="H199" s="5">
        <f t="shared" si="0"/>
        <v>0</v>
      </c>
      <c r="I199" t="s">
        <v>209</v>
      </c>
      <c r="J199" t="s">
        <v>23</v>
      </c>
      <c r="K199" s="5">
        <f>140 / 86400</f>
        <v>1.6203703703703703E-3</v>
      </c>
      <c r="L199" s="5">
        <f t="shared" si="3"/>
        <v>2.3148148148148149E-4</v>
      </c>
    </row>
    <row r="200" spans="1:12" x14ac:dyDescent="0.25">
      <c r="A200" s="3">
        <v>45697.10465277778</v>
      </c>
      <c r="B200" t="s">
        <v>196</v>
      </c>
      <c r="C200" s="3">
        <v>45697.105347222227</v>
      </c>
      <c r="D200" t="s">
        <v>196</v>
      </c>
      <c r="E200" s="4">
        <v>0.36999098145961762</v>
      </c>
      <c r="F200" s="4">
        <v>347160.40585490299</v>
      </c>
      <c r="G200" s="4">
        <v>347160.77584588446</v>
      </c>
      <c r="H200" s="5">
        <f t="shared" si="0"/>
        <v>0</v>
      </c>
      <c r="I200" t="s">
        <v>179</v>
      </c>
      <c r="J200" t="s">
        <v>26</v>
      </c>
      <c r="K200" s="5">
        <f>60 / 86400</f>
        <v>6.9444444444444447E-4</v>
      </c>
      <c r="L200" s="5">
        <f t="shared" si="3"/>
        <v>2.3148148148148149E-4</v>
      </c>
    </row>
    <row r="201" spans="1:12" x14ac:dyDescent="0.25">
      <c r="A201" s="3">
        <v>45697.105578703704</v>
      </c>
      <c r="B201" t="s">
        <v>196</v>
      </c>
      <c r="C201" s="3">
        <v>45697.108298611114</v>
      </c>
      <c r="D201" t="s">
        <v>166</v>
      </c>
      <c r="E201" s="4">
        <v>1.4690694668889046</v>
      </c>
      <c r="F201" s="4">
        <v>347160.79876252991</v>
      </c>
      <c r="G201" s="4">
        <v>347162.26783199678</v>
      </c>
      <c r="H201" s="5">
        <f t="shared" si="0"/>
        <v>0</v>
      </c>
      <c r="I201" t="s">
        <v>178</v>
      </c>
      <c r="J201" t="s">
        <v>140</v>
      </c>
      <c r="K201" s="5">
        <f>235 / 86400</f>
        <v>2.7199074074074074E-3</v>
      </c>
      <c r="L201" s="5">
        <f t="shared" si="3"/>
        <v>2.3148148148148149E-4</v>
      </c>
    </row>
    <row r="202" spans="1:12" x14ac:dyDescent="0.25">
      <c r="A202" s="3">
        <v>45697.108530092592</v>
      </c>
      <c r="B202" t="s">
        <v>166</v>
      </c>
      <c r="C202" s="3">
        <v>45697.111770833333</v>
      </c>
      <c r="D202" t="s">
        <v>210</v>
      </c>
      <c r="E202" s="4">
        <v>1.7122255102396011</v>
      </c>
      <c r="F202" s="4">
        <v>347162.27289138961</v>
      </c>
      <c r="G202" s="4">
        <v>347163.98511689983</v>
      </c>
      <c r="H202" s="5">
        <f t="shared" si="0"/>
        <v>0</v>
      </c>
      <c r="I202" t="s">
        <v>194</v>
      </c>
      <c r="J202" t="s">
        <v>26</v>
      </c>
      <c r="K202" s="5">
        <f>280 / 86400</f>
        <v>3.2407407407407406E-3</v>
      </c>
      <c r="L202" s="5">
        <f t="shared" si="3"/>
        <v>2.3148148148148149E-4</v>
      </c>
    </row>
    <row r="203" spans="1:12" x14ac:dyDescent="0.25">
      <c r="A203" s="3">
        <v>45697.112002314811</v>
      </c>
      <c r="B203" t="s">
        <v>210</v>
      </c>
      <c r="C203" s="3">
        <v>45697.113159722227</v>
      </c>
      <c r="D203" t="s">
        <v>176</v>
      </c>
      <c r="E203" s="4">
        <v>0.7234644823074341</v>
      </c>
      <c r="F203" s="4">
        <v>347164.01295173506</v>
      </c>
      <c r="G203" s="4">
        <v>347164.73641621741</v>
      </c>
      <c r="H203" s="5">
        <f t="shared" si="0"/>
        <v>0</v>
      </c>
      <c r="I203" t="s">
        <v>129</v>
      </c>
      <c r="J203" t="s">
        <v>137</v>
      </c>
      <c r="K203" s="5">
        <f>100 / 86400</f>
        <v>1.1574074074074073E-3</v>
      </c>
      <c r="L203" s="5">
        <f t="shared" si="3"/>
        <v>2.3148148148148149E-4</v>
      </c>
    </row>
    <row r="204" spans="1:12" x14ac:dyDescent="0.25">
      <c r="A204" s="3">
        <v>45697.113391203704</v>
      </c>
      <c r="B204" t="s">
        <v>176</v>
      </c>
      <c r="C204" s="3">
        <v>45697.116400462968</v>
      </c>
      <c r="D204" t="s">
        <v>105</v>
      </c>
      <c r="E204" s="4">
        <v>2.4655252198576929</v>
      </c>
      <c r="F204" s="4">
        <v>347164.76263056864</v>
      </c>
      <c r="G204" s="4">
        <v>347167.2281557885</v>
      </c>
      <c r="H204" s="5">
        <f t="shared" si="0"/>
        <v>0</v>
      </c>
      <c r="I204" t="s">
        <v>156</v>
      </c>
      <c r="J204" t="s">
        <v>80</v>
      </c>
      <c r="K204" s="5">
        <f>260 / 86400</f>
        <v>3.0092592592592593E-3</v>
      </c>
      <c r="L204" s="5">
        <f>40 / 86400</f>
        <v>4.6296296296296298E-4</v>
      </c>
    </row>
    <row r="205" spans="1:12" x14ac:dyDescent="0.25">
      <c r="A205" s="3">
        <v>45697.116863425923</v>
      </c>
      <c r="B205" t="s">
        <v>105</v>
      </c>
      <c r="C205" s="3">
        <v>45697.117094907408</v>
      </c>
      <c r="D205" t="s">
        <v>105</v>
      </c>
      <c r="E205" s="4">
        <v>6.524830102920532E-3</v>
      </c>
      <c r="F205" s="4">
        <v>347167.23799486627</v>
      </c>
      <c r="G205" s="4">
        <v>347167.24451969634</v>
      </c>
      <c r="H205" s="5">
        <f t="shared" si="0"/>
        <v>0</v>
      </c>
      <c r="I205" t="s">
        <v>153</v>
      </c>
      <c r="J205" t="s">
        <v>40</v>
      </c>
      <c r="K205" s="5">
        <f>20 / 86400</f>
        <v>2.3148148148148149E-4</v>
      </c>
      <c r="L205" s="5">
        <f>200 / 86400</f>
        <v>2.3148148148148147E-3</v>
      </c>
    </row>
    <row r="206" spans="1:12" x14ac:dyDescent="0.25">
      <c r="A206" s="3">
        <v>45697.119409722218</v>
      </c>
      <c r="B206" t="s">
        <v>211</v>
      </c>
      <c r="C206" s="3">
        <v>45697.119872685187</v>
      </c>
      <c r="D206" t="s">
        <v>211</v>
      </c>
      <c r="E206" s="4">
        <v>1.0586047053337096E-2</v>
      </c>
      <c r="F206" s="4">
        <v>347167.27354891319</v>
      </c>
      <c r="G206" s="4">
        <v>347167.28413496021</v>
      </c>
      <c r="H206" s="5">
        <f t="shared" si="0"/>
        <v>0</v>
      </c>
      <c r="I206" t="s">
        <v>191</v>
      </c>
      <c r="J206" t="s">
        <v>40</v>
      </c>
      <c r="K206" s="5">
        <f>40 / 86400</f>
        <v>4.6296296296296298E-4</v>
      </c>
      <c r="L206" s="5">
        <f>460 / 86400</f>
        <v>5.324074074074074E-3</v>
      </c>
    </row>
    <row r="207" spans="1:12" x14ac:dyDescent="0.25">
      <c r="A207" s="3">
        <v>45697.125196759254</v>
      </c>
      <c r="B207" t="s">
        <v>212</v>
      </c>
      <c r="C207" s="3">
        <v>45697.140555555554</v>
      </c>
      <c r="D207" t="s">
        <v>213</v>
      </c>
      <c r="E207" s="4">
        <v>8.8923272031545633</v>
      </c>
      <c r="F207" s="4">
        <v>347167.32687322696</v>
      </c>
      <c r="G207" s="4">
        <v>347176.21920043009</v>
      </c>
      <c r="H207" s="5">
        <f t="shared" si="0"/>
        <v>0</v>
      </c>
      <c r="I207" t="s">
        <v>177</v>
      </c>
      <c r="J207" t="s">
        <v>198</v>
      </c>
      <c r="K207" s="5">
        <f>1327 / 86400</f>
        <v>1.5358796296296296E-2</v>
      </c>
      <c r="L207" s="5">
        <f>20 / 86400</f>
        <v>2.3148148148148149E-4</v>
      </c>
    </row>
    <row r="208" spans="1:12" x14ac:dyDescent="0.25">
      <c r="A208" s="3">
        <v>45697.140787037039</v>
      </c>
      <c r="B208" t="s">
        <v>213</v>
      </c>
      <c r="C208" s="3">
        <v>45697.141944444447</v>
      </c>
      <c r="D208" t="s">
        <v>213</v>
      </c>
      <c r="E208" s="4">
        <v>0.48656916427612307</v>
      </c>
      <c r="F208" s="4">
        <v>347176.27664914459</v>
      </c>
      <c r="G208" s="4">
        <v>347176.76321830886</v>
      </c>
      <c r="H208" s="5">
        <f t="shared" si="0"/>
        <v>0</v>
      </c>
      <c r="I208" t="s">
        <v>81</v>
      </c>
      <c r="J208" t="s">
        <v>20</v>
      </c>
      <c r="K208" s="5">
        <f>100 / 86400</f>
        <v>1.1574074074074073E-3</v>
      </c>
      <c r="L208" s="5">
        <f>80 / 86400</f>
        <v>9.2592592592592596E-4</v>
      </c>
    </row>
    <row r="209" spans="1:12" x14ac:dyDescent="0.25">
      <c r="A209" s="3">
        <v>45697.142870370371</v>
      </c>
      <c r="B209" t="s">
        <v>213</v>
      </c>
      <c r="C209" s="3">
        <v>45697.144490740742</v>
      </c>
      <c r="D209" t="s">
        <v>213</v>
      </c>
      <c r="E209" s="4">
        <v>1.0424047649502755</v>
      </c>
      <c r="F209" s="4">
        <v>347176.79259405314</v>
      </c>
      <c r="G209" s="4">
        <v>347177.83499881811</v>
      </c>
      <c r="H209" s="5">
        <f t="shared" si="0"/>
        <v>0</v>
      </c>
      <c r="I209" t="s">
        <v>155</v>
      </c>
      <c r="J209" t="s">
        <v>134</v>
      </c>
      <c r="K209" s="5">
        <f>140 / 86400</f>
        <v>1.6203703703703703E-3</v>
      </c>
      <c r="L209" s="5">
        <f>20 / 86400</f>
        <v>2.3148148148148149E-4</v>
      </c>
    </row>
    <row r="210" spans="1:12" x14ac:dyDescent="0.25">
      <c r="A210" s="3">
        <v>45697.14472222222</v>
      </c>
      <c r="B210" t="s">
        <v>213</v>
      </c>
      <c r="C210" s="3">
        <v>45697.148622685185</v>
      </c>
      <c r="D210" t="s">
        <v>192</v>
      </c>
      <c r="E210" s="4">
        <v>4.5264814975261691</v>
      </c>
      <c r="F210" s="4">
        <v>347177.98507550289</v>
      </c>
      <c r="G210" s="4">
        <v>347182.5115570004</v>
      </c>
      <c r="H210" s="5">
        <f t="shared" si="0"/>
        <v>0</v>
      </c>
      <c r="I210" t="s">
        <v>149</v>
      </c>
      <c r="J210" t="s">
        <v>214</v>
      </c>
      <c r="K210" s="5">
        <f>337 / 86400</f>
        <v>3.9004629629629628E-3</v>
      </c>
      <c r="L210" s="5">
        <f>60 / 86400</f>
        <v>6.9444444444444447E-4</v>
      </c>
    </row>
    <row r="211" spans="1:12" x14ac:dyDescent="0.25">
      <c r="A211" s="3">
        <v>45697.149317129632</v>
      </c>
      <c r="B211" t="s">
        <v>150</v>
      </c>
      <c r="C211" s="3">
        <v>45697.149780092594</v>
      </c>
      <c r="D211" t="s">
        <v>150</v>
      </c>
      <c r="E211" s="4">
        <v>0.35436042845249177</v>
      </c>
      <c r="F211" s="4">
        <v>347182.59311633615</v>
      </c>
      <c r="G211" s="4">
        <v>347182.94747676462</v>
      </c>
      <c r="H211" s="5">
        <f t="shared" si="0"/>
        <v>0</v>
      </c>
      <c r="I211" t="s">
        <v>207</v>
      </c>
      <c r="J211" t="s">
        <v>179</v>
      </c>
      <c r="K211" s="5">
        <f>40 / 86400</f>
        <v>4.6296296296296298E-4</v>
      </c>
      <c r="L211" s="5">
        <f t="shared" ref="L211:L220" si="4">20 / 86400</f>
        <v>2.3148148148148149E-4</v>
      </c>
    </row>
    <row r="212" spans="1:12" x14ac:dyDescent="0.25">
      <c r="A212" s="3">
        <v>45697.150011574078</v>
      </c>
      <c r="B212" t="s">
        <v>150</v>
      </c>
      <c r="C212" s="3">
        <v>45697.150474537033</v>
      </c>
      <c r="D212" t="s">
        <v>150</v>
      </c>
      <c r="E212" s="4">
        <v>0.53542303782701495</v>
      </c>
      <c r="F212" s="4">
        <v>347183.12201097497</v>
      </c>
      <c r="G212" s="4">
        <v>347183.6574340128</v>
      </c>
      <c r="H212" s="5">
        <f t="shared" si="0"/>
        <v>0</v>
      </c>
      <c r="I212" t="s">
        <v>183</v>
      </c>
      <c r="J212" t="s">
        <v>214</v>
      </c>
      <c r="K212" s="5">
        <f>40 / 86400</f>
        <v>4.6296296296296298E-4</v>
      </c>
      <c r="L212" s="5">
        <f t="shared" si="4"/>
        <v>2.3148148148148149E-4</v>
      </c>
    </row>
    <row r="213" spans="1:12" x14ac:dyDescent="0.25">
      <c r="A213" s="3">
        <v>45697.150706018518</v>
      </c>
      <c r="B213" t="s">
        <v>150</v>
      </c>
      <c r="C213" s="3">
        <v>45697.151400462964</v>
      </c>
      <c r="D213" t="s">
        <v>78</v>
      </c>
      <c r="E213" s="4">
        <v>0.66840683555603031</v>
      </c>
      <c r="F213" s="4">
        <v>347183.8055807362</v>
      </c>
      <c r="G213" s="4">
        <v>347184.47398757178</v>
      </c>
      <c r="H213" s="5">
        <f t="shared" si="0"/>
        <v>0</v>
      </c>
      <c r="I213" t="s">
        <v>215</v>
      </c>
      <c r="J213" t="s">
        <v>181</v>
      </c>
      <c r="K213" s="5">
        <f>60 / 86400</f>
        <v>6.9444444444444447E-4</v>
      </c>
      <c r="L213" s="5">
        <f t="shared" si="4"/>
        <v>2.3148148148148149E-4</v>
      </c>
    </row>
    <row r="214" spans="1:12" x14ac:dyDescent="0.25">
      <c r="A214" s="3">
        <v>45697.151631944449</v>
      </c>
      <c r="B214" t="s">
        <v>78</v>
      </c>
      <c r="C214" s="3">
        <v>45697.152789351851</v>
      </c>
      <c r="D214" t="s">
        <v>78</v>
      </c>
      <c r="E214" s="4">
        <v>1.1921265651583672</v>
      </c>
      <c r="F214" s="4">
        <v>347184.65381426871</v>
      </c>
      <c r="G214" s="4">
        <v>347185.84594083385</v>
      </c>
      <c r="H214" s="5">
        <f t="shared" si="0"/>
        <v>0</v>
      </c>
      <c r="I214" t="s">
        <v>37</v>
      </c>
      <c r="J214" t="s">
        <v>207</v>
      </c>
      <c r="K214" s="5">
        <f>100 / 86400</f>
        <v>1.1574074074074073E-3</v>
      </c>
      <c r="L214" s="5">
        <f t="shared" si="4"/>
        <v>2.3148148148148149E-4</v>
      </c>
    </row>
    <row r="215" spans="1:12" x14ac:dyDescent="0.25">
      <c r="A215" s="3">
        <v>45697.153020833328</v>
      </c>
      <c r="B215" t="s">
        <v>78</v>
      </c>
      <c r="C215" s="3">
        <v>45697.153946759259</v>
      </c>
      <c r="D215" t="s">
        <v>78</v>
      </c>
      <c r="E215" s="4">
        <v>0.91464102870225905</v>
      </c>
      <c r="F215" s="4">
        <v>347185.86110236117</v>
      </c>
      <c r="G215" s="4">
        <v>347186.77574338991</v>
      </c>
      <c r="H215" s="5">
        <f t="shared" si="0"/>
        <v>0</v>
      </c>
      <c r="I215" t="s">
        <v>216</v>
      </c>
      <c r="J215" t="s">
        <v>168</v>
      </c>
      <c r="K215" s="5">
        <f>80 / 86400</f>
        <v>9.2592592592592596E-4</v>
      </c>
      <c r="L215" s="5">
        <f t="shared" si="4"/>
        <v>2.3148148148148149E-4</v>
      </c>
    </row>
    <row r="216" spans="1:12" x14ac:dyDescent="0.25">
      <c r="A216" s="3">
        <v>45697.154178240744</v>
      </c>
      <c r="B216" t="s">
        <v>105</v>
      </c>
      <c r="C216" s="3">
        <v>45697.15556712963</v>
      </c>
      <c r="D216" t="s">
        <v>105</v>
      </c>
      <c r="E216" s="4">
        <v>1.7671961238980294</v>
      </c>
      <c r="F216" s="4">
        <v>347186.91017740371</v>
      </c>
      <c r="G216" s="4">
        <v>347188.67737352761</v>
      </c>
      <c r="H216" s="5">
        <f t="shared" si="0"/>
        <v>0</v>
      </c>
      <c r="I216" t="s">
        <v>94</v>
      </c>
      <c r="J216" t="s">
        <v>217</v>
      </c>
      <c r="K216" s="5">
        <f>120 / 86400</f>
        <v>1.3888888888888889E-3</v>
      </c>
      <c r="L216" s="5">
        <f t="shared" si="4"/>
        <v>2.3148148148148149E-4</v>
      </c>
    </row>
    <row r="217" spans="1:12" x14ac:dyDescent="0.25">
      <c r="A217" s="3">
        <v>45697.155798611115</v>
      </c>
      <c r="B217" t="s">
        <v>105</v>
      </c>
      <c r="C217" s="3">
        <v>45697.156493055554</v>
      </c>
      <c r="D217" t="s">
        <v>105</v>
      </c>
      <c r="E217" s="4">
        <v>0.74828468310832974</v>
      </c>
      <c r="F217" s="4">
        <v>347188.7347901052</v>
      </c>
      <c r="G217" s="4">
        <v>347189.48307478835</v>
      </c>
      <c r="H217" s="5">
        <f t="shared" si="0"/>
        <v>0</v>
      </c>
      <c r="I217" t="s">
        <v>149</v>
      </c>
      <c r="J217" t="s">
        <v>180</v>
      </c>
      <c r="K217" s="5">
        <f>60 / 86400</f>
        <v>6.9444444444444447E-4</v>
      </c>
      <c r="L217" s="5">
        <f t="shared" si="4"/>
        <v>2.3148148148148149E-4</v>
      </c>
    </row>
    <row r="218" spans="1:12" x14ac:dyDescent="0.25">
      <c r="A218" s="3">
        <v>45697.156724537039</v>
      </c>
      <c r="B218" t="s">
        <v>105</v>
      </c>
      <c r="C218" s="3">
        <v>45697.157187500001</v>
      </c>
      <c r="D218" t="s">
        <v>105</v>
      </c>
      <c r="E218" s="4">
        <v>0.43463865977525712</v>
      </c>
      <c r="F218" s="4">
        <v>347189.48959961929</v>
      </c>
      <c r="G218" s="4">
        <v>347189.92423827905</v>
      </c>
      <c r="H218" s="5">
        <f t="shared" si="0"/>
        <v>0</v>
      </c>
      <c r="I218" t="s">
        <v>218</v>
      </c>
      <c r="J218" t="s">
        <v>32</v>
      </c>
      <c r="K218" s="5">
        <f>40 / 86400</f>
        <v>4.6296296296296298E-4</v>
      </c>
      <c r="L218" s="5">
        <f t="shared" si="4"/>
        <v>2.3148148148148149E-4</v>
      </c>
    </row>
    <row r="219" spans="1:12" x14ac:dyDescent="0.25">
      <c r="A219" s="3">
        <v>45697.157418981486</v>
      </c>
      <c r="B219" t="s">
        <v>105</v>
      </c>
      <c r="C219" s="3">
        <v>45697.158113425925</v>
      </c>
      <c r="D219" t="s">
        <v>113</v>
      </c>
      <c r="E219" s="4">
        <v>0.35427773666381834</v>
      </c>
      <c r="F219" s="4">
        <v>347190.06660876371</v>
      </c>
      <c r="G219" s="4">
        <v>347190.42088650033</v>
      </c>
      <c r="H219" s="5">
        <f t="shared" si="0"/>
        <v>0</v>
      </c>
      <c r="I219" t="s">
        <v>91</v>
      </c>
      <c r="J219" t="s">
        <v>49</v>
      </c>
      <c r="K219" s="5">
        <f>60 / 86400</f>
        <v>6.9444444444444447E-4</v>
      </c>
      <c r="L219" s="5">
        <f t="shared" si="4"/>
        <v>2.3148148148148149E-4</v>
      </c>
    </row>
    <row r="220" spans="1:12" x14ac:dyDescent="0.25">
      <c r="A220" s="3">
        <v>45697.15834490741</v>
      </c>
      <c r="B220" t="s">
        <v>113</v>
      </c>
      <c r="C220" s="3">
        <v>45697.160891203705</v>
      </c>
      <c r="D220" t="s">
        <v>210</v>
      </c>
      <c r="E220" s="4">
        <v>3.2476600071787836</v>
      </c>
      <c r="F220" s="4">
        <v>347190.42416081013</v>
      </c>
      <c r="G220" s="4">
        <v>347193.67182081728</v>
      </c>
      <c r="H220" s="5">
        <f t="shared" si="0"/>
        <v>0</v>
      </c>
      <c r="I220" t="s">
        <v>215</v>
      </c>
      <c r="J220" t="s">
        <v>217</v>
      </c>
      <c r="K220" s="5">
        <f>220 / 86400</f>
        <v>2.5462962962962965E-3</v>
      </c>
      <c r="L220" s="5">
        <f t="shared" si="4"/>
        <v>2.3148148148148149E-4</v>
      </c>
    </row>
    <row r="221" spans="1:12" x14ac:dyDescent="0.25">
      <c r="A221" s="3">
        <v>45697.161122685182</v>
      </c>
      <c r="B221" t="s">
        <v>169</v>
      </c>
      <c r="C221" s="3">
        <v>45697.168310185181</v>
      </c>
      <c r="D221" t="s">
        <v>208</v>
      </c>
      <c r="E221" s="4">
        <v>6.5611014360189435</v>
      </c>
      <c r="F221" s="4">
        <v>347193.7734628669</v>
      </c>
      <c r="G221" s="4">
        <v>347200.33456430293</v>
      </c>
      <c r="H221" s="5">
        <f t="shared" si="0"/>
        <v>0</v>
      </c>
      <c r="I221" t="s">
        <v>59</v>
      </c>
      <c r="J221" t="s">
        <v>152</v>
      </c>
      <c r="K221" s="5">
        <f>621 / 86400</f>
        <v>7.1875000000000003E-3</v>
      </c>
      <c r="L221" s="5">
        <f>60 / 86400</f>
        <v>6.9444444444444447E-4</v>
      </c>
    </row>
    <row r="222" spans="1:12" x14ac:dyDescent="0.25">
      <c r="A222" s="3">
        <v>45697.169004629628</v>
      </c>
      <c r="B222" t="s">
        <v>206</v>
      </c>
      <c r="C222" s="3">
        <v>45697.174050925925</v>
      </c>
      <c r="D222" t="s">
        <v>219</v>
      </c>
      <c r="E222" s="4">
        <v>3.8553306627869608</v>
      </c>
      <c r="F222" s="4">
        <v>347200.39831748029</v>
      </c>
      <c r="G222" s="4">
        <v>347204.25364814303</v>
      </c>
      <c r="H222" s="5">
        <f t="shared" si="0"/>
        <v>0</v>
      </c>
      <c r="I222" t="s">
        <v>220</v>
      </c>
      <c r="J222" t="s">
        <v>179</v>
      </c>
      <c r="K222" s="5">
        <f>436 / 86400</f>
        <v>5.0462962962962961E-3</v>
      </c>
      <c r="L222" s="5">
        <f>20 / 86400</f>
        <v>2.3148148148148149E-4</v>
      </c>
    </row>
    <row r="223" spans="1:12" x14ac:dyDescent="0.25">
      <c r="A223" s="3">
        <v>45697.174282407403</v>
      </c>
      <c r="B223" t="s">
        <v>221</v>
      </c>
      <c r="C223" s="3">
        <v>45697.17695601852</v>
      </c>
      <c r="D223" t="s">
        <v>222</v>
      </c>
      <c r="E223" s="4">
        <v>2.1253090966343882</v>
      </c>
      <c r="F223" s="4">
        <v>347204.31166526745</v>
      </c>
      <c r="G223" s="4">
        <v>347206.4369743641</v>
      </c>
      <c r="H223" s="5">
        <f t="shared" si="0"/>
        <v>0</v>
      </c>
      <c r="I223" t="s">
        <v>217</v>
      </c>
      <c r="J223" t="s">
        <v>194</v>
      </c>
      <c r="K223" s="5">
        <f>231 / 86400</f>
        <v>2.673611111111111E-3</v>
      </c>
      <c r="L223" s="5">
        <f>20 / 86400</f>
        <v>2.3148148148148149E-4</v>
      </c>
    </row>
    <row r="224" spans="1:12" x14ac:dyDescent="0.25">
      <c r="A224" s="3">
        <v>45697.177187499998</v>
      </c>
      <c r="B224" t="s">
        <v>222</v>
      </c>
      <c r="C224" s="3">
        <v>45697.177881944444</v>
      </c>
      <c r="D224" t="s">
        <v>223</v>
      </c>
      <c r="E224" s="4">
        <v>0.53448595124483111</v>
      </c>
      <c r="F224" s="4">
        <v>347206.46938089735</v>
      </c>
      <c r="G224" s="4">
        <v>347207.00386684859</v>
      </c>
      <c r="H224" s="5">
        <f t="shared" si="0"/>
        <v>0</v>
      </c>
      <c r="I224" t="s">
        <v>91</v>
      </c>
      <c r="J224" t="s">
        <v>179</v>
      </c>
      <c r="K224" s="5">
        <f>60 / 86400</f>
        <v>6.9444444444444447E-4</v>
      </c>
      <c r="L224" s="5">
        <f>20 / 86400</f>
        <v>2.3148148148148149E-4</v>
      </c>
    </row>
    <row r="225" spans="1:12" x14ac:dyDescent="0.25">
      <c r="A225" s="3">
        <v>45697.178113425922</v>
      </c>
      <c r="B225" t="s">
        <v>223</v>
      </c>
      <c r="C225" s="3">
        <v>45697.178807870368</v>
      </c>
      <c r="D225" t="s">
        <v>224</v>
      </c>
      <c r="E225" s="4">
        <v>0.54063001257181165</v>
      </c>
      <c r="F225" s="4">
        <v>347207.01046566182</v>
      </c>
      <c r="G225" s="4">
        <v>347207.5510956744</v>
      </c>
      <c r="H225" s="5">
        <f t="shared" ref="H225:H288" si="5">0 / 86400</f>
        <v>0</v>
      </c>
      <c r="I225" t="s">
        <v>168</v>
      </c>
      <c r="J225" t="s">
        <v>179</v>
      </c>
      <c r="K225" s="5">
        <f>60 / 86400</f>
        <v>6.9444444444444447E-4</v>
      </c>
      <c r="L225" s="5">
        <f>40 / 86400</f>
        <v>4.6296296296296298E-4</v>
      </c>
    </row>
    <row r="226" spans="1:12" x14ac:dyDescent="0.25">
      <c r="A226" s="3">
        <v>45697.179270833338</v>
      </c>
      <c r="B226" t="s">
        <v>225</v>
      </c>
      <c r="C226" s="3">
        <v>45697.181342592594</v>
      </c>
      <c r="D226" t="s">
        <v>226</v>
      </c>
      <c r="E226" s="4">
        <v>1.6240651001930237</v>
      </c>
      <c r="F226" s="4">
        <v>347207.61887232261</v>
      </c>
      <c r="G226" s="4">
        <v>347209.24293742282</v>
      </c>
      <c r="H226" s="5">
        <f t="shared" si="5"/>
        <v>0</v>
      </c>
      <c r="I226" t="s">
        <v>187</v>
      </c>
      <c r="J226" t="s">
        <v>194</v>
      </c>
      <c r="K226" s="5">
        <f>179 / 86400</f>
        <v>2.0717592592592593E-3</v>
      </c>
      <c r="L226" s="5">
        <f>20 / 86400</f>
        <v>2.3148148148148149E-4</v>
      </c>
    </row>
    <row r="227" spans="1:12" x14ac:dyDescent="0.25">
      <c r="A227" s="3">
        <v>45697.181574074071</v>
      </c>
      <c r="B227" t="s">
        <v>227</v>
      </c>
      <c r="C227" s="3">
        <v>45697.185439814813</v>
      </c>
      <c r="D227" t="s">
        <v>228</v>
      </c>
      <c r="E227" s="4">
        <v>2.5617896317243578</v>
      </c>
      <c r="F227" s="4">
        <v>347209.30562773236</v>
      </c>
      <c r="G227" s="4">
        <v>347211.86741736403</v>
      </c>
      <c r="H227" s="5">
        <f t="shared" si="5"/>
        <v>0</v>
      </c>
      <c r="I227" t="s">
        <v>217</v>
      </c>
      <c r="J227" t="s">
        <v>189</v>
      </c>
      <c r="K227" s="5">
        <f>334 / 86400</f>
        <v>3.8657407407407408E-3</v>
      </c>
      <c r="L227" s="5">
        <f>42 / 86400</f>
        <v>4.861111111111111E-4</v>
      </c>
    </row>
    <row r="228" spans="1:12" x14ac:dyDescent="0.25">
      <c r="A228" s="3">
        <v>45697.185925925922</v>
      </c>
      <c r="B228" t="s">
        <v>228</v>
      </c>
      <c r="C228" s="3">
        <v>45697.186956018515</v>
      </c>
      <c r="D228" t="s">
        <v>229</v>
      </c>
      <c r="E228" s="4">
        <v>0.23530191951990129</v>
      </c>
      <c r="F228" s="4">
        <v>347211.87440818833</v>
      </c>
      <c r="G228" s="4">
        <v>347212.10971010785</v>
      </c>
      <c r="H228" s="5">
        <f t="shared" si="5"/>
        <v>0</v>
      </c>
      <c r="I228" t="s">
        <v>147</v>
      </c>
      <c r="J228" t="s">
        <v>33</v>
      </c>
      <c r="K228" s="5">
        <f>89 / 86400</f>
        <v>1.0300925925925926E-3</v>
      </c>
      <c r="L228" s="5">
        <f>46 / 86400</f>
        <v>5.3240740740740744E-4</v>
      </c>
    </row>
    <row r="229" spans="1:12" x14ac:dyDescent="0.25">
      <c r="A229" s="3">
        <v>45697.18748842593</v>
      </c>
      <c r="B229" t="s">
        <v>229</v>
      </c>
      <c r="C229" s="3">
        <v>45697.18818287037</v>
      </c>
      <c r="D229" t="s">
        <v>230</v>
      </c>
      <c r="E229" s="4">
        <v>0.19201948589086532</v>
      </c>
      <c r="F229" s="4">
        <v>347212.11485211836</v>
      </c>
      <c r="G229" s="4">
        <v>347212.30687160429</v>
      </c>
      <c r="H229" s="5">
        <f t="shared" si="5"/>
        <v>0</v>
      </c>
      <c r="I229" t="s">
        <v>52</v>
      </c>
      <c r="J229" t="s">
        <v>92</v>
      </c>
      <c r="K229" s="5">
        <f>60 / 86400</f>
        <v>6.9444444444444447E-4</v>
      </c>
      <c r="L229" s="5">
        <f>14 / 86400</f>
        <v>1.6203703703703703E-4</v>
      </c>
    </row>
    <row r="230" spans="1:12" x14ac:dyDescent="0.25">
      <c r="A230" s="3">
        <v>45697.188344907408</v>
      </c>
      <c r="B230" t="s">
        <v>230</v>
      </c>
      <c r="C230" s="3">
        <v>45697.189432870371</v>
      </c>
      <c r="D230" t="s">
        <v>231</v>
      </c>
      <c r="E230" s="4">
        <v>0.51857800889015193</v>
      </c>
      <c r="F230" s="4">
        <v>347212.31117079756</v>
      </c>
      <c r="G230" s="4">
        <v>347212.82974880649</v>
      </c>
      <c r="H230" s="5">
        <f t="shared" si="5"/>
        <v>0</v>
      </c>
      <c r="I230" t="s">
        <v>194</v>
      </c>
      <c r="J230" t="s">
        <v>28</v>
      </c>
      <c r="K230" s="5">
        <f>94 / 86400</f>
        <v>1.0879629629629629E-3</v>
      </c>
      <c r="L230" s="5">
        <f>20 / 86400</f>
        <v>2.3148148148148149E-4</v>
      </c>
    </row>
    <row r="231" spans="1:12" x14ac:dyDescent="0.25">
      <c r="A231" s="3">
        <v>45697.189664351856</v>
      </c>
      <c r="B231" t="s">
        <v>232</v>
      </c>
      <c r="C231" s="3">
        <v>45697.193842592591</v>
      </c>
      <c r="D231" t="s">
        <v>233</v>
      </c>
      <c r="E231" s="4">
        <v>1.963815788269043</v>
      </c>
      <c r="F231" s="4">
        <v>347212.87678127823</v>
      </c>
      <c r="G231" s="4">
        <v>347214.8405970665</v>
      </c>
      <c r="H231" s="5">
        <f t="shared" si="5"/>
        <v>0</v>
      </c>
      <c r="I231" t="s">
        <v>184</v>
      </c>
      <c r="J231" t="s">
        <v>28</v>
      </c>
      <c r="K231" s="5">
        <f>361 / 86400</f>
        <v>4.178240740740741E-3</v>
      </c>
      <c r="L231" s="5">
        <f>20 / 86400</f>
        <v>2.3148148148148149E-4</v>
      </c>
    </row>
    <row r="232" spans="1:12" x14ac:dyDescent="0.25">
      <c r="A232" s="3">
        <v>45697.194074074076</v>
      </c>
      <c r="B232" t="s">
        <v>234</v>
      </c>
      <c r="C232" s="3">
        <v>45697.194409722222</v>
      </c>
      <c r="D232" t="s">
        <v>235</v>
      </c>
      <c r="E232" s="4">
        <v>0.19684130072593689</v>
      </c>
      <c r="F232" s="4">
        <v>347214.85330860841</v>
      </c>
      <c r="G232" s="4">
        <v>347215.05014990916</v>
      </c>
      <c r="H232" s="5">
        <f t="shared" si="5"/>
        <v>0</v>
      </c>
      <c r="I232" t="s">
        <v>137</v>
      </c>
      <c r="J232" t="s">
        <v>198</v>
      </c>
      <c r="K232" s="5">
        <f>29 / 86400</f>
        <v>3.3564814814814812E-4</v>
      </c>
      <c r="L232" s="5">
        <f>28 / 86400</f>
        <v>3.2407407407407406E-4</v>
      </c>
    </row>
    <row r="233" spans="1:12" x14ac:dyDescent="0.25">
      <c r="A233" s="3">
        <v>45697.194733796292</v>
      </c>
      <c r="B233" t="s">
        <v>236</v>
      </c>
      <c r="C233" s="3">
        <v>45697.197349537033</v>
      </c>
      <c r="D233" t="s">
        <v>237</v>
      </c>
      <c r="E233" s="4">
        <v>1.5841011800169944</v>
      </c>
      <c r="F233" s="4">
        <v>347215.07182115677</v>
      </c>
      <c r="G233" s="4">
        <v>347216.65592233679</v>
      </c>
      <c r="H233" s="5">
        <f t="shared" si="5"/>
        <v>0</v>
      </c>
      <c r="I233" t="s">
        <v>181</v>
      </c>
      <c r="J233" t="s">
        <v>81</v>
      </c>
      <c r="K233" s="5">
        <f>226 / 86400</f>
        <v>2.6157407407407405E-3</v>
      </c>
      <c r="L233" s="5">
        <f>3 / 86400</f>
        <v>3.4722222222222222E-5</v>
      </c>
    </row>
    <row r="234" spans="1:12" x14ac:dyDescent="0.25">
      <c r="A234" s="3">
        <v>45697.197384259256</v>
      </c>
      <c r="B234" t="s">
        <v>237</v>
      </c>
      <c r="C234" s="3">
        <v>45697.199814814812</v>
      </c>
      <c r="D234" t="s">
        <v>238</v>
      </c>
      <c r="E234" s="4">
        <v>1.1089392265081406</v>
      </c>
      <c r="F234" s="4">
        <v>347216.65937166847</v>
      </c>
      <c r="G234" s="4">
        <v>347217.76831089496</v>
      </c>
      <c r="H234" s="5">
        <f t="shared" si="5"/>
        <v>0</v>
      </c>
      <c r="I234" t="s">
        <v>168</v>
      </c>
      <c r="J234" t="s">
        <v>23</v>
      </c>
      <c r="K234" s="5">
        <f>210 / 86400</f>
        <v>2.4305555555555556E-3</v>
      </c>
      <c r="L234" s="5">
        <f>230 / 86400</f>
        <v>2.662037037037037E-3</v>
      </c>
    </row>
    <row r="235" spans="1:12" x14ac:dyDescent="0.25">
      <c r="A235" s="3">
        <v>45697.202476851853</v>
      </c>
      <c r="B235" t="s">
        <v>132</v>
      </c>
      <c r="C235" s="3">
        <v>45697.203414351854</v>
      </c>
      <c r="D235" t="s">
        <v>239</v>
      </c>
      <c r="E235" s="4">
        <v>0.50347397863864896</v>
      </c>
      <c r="F235" s="4">
        <v>347217.83147782256</v>
      </c>
      <c r="G235" s="4">
        <v>347218.33495180117</v>
      </c>
      <c r="H235" s="5">
        <f t="shared" si="5"/>
        <v>0</v>
      </c>
      <c r="I235" t="s">
        <v>80</v>
      </c>
      <c r="J235" t="s">
        <v>26</v>
      </c>
      <c r="K235" s="5">
        <f>81 / 86400</f>
        <v>9.3749999999999997E-4</v>
      </c>
      <c r="L235" s="5">
        <f>220 / 86400</f>
        <v>2.5462962962962965E-3</v>
      </c>
    </row>
    <row r="236" spans="1:12" x14ac:dyDescent="0.25">
      <c r="A236" s="3">
        <v>45697.205960648149</v>
      </c>
      <c r="B236" t="s">
        <v>239</v>
      </c>
      <c r="C236" s="3">
        <v>45697.207627314812</v>
      </c>
      <c r="D236" t="s">
        <v>240</v>
      </c>
      <c r="E236" s="4">
        <v>8.7426050543785092E-2</v>
      </c>
      <c r="F236" s="4">
        <v>347218.36489595659</v>
      </c>
      <c r="G236" s="4">
        <v>347218.4523220071</v>
      </c>
      <c r="H236" s="5">
        <f t="shared" si="5"/>
        <v>0</v>
      </c>
      <c r="I236" t="s">
        <v>120</v>
      </c>
      <c r="J236" t="s">
        <v>153</v>
      </c>
      <c r="K236" s="5">
        <f>144 / 86400</f>
        <v>1.6666666666666668E-3</v>
      </c>
      <c r="L236" s="5">
        <f>80 / 86400</f>
        <v>9.2592592592592596E-4</v>
      </c>
    </row>
    <row r="237" spans="1:12" x14ac:dyDescent="0.25">
      <c r="A237" s="3">
        <v>45697.208553240736</v>
      </c>
      <c r="B237" t="s">
        <v>240</v>
      </c>
      <c r="C237" s="3">
        <v>45697.208784722221</v>
      </c>
      <c r="D237" t="s">
        <v>240</v>
      </c>
      <c r="E237" s="4">
        <v>6.3842384815216069E-3</v>
      </c>
      <c r="F237" s="4">
        <v>347218.46620316996</v>
      </c>
      <c r="G237" s="4">
        <v>347218.47258740844</v>
      </c>
      <c r="H237" s="5">
        <f t="shared" si="5"/>
        <v>0</v>
      </c>
      <c r="I237" t="s">
        <v>40</v>
      </c>
      <c r="J237" t="s">
        <v>40</v>
      </c>
      <c r="K237" s="5">
        <f>20 / 86400</f>
        <v>2.3148148148148149E-4</v>
      </c>
      <c r="L237" s="5">
        <f>40 / 86400</f>
        <v>4.6296296296296298E-4</v>
      </c>
    </row>
    <row r="238" spans="1:12" x14ac:dyDescent="0.25">
      <c r="A238" s="3">
        <v>45697.209247685183</v>
      </c>
      <c r="B238" t="s">
        <v>241</v>
      </c>
      <c r="C238" s="3">
        <v>45697.2112037037</v>
      </c>
      <c r="D238" t="s">
        <v>242</v>
      </c>
      <c r="E238" s="4">
        <v>0.66867641443014147</v>
      </c>
      <c r="F238" s="4">
        <v>347218.49139477999</v>
      </c>
      <c r="G238" s="4">
        <v>347219.1600711944</v>
      </c>
      <c r="H238" s="5">
        <f t="shared" si="5"/>
        <v>0</v>
      </c>
      <c r="I238" t="s">
        <v>198</v>
      </c>
      <c r="J238" t="s">
        <v>123</v>
      </c>
      <c r="K238" s="5">
        <f>169 / 86400</f>
        <v>1.9560185185185184E-3</v>
      </c>
      <c r="L238" s="5">
        <f>20 / 86400</f>
        <v>2.3148148148148149E-4</v>
      </c>
    </row>
    <row r="239" spans="1:12" x14ac:dyDescent="0.25">
      <c r="A239" s="3">
        <v>45697.211435185185</v>
      </c>
      <c r="B239" t="s">
        <v>243</v>
      </c>
      <c r="C239" s="3">
        <v>45697.214224537034</v>
      </c>
      <c r="D239" t="s">
        <v>244</v>
      </c>
      <c r="E239" s="4">
        <v>1.2970863519310951</v>
      </c>
      <c r="F239" s="4">
        <v>347219.25560463697</v>
      </c>
      <c r="G239" s="4">
        <v>347220.55269098887</v>
      </c>
      <c r="H239" s="5">
        <f t="shared" si="5"/>
        <v>0</v>
      </c>
      <c r="I239" t="s">
        <v>32</v>
      </c>
      <c r="J239" t="s">
        <v>23</v>
      </c>
      <c r="K239" s="5">
        <f>241 / 86400</f>
        <v>2.7893518518518519E-3</v>
      </c>
      <c r="L239" s="5">
        <f>15 / 86400</f>
        <v>1.7361111111111112E-4</v>
      </c>
    </row>
    <row r="240" spans="1:12" x14ac:dyDescent="0.25">
      <c r="A240" s="3">
        <v>45697.214398148149</v>
      </c>
      <c r="B240" t="s">
        <v>244</v>
      </c>
      <c r="C240" s="3">
        <v>45697.214861111112</v>
      </c>
      <c r="D240" t="s">
        <v>245</v>
      </c>
      <c r="E240" s="4">
        <v>0.23611781746149063</v>
      </c>
      <c r="F240" s="4">
        <v>347220.56286192767</v>
      </c>
      <c r="G240" s="4">
        <v>347220.79897974513</v>
      </c>
      <c r="H240" s="5">
        <f t="shared" si="5"/>
        <v>0</v>
      </c>
      <c r="I240" t="s">
        <v>163</v>
      </c>
      <c r="J240" t="s">
        <v>49</v>
      </c>
      <c r="K240" s="5">
        <f>40 / 86400</f>
        <v>4.6296296296296298E-4</v>
      </c>
      <c r="L240" s="5">
        <f>37 / 86400</f>
        <v>4.2824074074074075E-4</v>
      </c>
    </row>
    <row r="241" spans="1:12" x14ac:dyDescent="0.25">
      <c r="A241" s="3">
        <v>45697.215289351851</v>
      </c>
      <c r="B241" t="s">
        <v>246</v>
      </c>
      <c r="C241" s="3">
        <v>45697.222083333334</v>
      </c>
      <c r="D241" t="s">
        <v>247</v>
      </c>
      <c r="E241" s="4">
        <v>3.9781738280653953</v>
      </c>
      <c r="F241" s="4">
        <v>347220.84737118665</v>
      </c>
      <c r="G241" s="4">
        <v>347224.82554501476</v>
      </c>
      <c r="H241" s="5">
        <f t="shared" si="5"/>
        <v>0</v>
      </c>
      <c r="I241" t="s">
        <v>248</v>
      </c>
      <c r="J241" t="s">
        <v>198</v>
      </c>
      <c r="K241" s="5">
        <f>587 / 86400</f>
        <v>6.7939814814814816E-3</v>
      </c>
      <c r="L241" s="5">
        <f>20 / 86400</f>
        <v>2.3148148148148149E-4</v>
      </c>
    </row>
    <row r="242" spans="1:12" x14ac:dyDescent="0.25">
      <c r="A242" s="3">
        <v>45697.222314814819</v>
      </c>
      <c r="B242" t="s">
        <v>249</v>
      </c>
      <c r="C242" s="3">
        <v>45697.226747685185</v>
      </c>
      <c r="D242" t="s">
        <v>250</v>
      </c>
      <c r="E242" s="4">
        <v>1.5565656621456145</v>
      </c>
      <c r="F242" s="4">
        <v>347224.8824930081</v>
      </c>
      <c r="G242" s="4">
        <v>347226.43905867025</v>
      </c>
      <c r="H242" s="5">
        <f t="shared" si="5"/>
        <v>0</v>
      </c>
      <c r="I242" t="s">
        <v>129</v>
      </c>
      <c r="J242" t="s">
        <v>175</v>
      </c>
      <c r="K242" s="5">
        <f>383 / 86400</f>
        <v>4.43287037037037E-3</v>
      </c>
      <c r="L242" s="5">
        <f>60 / 86400</f>
        <v>6.9444444444444447E-4</v>
      </c>
    </row>
    <row r="243" spans="1:12" x14ac:dyDescent="0.25">
      <c r="A243" s="3">
        <v>45697.227442129632</v>
      </c>
      <c r="B243" t="s">
        <v>219</v>
      </c>
      <c r="C243" s="3">
        <v>45697.227673611109</v>
      </c>
      <c r="D243" t="s">
        <v>219</v>
      </c>
      <c r="E243" s="4">
        <v>2.5920726060867311E-3</v>
      </c>
      <c r="F243" s="4">
        <v>347226.5077522631</v>
      </c>
      <c r="G243" s="4">
        <v>347226.51034433575</v>
      </c>
      <c r="H243" s="5">
        <f t="shared" si="5"/>
        <v>0</v>
      </c>
      <c r="I243" t="s">
        <v>153</v>
      </c>
      <c r="J243" t="s">
        <v>63</v>
      </c>
      <c r="K243" s="5">
        <f>20 / 86400</f>
        <v>2.3148148148148149E-4</v>
      </c>
      <c r="L243" s="5">
        <f>40 / 86400</f>
        <v>4.6296296296296298E-4</v>
      </c>
    </row>
    <row r="244" spans="1:12" x14ac:dyDescent="0.25">
      <c r="A244" s="3">
        <v>45697.228136574078</v>
      </c>
      <c r="B244" t="s">
        <v>219</v>
      </c>
      <c r="C244" s="3">
        <v>45697.229849537034</v>
      </c>
      <c r="D244" t="s">
        <v>251</v>
      </c>
      <c r="E244" s="4">
        <v>1.1963571612238884</v>
      </c>
      <c r="F244" s="4">
        <v>347226.5136699556</v>
      </c>
      <c r="G244" s="4">
        <v>347227.71002711682</v>
      </c>
      <c r="H244" s="5">
        <f t="shared" si="5"/>
        <v>0</v>
      </c>
      <c r="I244" t="s">
        <v>180</v>
      </c>
      <c r="J244" t="s">
        <v>173</v>
      </c>
      <c r="K244" s="5">
        <f>148 / 86400</f>
        <v>1.712962962962963E-3</v>
      </c>
      <c r="L244" s="5">
        <f>20 / 86400</f>
        <v>2.3148148148148149E-4</v>
      </c>
    </row>
    <row r="245" spans="1:12" x14ac:dyDescent="0.25">
      <c r="A245" s="3">
        <v>45697.230081018519</v>
      </c>
      <c r="B245" t="s">
        <v>251</v>
      </c>
      <c r="C245" s="3">
        <v>45697.232395833329</v>
      </c>
      <c r="D245" t="s">
        <v>252</v>
      </c>
      <c r="E245" s="4">
        <v>1.8186787083148956</v>
      </c>
      <c r="F245" s="4">
        <v>347227.72456492513</v>
      </c>
      <c r="G245" s="4">
        <v>347229.54324363347</v>
      </c>
      <c r="H245" s="5">
        <f t="shared" si="5"/>
        <v>0</v>
      </c>
      <c r="I245" t="s">
        <v>178</v>
      </c>
      <c r="J245" t="s">
        <v>194</v>
      </c>
      <c r="K245" s="5">
        <f>200 / 86400</f>
        <v>2.3148148148148147E-3</v>
      </c>
      <c r="L245" s="5">
        <f>4 / 86400</f>
        <v>4.6296296296296294E-5</v>
      </c>
    </row>
    <row r="246" spans="1:12" x14ac:dyDescent="0.25">
      <c r="A246" s="3">
        <v>45697.232442129629</v>
      </c>
      <c r="B246" t="s">
        <v>252</v>
      </c>
      <c r="C246" s="3">
        <v>45697.23336805556</v>
      </c>
      <c r="D246" t="s">
        <v>253</v>
      </c>
      <c r="E246" s="4">
        <v>0.3355660485625267</v>
      </c>
      <c r="F246" s="4">
        <v>347229.54658569902</v>
      </c>
      <c r="G246" s="4">
        <v>347229.88215174759</v>
      </c>
      <c r="H246" s="5">
        <f t="shared" si="5"/>
        <v>0</v>
      </c>
      <c r="I246" t="s">
        <v>49</v>
      </c>
      <c r="J246" t="s">
        <v>175</v>
      </c>
      <c r="K246" s="5">
        <f>80 / 86400</f>
        <v>9.2592592592592596E-4</v>
      </c>
      <c r="L246" s="5">
        <f>26 / 86400</f>
        <v>3.0092592592592595E-4</v>
      </c>
    </row>
    <row r="247" spans="1:12" x14ac:dyDescent="0.25">
      <c r="A247" s="3">
        <v>45697.233668981484</v>
      </c>
      <c r="B247" t="s">
        <v>253</v>
      </c>
      <c r="C247" s="3">
        <v>45697.234513888892</v>
      </c>
      <c r="D247" t="s">
        <v>254</v>
      </c>
      <c r="E247" s="4">
        <v>0.28996603572368623</v>
      </c>
      <c r="F247" s="4">
        <v>347229.89449034579</v>
      </c>
      <c r="G247" s="4">
        <v>347230.18445638148</v>
      </c>
      <c r="H247" s="5">
        <f t="shared" si="5"/>
        <v>0</v>
      </c>
      <c r="I247" t="s">
        <v>134</v>
      </c>
      <c r="J247" t="s">
        <v>123</v>
      </c>
      <c r="K247" s="5">
        <f>73 / 86400</f>
        <v>8.4490740740740739E-4</v>
      </c>
      <c r="L247" s="5">
        <f>20 / 86400</f>
        <v>2.3148148148148149E-4</v>
      </c>
    </row>
    <row r="248" spans="1:12" x14ac:dyDescent="0.25">
      <c r="A248" s="3">
        <v>45697.23474537037</v>
      </c>
      <c r="B248" t="s">
        <v>254</v>
      </c>
      <c r="C248" s="3">
        <v>45697.240208333329</v>
      </c>
      <c r="D248" t="s">
        <v>255</v>
      </c>
      <c r="E248" s="4">
        <v>3.0950824550986291</v>
      </c>
      <c r="F248" s="4">
        <v>347230.22504026152</v>
      </c>
      <c r="G248" s="4">
        <v>347233.3201227166</v>
      </c>
      <c r="H248" s="5">
        <f t="shared" si="5"/>
        <v>0</v>
      </c>
      <c r="I248" t="s">
        <v>204</v>
      </c>
      <c r="J248" t="s">
        <v>198</v>
      </c>
      <c r="K248" s="5">
        <f>472 / 86400</f>
        <v>5.4629629629629629E-3</v>
      </c>
      <c r="L248" s="5">
        <f>40 / 86400</f>
        <v>4.6296296296296298E-4</v>
      </c>
    </row>
    <row r="249" spans="1:12" x14ac:dyDescent="0.25">
      <c r="A249" s="3">
        <v>45697.240671296298</v>
      </c>
      <c r="B249" t="s">
        <v>201</v>
      </c>
      <c r="C249" s="3">
        <v>45697.242986111116</v>
      </c>
      <c r="D249" t="s">
        <v>97</v>
      </c>
      <c r="E249" s="4">
        <v>1.3382118022441865</v>
      </c>
      <c r="F249" s="4">
        <v>347233.36878867273</v>
      </c>
      <c r="G249" s="4">
        <v>347234.70700047497</v>
      </c>
      <c r="H249" s="5">
        <f t="shared" si="5"/>
        <v>0</v>
      </c>
      <c r="I249" t="s">
        <v>168</v>
      </c>
      <c r="J249" t="s">
        <v>198</v>
      </c>
      <c r="K249" s="5">
        <f>200 / 86400</f>
        <v>2.3148148148148147E-3</v>
      </c>
      <c r="L249" s="5">
        <f>40 / 86400</f>
        <v>4.6296296296296298E-4</v>
      </c>
    </row>
    <row r="250" spans="1:12" x14ac:dyDescent="0.25">
      <c r="A250" s="3">
        <v>45697.243449074071</v>
      </c>
      <c r="B250" t="s">
        <v>197</v>
      </c>
      <c r="C250" s="3">
        <v>45697.249618055561</v>
      </c>
      <c r="D250" t="s">
        <v>110</v>
      </c>
      <c r="E250" s="4">
        <v>3.8776191183924675</v>
      </c>
      <c r="F250" s="4">
        <v>347234.83672700095</v>
      </c>
      <c r="G250" s="4">
        <v>347238.71434611932</v>
      </c>
      <c r="H250" s="5">
        <f t="shared" si="5"/>
        <v>0</v>
      </c>
      <c r="I250" t="s">
        <v>256</v>
      </c>
      <c r="J250" t="s">
        <v>137</v>
      </c>
      <c r="K250" s="5">
        <f>533 / 86400</f>
        <v>6.1689814814814819E-3</v>
      </c>
      <c r="L250" s="5">
        <f>20 / 86400</f>
        <v>2.3148148148148149E-4</v>
      </c>
    </row>
    <row r="251" spans="1:12" x14ac:dyDescent="0.25">
      <c r="A251" s="3">
        <v>45697.249849537038</v>
      </c>
      <c r="B251" t="s">
        <v>257</v>
      </c>
      <c r="C251" s="3">
        <v>45697.250775462962</v>
      </c>
      <c r="D251" t="s">
        <v>176</v>
      </c>
      <c r="E251" s="4">
        <v>0.79240578699111941</v>
      </c>
      <c r="F251" s="4">
        <v>347238.84081008518</v>
      </c>
      <c r="G251" s="4">
        <v>347239.63321587216</v>
      </c>
      <c r="H251" s="5">
        <f t="shared" si="5"/>
        <v>0</v>
      </c>
      <c r="I251" t="s">
        <v>188</v>
      </c>
      <c r="J251" t="s">
        <v>163</v>
      </c>
      <c r="K251" s="5">
        <f>80 / 86400</f>
        <v>9.2592592592592596E-4</v>
      </c>
      <c r="L251" s="5">
        <f>20 / 86400</f>
        <v>2.3148148148148149E-4</v>
      </c>
    </row>
    <row r="252" spans="1:12" x14ac:dyDescent="0.25">
      <c r="A252" s="3">
        <v>45697.25100694444</v>
      </c>
      <c r="B252" t="s">
        <v>176</v>
      </c>
      <c r="C252" s="3">
        <v>45697.251932870371</v>
      </c>
      <c r="D252" t="s">
        <v>176</v>
      </c>
      <c r="E252" s="4">
        <v>0.65261385506391523</v>
      </c>
      <c r="F252" s="4">
        <v>347239.66840103688</v>
      </c>
      <c r="G252" s="4">
        <v>347240.3210148919</v>
      </c>
      <c r="H252" s="5">
        <f t="shared" si="5"/>
        <v>0</v>
      </c>
      <c r="I252" t="s">
        <v>180</v>
      </c>
      <c r="J252" t="s">
        <v>173</v>
      </c>
      <c r="K252" s="5">
        <f>80 / 86400</f>
        <v>9.2592592592592596E-4</v>
      </c>
      <c r="L252" s="5">
        <f>20 / 86400</f>
        <v>2.3148148148148149E-4</v>
      </c>
    </row>
    <row r="253" spans="1:12" x14ac:dyDescent="0.25">
      <c r="A253" s="3">
        <v>45697.252164351856</v>
      </c>
      <c r="B253" t="s">
        <v>176</v>
      </c>
      <c r="C253" s="3">
        <v>45697.255000000005</v>
      </c>
      <c r="D253" t="s">
        <v>105</v>
      </c>
      <c r="E253" s="4">
        <v>2.2614642292261125</v>
      </c>
      <c r="F253" s="4">
        <v>347240.38865902304</v>
      </c>
      <c r="G253" s="4">
        <v>347242.6501232523</v>
      </c>
      <c r="H253" s="5">
        <f t="shared" si="5"/>
        <v>0</v>
      </c>
      <c r="I253" t="s">
        <v>188</v>
      </c>
      <c r="J253" t="s">
        <v>194</v>
      </c>
      <c r="K253" s="5">
        <f>245 / 86400</f>
        <v>2.8356481481481483E-3</v>
      </c>
      <c r="L253" s="5">
        <f>20 / 86400</f>
        <v>2.3148148148148149E-4</v>
      </c>
    </row>
    <row r="254" spans="1:12" x14ac:dyDescent="0.25">
      <c r="A254" s="3">
        <v>45697.255231481482</v>
      </c>
      <c r="B254" t="s">
        <v>105</v>
      </c>
      <c r="C254" s="3">
        <v>45697.257731481484</v>
      </c>
      <c r="D254" t="s">
        <v>258</v>
      </c>
      <c r="E254" s="4">
        <v>1.9122797021269797</v>
      </c>
      <c r="F254" s="4">
        <v>347242.76539937558</v>
      </c>
      <c r="G254" s="4">
        <v>347244.67767907766</v>
      </c>
      <c r="H254" s="5">
        <f t="shared" si="5"/>
        <v>0</v>
      </c>
      <c r="I254" t="s">
        <v>155</v>
      </c>
      <c r="J254" t="s">
        <v>179</v>
      </c>
      <c r="K254" s="5">
        <f>216 / 86400</f>
        <v>2.5000000000000001E-3</v>
      </c>
      <c r="L254" s="5">
        <f>546 / 86400</f>
        <v>6.3194444444444444E-3</v>
      </c>
    </row>
    <row r="255" spans="1:12" x14ac:dyDescent="0.25">
      <c r="A255" s="3">
        <v>45697.264050925922</v>
      </c>
      <c r="B255" t="s">
        <v>90</v>
      </c>
      <c r="C255" s="3">
        <v>45697.267268518517</v>
      </c>
      <c r="D255" t="s">
        <v>259</v>
      </c>
      <c r="E255" s="4">
        <v>1.5295728460550309</v>
      </c>
      <c r="F255" s="4">
        <v>347244.69332666945</v>
      </c>
      <c r="G255" s="4">
        <v>347246.22289951553</v>
      </c>
      <c r="H255" s="5">
        <f t="shared" si="5"/>
        <v>0</v>
      </c>
      <c r="I255" t="s">
        <v>204</v>
      </c>
      <c r="J255" t="s">
        <v>28</v>
      </c>
      <c r="K255" s="5">
        <f>278 / 86400</f>
        <v>3.2175925925925926E-3</v>
      </c>
      <c r="L255" s="5">
        <f>2 / 86400</f>
        <v>2.3148148148148147E-5</v>
      </c>
    </row>
    <row r="256" spans="1:12" x14ac:dyDescent="0.25">
      <c r="A256" s="3">
        <v>45697.267291666663</v>
      </c>
      <c r="B256" t="s">
        <v>259</v>
      </c>
      <c r="C256" s="3">
        <v>45697.268136574072</v>
      </c>
      <c r="D256" t="s">
        <v>55</v>
      </c>
      <c r="E256" s="4">
        <v>4.2519605100154879E-2</v>
      </c>
      <c r="F256" s="4">
        <v>347246.22327563161</v>
      </c>
      <c r="G256" s="4">
        <v>347246.26579523669</v>
      </c>
      <c r="H256" s="5">
        <f t="shared" si="5"/>
        <v>0</v>
      </c>
      <c r="I256" t="s">
        <v>39</v>
      </c>
      <c r="J256" t="s">
        <v>153</v>
      </c>
      <c r="K256" s="5">
        <f>73 / 86400</f>
        <v>8.4490740740740739E-4</v>
      </c>
      <c r="L256" s="5">
        <f>18 / 86400</f>
        <v>2.0833333333333335E-4</v>
      </c>
    </row>
    <row r="257" spans="1:12" x14ac:dyDescent="0.25">
      <c r="A257" s="3">
        <v>45697.26834490741</v>
      </c>
      <c r="B257" t="s">
        <v>55</v>
      </c>
      <c r="C257" s="3">
        <v>45697.270509259259</v>
      </c>
      <c r="D257" t="s">
        <v>27</v>
      </c>
      <c r="E257" s="4">
        <v>0.49984713488817217</v>
      </c>
      <c r="F257" s="4">
        <v>347246.27155939792</v>
      </c>
      <c r="G257" s="4">
        <v>347246.77140653285</v>
      </c>
      <c r="H257" s="5">
        <f t="shared" si="5"/>
        <v>0</v>
      </c>
      <c r="I257" t="s">
        <v>28</v>
      </c>
      <c r="J257" t="s">
        <v>33</v>
      </c>
      <c r="K257" s="5">
        <f>187 / 86400</f>
        <v>2.1643518518518518E-3</v>
      </c>
      <c r="L257" s="5">
        <f>23709 / 86400</f>
        <v>0.27440972222222221</v>
      </c>
    </row>
    <row r="258" spans="1:12" x14ac:dyDescent="0.25">
      <c r="A258" s="3">
        <v>45697.544918981483</v>
      </c>
      <c r="B258" t="s">
        <v>27</v>
      </c>
      <c r="C258" s="3">
        <v>45697.545648148152</v>
      </c>
      <c r="D258" t="s">
        <v>27</v>
      </c>
      <c r="E258" s="4">
        <v>3.6857179164886476E-2</v>
      </c>
      <c r="F258" s="4">
        <v>347246.78896307707</v>
      </c>
      <c r="G258" s="4">
        <v>347246.82582025626</v>
      </c>
      <c r="H258" s="5">
        <f t="shared" si="5"/>
        <v>0</v>
      </c>
      <c r="I258" t="s">
        <v>135</v>
      </c>
      <c r="J258" t="s">
        <v>153</v>
      </c>
      <c r="K258" s="5">
        <f>63 / 86400</f>
        <v>7.291666666666667E-4</v>
      </c>
      <c r="L258" s="5">
        <f>40 / 86400</f>
        <v>4.6296296296296298E-4</v>
      </c>
    </row>
    <row r="259" spans="1:12" x14ac:dyDescent="0.25">
      <c r="A259" s="3">
        <v>45697.546111111107</v>
      </c>
      <c r="B259" t="s">
        <v>27</v>
      </c>
      <c r="C259" s="3">
        <v>45697.548680555556</v>
      </c>
      <c r="D259" t="s">
        <v>260</v>
      </c>
      <c r="E259" s="4">
        <v>0.42532264089584348</v>
      </c>
      <c r="F259" s="4">
        <v>347246.86400760646</v>
      </c>
      <c r="G259" s="4">
        <v>347247.28933024732</v>
      </c>
      <c r="H259" s="5">
        <f t="shared" si="5"/>
        <v>0</v>
      </c>
      <c r="I259" t="s">
        <v>23</v>
      </c>
      <c r="J259" t="s">
        <v>39</v>
      </c>
      <c r="K259" s="5">
        <f>222 / 86400</f>
        <v>2.5694444444444445E-3</v>
      </c>
      <c r="L259" s="5">
        <f>20 / 86400</f>
        <v>2.3148148148148149E-4</v>
      </c>
    </row>
    <row r="260" spans="1:12" x14ac:dyDescent="0.25">
      <c r="A260" s="3">
        <v>45697.548912037033</v>
      </c>
      <c r="B260" t="s">
        <v>260</v>
      </c>
      <c r="C260" s="3">
        <v>45697.549375000002</v>
      </c>
      <c r="D260" t="s">
        <v>260</v>
      </c>
      <c r="E260" s="4">
        <v>1.2392803609371185E-2</v>
      </c>
      <c r="F260" s="4">
        <v>347247.29894200963</v>
      </c>
      <c r="G260" s="4">
        <v>347247.31133481325</v>
      </c>
      <c r="H260" s="5">
        <f t="shared" si="5"/>
        <v>0</v>
      </c>
      <c r="I260" t="s">
        <v>40</v>
      </c>
      <c r="J260" t="s">
        <v>40</v>
      </c>
      <c r="K260" s="5">
        <f>40 / 86400</f>
        <v>4.6296296296296298E-4</v>
      </c>
      <c r="L260" s="5">
        <f>53 / 86400</f>
        <v>6.134259259259259E-4</v>
      </c>
    </row>
    <row r="261" spans="1:12" x14ac:dyDescent="0.25">
      <c r="A261" s="3">
        <v>45697.549988425926</v>
      </c>
      <c r="B261" t="s">
        <v>260</v>
      </c>
      <c r="C261" s="3">
        <v>45697.558182870373</v>
      </c>
      <c r="D261" t="s">
        <v>261</v>
      </c>
      <c r="E261" s="4">
        <v>4.1386540708541872</v>
      </c>
      <c r="F261" s="4">
        <v>347247.32309689687</v>
      </c>
      <c r="G261" s="4">
        <v>347251.46175096772</v>
      </c>
      <c r="H261" s="5">
        <f t="shared" si="5"/>
        <v>0</v>
      </c>
      <c r="I261" t="s">
        <v>177</v>
      </c>
      <c r="J261" t="s">
        <v>49</v>
      </c>
      <c r="K261" s="5">
        <f>708 / 86400</f>
        <v>8.1944444444444452E-3</v>
      </c>
      <c r="L261" s="5">
        <f>40 / 86400</f>
        <v>4.6296296296296298E-4</v>
      </c>
    </row>
    <row r="262" spans="1:12" x14ac:dyDescent="0.25">
      <c r="A262" s="3">
        <v>45697.558645833335</v>
      </c>
      <c r="B262" t="s">
        <v>261</v>
      </c>
      <c r="C262" s="3">
        <v>45697.568923611107</v>
      </c>
      <c r="D262" t="s">
        <v>261</v>
      </c>
      <c r="E262" s="4">
        <v>2.302097684919834</v>
      </c>
      <c r="F262" s="4">
        <v>347251.47721854254</v>
      </c>
      <c r="G262" s="4">
        <v>347253.77931622742</v>
      </c>
      <c r="H262" s="5">
        <f t="shared" si="5"/>
        <v>0</v>
      </c>
      <c r="I262" t="s">
        <v>194</v>
      </c>
      <c r="J262" t="s">
        <v>52</v>
      </c>
      <c r="K262" s="5">
        <f>888 / 86400</f>
        <v>1.0277777777777778E-2</v>
      </c>
      <c r="L262" s="5">
        <f>20 / 86400</f>
        <v>2.3148148148148149E-4</v>
      </c>
    </row>
    <row r="263" spans="1:12" x14ac:dyDescent="0.25">
      <c r="A263" s="3">
        <v>45697.569155092591</v>
      </c>
      <c r="B263" t="s">
        <v>261</v>
      </c>
      <c r="C263" s="3">
        <v>45697.569386574076</v>
      </c>
      <c r="D263" t="s">
        <v>261</v>
      </c>
      <c r="E263" s="4">
        <v>2.6733639121055603E-2</v>
      </c>
      <c r="F263" s="4">
        <v>347253.8028672759</v>
      </c>
      <c r="G263" s="4">
        <v>347253.82960091502</v>
      </c>
      <c r="H263" s="5">
        <f t="shared" si="5"/>
        <v>0</v>
      </c>
      <c r="I263" t="s">
        <v>82</v>
      </c>
      <c r="J263" t="s">
        <v>82</v>
      </c>
      <c r="K263" s="5">
        <f>20 / 86400</f>
        <v>2.3148148148148149E-4</v>
      </c>
      <c r="L263" s="5">
        <f>100 / 86400</f>
        <v>1.1574074074074073E-3</v>
      </c>
    </row>
    <row r="264" spans="1:12" x14ac:dyDescent="0.25">
      <c r="A264" s="3">
        <v>45697.570543981477</v>
      </c>
      <c r="B264" t="s">
        <v>261</v>
      </c>
      <c r="C264" s="3">
        <v>45697.571932870371</v>
      </c>
      <c r="D264" t="s">
        <v>261</v>
      </c>
      <c r="E264" s="4">
        <v>4.8679566204547879E-2</v>
      </c>
      <c r="F264" s="4">
        <v>347253.84807988524</v>
      </c>
      <c r="G264" s="4">
        <v>347253.89675945143</v>
      </c>
      <c r="H264" s="5">
        <f t="shared" si="5"/>
        <v>0</v>
      </c>
      <c r="I264" t="s">
        <v>153</v>
      </c>
      <c r="J264" t="s">
        <v>40</v>
      </c>
      <c r="K264" s="5">
        <f>120 / 86400</f>
        <v>1.3888888888888889E-3</v>
      </c>
      <c r="L264" s="5">
        <f>60 / 86400</f>
        <v>6.9444444444444447E-4</v>
      </c>
    </row>
    <row r="265" spans="1:12" x14ac:dyDescent="0.25">
      <c r="A265" s="3">
        <v>45697.572627314818</v>
      </c>
      <c r="B265" t="s">
        <v>261</v>
      </c>
      <c r="C265" s="3">
        <v>45697.573784722219</v>
      </c>
      <c r="D265" t="s">
        <v>261</v>
      </c>
      <c r="E265" s="4">
        <v>7.0013723134994502E-2</v>
      </c>
      <c r="F265" s="4">
        <v>347253.90202252718</v>
      </c>
      <c r="G265" s="4">
        <v>347253.97203625028</v>
      </c>
      <c r="H265" s="5">
        <f t="shared" si="5"/>
        <v>0</v>
      </c>
      <c r="I265" t="s">
        <v>191</v>
      </c>
      <c r="J265" t="s">
        <v>125</v>
      </c>
      <c r="K265" s="5">
        <f>100 / 86400</f>
        <v>1.1574074074074073E-3</v>
      </c>
      <c r="L265" s="5">
        <f>200 / 86400</f>
        <v>2.3148148148148147E-3</v>
      </c>
    </row>
    <row r="266" spans="1:12" x14ac:dyDescent="0.25">
      <c r="A266" s="3">
        <v>45697.576099537036</v>
      </c>
      <c r="B266" t="s">
        <v>261</v>
      </c>
      <c r="C266" s="3">
        <v>45697.578645833331</v>
      </c>
      <c r="D266" t="s">
        <v>261</v>
      </c>
      <c r="E266" s="4">
        <v>0.44349422204494476</v>
      </c>
      <c r="F266" s="4">
        <v>347254.04453612416</v>
      </c>
      <c r="G266" s="4">
        <v>347254.48803034623</v>
      </c>
      <c r="H266" s="5">
        <f t="shared" si="5"/>
        <v>0</v>
      </c>
      <c r="I266" t="s">
        <v>175</v>
      </c>
      <c r="J266" t="s">
        <v>39</v>
      </c>
      <c r="K266" s="5">
        <f>220 / 86400</f>
        <v>2.5462962962962965E-3</v>
      </c>
      <c r="L266" s="5">
        <f>20 / 86400</f>
        <v>2.3148148148148149E-4</v>
      </c>
    </row>
    <row r="267" spans="1:12" x14ac:dyDescent="0.25">
      <c r="A267" s="3">
        <v>45697.578877314816</v>
      </c>
      <c r="B267" t="s">
        <v>261</v>
      </c>
      <c r="C267" s="3">
        <v>45697.579907407402</v>
      </c>
      <c r="D267" t="s">
        <v>262</v>
      </c>
      <c r="E267" s="4">
        <v>0.5172447230219841</v>
      </c>
      <c r="F267" s="4">
        <v>347254.51856741757</v>
      </c>
      <c r="G267" s="4">
        <v>347255.03581214056</v>
      </c>
      <c r="H267" s="5">
        <f t="shared" si="5"/>
        <v>0</v>
      </c>
      <c r="I267" t="s">
        <v>207</v>
      </c>
      <c r="J267" t="s">
        <v>49</v>
      </c>
      <c r="K267" s="5">
        <f>89 / 86400</f>
        <v>1.0300925925925926E-3</v>
      </c>
      <c r="L267" s="5">
        <f>40 / 86400</f>
        <v>4.6296296296296298E-4</v>
      </c>
    </row>
    <row r="268" spans="1:12" x14ac:dyDescent="0.25">
      <c r="A268" s="3">
        <v>45697.580370370371</v>
      </c>
      <c r="B268" t="s">
        <v>262</v>
      </c>
      <c r="C268" s="3">
        <v>45697.584837962961</v>
      </c>
      <c r="D268" t="s">
        <v>263</v>
      </c>
      <c r="E268" s="4">
        <v>2.0735807697176933</v>
      </c>
      <c r="F268" s="4">
        <v>347255.07728267135</v>
      </c>
      <c r="G268" s="4">
        <v>347257.15086344106</v>
      </c>
      <c r="H268" s="5">
        <f t="shared" si="5"/>
        <v>0</v>
      </c>
      <c r="I268" t="s">
        <v>163</v>
      </c>
      <c r="J268" t="s">
        <v>23</v>
      </c>
      <c r="K268" s="5">
        <f>386 / 86400</f>
        <v>4.4675925925925924E-3</v>
      </c>
      <c r="L268" s="5">
        <f>57 / 86400</f>
        <v>6.5972222222222224E-4</v>
      </c>
    </row>
    <row r="269" spans="1:12" x14ac:dyDescent="0.25">
      <c r="A269" s="3">
        <v>45697.585497685184</v>
      </c>
      <c r="B269" t="s">
        <v>263</v>
      </c>
      <c r="C269" s="3">
        <v>45697.587488425925</v>
      </c>
      <c r="D269" t="s">
        <v>264</v>
      </c>
      <c r="E269" s="4">
        <v>1.2976499744057655</v>
      </c>
      <c r="F269" s="4">
        <v>347257.16614442086</v>
      </c>
      <c r="G269" s="4">
        <v>347258.46379439527</v>
      </c>
      <c r="H269" s="5">
        <f t="shared" si="5"/>
        <v>0</v>
      </c>
      <c r="I269" t="s">
        <v>214</v>
      </c>
      <c r="J269" t="s">
        <v>134</v>
      </c>
      <c r="K269" s="5">
        <f>172 / 86400</f>
        <v>1.9907407407407408E-3</v>
      </c>
      <c r="L269" s="5">
        <f>20 / 86400</f>
        <v>2.3148148148148149E-4</v>
      </c>
    </row>
    <row r="270" spans="1:12" x14ac:dyDescent="0.25">
      <c r="A270" s="3">
        <v>45697.587719907402</v>
      </c>
      <c r="B270" t="s">
        <v>105</v>
      </c>
      <c r="C270" s="3">
        <v>45697.588414351849</v>
      </c>
      <c r="D270" t="s">
        <v>105</v>
      </c>
      <c r="E270" s="4">
        <v>0.86097127813100816</v>
      </c>
      <c r="F270" s="4">
        <v>347258.53564770077</v>
      </c>
      <c r="G270" s="4">
        <v>347259.39661897894</v>
      </c>
      <c r="H270" s="5">
        <f t="shared" si="5"/>
        <v>0</v>
      </c>
      <c r="I270" t="s">
        <v>59</v>
      </c>
      <c r="J270" t="s">
        <v>91</v>
      </c>
      <c r="K270" s="5">
        <f>60 / 86400</f>
        <v>6.9444444444444447E-4</v>
      </c>
      <c r="L270" s="5">
        <f>20 / 86400</f>
        <v>2.3148148148148149E-4</v>
      </c>
    </row>
    <row r="271" spans="1:12" x14ac:dyDescent="0.25">
      <c r="A271" s="3">
        <v>45697.588645833333</v>
      </c>
      <c r="B271" t="s">
        <v>105</v>
      </c>
      <c r="C271" s="3">
        <v>45697.590405092589</v>
      </c>
      <c r="D271" t="s">
        <v>105</v>
      </c>
      <c r="E271" s="4">
        <v>1.1398196060061454</v>
      </c>
      <c r="F271" s="4">
        <v>347259.39947916556</v>
      </c>
      <c r="G271" s="4">
        <v>347260.53929877153</v>
      </c>
      <c r="H271" s="5">
        <f t="shared" si="5"/>
        <v>0</v>
      </c>
      <c r="I271" t="s">
        <v>188</v>
      </c>
      <c r="J271" t="s">
        <v>134</v>
      </c>
      <c r="K271" s="5">
        <f>152 / 86400</f>
        <v>1.7592592592592592E-3</v>
      </c>
      <c r="L271" s="5">
        <f>20 / 86400</f>
        <v>2.3148148148148149E-4</v>
      </c>
    </row>
    <row r="272" spans="1:12" x14ac:dyDescent="0.25">
      <c r="A272" s="3">
        <v>45697.590636574074</v>
      </c>
      <c r="B272" t="s">
        <v>105</v>
      </c>
      <c r="C272" s="3">
        <v>45697.590868055559</v>
      </c>
      <c r="D272" t="s">
        <v>105</v>
      </c>
      <c r="E272" s="4">
        <v>0.10008222848176956</v>
      </c>
      <c r="F272" s="4">
        <v>347260.72353606846</v>
      </c>
      <c r="G272" s="4">
        <v>347260.82361829694</v>
      </c>
      <c r="H272" s="5">
        <f t="shared" si="5"/>
        <v>0</v>
      </c>
      <c r="I272" t="s">
        <v>178</v>
      </c>
      <c r="J272" t="s">
        <v>20</v>
      </c>
      <c r="K272" s="5">
        <f>20 / 86400</f>
        <v>2.3148148148148149E-4</v>
      </c>
      <c r="L272" s="5">
        <f>60 / 86400</f>
        <v>6.9444444444444447E-4</v>
      </c>
    </row>
    <row r="273" spans="1:12" x14ac:dyDescent="0.25">
      <c r="A273" s="3">
        <v>45697.591562500005</v>
      </c>
      <c r="B273" t="s">
        <v>105</v>
      </c>
      <c r="C273" s="3">
        <v>45697.595011574071</v>
      </c>
      <c r="D273" t="s">
        <v>176</v>
      </c>
      <c r="E273" s="4">
        <v>2.5821194312572477</v>
      </c>
      <c r="F273" s="4">
        <v>347260.89938136167</v>
      </c>
      <c r="G273" s="4">
        <v>347263.4815007929</v>
      </c>
      <c r="H273" s="5">
        <f t="shared" si="5"/>
        <v>0</v>
      </c>
      <c r="I273" t="s">
        <v>216</v>
      </c>
      <c r="J273" t="s">
        <v>199</v>
      </c>
      <c r="K273" s="5">
        <f>298 / 86400</f>
        <v>3.449074074074074E-3</v>
      </c>
      <c r="L273" s="5">
        <f>20 / 86400</f>
        <v>2.3148148148148149E-4</v>
      </c>
    </row>
    <row r="274" spans="1:12" x14ac:dyDescent="0.25">
      <c r="A274" s="3">
        <v>45697.595243055555</v>
      </c>
      <c r="B274" t="s">
        <v>176</v>
      </c>
      <c r="C274" s="3">
        <v>45697.596631944441</v>
      </c>
      <c r="D274" t="s">
        <v>176</v>
      </c>
      <c r="E274" s="4">
        <v>0.69255929529666904</v>
      </c>
      <c r="F274" s="4">
        <v>347263.56491709431</v>
      </c>
      <c r="G274" s="4">
        <v>347264.25747638958</v>
      </c>
      <c r="H274" s="5">
        <f t="shared" si="5"/>
        <v>0</v>
      </c>
      <c r="I274" t="s">
        <v>163</v>
      </c>
      <c r="J274" t="s">
        <v>49</v>
      </c>
      <c r="K274" s="5">
        <f>120 / 86400</f>
        <v>1.3888888888888889E-3</v>
      </c>
      <c r="L274" s="5">
        <f>20 / 86400</f>
        <v>2.3148148148148149E-4</v>
      </c>
    </row>
    <row r="275" spans="1:12" x14ac:dyDescent="0.25">
      <c r="A275" s="3">
        <v>45697.596863425926</v>
      </c>
      <c r="B275" t="s">
        <v>176</v>
      </c>
      <c r="C275" s="3">
        <v>45697.598483796297</v>
      </c>
      <c r="D275" t="s">
        <v>169</v>
      </c>
      <c r="E275" s="4">
        <v>0.83077471655607227</v>
      </c>
      <c r="F275" s="4">
        <v>347264.34883929836</v>
      </c>
      <c r="G275" s="4">
        <v>347265.17961401492</v>
      </c>
      <c r="H275" s="5">
        <f t="shared" si="5"/>
        <v>0</v>
      </c>
      <c r="I275" t="s">
        <v>163</v>
      </c>
      <c r="J275" t="s">
        <v>49</v>
      </c>
      <c r="K275" s="5">
        <f>140 / 86400</f>
        <v>1.6203703703703703E-3</v>
      </c>
      <c r="L275" s="5">
        <f>15 / 86400</f>
        <v>1.7361111111111112E-4</v>
      </c>
    </row>
    <row r="276" spans="1:12" x14ac:dyDescent="0.25">
      <c r="A276" s="3">
        <v>45697.598657407405</v>
      </c>
      <c r="B276" t="s">
        <v>169</v>
      </c>
      <c r="C276" s="3">
        <v>45697.601516203707</v>
      </c>
      <c r="D276" t="s">
        <v>265</v>
      </c>
      <c r="E276" s="4">
        <v>1.0583167932033539</v>
      </c>
      <c r="F276" s="4">
        <v>347265.18611165049</v>
      </c>
      <c r="G276" s="4">
        <v>347266.24442844366</v>
      </c>
      <c r="H276" s="5">
        <f t="shared" si="5"/>
        <v>0</v>
      </c>
      <c r="I276" t="s">
        <v>180</v>
      </c>
      <c r="J276" t="s">
        <v>175</v>
      </c>
      <c r="K276" s="5">
        <f>247 / 86400</f>
        <v>2.8587962962962963E-3</v>
      </c>
      <c r="L276" s="5">
        <f>35 / 86400</f>
        <v>4.0509259259259258E-4</v>
      </c>
    </row>
    <row r="277" spans="1:12" x14ac:dyDescent="0.25">
      <c r="A277" s="3">
        <v>45697.6019212963</v>
      </c>
      <c r="B277" t="s">
        <v>265</v>
      </c>
      <c r="C277" s="3">
        <v>45697.603437500002</v>
      </c>
      <c r="D277" t="s">
        <v>266</v>
      </c>
      <c r="E277" s="4">
        <v>0.5150729370713234</v>
      </c>
      <c r="F277" s="4">
        <v>347266.2859368613</v>
      </c>
      <c r="G277" s="4">
        <v>347266.80100979836</v>
      </c>
      <c r="H277" s="5">
        <f t="shared" si="5"/>
        <v>0</v>
      </c>
      <c r="I277" t="s">
        <v>199</v>
      </c>
      <c r="J277" t="s">
        <v>123</v>
      </c>
      <c r="K277" s="5">
        <f>131 / 86400</f>
        <v>1.5162037037037036E-3</v>
      </c>
      <c r="L277" s="5">
        <f>57 / 86400</f>
        <v>6.5972222222222224E-4</v>
      </c>
    </row>
    <row r="278" spans="1:12" x14ac:dyDescent="0.25">
      <c r="A278" s="3">
        <v>45697.604097222225</v>
      </c>
      <c r="B278" t="s">
        <v>266</v>
      </c>
      <c r="C278" s="3">
        <v>45697.606412037036</v>
      </c>
      <c r="D278" t="s">
        <v>196</v>
      </c>
      <c r="E278" s="4">
        <v>1.5650608469247818</v>
      </c>
      <c r="F278" s="4">
        <v>347266.81741659372</v>
      </c>
      <c r="G278" s="4">
        <v>347268.38247744064</v>
      </c>
      <c r="H278" s="5">
        <f t="shared" si="5"/>
        <v>0</v>
      </c>
      <c r="I278" t="s">
        <v>214</v>
      </c>
      <c r="J278" t="s">
        <v>189</v>
      </c>
      <c r="K278" s="5">
        <f>200 / 86400</f>
        <v>2.3148148148148147E-3</v>
      </c>
      <c r="L278" s="5">
        <f>20 / 86400</f>
        <v>2.3148148148148149E-4</v>
      </c>
    </row>
    <row r="279" spans="1:12" x14ac:dyDescent="0.25">
      <c r="A279" s="3">
        <v>45697.60664351852</v>
      </c>
      <c r="B279" t="s">
        <v>197</v>
      </c>
      <c r="C279" s="3">
        <v>45697.607106481482</v>
      </c>
      <c r="D279" t="s">
        <v>197</v>
      </c>
      <c r="E279" s="4">
        <v>0.4426375415921211</v>
      </c>
      <c r="F279" s="4">
        <v>347268.52230802376</v>
      </c>
      <c r="G279" s="4">
        <v>347268.96494556533</v>
      </c>
      <c r="H279" s="5">
        <f t="shared" si="5"/>
        <v>0</v>
      </c>
      <c r="I279" t="s">
        <v>204</v>
      </c>
      <c r="J279" t="s">
        <v>181</v>
      </c>
      <c r="K279" s="5">
        <f>40 / 86400</f>
        <v>4.6296296296296298E-4</v>
      </c>
      <c r="L279" s="5">
        <f>20 / 86400</f>
        <v>2.3148148148148149E-4</v>
      </c>
    </row>
    <row r="280" spans="1:12" x14ac:dyDescent="0.25">
      <c r="A280" s="3">
        <v>45697.607337962967</v>
      </c>
      <c r="B280" t="s">
        <v>197</v>
      </c>
      <c r="C280" s="3">
        <v>45697.610578703709</v>
      </c>
      <c r="D280" t="s">
        <v>267</v>
      </c>
      <c r="E280" s="4">
        <v>2.1690265412330629</v>
      </c>
      <c r="F280" s="4">
        <v>347269.14087022567</v>
      </c>
      <c r="G280" s="4">
        <v>347271.30989676691</v>
      </c>
      <c r="H280" s="5">
        <f t="shared" si="5"/>
        <v>0</v>
      </c>
      <c r="I280" t="s">
        <v>187</v>
      </c>
      <c r="J280" t="s">
        <v>189</v>
      </c>
      <c r="K280" s="5">
        <f>280 / 86400</f>
        <v>3.2407407407407406E-3</v>
      </c>
      <c r="L280" s="5">
        <f>2 / 86400</f>
        <v>2.3148148148148147E-5</v>
      </c>
    </row>
    <row r="281" spans="1:12" x14ac:dyDescent="0.25">
      <c r="A281" s="3">
        <v>45697.610601851848</v>
      </c>
      <c r="B281" t="s">
        <v>267</v>
      </c>
      <c r="C281" s="3">
        <v>45697.613599537042</v>
      </c>
      <c r="D281" t="s">
        <v>268</v>
      </c>
      <c r="E281" s="4">
        <v>1.2690996590852737</v>
      </c>
      <c r="F281" s="4">
        <v>347271.31104518811</v>
      </c>
      <c r="G281" s="4">
        <v>347272.58014484722</v>
      </c>
      <c r="H281" s="5">
        <f t="shared" si="5"/>
        <v>0</v>
      </c>
      <c r="I281" t="s">
        <v>204</v>
      </c>
      <c r="J281" t="s">
        <v>20</v>
      </c>
      <c r="K281" s="5">
        <f>259 / 86400</f>
        <v>2.9976851851851853E-3</v>
      </c>
      <c r="L281" s="5">
        <f>40 / 86400</f>
        <v>4.6296296296296298E-4</v>
      </c>
    </row>
    <row r="282" spans="1:12" x14ac:dyDescent="0.25">
      <c r="A282" s="3">
        <v>45697.614062499997</v>
      </c>
      <c r="B282" t="s">
        <v>269</v>
      </c>
      <c r="C282" s="3">
        <v>45697.616087962961</v>
      </c>
      <c r="D282" t="s">
        <v>270</v>
      </c>
      <c r="E282" s="4">
        <v>1.0741048467755319</v>
      </c>
      <c r="F282" s="4">
        <v>347272.6488779725</v>
      </c>
      <c r="G282" s="4">
        <v>347273.72298281925</v>
      </c>
      <c r="H282" s="5">
        <f t="shared" si="5"/>
        <v>0</v>
      </c>
      <c r="I282" t="s">
        <v>180</v>
      </c>
      <c r="J282" t="s">
        <v>26</v>
      </c>
      <c r="K282" s="5">
        <f>175 / 86400</f>
        <v>2.0254629629629629E-3</v>
      </c>
      <c r="L282" s="5">
        <f>20 / 86400</f>
        <v>2.3148148148148149E-4</v>
      </c>
    </row>
    <row r="283" spans="1:12" x14ac:dyDescent="0.25">
      <c r="A283" s="3">
        <v>45697.616319444445</v>
      </c>
      <c r="B283" t="s">
        <v>271</v>
      </c>
      <c r="C283" s="3">
        <v>45697.616666666669</v>
      </c>
      <c r="D283" t="s">
        <v>272</v>
      </c>
      <c r="E283" s="4">
        <v>4.131695932149887E-2</v>
      </c>
      <c r="F283" s="4">
        <v>347273.79791891621</v>
      </c>
      <c r="G283" s="4">
        <v>347273.83923587552</v>
      </c>
      <c r="H283" s="5">
        <f t="shared" si="5"/>
        <v>0</v>
      </c>
      <c r="I283" t="s">
        <v>28</v>
      </c>
      <c r="J283" t="s">
        <v>82</v>
      </c>
      <c r="K283" s="5">
        <f>30 / 86400</f>
        <v>3.4722222222222224E-4</v>
      </c>
      <c r="L283" s="5">
        <f>60 / 86400</f>
        <v>6.9444444444444447E-4</v>
      </c>
    </row>
    <row r="284" spans="1:12" x14ac:dyDescent="0.25">
      <c r="A284" s="3">
        <v>45697.617361111115</v>
      </c>
      <c r="B284" t="s">
        <v>272</v>
      </c>
      <c r="C284" s="3">
        <v>45697.617592592593</v>
      </c>
      <c r="D284" t="s">
        <v>272</v>
      </c>
      <c r="E284" s="4">
        <v>0</v>
      </c>
      <c r="F284" s="4">
        <v>347273.9364701414</v>
      </c>
      <c r="G284" s="4">
        <v>347273.9364701414</v>
      </c>
      <c r="H284" s="5">
        <f t="shared" si="5"/>
        <v>0</v>
      </c>
      <c r="I284" t="s">
        <v>163</v>
      </c>
      <c r="J284" t="s">
        <v>63</v>
      </c>
      <c r="K284" s="5">
        <f>20 / 86400</f>
        <v>2.3148148148148149E-4</v>
      </c>
      <c r="L284" s="5">
        <f>20 / 86400</f>
        <v>2.3148148148148149E-4</v>
      </c>
    </row>
    <row r="285" spans="1:12" x14ac:dyDescent="0.25">
      <c r="A285" s="3">
        <v>45697.61782407407</v>
      </c>
      <c r="B285" t="s">
        <v>273</v>
      </c>
      <c r="C285" s="3">
        <v>45697.618055555555</v>
      </c>
      <c r="D285" t="s">
        <v>273</v>
      </c>
      <c r="E285" s="4">
        <v>4.1477677285671234E-2</v>
      </c>
      <c r="F285" s="4">
        <v>347274.11019306543</v>
      </c>
      <c r="G285" s="4">
        <v>347274.15167074266</v>
      </c>
      <c r="H285" s="5">
        <f t="shared" si="5"/>
        <v>0</v>
      </c>
      <c r="I285" t="s">
        <v>95</v>
      </c>
      <c r="J285" t="s">
        <v>39</v>
      </c>
      <c r="K285" s="5">
        <f>20 / 86400</f>
        <v>2.3148148148148149E-4</v>
      </c>
      <c r="L285" s="5">
        <f>20 / 86400</f>
        <v>2.3148148148148149E-4</v>
      </c>
    </row>
    <row r="286" spans="1:12" x14ac:dyDescent="0.25">
      <c r="A286" s="3">
        <v>45697.618287037039</v>
      </c>
      <c r="B286" t="s">
        <v>274</v>
      </c>
      <c r="C286" s="3">
        <v>45697.619675925926</v>
      </c>
      <c r="D286" t="s">
        <v>275</v>
      </c>
      <c r="E286" s="4">
        <v>0.88908025926351553</v>
      </c>
      <c r="F286" s="4">
        <v>347274.2738938806</v>
      </c>
      <c r="G286" s="4">
        <v>347275.16297413985</v>
      </c>
      <c r="H286" s="5">
        <f t="shared" si="5"/>
        <v>0</v>
      </c>
      <c r="I286" t="s">
        <v>188</v>
      </c>
      <c r="J286" t="s">
        <v>134</v>
      </c>
      <c r="K286" s="5">
        <f>120 / 86400</f>
        <v>1.3888888888888889E-3</v>
      </c>
      <c r="L286" s="5">
        <f>12 / 86400</f>
        <v>1.3888888888888889E-4</v>
      </c>
    </row>
    <row r="287" spans="1:12" x14ac:dyDescent="0.25">
      <c r="A287" s="3">
        <v>45697.619814814811</v>
      </c>
      <c r="B287" t="s">
        <v>275</v>
      </c>
      <c r="C287" s="3">
        <v>45697.624456018515</v>
      </c>
      <c r="D287" t="s">
        <v>276</v>
      </c>
      <c r="E287" s="4">
        <v>2.3356640489101408</v>
      </c>
      <c r="F287" s="4">
        <v>347275.18411188707</v>
      </c>
      <c r="G287" s="4">
        <v>347277.51977593597</v>
      </c>
      <c r="H287" s="5">
        <f t="shared" si="5"/>
        <v>0</v>
      </c>
      <c r="I287" t="s">
        <v>220</v>
      </c>
      <c r="J287" t="s">
        <v>49</v>
      </c>
      <c r="K287" s="5">
        <f>401 / 86400</f>
        <v>4.6412037037037038E-3</v>
      </c>
      <c r="L287" s="5">
        <f>20 / 86400</f>
        <v>2.3148148148148149E-4</v>
      </c>
    </row>
    <row r="288" spans="1:12" x14ac:dyDescent="0.25">
      <c r="A288" s="3">
        <v>45697.6246875</v>
      </c>
      <c r="B288" t="s">
        <v>276</v>
      </c>
      <c r="C288" s="3">
        <v>45697.624918981484</v>
      </c>
      <c r="D288" t="s">
        <v>276</v>
      </c>
      <c r="E288" s="4">
        <v>1.2212170839309693E-2</v>
      </c>
      <c r="F288" s="4">
        <v>347277.53262622998</v>
      </c>
      <c r="G288" s="4">
        <v>347277.54483840085</v>
      </c>
      <c r="H288" s="5">
        <f t="shared" si="5"/>
        <v>0</v>
      </c>
      <c r="I288" t="s">
        <v>153</v>
      </c>
      <c r="J288" t="s">
        <v>153</v>
      </c>
      <c r="K288" s="5">
        <f>20 / 86400</f>
        <v>2.3148148148148149E-4</v>
      </c>
      <c r="L288" s="5">
        <f>39 / 86400</f>
        <v>4.5138888888888887E-4</v>
      </c>
    </row>
    <row r="289" spans="1:12" x14ac:dyDescent="0.25">
      <c r="A289" s="3">
        <v>45697.62537037037</v>
      </c>
      <c r="B289" t="s">
        <v>277</v>
      </c>
      <c r="C289" s="3">
        <v>45697.62667824074</v>
      </c>
      <c r="D289" t="s">
        <v>278</v>
      </c>
      <c r="E289" s="4">
        <v>0.37620567971467972</v>
      </c>
      <c r="F289" s="4">
        <v>347277.57438409771</v>
      </c>
      <c r="G289" s="4">
        <v>347277.95058977744</v>
      </c>
      <c r="H289" s="5">
        <f t="shared" ref="H289:H352" si="6">0 / 86400</f>
        <v>0</v>
      </c>
      <c r="I289" t="s">
        <v>23</v>
      </c>
      <c r="J289" t="s">
        <v>92</v>
      </c>
      <c r="K289" s="5">
        <f>113 / 86400</f>
        <v>1.3078703703703703E-3</v>
      </c>
      <c r="L289" s="5">
        <f>4 / 86400</f>
        <v>4.6296296296296294E-5</v>
      </c>
    </row>
    <row r="290" spans="1:12" x14ac:dyDescent="0.25">
      <c r="A290" s="3">
        <v>45697.62672453704</v>
      </c>
      <c r="B290" t="s">
        <v>278</v>
      </c>
      <c r="C290" s="3">
        <v>45697.62799768518</v>
      </c>
      <c r="D290" t="s">
        <v>279</v>
      </c>
      <c r="E290" s="4">
        <v>0.55663632261753082</v>
      </c>
      <c r="F290" s="4">
        <v>347277.95409912168</v>
      </c>
      <c r="G290" s="4">
        <v>347278.51073544432</v>
      </c>
      <c r="H290" s="5">
        <f t="shared" si="6"/>
        <v>0</v>
      </c>
      <c r="I290" t="s">
        <v>180</v>
      </c>
      <c r="J290" t="s">
        <v>20</v>
      </c>
      <c r="K290" s="5">
        <f>110 / 86400</f>
        <v>1.2731481481481483E-3</v>
      </c>
      <c r="L290" s="5">
        <f>20 / 86400</f>
        <v>2.3148148148148149E-4</v>
      </c>
    </row>
    <row r="291" spans="1:12" x14ac:dyDescent="0.25">
      <c r="A291" s="3">
        <v>45697.628229166672</v>
      </c>
      <c r="B291" t="s">
        <v>279</v>
      </c>
      <c r="C291" s="3">
        <v>45697.628460648149</v>
      </c>
      <c r="D291" t="s">
        <v>279</v>
      </c>
      <c r="E291" s="4">
        <v>9.0366876125335695E-4</v>
      </c>
      <c r="F291" s="4">
        <v>347278.5260178498</v>
      </c>
      <c r="G291" s="4">
        <v>347278.52692151855</v>
      </c>
      <c r="H291" s="5">
        <f t="shared" si="6"/>
        <v>0</v>
      </c>
      <c r="I291" t="s">
        <v>40</v>
      </c>
      <c r="J291" t="s">
        <v>63</v>
      </c>
      <c r="K291" s="5">
        <f>20 / 86400</f>
        <v>2.3148148148148149E-4</v>
      </c>
      <c r="L291" s="5">
        <f>40 / 86400</f>
        <v>4.6296296296296298E-4</v>
      </c>
    </row>
    <row r="292" spans="1:12" x14ac:dyDescent="0.25">
      <c r="A292" s="3">
        <v>45697.628923611112</v>
      </c>
      <c r="B292" t="s">
        <v>279</v>
      </c>
      <c r="C292" s="3">
        <v>45697.631469907406</v>
      </c>
      <c r="D292" t="s">
        <v>275</v>
      </c>
      <c r="E292" s="4">
        <v>1.9944737162590027</v>
      </c>
      <c r="F292" s="4">
        <v>347278.53106390429</v>
      </c>
      <c r="G292" s="4">
        <v>347280.52553762053</v>
      </c>
      <c r="H292" s="5">
        <f t="shared" si="6"/>
        <v>0</v>
      </c>
      <c r="I292" t="s">
        <v>248</v>
      </c>
      <c r="J292" t="s">
        <v>194</v>
      </c>
      <c r="K292" s="5">
        <f>220 / 86400</f>
        <v>2.5462962962962965E-3</v>
      </c>
      <c r="L292" s="5">
        <f>39 / 86400</f>
        <v>4.5138888888888887E-4</v>
      </c>
    </row>
    <row r="293" spans="1:12" x14ac:dyDescent="0.25">
      <c r="A293" s="3">
        <v>45697.631921296299</v>
      </c>
      <c r="B293" t="s">
        <v>275</v>
      </c>
      <c r="C293" s="3">
        <v>45697.634004629625</v>
      </c>
      <c r="D293" t="s">
        <v>280</v>
      </c>
      <c r="E293" s="4">
        <v>1.2791653051376344</v>
      </c>
      <c r="F293" s="4">
        <v>347280.53397134668</v>
      </c>
      <c r="G293" s="4">
        <v>347281.81313665182</v>
      </c>
      <c r="H293" s="5">
        <f t="shared" si="6"/>
        <v>0</v>
      </c>
      <c r="I293" t="s">
        <v>217</v>
      </c>
      <c r="J293" t="s">
        <v>137</v>
      </c>
      <c r="K293" s="5">
        <f>180 / 86400</f>
        <v>2.0833333333333333E-3</v>
      </c>
      <c r="L293" s="5">
        <f>18 / 86400</f>
        <v>2.0833333333333335E-4</v>
      </c>
    </row>
    <row r="294" spans="1:12" x14ac:dyDescent="0.25">
      <c r="A294" s="3">
        <v>45697.634212962963</v>
      </c>
      <c r="B294" t="s">
        <v>253</v>
      </c>
      <c r="C294" s="3">
        <v>45697.635891203703</v>
      </c>
      <c r="D294" t="s">
        <v>98</v>
      </c>
      <c r="E294" s="4">
        <v>0.94398194521665568</v>
      </c>
      <c r="F294" s="4">
        <v>347281.87399703101</v>
      </c>
      <c r="G294" s="4">
        <v>347282.81797897624</v>
      </c>
      <c r="H294" s="5">
        <f t="shared" si="6"/>
        <v>0</v>
      </c>
      <c r="I294" t="s">
        <v>180</v>
      </c>
      <c r="J294" t="s">
        <v>140</v>
      </c>
      <c r="K294" s="5">
        <f>145 / 86400</f>
        <v>1.6782407407407408E-3</v>
      </c>
      <c r="L294" s="5">
        <f>20 / 86400</f>
        <v>2.3148148148148149E-4</v>
      </c>
    </row>
    <row r="295" spans="1:12" x14ac:dyDescent="0.25">
      <c r="A295" s="3">
        <v>45697.636122685188</v>
      </c>
      <c r="B295" t="s">
        <v>98</v>
      </c>
      <c r="C295" s="3">
        <v>45697.639490740738</v>
      </c>
      <c r="D295" t="s">
        <v>203</v>
      </c>
      <c r="E295" s="4">
        <v>1.5463917964696885</v>
      </c>
      <c r="F295" s="4">
        <v>347282.82142138155</v>
      </c>
      <c r="G295" s="4">
        <v>347284.36781317799</v>
      </c>
      <c r="H295" s="5">
        <f t="shared" si="6"/>
        <v>0</v>
      </c>
      <c r="I295" t="s">
        <v>207</v>
      </c>
      <c r="J295" t="s">
        <v>23</v>
      </c>
      <c r="K295" s="5">
        <f>291 / 86400</f>
        <v>3.3680555555555556E-3</v>
      </c>
      <c r="L295" s="5">
        <f>60 / 86400</f>
        <v>6.9444444444444447E-4</v>
      </c>
    </row>
    <row r="296" spans="1:12" x14ac:dyDescent="0.25">
      <c r="A296" s="3">
        <v>45697.640185185184</v>
      </c>
      <c r="B296" t="s">
        <v>203</v>
      </c>
      <c r="C296" s="3">
        <v>45697.640532407408</v>
      </c>
      <c r="D296" t="s">
        <v>267</v>
      </c>
      <c r="E296" s="4">
        <v>6.578998750448227E-2</v>
      </c>
      <c r="F296" s="4">
        <v>347284.39387665439</v>
      </c>
      <c r="G296" s="4">
        <v>347284.45966664189</v>
      </c>
      <c r="H296" s="5">
        <f t="shared" si="6"/>
        <v>0</v>
      </c>
      <c r="I296" t="s">
        <v>23</v>
      </c>
      <c r="J296" t="s">
        <v>135</v>
      </c>
      <c r="K296" s="5">
        <f>30 / 86400</f>
        <v>3.4722222222222224E-4</v>
      </c>
      <c r="L296" s="5">
        <f>20 / 86400</f>
        <v>2.3148148148148149E-4</v>
      </c>
    </row>
    <row r="297" spans="1:12" x14ac:dyDescent="0.25">
      <c r="A297" s="3">
        <v>45697.640763888892</v>
      </c>
      <c r="B297" t="s">
        <v>267</v>
      </c>
      <c r="C297" s="3">
        <v>45697.641921296294</v>
      </c>
      <c r="D297" t="s">
        <v>255</v>
      </c>
      <c r="E297" s="4">
        <v>0.97271846807003026</v>
      </c>
      <c r="F297" s="4">
        <v>347284.50235296227</v>
      </c>
      <c r="G297" s="4">
        <v>347285.47507143032</v>
      </c>
      <c r="H297" s="5">
        <f t="shared" si="6"/>
        <v>0</v>
      </c>
      <c r="I297" t="s">
        <v>183</v>
      </c>
      <c r="J297" t="s">
        <v>129</v>
      </c>
      <c r="K297" s="5">
        <f>100 / 86400</f>
        <v>1.1574074074074073E-3</v>
      </c>
      <c r="L297" s="5">
        <f>2 / 86400</f>
        <v>2.3148148148148147E-5</v>
      </c>
    </row>
    <row r="298" spans="1:12" x14ac:dyDescent="0.25">
      <c r="A298" s="3">
        <v>45697.641944444447</v>
      </c>
      <c r="B298" t="s">
        <v>255</v>
      </c>
      <c r="C298" s="3">
        <v>45697.643159722225</v>
      </c>
      <c r="D298" t="s">
        <v>97</v>
      </c>
      <c r="E298" s="4">
        <v>0.59897833430767056</v>
      </c>
      <c r="F298" s="4">
        <v>347285.47877025109</v>
      </c>
      <c r="G298" s="4">
        <v>347286.07774858538</v>
      </c>
      <c r="H298" s="5">
        <f t="shared" si="6"/>
        <v>0</v>
      </c>
      <c r="I298" t="s">
        <v>168</v>
      </c>
      <c r="J298" t="s">
        <v>49</v>
      </c>
      <c r="K298" s="5">
        <f>105 / 86400</f>
        <v>1.2152777777777778E-3</v>
      </c>
      <c r="L298" s="5">
        <f>5 / 86400</f>
        <v>5.7870370370370373E-5</v>
      </c>
    </row>
    <row r="299" spans="1:12" x14ac:dyDescent="0.25">
      <c r="A299" s="3">
        <v>45697.643217592587</v>
      </c>
      <c r="B299" t="s">
        <v>97</v>
      </c>
      <c r="C299" s="3">
        <v>45697.64576388889</v>
      </c>
      <c r="D299" t="s">
        <v>196</v>
      </c>
      <c r="E299" s="4">
        <v>1.6418907746672631</v>
      </c>
      <c r="F299" s="4">
        <v>347286.08060466312</v>
      </c>
      <c r="G299" s="4">
        <v>347287.72249543777</v>
      </c>
      <c r="H299" s="5">
        <f t="shared" si="6"/>
        <v>0</v>
      </c>
      <c r="I299" t="s">
        <v>155</v>
      </c>
      <c r="J299" t="s">
        <v>134</v>
      </c>
      <c r="K299" s="5">
        <f>220 / 86400</f>
        <v>2.5462962962962965E-3</v>
      </c>
      <c r="L299" s="5">
        <f>7 / 86400</f>
        <v>8.1018518518518516E-5</v>
      </c>
    </row>
    <row r="300" spans="1:12" x14ac:dyDescent="0.25">
      <c r="A300" s="3">
        <v>45697.645844907413</v>
      </c>
      <c r="B300" t="s">
        <v>196</v>
      </c>
      <c r="C300" s="3">
        <v>45697.647986111115</v>
      </c>
      <c r="D300" t="s">
        <v>196</v>
      </c>
      <c r="E300" s="4">
        <v>1.3690219415426255</v>
      </c>
      <c r="F300" s="4">
        <v>347287.73106901802</v>
      </c>
      <c r="G300" s="4">
        <v>347289.10009095958</v>
      </c>
      <c r="H300" s="5">
        <f t="shared" si="6"/>
        <v>0</v>
      </c>
      <c r="I300" t="s">
        <v>188</v>
      </c>
      <c r="J300" t="s">
        <v>134</v>
      </c>
      <c r="K300" s="5">
        <f>185 / 86400</f>
        <v>2.1412037037037038E-3</v>
      </c>
      <c r="L300" s="5">
        <f>20 / 86400</f>
        <v>2.3148148148148149E-4</v>
      </c>
    </row>
    <row r="301" spans="1:12" x14ac:dyDescent="0.25">
      <c r="A301" s="3">
        <v>45697.648217592592</v>
      </c>
      <c r="B301" t="s">
        <v>196</v>
      </c>
      <c r="C301" s="3">
        <v>45697.64844907407</v>
      </c>
      <c r="D301" t="s">
        <v>196</v>
      </c>
      <c r="E301" s="4">
        <v>4.5511038899421694E-3</v>
      </c>
      <c r="F301" s="4">
        <v>347289.1711696221</v>
      </c>
      <c r="G301" s="4">
        <v>347289.17572072602</v>
      </c>
      <c r="H301" s="5">
        <f t="shared" si="6"/>
        <v>0</v>
      </c>
      <c r="I301" t="s">
        <v>29</v>
      </c>
      <c r="J301" t="s">
        <v>40</v>
      </c>
      <c r="K301" s="5">
        <f>20 / 86400</f>
        <v>2.3148148148148149E-4</v>
      </c>
      <c r="L301" s="5">
        <f>20 / 86400</f>
        <v>2.3148148148148149E-4</v>
      </c>
    </row>
    <row r="302" spans="1:12" x14ac:dyDescent="0.25">
      <c r="A302" s="3">
        <v>45697.648680555554</v>
      </c>
      <c r="B302" t="s">
        <v>196</v>
      </c>
      <c r="C302" s="3">
        <v>45697.648912037039</v>
      </c>
      <c r="D302" t="s">
        <v>196</v>
      </c>
      <c r="E302" s="4">
        <v>4.5430135726928708E-3</v>
      </c>
      <c r="F302" s="4">
        <v>347289.19437259156</v>
      </c>
      <c r="G302" s="4">
        <v>347289.19891560514</v>
      </c>
      <c r="H302" s="5">
        <f t="shared" si="6"/>
        <v>0</v>
      </c>
      <c r="I302" t="s">
        <v>191</v>
      </c>
      <c r="J302" t="s">
        <v>40</v>
      </c>
      <c r="K302" s="5">
        <f>20 / 86400</f>
        <v>2.3148148148148149E-4</v>
      </c>
      <c r="L302" s="5">
        <f>60 / 86400</f>
        <v>6.9444444444444447E-4</v>
      </c>
    </row>
    <row r="303" spans="1:12" x14ac:dyDescent="0.25">
      <c r="A303" s="3">
        <v>45697.649606481486</v>
      </c>
      <c r="B303" t="s">
        <v>196</v>
      </c>
      <c r="C303" s="3">
        <v>45697.649837962963</v>
      </c>
      <c r="D303" t="s">
        <v>196</v>
      </c>
      <c r="E303" s="4">
        <v>2.0813400864601136E-2</v>
      </c>
      <c r="F303" s="4">
        <v>347289.22713829629</v>
      </c>
      <c r="G303" s="4">
        <v>347289.24795169715</v>
      </c>
      <c r="H303" s="5">
        <f t="shared" si="6"/>
        <v>0</v>
      </c>
      <c r="I303" t="s">
        <v>29</v>
      </c>
      <c r="J303" t="s">
        <v>191</v>
      </c>
      <c r="K303" s="5">
        <f>20 / 86400</f>
        <v>2.3148148148148149E-4</v>
      </c>
      <c r="L303" s="5">
        <f>40 / 86400</f>
        <v>4.6296296296296298E-4</v>
      </c>
    </row>
    <row r="304" spans="1:12" x14ac:dyDescent="0.25">
      <c r="A304" s="3">
        <v>45697.650300925925</v>
      </c>
      <c r="B304" t="s">
        <v>196</v>
      </c>
      <c r="C304" s="3">
        <v>45697.653622685189</v>
      </c>
      <c r="D304" t="s">
        <v>281</v>
      </c>
      <c r="E304" s="4">
        <v>1.0329425664544105</v>
      </c>
      <c r="F304" s="4">
        <v>347289.25476985611</v>
      </c>
      <c r="G304" s="4">
        <v>347290.28771242255</v>
      </c>
      <c r="H304" s="5">
        <f t="shared" si="6"/>
        <v>0</v>
      </c>
      <c r="I304" t="s">
        <v>173</v>
      </c>
      <c r="J304" t="s">
        <v>147</v>
      </c>
      <c r="K304" s="5">
        <f>287 / 86400</f>
        <v>3.3217592592592591E-3</v>
      </c>
      <c r="L304" s="5">
        <f>11 / 86400</f>
        <v>1.273148148148148E-4</v>
      </c>
    </row>
    <row r="305" spans="1:12" x14ac:dyDescent="0.25">
      <c r="A305" s="3">
        <v>45697.653749999998</v>
      </c>
      <c r="B305" t="s">
        <v>282</v>
      </c>
      <c r="C305" s="3">
        <v>45697.657013888893</v>
      </c>
      <c r="D305" t="s">
        <v>176</v>
      </c>
      <c r="E305" s="4">
        <v>1.4924658779501916</v>
      </c>
      <c r="F305" s="4">
        <v>347290.32081590581</v>
      </c>
      <c r="G305" s="4">
        <v>347291.81328178378</v>
      </c>
      <c r="H305" s="5">
        <f t="shared" si="6"/>
        <v>0</v>
      </c>
      <c r="I305" t="s">
        <v>184</v>
      </c>
      <c r="J305" t="s">
        <v>23</v>
      </c>
      <c r="K305" s="5">
        <f>282 / 86400</f>
        <v>3.2638888888888891E-3</v>
      </c>
      <c r="L305" s="5">
        <f>14 / 86400</f>
        <v>1.6203703703703703E-4</v>
      </c>
    </row>
    <row r="306" spans="1:12" x14ac:dyDescent="0.25">
      <c r="A306" s="3">
        <v>45697.657175925924</v>
      </c>
      <c r="B306" t="s">
        <v>176</v>
      </c>
      <c r="C306" s="3">
        <v>45697.658460648148</v>
      </c>
      <c r="D306" t="s">
        <v>176</v>
      </c>
      <c r="E306" s="4">
        <v>0.71637883698940275</v>
      </c>
      <c r="F306" s="4">
        <v>347291.82013358275</v>
      </c>
      <c r="G306" s="4">
        <v>347292.53651241976</v>
      </c>
      <c r="H306" s="5">
        <f t="shared" si="6"/>
        <v>0</v>
      </c>
      <c r="I306" t="s">
        <v>168</v>
      </c>
      <c r="J306" t="s">
        <v>140</v>
      </c>
      <c r="K306" s="5">
        <f>111 / 86400</f>
        <v>1.2847222222222223E-3</v>
      </c>
      <c r="L306" s="5">
        <f>31 / 86400</f>
        <v>3.5879629629629629E-4</v>
      </c>
    </row>
    <row r="307" spans="1:12" x14ac:dyDescent="0.25">
      <c r="A307" s="3">
        <v>45697.658819444448</v>
      </c>
      <c r="B307" t="s">
        <v>176</v>
      </c>
      <c r="C307" s="3">
        <v>45697.66097222222</v>
      </c>
      <c r="D307" t="s">
        <v>105</v>
      </c>
      <c r="E307" s="4">
        <v>1.26765754789114</v>
      </c>
      <c r="F307" s="4">
        <v>347292.54841869796</v>
      </c>
      <c r="G307" s="4">
        <v>347293.81607624586</v>
      </c>
      <c r="H307" s="5">
        <f t="shared" si="6"/>
        <v>0</v>
      </c>
      <c r="I307" t="s">
        <v>256</v>
      </c>
      <c r="J307" t="s">
        <v>81</v>
      </c>
      <c r="K307" s="5">
        <f>186 / 86400</f>
        <v>2.1527777777777778E-3</v>
      </c>
      <c r="L307" s="5">
        <f>20 / 86400</f>
        <v>2.3148148148148149E-4</v>
      </c>
    </row>
    <row r="308" spans="1:12" x14ac:dyDescent="0.25">
      <c r="A308" s="3">
        <v>45697.661203703705</v>
      </c>
      <c r="B308" t="s">
        <v>105</v>
      </c>
      <c r="C308" s="3">
        <v>45697.662129629629</v>
      </c>
      <c r="D308" t="s">
        <v>105</v>
      </c>
      <c r="E308" s="4">
        <v>0.46938578844070433</v>
      </c>
      <c r="F308" s="4">
        <v>347293.84206385585</v>
      </c>
      <c r="G308" s="4">
        <v>347294.31144964427</v>
      </c>
      <c r="H308" s="5">
        <f t="shared" si="6"/>
        <v>0</v>
      </c>
      <c r="I308" t="s">
        <v>152</v>
      </c>
      <c r="J308" t="s">
        <v>49</v>
      </c>
      <c r="K308" s="5">
        <f>80 / 86400</f>
        <v>9.2592592592592596E-4</v>
      </c>
      <c r="L308" s="5">
        <f>80 / 86400</f>
        <v>9.2592592592592596E-4</v>
      </c>
    </row>
    <row r="309" spans="1:12" x14ac:dyDescent="0.25">
      <c r="A309" s="3">
        <v>45697.66305555556</v>
      </c>
      <c r="B309" t="s">
        <v>113</v>
      </c>
      <c r="C309" s="3">
        <v>45697.66375</v>
      </c>
      <c r="D309" t="s">
        <v>105</v>
      </c>
      <c r="E309" s="4">
        <v>0.44398278164863586</v>
      </c>
      <c r="F309" s="4">
        <v>347294.38684818213</v>
      </c>
      <c r="G309" s="4">
        <v>347294.83083096379</v>
      </c>
      <c r="H309" s="5">
        <f t="shared" si="6"/>
        <v>0</v>
      </c>
      <c r="I309" t="s">
        <v>152</v>
      </c>
      <c r="J309" t="s">
        <v>134</v>
      </c>
      <c r="K309" s="5">
        <f>60 / 86400</f>
        <v>6.9444444444444447E-4</v>
      </c>
      <c r="L309" s="5">
        <f>40 / 86400</f>
        <v>4.6296296296296298E-4</v>
      </c>
    </row>
    <row r="310" spans="1:12" x14ac:dyDescent="0.25">
      <c r="A310" s="3">
        <v>45697.664212962962</v>
      </c>
      <c r="B310" t="s">
        <v>105</v>
      </c>
      <c r="C310" s="3">
        <v>45697.66814814815</v>
      </c>
      <c r="D310" t="s">
        <v>105</v>
      </c>
      <c r="E310" s="4">
        <v>2.9968237162232398</v>
      </c>
      <c r="F310" s="4">
        <v>347294.93732415838</v>
      </c>
      <c r="G310" s="4">
        <v>347297.93414787459</v>
      </c>
      <c r="H310" s="5">
        <f t="shared" si="6"/>
        <v>0</v>
      </c>
      <c r="I310" t="s">
        <v>217</v>
      </c>
      <c r="J310" t="s">
        <v>179</v>
      </c>
      <c r="K310" s="5">
        <f>340 / 86400</f>
        <v>3.9351851851851848E-3</v>
      </c>
      <c r="L310" s="5">
        <f>17 / 86400</f>
        <v>1.9675925925925926E-4</v>
      </c>
    </row>
    <row r="311" spans="1:12" x14ac:dyDescent="0.25">
      <c r="A311" s="3">
        <v>45697.668344907404</v>
      </c>
      <c r="B311" t="s">
        <v>105</v>
      </c>
      <c r="C311" s="3">
        <v>45697.669502314813</v>
      </c>
      <c r="D311" t="s">
        <v>186</v>
      </c>
      <c r="E311" s="4">
        <v>0.94541244804859159</v>
      </c>
      <c r="F311" s="4">
        <v>347297.93816551112</v>
      </c>
      <c r="G311" s="4">
        <v>347298.8835779592</v>
      </c>
      <c r="H311" s="5">
        <f t="shared" si="6"/>
        <v>0</v>
      </c>
      <c r="I311" t="s">
        <v>187</v>
      </c>
      <c r="J311" t="s">
        <v>80</v>
      </c>
      <c r="K311" s="5">
        <f>100 / 86400</f>
        <v>1.1574074074074073E-3</v>
      </c>
      <c r="L311" s="5">
        <f>50 / 86400</f>
        <v>5.7870370370370367E-4</v>
      </c>
    </row>
    <row r="312" spans="1:12" x14ac:dyDescent="0.25">
      <c r="A312" s="3">
        <v>45697.670081018514</v>
      </c>
      <c r="B312" t="s">
        <v>186</v>
      </c>
      <c r="C312" s="3">
        <v>45697.675729166665</v>
      </c>
      <c r="D312" t="s">
        <v>283</v>
      </c>
      <c r="E312" s="4">
        <v>2.9805834227204322</v>
      </c>
      <c r="F312" s="4">
        <v>347298.89277168125</v>
      </c>
      <c r="G312" s="4">
        <v>347301.87335510395</v>
      </c>
      <c r="H312" s="5">
        <f t="shared" si="6"/>
        <v>0</v>
      </c>
      <c r="I312" t="s">
        <v>187</v>
      </c>
      <c r="J312" t="s">
        <v>26</v>
      </c>
      <c r="K312" s="5">
        <f>488 / 86400</f>
        <v>5.6481481481481478E-3</v>
      </c>
      <c r="L312" s="5">
        <f>40 / 86400</f>
        <v>4.6296296296296298E-4</v>
      </c>
    </row>
    <row r="313" spans="1:12" x14ac:dyDescent="0.25">
      <c r="A313" s="3">
        <v>45697.676192129627</v>
      </c>
      <c r="B313" t="s">
        <v>283</v>
      </c>
      <c r="C313" s="3">
        <v>45697.678726851853</v>
      </c>
      <c r="D313" t="s">
        <v>261</v>
      </c>
      <c r="E313" s="4">
        <v>0.8017446459531784</v>
      </c>
      <c r="F313" s="4">
        <v>347301.91086653573</v>
      </c>
      <c r="G313" s="4">
        <v>347302.71261118166</v>
      </c>
      <c r="H313" s="5">
        <f t="shared" si="6"/>
        <v>0</v>
      </c>
      <c r="I313" t="s">
        <v>137</v>
      </c>
      <c r="J313" t="s">
        <v>147</v>
      </c>
      <c r="K313" s="5">
        <f>219 / 86400</f>
        <v>2.5347222222222221E-3</v>
      </c>
      <c r="L313" s="5">
        <f>160 / 86400</f>
        <v>1.8518518518518519E-3</v>
      </c>
    </row>
    <row r="314" spans="1:12" x14ac:dyDescent="0.25">
      <c r="A314" s="3">
        <v>45697.680578703701</v>
      </c>
      <c r="B314" t="s">
        <v>261</v>
      </c>
      <c r="C314" s="3">
        <v>45697.682037037041</v>
      </c>
      <c r="D314" t="s">
        <v>261</v>
      </c>
      <c r="E314" s="4">
        <v>0.62009739553928378</v>
      </c>
      <c r="F314" s="4">
        <v>347302.72607141978</v>
      </c>
      <c r="G314" s="4">
        <v>347303.34616881533</v>
      </c>
      <c r="H314" s="5">
        <f t="shared" si="6"/>
        <v>0</v>
      </c>
      <c r="I314" t="s">
        <v>140</v>
      </c>
      <c r="J314" t="s">
        <v>20</v>
      </c>
      <c r="K314" s="5">
        <f>126 / 86400</f>
        <v>1.4583333333333334E-3</v>
      </c>
      <c r="L314" s="5">
        <f>60 / 86400</f>
        <v>6.9444444444444447E-4</v>
      </c>
    </row>
    <row r="315" spans="1:12" x14ac:dyDescent="0.25">
      <c r="A315" s="3">
        <v>45697.68273148148</v>
      </c>
      <c r="B315" t="s">
        <v>261</v>
      </c>
      <c r="C315" s="3">
        <v>45697.682962962965</v>
      </c>
      <c r="D315" t="s">
        <v>261</v>
      </c>
      <c r="E315" s="4">
        <v>1.5658039033412934E-2</v>
      </c>
      <c r="F315" s="4">
        <v>347303.35616005893</v>
      </c>
      <c r="G315" s="4">
        <v>347303.37181809795</v>
      </c>
      <c r="H315" s="5">
        <f t="shared" si="6"/>
        <v>0</v>
      </c>
      <c r="I315" t="s">
        <v>125</v>
      </c>
      <c r="J315" t="s">
        <v>125</v>
      </c>
      <c r="K315" s="5">
        <f>20 / 86400</f>
        <v>2.3148148148148149E-4</v>
      </c>
      <c r="L315" s="5">
        <f>20 / 86400</f>
        <v>2.3148148148148149E-4</v>
      </c>
    </row>
    <row r="316" spans="1:12" x14ac:dyDescent="0.25">
      <c r="A316" s="3">
        <v>45697.683194444442</v>
      </c>
      <c r="B316" t="s">
        <v>261</v>
      </c>
      <c r="C316" s="3">
        <v>45697.683425925927</v>
      </c>
      <c r="D316" t="s">
        <v>261</v>
      </c>
      <c r="E316" s="4">
        <v>1.334313040971756E-2</v>
      </c>
      <c r="F316" s="4">
        <v>347303.38035564526</v>
      </c>
      <c r="G316" s="4">
        <v>347303.39369877568</v>
      </c>
      <c r="H316" s="5">
        <f t="shared" si="6"/>
        <v>0</v>
      </c>
      <c r="I316" t="s">
        <v>125</v>
      </c>
      <c r="J316" t="s">
        <v>153</v>
      </c>
      <c r="K316" s="5">
        <f>20 / 86400</f>
        <v>2.3148148148148149E-4</v>
      </c>
      <c r="L316" s="5">
        <f>40 / 86400</f>
        <v>4.6296296296296298E-4</v>
      </c>
    </row>
    <row r="317" spans="1:12" x14ac:dyDescent="0.25">
      <c r="A317" s="3">
        <v>45697.683888888889</v>
      </c>
      <c r="B317" t="s">
        <v>261</v>
      </c>
      <c r="C317" s="3">
        <v>45697.685046296298</v>
      </c>
      <c r="D317" t="s">
        <v>261</v>
      </c>
      <c r="E317" s="4">
        <v>0.1175143832564354</v>
      </c>
      <c r="F317" s="4">
        <v>347303.4100012327</v>
      </c>
      <c r="G317" s="4">
        <v>347303.52751561592</v>
      </c>
      <c r="H317" s="5">
        <f t="shared" si="6"/>
        <v>0</v>
      </c>
      <c r="I317" t="s">
        <v>39</v>
      </c>
      <c r="J317" t="s">
        <v>191</v>
      </c>
      <c r="K317" s="5">
        <f>100 / 86400</f>
        <v>1.1574074074074073E-3</v>
      </c>
      <c r="L317" s="5">
        <f>20 / 86400</f>
        <v>2.3148148148148149E-4</v>
      </c>
    </row>
    <row r="318" spans="1:12" x14ac:dyDescent="0.25">
      <c r="A318" s="3">
        <v>45697.685277777782</v>
      </c>
      <c r="B318" t="s">
        <v>261</v>
      </c>
      <c r="C318" s="3">
        <v>45697.686898148153</v>
      </c>
      <c r="D318" t="s">
        <v>261</v>
      </c>
      <c r="E318" s="4">
        <v>0.78822590667009351</v>
      </c>
      <c r="F318" s="4">
        <v>347303.56946649606</v>
      </c>
      <c r="G318" s="4">
        <v>347304.35769240273</v>
      </c>
      <c r="H318" s="5">
        <f t="shared" si="6"/>
        <v>0</v>
      </c>
      <c r="I318" t="s">
        <v>204</v>
      </c>
      <c r="J318" t="s">
        <v>28</v>
      </c>
      <c r="K318" s="5">
        <f>140 / 86400</f>
        <v>1.6203703703703703E-3</v>
      </c>
      <c r="L318" s="5">
        <f>37 / 86400</f>
        <v>4.2824074074074075E-4</v>
      </c>
    </row>
    <row r="319" spans="1:12" x14ac:dyDescent="0.25">
      <c r="A319" s="3">
        <v>45697.687326388885</v>
      </c>
      <c r="B319" t="s">
        <v>261</v>
      </c>
      <c r="C319" s="3">
        <v>45697.692002314812</v>
      </c>
      <c r="D319" t="s">
        <v>263</v>
      </c>
      <c r="E319" s="4">
        <v>2.129864201068878</v>
      </c>
      <c r="F319" s="4">
        <v>347304.40177303652</v>
      </c>
      <c r="G319" s="4">
        <v>347306.53163723758</v>
      </c>
      <c r="H319" s="5">
        <f t="shared" si="6"/>
        <v>0</v>
      </c>
      <c r="I319" t="s">
        <v>163</v>
      </c>
      <c r="J319" t="s">
        <v>23</v>
      </c>
      <c r="K319" s="5">
        <f>404 / 86400</f>
        <v>4.6759259259259263E-3</v>
      </c>
      <c r="L319" s="5">
        <f>7 / 86400</f>
        <v>8.1018518518518516E-5</v>
      </c>
    </row>
    <row r="320" spans="1:12" x14ac:dyDescent="0.25">
      <c r="A320" s="3">
        <v>45697.692083333328</v>
      </c>
      <c r="B320" t="s">
        <v>263</v>
      </c>
      <c r="C320" s="3">
        <v>45697.69231481482</v>
      </c>
      <c r="D320" t="s">
        <v>263</v>
      </c>
      <c r="E320" s="4">
        <v>6.259085965156555E-2</v>
      </c>
      <c r="F320" s="4">
        <v>347306.53729449672</v>
      </c>
      <c r="G320" s="4">
        <v>347306.59988535638</v>
      </c>
      <c r="H320" s="5">
        <f t="shared" si="6"/>
        <v>0</v>
      </c>
      <c r="I320" t="s">
        <v>135</v>
      </c>
      <c r="J320" t="s">
        <v>120</v>
      </c>
      <c r="K320" s="5">
        <f>20 / 86400</f>
        <v>2.3148148148148149E-4</v>
      </c>
      <c r="L320" s="5">
        <f>35 / 86400</f>
        <v>4.0509259259259258E-4</v>
      </c>
    </row>
    <row r="321" spans="1:12" x14ac:dyDescent="0.25">
      <c r="A321" s="3">
        <v>45697.692719907413</v>
      </c>
      <c r="B321" t="s">
        <v>284</v>
      </c>
      <c r="C321" s="3">
        <v>45697.693703703699</v>
      </c>
      <c r="D321" t="s">
        <v>78</v>
      </c>
      <c r="E321" s="4">
        <v>0.90263457357883459</v>
      </c>
      <c r="F321" s="4">
        <v>347306.64340509177</v>
      </c>
      <c r="G321" s="4">
        <v>347307.54603966535</v>
      </c>
      <c r="H321" s="5">
        <f t="shared" si="6"/>
        <v>0</v>
      </c>
      <c r="I321" t="s">
        <v>151</v>
      </c>
      <c r="J321" t="s">
        <v>152</v>
      </c>
      <c r="K321" s="5">
        <f>85 / 86400</f>
        <v>9.837962962962962E-4</v>
      </c>
      <c r="L321" s="5">
        <f>37 / 86400</f>
        <v>4.2824074074074075E-4</v>
      </c>
    </row>
    <row r="322" spans="1:12" x14ac:dyDescent="0.25">
      <c r="A322" s="3">
        <v>45697.694131944445</v>
      </c>
      <c r="B322" t="s">
        <v>78</v>
      </c>
      <c r="C322" s="3">
        <v>45697.699363425927</v>
      </c>
      <c r="D322" t="s">
        <v>105</v>
      </c>
      <c r="E322" s="4">
        <v>3.5414542413949968</v>
      </c>
      <c r="F322" s="4">
        <v>347307.5560455487</v>
      </c>
      <c r="G322" s="4">
        <v>347311.09749979008</v>
      </c>
      <c r="H322" s="5">
        <f t="shared" si="6"/>
        <v>0</v>
      </c>
      <c r="I322" t="s">
        <v>59</v>
      </c>
      <c r="J322" t="s">
        <v>189</v>
      </c>
      <c r="K322" s="5">
        <f>452 / 86400</f>
        <v>5.2314814814814811E-3</v>
      </c>
      <c r="L322" s="5">
        <f>40 / 86400</f>
        <v>4.6296296296296298E-4</v>
      </c>
    </row>
    <row r="323" spans="1:12" x14ac:dyDescent="0.25">
      <c r="A323" s="3">
        <v>45697.699826388889</v>
      </c>
      <c r="B323" t="s">
        <v>113</v>
      </c>
      <c r="C323" s="3">
        <v>45697.700254629628</v>
      </c>
      <c r="D323" t="s">
        <v>285</v>
      </c>
      <c r="E323" s="4">
        <v>6.8080525219440455E-2</v>
      </c>
      <c r="F323" s="4">
        <v>347311.13658782991</v>
      </c>
      <c r="G323" s="4">
        <v>347311.20466835512</v>
      </c>
      <c r="H323" s="5">
        <f t="shared" si="6"/>
        <v>0</v>
      </c>
      <c r="I323" t="s">
        <v>33</v>
      </c>
      <c r="J323" t="s">
        <v>39</v>
      </c>
      <c r="K323" s="5">
        <f>37 / 86400</f>
        <v>4.2824074074074075E-4</v>
      </c>
      <c r="L323" s="5">
        <f>80 / 86400</f>
        <v>9.2592592592592596E-4</v>
      </c>
    </row>
    <row r="324" spans="1:12" x14ac:dyDescent="0.25">
      <c r="A324" s="3">
        <v>45697.701180555552</v>
      </c>
      <c r="B324" t="s">
        <v>105</v>
      </c>
      <c r="C324" s="3">
        <v>45697.703726851847</v>
      </c>
      <c r="D324" t="s">
        <v>176</v>
      </c>
      <c r="E324" s="4">
        <v>1.7704670448899269</v>
      </c>
      <c r="F324" s="4">
        <v>347311.21859198069</v>
      </c>
      <c r="G324" s="4">
        <v>347312.9890590256</v>
      </c>
      <c r="H324" s="5">
        <f t="shared" si="6"/>
        <v>0</v>
      </c>
      <c r="I324" t="s">
        <v>156</v>
      </c>
      <c r="J324" t="s">
        <v>173</v>
      </c>
      <c r="K324" s="5">
        <f>220 / 86400</f>
        <v>2.5462962962962965E-3</v>
      </c>
      <c r="L324" s="5">
        <f>20 / 86400</f>
        <v>2.3148148148148149E-4</v>
      </c>
    </row>
    <row r="325" spans="1:12" x14ac:dyDescent="0.25">
      <c r="A325" s="3">
        <v>45697.703958333332</v>
      </c>
      <c r="B325" t="s">
        <v>176</v>
      </c>
      <c r="C325" s="3">
        <v>45697.705810185187</v>
      </c>
      <c r="D325" t="s">
        <v>286</v>
      </c>
      <c r="E325" s="4">
        <v>1.2939534617066384</v>
      </c>
      <c r="F325" s="4">
        <v>347313.10080156749</v>
      </c>
      <c r="G325" s="4">
        <v>347314.39475502918</v>
      </c>
      <c r="H325" s="5">
        <f t="shared" si="6"/>
        <v>0</v>
      </c>
      <c r="I325" t="s">
        <v>209</v>
      </c>
      <c r="J325" t="s">
        <v>173</v>
      </c>
      <c r="K325" s="5">
        <f>160 / 86400</f>
        <v>1.8518518518518519E-3</v>
      </c>
      <c r="L325" s="5">
        <f>20 / 86400</f>
        <v>2.3148148148148149E-4</v>
      </c>
    </row>
    <row r="326" spans="1:12" x14ac:dyDescent="0.25">
      <c r="A326" s="3">
        <v>45697.706041666665</v>
      </c>
      <c r="B326" t="s">
        <v>210</v>
      </c>
      <c r="C326" s="3">
        <v>45697.706273148149</v>
      </c>
      <c r="D326" t="s">
        <v>169</v>
      </c>
      <c r="E326" s="4">
        <v>0.14174538570642473</v>
      </c>
      <c r="F326" s="4">
        <v>347314.47514233878</v>
      </c>
      <c r="G326" s="4">
        <v>347314.61688772443</v>
      </c>
      <c r="H326" s="5">
        <f t="shared" si="6"/>
        <v>0</v>
      </c>
      <c r="I326" t="s">
        <v>198</v>
      </c>
      <c r="J326" t="s">
        <v>137</v>
      </c>
      <c r="K326" s="5">
        <f>20 / 86400</f>
        <v>2.3148148148148149E-4</v>
      </c>
      <c r="L326" s="5">
        <f>20 / 86400</f>
        <v>2.3148148148148149E-4</v>
      </c>
    </row>
    <row r="327" spans="1:12" x14ac:dyDescent="0.25">
      <c r="A327" s="3">
        <v>45697.706504629634</v>
      </c>
      <c r="B327" t="s">
        <v>287</v>
      </c>
      <c r="C327" s="3">
        <v>45697.710104166668</v>
      </c>
      <c r="D327" t="s">
        <v>288</v>
      </c>
      <c r="E327" s="4">
        <v>1.5461802710294723</v>
      </c>
      <c r="F327" s="4">
        <v>347314.70804435626</v>
      </c>
      <c r="G327" s="4">
        <v>347316.25422462734</v>
      </c>
      <c r="H327" s="5">
        <f t="shared" si="6"/>
        <v>0</v>
      </c>
      <c r="I327" t="s">
        <v>168</v>
      </c>
      <c r="J327" t="s">
        <v>20</v>
      </c>
      <c r="K327" s="5">
        <f>311 / 86400</f>
        <v>3.5995370370370369E-3</v>
      </c>
      <c r="L327" s="5">
        <f>28 / 86400</f>
        <v>3.2407407407407406E-4</v>
      </c>
    </row>
    <row r="328" spans="1:12" x14ac:dyDescent="0.25">
      <c r="A328" s="3">
        <v>45697.710428240738</v>
      </c>
      <c r="B328" t="s">
        <v>288</v>
      </c>
      <c r="C328" s="3">
        <v>45697.7109375</v>
      </c>
      <c r="D328" t="s">
        <v>196</v>
      </c>
      <c r="E328" s="4">
        <v>4.9292310237884523E-2</v>
      </c>
      <c r="F328" s="4">
        <v>347316.26375636895</v>
      </c>
      <c r="G328" s="4">
        <v>347316.31304867915</v>
      </c>
      <c r="H328" s="5">
        <f t="shared" si="6"/>
        <v>0</v>
      </c>
      <c r="I328" t="s">
        <v>82</v>
      </c>
      <c r="J328" t="s">
        <v>191</v>
      </c>
      <c r="K328" s="5">
        <f>44 / 86400</f>
        <v>5.0925925925925921E-4</v>
      </c>
      <c r="L328" s="5">
        <f>60 / 86400</f>
        <v>6.9444444444444447E-4</v>
      </c>
    </row>
    <row r="329" spans="1:12" x14ac:dyDescent="0.25">
      <c r="A329" s="3">
        <v>45697.711631944447</v>
      </c>
      <c r="B329" t="s">
        <v>266</v>
      </c>
      <c r="C329" s="3">
        <v>45697.711863425924</v>
      </c>
      <c r="D329" t="s">
        <v>266</v>
      </c>
      <c r="E329" s="4">
        <v>1.4041363000869751E-3</v>
      </c>
      <c r="F329" s="4">
        <v>347316.33866126183</v>
      </c>
      <c r="G329" s="4">
        <v>347316.34006539814</v>
      </c>
      <c r="H329" s="5">
        <f t="shared" si="6"/>
        <v>0</v>
      </c>
      <c r="I329" t="s">
        <v>153</v>
      </c>
      <c r="J329" t="s">
        <v>63</v>
      </c>
      <c r="K329" s="5">
        <f>20 / 86400</f>
        <v>2.3148148148148149E-4</v>
      </c>
      <c r="L329" s="5">
        <f>69 / 86400</f>
        <v>7.9861111111111116E-4</v>
      </c>
    </row>
    <row r="330" spans="1:12" x14ac:dyDescent="0.25">
      <c r="A330" s="3">
        <v>45697.71266203704</v>
      </c>
      <c r="B330" t="s">
        <v>266</v>
      </c>
      <c r="C330" s="3">
        <v>45697.713356481487</v>
      </c>
      <c r="D330" t="s">
        <v>196</v>
      </c>
      <c r="E330" s="4">
        <v>0.1780997462272644</v>
      </c>
      <c r="F330" s="4">
        <v>347316.35634483671</v>
      </c>
      <c r="G330" s="4">
        <v>347316.53444458294</v>
      </c>
      <c r="H330" s="5">
        <f t="shared" si="6"/>
        <v>0</v>
      </c>
      <c r="I330" t="s">
        <v>134</v>
      </c>
      <c r="J330" t="s">
        <v>120</v>
      </c>
      <c r="K330" s="5">
        <f>60 / 86400</f>
        <v>6.9444444444444447E-4</v>
      </c>
      <c r="L330" s="5">
        <f>12 / 86400</f>
        <v>1.3888888888888889E-4</v>
      </c>
    </row>
    <row r="331" spans="1:12" x14ac:dyDescent="0.25">
      <c r="A331" s="3">
        <v>45697.713495370372</v>
      </c>
      <c r="B331" t="s">
        <v>196</v>
      </c>
      <c r="C331" s="3">
        <v>45697.717002314814</v>
      </c>
      <c r="D331" t="s">
        <v>197</v>
      </c>
      <c r="E331" s="4">
        <v>2.173108077585697</v>
      </c>
      <c r="F331" s="4">
        <v>347316.55637253675</v>
      </c>
      <c r="G331" s="4">
        <v>347318.72948061436</v>
      </c>
      <c r="H331" s="5">
        <f t="shared" si="6"/>
        <v>0</v>
      </c>
      <c r="I331" t="s">
        <v>155</v>
      </c>
      <c r="J331" t="s">
        <v>137</v>
      </c>
      <c r="K331" s="5">
        <f>303 / 86400</f>
        <v>3.5069444444444445E-3</v>
      </c>
      <c r="L331" s="5">
        <f>10 / 86400</f>
        <v>1.1574074074074075E-4</v>
      </c>
    </row>
    <row r="332" spans="1:12" x14ac:dyDescent="0.25">
      <c r="A332" s="3">
        <v>45697.71711805556</v>
      </c>
      <c r="B332" t="s">
        <v>197</v>
      </c>
      <c r="C332" s="3">
        <v>45697.718275462961</v>
      </c>
      <c r="D332" t="s">
        <v>289</v>
      </c>
      <c r="E332" s="4">
        <v>0.59538522547483441</v>
      </c>
      <c r="F332" s="4">
        <v>347318.73151770514</v>
      </c>
      <c r="G332" s="4">
        <v>347319.32690293062</v>
      </c>
      <c r="H332" s="5">
        <f t="shared" si="6"/>
        <v>0</v>
      </c>
      <c r="I332" t="s">
        <v>204</v>
      </c>
      <c r="J332" t="s">
        <v>49</v>
      </c>
      <c r="K332" s="5">
        <f>100 / 86400</f>
        <v>1.1574074074074073E-3</v>
      </c>
      <c r="L332" s="5">
        <f>20 / 86400</f>
        <v>2.3148148148148149E-4</v>
      </c>
    </row>
    <row r="333" spans="1:12" x14ac:dyDescent="0.25">
      <c r="A333" s="3">
        <v>45697.718506944446</v>
      </c>
      <c r="B333" t="s">
        <v>290</v>
      </c>
      <c r="C333" s="3">
        <v>45697.719872685186</v>
      </c>
      <c r="D333" t="s">
        <v>201</v>
      </c>
      <c r="E333" s="4">
        <v>0.63793387949466707</v>
      </c>
      <c r="F333" s="4">
        <v>347319.48976858548</v>
      </c>
      <c r="G333" s="4">
        <v>347320.12770246499</v>
      </c>
      <c r="H333" s="5">
        <f t="shared" si="6"/>
        <v>0</v>
      </c>
      <c r="I333" t="s">
        <v>214</v>
      </c>
      <c r="J333" t="s">
        <v>23</v>
      </c>
      <c r="K333" s="5">
        <f>118 / 86400</f>
        <v>1.3657407407407407E-3</v>
      </c>
      <c r="L333" s="5">
        <f>60 / 86400</f>
        <v>6.9444444444444447E-4</v>
      </c>
    </row>
    <row r="334" spans="1:12" x14ac:dyDescent="0.25">
      <c r="A334" s="3">
        <v>45697.720567129625</v>
      </c>
      <c r="B334" t="s">
        <v>267</v>
      </c>
      <c r="C334" s="3">
        <v>45697.722141203703</v>
      </c>
      <c r="D334" t="s">
        <v>291</v>
      </c>
      <c r="E334" s="4">
        <v>1.0245718256831169</v>
      </c>
      <c r="F334" s="4">
        <v>347320.21771629661</v>
      </c>
      <c r="G334" s="4">
        <v>347321.2422881223</v>
      </c>
      <c r="H334" s="5">
        <f t="shared" si="6"/>
        <v>0</v>
      </c>
      <c r="I334" t="s">
        <v>187</v>
      </c>
      <c r="J334" t="s">
        <v>134</v>
      </c>
      <c r="K334" s="5">
        <f>136 / 86400</f>
        <v>1.5740740740740741E-3</v>
      </c>
      <c r="L334" s="5">
        <f>9 / 86400</f>
        <v>1.0416666666666667E-4</v>
      </c>
    </row>
    <row r="335" spans="1:12" x14ac:dyDescent="0.25">
      <c r="A335" s="3">
        <v>45697.722245370373</v>
      </c>
      <c r="B335" t="s">
        <v>292</v>
      </c>
      <c r="C335" s="3">
        <v>45697.72247685185</v>
      </c>
      <c r="D335" t="s">
        <v>112</v>
      </c>
      <c r="E335" s="4">
        <v>3.5436863541603088E-2</v>
      </c>
      <c r="F335" s="4">
        <v>347321.2542757449</v>
      </c>
      <c r="G335" s="4">
        <v>347321.28971260844</v>
      </c>
      <c r="H335" s="5">
        <f t="shared" si="6"/>
        <v>0</v>
      </c>
      <c r="I335" t="s">
        <v>52</v>
      </c>
      <c r="J335" t="s">
        <v>29</v>
      </c>
      <c r="K335" s="5">
        <f>20 / 86400</f>
        <v>2.3148148148148149E-4</v>
      </c>
      <c r="L335" s="5">
        <f>20 / 86400</f>
        <v>2.3148148148148149E-4</v>
      </c>
    </row>
    <row r="336" spans="1:12" x14ac:dyDescent="0.25">
      <c r="A336" s="3">
        <v>45697.722708333335</v>
      </c>
      <c r="B336" t="s">
        <v>293</v>
      </c>
      <c r="C336" s="3">
        <v>45697.723171296297</v>
      </c>
      <c r="D336" t="s">
        <v>112</v>
      </c>
      <c r="E336" s="4">
        <v>0.22256436282396316</v>
      </c>
      <c r="F336" s="4">
        <v>347321.41955774848</v>
      </c>
      <c r="G336" s="4">
        <v>347321.64212211134</v>
      </c>
      <c r="H336" s="5">
        <f t="shared" si="6"/>
        <v>0</v>
      </c>
      <c r="I336" t="s">
        <v>179</v>
      </c>
      <c r="J336" t="s">
        <v>28</v>
      </c>
      <c r="K336" s="5">
        <f>40 / 86400</f>
        <v>4.6296296296296298E-4</v>
      </c>
      <c r="L336" s="5">
        <f>20 / 86400</f>
        <v>2.3148148148148149E-4</v>
      </c>
    </row>
    <row r="337" spans="1:12" x14ac:dyDescent="0.25">
      <c r="A337" s="3">
        <v>45697.723402777774</v>
      </c>
      <c r="B337" t="s">
        <v>294</v>
      </c>
      <c r="C337" s="3">
        <v>45697.727141203708</v>
      </c>
      <c r="D337" t="s">
        <v>270</v>
      </c>
      <c r="E337" s="4">
        <v>1.6214365822672845</v>
      </c>
      <c r="F337" s="4">
        <v>347321.69000500999</v>
      </c>
      <c r="G337" s="4">
        <v>347323.31144159229</v>
      </c>
      <c r="H337" s="5">
        <f t="shared" si="6"/>
        <v>0</v>
      </c>
      <c r="I337" t="s">
        <v>181</v>
      </c>
      <c r="J337" t="s">
        <v>20</v>
      </c>
      <c r="K337" s="5">
        <f>323 / 86400</f>
        <v>3.7384259259259259E-3</v>
      </c>
      <c r="L337" s="5">
        <f>20 / 86400</f>
        <v>2.3148148148148149E-4</v>
      </c>
    </row>
    <row r="338" spans="1:12" x14ac:dyDescent="0.25">
      <c r="A338" s="3">
        <v>45697.727372685185</v>
      </c>
      <c r="B338" t="s">
        <v>272</v>
      </c>
      <c r="C338" s="3">
        <v>45697.727974537032</v>
      </c>
      <c r="D338" t="s">
        <v>272</v>
      </c>
      <c r="E338" s="4">
        <v>3.0138362586498262E-2</v>
      </c>
      <c r="F338" s="4">
        <v>347323.34458228888</v>
      </c>
      <c r="G338" s="4">
        <v>347323.37472065142</v>
      </c>
      <c r="H338" s="5">
        <f t="shared" si="6"/>
        <v>0</v>
      </c>
      <c r="I338" t="s">
        <v>39</v>
      </c>
      <c r="J338" t="s">
        <v>153</v>
      </c>
      <c r="K338" s="5">
        <f>52 / 86400</f>
        <v>6.018518518518519E-4</v>
      </c>
      <c r="L338" s="5">
        <f>20 / 86400</f>
        <v>2.3148148148148149E-4</v>
      </c>
    </row>
    <row r="339" spans="1:12" x14ac:dyDescent="0.25">
      <c r="A339" s="3">
        <v>45697.728206018517</v>
      </c>
      <c r="B339" t="s">
        <v>272</v>
      </c>
      <c r="C339" s="3">
        <v>45697.728576388894</v>
      </c>
      <c r="D339" t="s">
        <v>272</v>
      </c>
      <c r="E339" s="4">
        <v>1.8222849965095519E-3</v>
      </c>
      <c r="F339" s="4">
        <v>347323.37799449841</v>
      </c>
      <c r="G339" s="4">
        <v>347323.37981678342</v>
      </c>
      <c r="H339" s="5">
        <f t="shared" si="6"/>
        <v>0</v>
      </c>
      <c r="I339" t="s">
        <v>29</v>
      </c>
      <c r="J339" t="s">
        <v>63</v>
      </c>
      <c r="K339" s="5">
        <f>32 / 86400</f>
        <v>3.7037037037037035E-4</v>
      </c>
      <c r="L339" s="5">
        <f>60 / 86400</f>
        <v>6.9444444444444447E-4</v>
      </c>
    </row>
    <row r="340" spans="1:12" x14ac:dyDescent="0.25">
      <c r="A340" s="3">
        <v>45697.729270833333</v>
      </c>
      <c r="B340" t="s">
        <v>273</v>
      </c>
      <c r="C340" s="3">
        <v>45697.731157407412</v>
      </c>
      <c r="D340" t="s">
        <v>142</v>
      </c>
      <c r="E340" s="4">
        <v>1.1249544010758401</v>
      </c>
      <c r="F340" s="4">
        <v>347323.6410659285</v>
      </c>
      <c r="G340" s="4">
        <v>347324.76602032961</v>
      </c>
      <c r="H340" s="5">
        <f t="shared" si="6"/>
        <v>0</v>
      </c>
      <c r="I340" t="s">
        <v>181</v>
      </c>
      <c r="J340" t="s">
        <v>81</v>
      </c>
      <c r="K340" s="5">
        <f>163 / 86400</f>
        <v>1.8865740740740742E-3</v>
      </c>
      <c r="L340" s="5">
        <f>722 / 86400</f>
        <v>8.3564814814814821E-3</v>
      </c>
    </row>
    <row r="341" spans="1:12" x14ac:dyDescent="0.25">
      <c r="A341" s="3">
        <v>45697.73951388889</v>
      </c>
      <c r="B341" t="s">
        <v>280</v>
      </c>
      <c r="C341" s="3">
        <v>45697.740671296298</v>
      </c>
      <c r="D341" t="s">
        <v>295</v>
      </c>
      <c r="E341" s="4">
        <v>0.18991784673929216</v>
      </c>
      <c r="F341" s="4">
        <v>347324.86500016402</v>
      </c>
      <c r="G341" s="4">
        <v>347325.05491801078</v>
      </c>
      <c r="H341" s="5">
        <f t="shared" si="6"/>
        <v>0</v>
      </c>
      <c r="I341" t="s">
        <v>137</v>
      </c>
      <c r="J341" t="s">
        <v>39</v>
      </c>
      <c r="K341" s="5">
        <f>100 / 86400</f>
        <v>1.1574074074074073E-3</v>
      </c>
      <c r="L341" s="5">
        <f>5 / 86400</f>
        <v>5.7870370370370373E-5</v>
      </c>
    </row>
    <row r="342" spans="1:12" x14ac:dyDescent="0.25">
      <c r="A342" s="3">
        <v>45697.740729166668</v>
      </c>
      <c r="B342" t="s">
        <v>295</v>
      </c>
      <c r="C342" s="3">
        <v>45697.742349537039</v>
      </c>
      <c r="D342" t="s">
        <v>107</v>
      </c>
      <c r="E342" s="4">
        <v>0.66605939680337911</v>
      </c>
      <c r="F342" s="4">
        <v>347325.06113202957</v>
      </c>
      <c r="G342" s="4">
        <v>347325.72719142638</v>
      </c>
      <c r="H342" s="5">
        <f t="shared" si="6"/>
        <v>0</v>
      </c>
      <c r="I342" t="s">
        <v>163</v>
      </c>
      <c r="J342" t="s">
        <v>71</v>
      </c>
      <c r="K342" s="5">
        <f>140 / 86400</f>
        <v>1.6203703703703703E-3</v>
      </c>
      <c r="L342" s="5">
        <f>20 / 86400</f>
        <v>2.3148148148148149E-4</v>
      </c>
    </row>
    <row r="343" spans="1:12" x14ac:dyDescent="0.25">
      <c r="A343" s="3">
        <v>45697.742581018523</v>
      </c>
      <c r="B343" t="s">
        <v>107</v>
      </c>
      <c r="C343" s="3">
        <v>45697.742812500001</v>
      </c>
      <c r="D343" t="s">
        <v>107</v>
      </c>
      <c r="E343" s="4">
        <v>2.6562259137630464E-2</v>
      </c>
      <c r="F343" s="4">
        <v>347325.74276804237</v>
      </c>
      <c r="G343" s="4">
        <v>347325.7693303015</v>
      </c>
      <c r="H343" s="5">
        <f t="shared" si="6"/>
        <v>0</v>
      </c>
      <c r="I343" t="s">
        <v>39</v>
      </c>
      <c r="J343" t="s">
        <v>82</v>
      </c>
      <c r="K343" s="5">
        <f>20 / 86400</f>
        <v>2.3148148148148149E-4</v>
      </c>
      <c r="L343" s="5">
        <f>60 / 86400</f>
        <v>6.9444444444444447E-4</v>
      </c>
    </row>
    <row r="344" spans="1:12" x14ac:dyDescent="0.25">
      <c r="A344" s="3">
        <v>45697.743506944447</v>
      </c>
      <c r="B344" t="s">
        <v>107</v>
      </c>
      <c r="C344" s="3">
        <v>45697.743738425925</v>
      </c>
      <c r="D344" t="s">
        <v>107</v>
      </c>
      <c r="E344" s="4">
        <v>4.4690860450267794E-2</v>
      </c>
      <c r="F344" s="4">
        <v>347325.77540380432</v>
      </c>
      <c r="G344" s="4">
        <v>347325.82009466476</v>
      </c>
      <c r="H344" s="5">
        <f t="shared" si="6"/>
        <v>0</v>
      </c>
      <c r="I344" t="s">
        <v>153</v>
      </c>
      <c r="J344" t="s">
        <v>135</v>
      </c>
      <c r="K344" s="5">
        <f>20 / 86400</f>
        <v>2.3148148148148149E-4</v>
      </c>
      <c r="L344" s="5">
        <f>20 / 86400</f>
        <v>2.3148148148148149E-4</v>
      </c>
    </row>
    <row r="345" spans="1:12" x14ac:dyDescent="0.25">
      <c r="A345" s="3">
        <v>45697.743969907402</v>
      </c>
      <c r="B345" t="s">
        <v>107</v>
      </c>
      <c r="C345" s="3">
        <v>45697.744432870371</v>
      </c>
      <c r="D345" t="s">
        <v>107</v>
      </c>
      <c r="E345" s="4">
        <v>0.20473583340644835</v>
      </c>
      <c r="F345" s="4">
        <v>347325.93896936963</v>
      </c>
      <c r="G345" s="4">
        <v>347326.14370520308</v>
      </c>
      <c r="H345" s="5">
        <f t="shared" si="6"/>
        <v>0</v>
      </c>
      <c r="I345" t="s">
        <v>184</v>
      </c>
      <c r="J345" t="s">
        <v>20</v>
      </c>
      <c r="K345" s="5">
        <f>40 / 86400</f>
        <v>4.6296296296296298E-4</v>
      </c>
      <c r="L345" s="5">
        <f>13 / 86400</f>
        <v>1.5046296296296297E-4</v>
      </c>
    </row>
    <row r="346" spans="1:12" x14ac:dyDescent="0.25">
      <c r="A346" s="3">
        <v>45697.744583333333</v>
      </c>
      <c r="B346" t="s">
        <v>107</v>
      </c>
      <c r="C346" s="3">
        <v>45697.745509259257</v>
      </c>
      <c r="D346" t="s">
        <v>296</v>
      </c>
      <c r="E346" s="4">
        <v>0.57225481361150743</v>
      </c>
      <c r="F346" s="4">
        <v>347326.1811569712</v>
      </c>
      <c r="G346" s="4">
        <v>347326.75341178483</v>
      </c>
      <c r="H346" s="5">
        <f t="shared" si="6"/>
        <v>0</v>
      </c>
      <c r="I346" t="s">
        <v>179</v>
      </c>
      <c r="J346" t="s">
        <v>137</v>
      </c>
      <c r="K346" s="5">
        <f>80 / 86400</f>
        <v>9.2592592592592596E-4</v>
      </c>
      <c r="L346" s="5">
        <f>20 / 86400</f>
        <v>2.3148148148148149E-4</v>
      </c>
    </row>
    <row r="347" spans="1:12" x14ac:dyDescent="0.25">
      <c r="A347" s="3">
        <v>45697.745740740742</v>
      </c>
      <c r="B347" t="s">
        <v>107</v>
      </c>
      <c r="C347" s="3">
        <v>45697.747824074075</v>
      </c>
      <c r="D347" t="s">
        <v>297</v>
      </c>
      <c r="E347" s="4">
        <v>1.2820868434906005</v>
      </c>
      <c r="F347" s="4">
        <v>347326.82999864483</v>
      </c>
      <c r="G347" s="4">
        <v>347328.11208548833</v>
      </c>
      <c r="H347" s="5">
        <f t="shared" si="6"/>
        <v>0</v>
      </c>
      <c r="I347" t="s">
        <v>129</v>
      </c>
      <c r="J347" t="s">
        <v>137</v>
      </c>
      <c r="K347" s="5">
        <f>180 / 86400</f>
        <v>2.0833333333333333E-3</v>
      </c>
      <c r="L347" s="5">
        <f>20 / 86400</f>
        <v>2.3148148148148149E-4</v>
      </c>
    </row>
    <row r="348" spans="1:12" x14ac:dyDescent="0.25">
      <c r="A348" s="3">
        <v>45697.748055555552</v>
      </c>
      <c r="B348" t="s">
        <v>298</v>
      </c>
      <c r="C348" s="3">
        <v>45697.749930555554</v>
      </c>
      <c r="D348" t="s">
        <v>110</v>
      </c>
      <c r="E348" s="4">
        <v>0.76080276668071745</v>
      </c>
      <c r="F348" s="4">
        <v>347328.18037946336</v>
      </c>
      <c r="G348" s="4">
        <v>347328.94118223008</v>
      </c>
      <c r="H348" s="5">
        <f t="shared" si="6"/>
        <v>0</v>
      </c>
      <c r="I348" t="s">
        <v>209</v>
      </c>
      <c r="J348" t="s">
        <v>71</v>
      </c>
      <c r="K348" s="5">
        <f>162 / 86400</f>
        <v>1.8749999999999999E-3</v>
      </c>
      <c r="L348" s="5">
        <f>3 / 86400</f>
        <v>3.4722222222222222E-5</v>
      </c>
    </row>
    <row r="349" spans="1:12" x14ac:dyDescent="0.25">
      <c r="A349" s="3">
        <v>45697.749965277777</v>
      </c>
      <c r="B349" t="s">
        <v>110</v>
      </c>
      <c r="C349" s="3">
        <v>45697.750428240739</v>
      </c>
      <c r="D349" t="s">
        <v>110</v>
      </c>
      <c r="E349" s="4">
        <v>0.15037796962261199</v>
      </c>
      <c r="F349" s="4">
        <v>347328.94463100977</v>
      </c>
      <c r="G349" s="4">
        <v>347329.09500897938</v>
      </c>
      <c r="H349" s="5">
        <f t="shared" si="6"/>
        <v>0</v>
      </c>
      <c r="I349" t="s">
        <v>26</v>
      </c>
      <c r="J349" t="s">
        <v>123</v>
      </c>
      <c r="K349" s="5">
        <f>40 / 86400</f>
        <v>4.6296296296296298E-4</v>
      </c>
      <c r="L349" s="5">
        <f>20 / 86400</f>
        <v>2.3148148148148149E-4</v>
      </c>
    </row>
    <row r="350" spans="1:12" x14ac:dyDescent="0.25">
      <c r="A350" s="3">
        <v>45697.750659722224</v>
      </c>
      <c r="B350" t="s">
        <v>299</v>
      </c>
      <c r="C350" s="3">
        <v>45697.75135416667</v>
      </c>
      <c r="D350" t="s">
        <v>110</v>
      </c>
      <c r="E350" s="4">
        <v>0.16385200715065001</v>
      </c>
      <c r="F350" s="4">
        <v>347329.13023588236</v>
      </c>
      <c r="G350" s="4">
        <v>347329.29408788949</v>
      </c>
      <c r="H350" s="5">
        <f t="shared" si="6"/>
        <v>0</v>
      </c>
      <c r="I350" t="s">
        <v>95</v>
      </c>
      <c r="J350" t="s">
        <v>33</v>
      </c>
      <c r="K350" s="5">
        <f>60 / 86400</f>
        <v>6.9444444444444447E-4</v>
      </c>
      <c r="L350" s="5">
        <f>20 / 86400</f>
        <v>2.3148148148148149E-4</v>
      </c>
    </row>
    <row r="351" spans="1:12" x14ac:dyDescent="0.25">
      <c r="A351" s="3">
        <v>45697.751585648148</v>
      </c>
      <c r="B351" t="s">
        <v>110</v>
      </c>
      <c r="C351" s="3">
        <v>45697.752280092594</v>
      </c>
      <c r="D351" t="s">
        <v>164</v>
      </c>
      <c r="E351" s="4">
        <v>0.30642732244729998</v>
      </c>
      <c r="F351" s="4">
        <v>347329.39873138844</v>
      </c>
      <c r="G351" s="4">
        <v>347329.70515871089</v>
      </c>
      <c r="H351" s="5">
        <f t="shared" si="6"/>
        <v>0</v>
      </c>
      <c r="I351" t="s">
        <v>168</v>
      </c>
      <c r="J351" t="s">
        <v>20</v>
      </c>
      <c r="K351" s="5">
        <f>60 / 86400</f>
        <v>6.9444444444444447E-4</v>
      </c>
      <c r="L351" s="5">
        <f>80 / 86400</f>
        <v>9.2592592592592596E-4</v>
      </c>
    </row>
    <row r="352" spans="1:12" x14ac:dyDescent="0.25">
      <c r="A352" s="3">
        <v>45697.753206018519</v>
      </c>
      <c r="B352" t="s">
        <v>164</v>
      </c>
      <c r="C352" s="3">
        <v>45697.75408564815</v>
      </c>
      <c r="D352" t="s">
        <v>164</v>
      </c>
      <c r="E352" s="4">
        <v>5.3195461332798004E-2</v>
      </c>
      <c r="F352" s="4">
        <v>347329.76677750191</v>
      </c>
      <c r="G352" s="4">
        <v>347329.81997296319</v>
      </c>
      <c r="H352" s="5">
        <f t="shared" si="6"/>
        <v>0</v>
      </c>
      <c r="I352" t="s">
        <v>33</v>
      </c>
      <c r="J352" t="s">
        <v>125</v>
      </c>
      <c r="K352" s="5">
        <f>76 / 86400</f>
        <v>8.7962962962962962E-4</v>
      </c>
      <c r="L352" s="5">
        <f>20 / 86400</f>
        <v>2.3148148148148149E-4</v>
      </c>
    </row>
    <row r="353" spans="1:12" x14ac:dyDescent="0.25">
      <c r="A353" s="3">
        <v>45697.754317129627</v>
      </c>
      <c r="B353" t="s">
        <v>164</v>
      </c>
      <c r="C353" s="3">
        <v>45697.754548611112</v>
      </c>
      <c r="D353" t="s">
        <v>164</v>
      </c>
      <c r="E353" s="4">
        <v>7.7610838413238526E-4</v>
      </c>
      <c r="F353" s="4">
        <v>347329.82104185154</v>
      </c>
      <c r="G353" s="4">
        <v>347329.82181795989</v>
      </c>
      <c r="H353" s="5">
        <f t="shared" ref="H353:H416" si="7">0 / 86400</f>
        <v>0</v>
      </c>
      <c r="I353" t="s">
        <v>40</v>
      </c>
      <c r="J353" t="s">
        <v>63</v>
      </c>
      <c r="K353" s="5">
        <f>20 / 86400</f>
        <v>2.3148148148148149E-4</v>
      </c>
      <c r="L353" s="5">
        <f>18 / 86400</f>
        <v>2.0833333333333335E-4</v>
      </c>
    </row>
    <row r="354" spans="1:12" x14ac:dyDescent="0.25">
      <c r="A354" s="3">
        <v>45697.754756944443</v>
      </c>
      <c r="B354" t="s">
        <v>164</v>
      </c>
      <c r="C354" s="3">
        <v>45697.754988425921</v>
      </c>
      <c r="D354" t="s">
        <v>164</v>
      </c>
      <c r="E354" s="4">
        <v>1.7973138809204103E-2</v>
      </c>
      <c r="F354" s="4">
        <v>347329.82824167894</v>
      </c>
      <c r="G354" s="4">
        <v>347329.84621481778</v>
      </c>
      <c r="H354" s="5">
        <f t="shared" si="7"/>
        <v>0</v>
      </c>
      <c r="I354" t="s">
        <v>82</v>
      </c>
      <c r="J354" t="s">
        <v>125</v>
      </c>
      <c r="K354" s="5">
        <f>20 / 86400</f>
        <v>2.3148148148148149E-4</v>
      </c>
      <c r="L354" s="5">
        <f>25 / 86400</f>
        <v>2.8935185185185184E-4</v>
      </c>
    </row>
    <row r="355" spans="1:12" x14ac:dyDescent="0.25">
      <c r="A355" s="3">
        <v>45697.755277777775</v>
      </c>
      <c r="B355" t="s">
        <v>164</v>
      </c>
      <c r="C355" s="3">
        <v>45697.755509259259</v>
      </c>
      <c r="D355" t="s">
        <v>164</v>
      </c>
      <c r="E355" s="4">
        <v>2.1527463555336E-2</v>
      </c>
      <c r="F355" s="4">
        <v>347329.85199755937</v>
      </c>
      <c r="G355" s="4">
        <v>347329.87352502294</v>
      </c>
      <c r="H355" s="5">
        <f t="shared" si="7"/>
        <v>0</v>
      </c>
      <c r="I355" t="s">
        <v>82</v>
      </c>
      <c r="J355" t="s">
        <v>191</v>
      </c>
      <c r="K355" s="5">
        <f>20 / 86400</f>
        <v>2.3148148148148149E-4</v>
      </c>
      <c r="L355" s="5">
        <f>80 / 86400</f>
        <v>9.2592592592592596E-4</v>
      </c>
    </row>
    <row r="356" spans="1:12" x14ac:dyDescent="0.25">
      <c r="A356" s="3">
        <v>45697.756435185191</v>
      </c>
      <c r="B356" t="s">
        <v>164</v>
      </c>
      <c r="C356" s="3">
        <v>45697.756666666668</v>
      </c>
      <c r="D356" t="s">
        <v>300</v>
      </c>
      <c r="E356" s="4">
        <v>8.2510533928871147E-3</v>
      </c>
      <c r="F356" s="4">
        <v>347329.88190885232</v>
      </c>
      <c r="G356" s="4">
        <v>347329.89015990571</v>
      </c>
      <c r="H356" s="5">
        <f t="shared" si="7"/>
        <v>0</v>
      </c>
      <c r="I356" t="s">
        <v>191</v>
      </c>
      <c r="J356" t="s">
        <v>40</v>
      </c>
      <c r="K356" s="5">
        <f>20 / 86400</f>
        <v>2.3148148148148149E-4</v>
      </c>
      <c r="L356" s="5">
        <f>120 / 86400</f>
        <v>1.3888888888888889E-3</v>
      </c>
    </row>
    <row r="357" spans="1:12" x14ac:dyDescent="0.25">
      <c r="A357" s="3">
        <v>45697.758055555554</v>
      </c>
      <c r="B357" t="s">
        <v>300</v>
      </c>
      <c r="C357" s="3">
        <v>45697.760335648149</v>
      </c>
      <c r="D357" t="s">
        <v>18</v>
      </c>
      <c r="E357" s="4">
        <v>1.2857108185887336</v>
      </c>
      <c r="F357" s="4">
        <v>347329.90712111222</v>
      </c>
      <c r="G357" s="4">
        <v>347331.19283193082</v>
      </c>
      <c r="H357" s="5">
        <f t="shared" si="7"/>
        <v>0</v>
      </c>
      <c r="I357" t="s">
        <v>178</v>
      </c>
      <c r="J357" t="s">
        <v>140</v>
      </c>
      <c r="K357" s="5">
        <f>197 / 86400</f>
        <v>2.2800925925925927E-3</v>
      </c>
      <c r="L357" s="5">
        <f>46 / 86400</f>
        <v>5.3240740740740744E-4</v>
      </c>
    </row>
    <row r="358" spans="1:12" x14ac:dyDescent="0.25">
      <c r="A358" s="3">
        <v>45697.760868055557</v>
      </c>
      <c r="B358" t="s">
        <v>301</v>
      </c>
      <c r="C358" s="3">
        <v>45697.762025462958</v>
      </c>
      <c r="D358" t="s">
        <v>169</v>
      </c>
      <c r="E358" s="4">
        <v>0.36390125155448916</v>
      </c>
      <c r="F358" s="4">
        <v>347331.20895712374</v>
      </c>
      <c r="G358" s="4">
        <v>347331.57285837532</v>
      </c>
      <c r="H358" s="5">
        <f t="shared" si="7"/>
        <v>0</v>
      </c>
      <c r="I358" t="s">
        <v>173</v>
      </c>
      <c r="J358" t="s">
        <v>147</v>
      </c>
      <c r="K358" s="5">
        <f>100 / 86400</f>
        <v>1.1574074074074073E-3</v>
      </c>
      <c r="L358" s="5">
        <f>20 / 86400</f>
        <v>2.3148148148148149E-4</v>
      </c>
    </row>
    <row r="359" spans="1:12" x14ac:dyDescent="0.25">
      <c r="A359" s="3">
        <v>45697.762256944443</v>
      </c>
      <c r="B359" t="s">
        <v>302</v>
      </c>
      <c r="C359" s="3">
        <v>45697.763877314814</v>
      </c>
      <c r="D359" t="s">
        <v>171</v>
      </c>
      <c r="E359" s="4">
        <v>0.34806689703464511</v>
      </c>
      <c r="F359" s="4">
        <v>347331.59381973732</v>
      </c>
      <c r="G359" s="4">
        <v>347331.94188663433</v>
      </c>
      <c r="H359" s="5">
        <f t="shared" si="7"/>
        <v>0</v>
      </c>
      <c r="I359" t="s">
        <v>95</v>
      </c>
      <c r="J359" t="s">
        <v>52</v>
      </c>
      <c r="K359" s="5">
        <f>140 / 86400</f>
        <v>1.6203703703703703E-3</v>
      </c>
      <c r="L359" s="5">
        <f>12 / 86400</f>
        <v>1.3888888888888889E-4</v>
      </c>
    </row>
    <row r="360" spans="1:12" x14ac:dyDescent="0.25">
      <c r="A360" s="3">
        <v>45697.764016203699</v>
      </c>
      <c r="B360" t="s">
        <v>171</v>
      </c>
      <c r="C360" s="3">
        <v>45697.76771990741</v>
      </c>
      <c r="D360" t="s">
        <v>176</v>
      </c>
      <c r="E360" s="4">
        <v>1.9619825822114945</v>
      </c>
      <c r="F360" s="4">
        <v>347331.94764602033</v>
      </c>
      <c r="G360" s="4">
        <v>347333.90962860256</v>
      </c>
      <c r="H360" s="5">
        <f t="shared" si="7"/>
        <v>0</v>
      </c>
      <c r="I360" t="s">
        <v>209</v>
      </c>
      <c r="J360" t="s">
        <v>26</v>
      </c>
      <c r="K360" s="5">
        <f>320 / 86400</f>
        <v>3.7037037037037038E-3</v>
      </c>
      <c r="L360" s="5">
        <f>19 / 86400</f>
        <v>2.199074074074074E-4</v>
      </c>
    </row>
    <row r="361" spans="1:12" x14ac:dyDescent="0.25">
      <c r="A361" s="3">
        <v>45697.767939814818</v>
      </c>
      <c r="B361" t="s">
        <v>176</v>
      </c>
      <c r="C361" s="3">
        <v>45697.76840277778</v>
      </c>
      <c r="D361" t="s">
        <v>176</v>
      </c>
      <c r="E361" s="4">
        <v>3.7470846951007844E-2</v>
      </c>
      <c r="F361" s="4">
        <v>347333.91325816204</v>
      </c>
      <c r="G361" s="4">
        <v>347333.950729009</v>
      </c>
      <c r="H361" s="5">
        <f t="shared" si="7"/>
        <v>0</v>
      </c>
      <c r="I361" t="s">
        <v>29</v>
      </c>
      <c r="J361" t="s">
        <v>125</v>
      </c>
      <c r="K361" s="5">
        <f>40 / 86400</f>
        <v>4.6296296296296298E-4</v>
      </c>
      <c r="L361" s="5">
        <f>15 / 86400</f>
        <v>1.7361111111111112E-4</v>
      </c>
    </row>
    <row r="362" spans="1:12" x14ac:dyDescent="0.25">
      <c r="A362" s="3">
        <v>45697.768576388888</v>
      </c>
      <c r="B362" t="s">
        <v>176</v>
      </c>
      <c r="C362" s="3">
        <v>45697.768807870365</v>
      </c>
      <c r="D362" t="s">
        <v>176</v>
      </c>
      <c r="E362" s="4">
        <v>3.311690419912338E-2</v>
      </c>
      <c r="F362" s="4">
        <v>347333.95568969636</v>
      </c>
      <c r="G362" s="4">
        <v>347333.98880660057</v>
      </c>
      <c r="H362" s="5">
        <f t="shared" si="7"/>
        <v>0</v>
      </c>
      <c r="I362" t="s">
        <v>52</v>
      </c>
      <c r="J362" t="s">
        <v>29</v>
      </c>
      <c r="K362" s="5">
        <f>20 / 86400</f>
        <v>2.3148148148148149E-4</v>
      </c>
      <c r="L362" s="5">
        <f>20 / 86400</f>
        <v>2.3148148148148149E-4</v>
      </c>
    </row>
    <row r="363" spans="1:12" x14ac:dyDescent="0.25">
      <c r="A363" s="3">
        <v>45697.769039351857</v>
      </c>
      <c r="B363" t="s">
        <v>176</v>
      </c>
      <c r="C363" s="3">
        <v>45697.770196759258</v>
      </c>
      <c r="D363" t="s">
        <v>105</v>
      </c>
      <c r="E363" s="4">
        <v>0.61617894732952116</v>
      </c>
      <c r="F363" s="4">
        <v>347334.0058626497</v>
      </c>
      <c r="G363" s="4">
        <v>347334.62204159703</v>
      </c>
      <c r="H363" s="5">
        <f t="shared" si="7"/>
        <v>0</v>
      </c>
      <c r="I363" t="s">
        <v>32</v>
      </c>
      <c r="J363" t="s">
        <v>26</v>
      </c>
      <c r="K363" s="5">
        <f>100 / 86400</f>
        <v>1.1574074074074073E-3</v>
      </c>
      <c r="L363" s="5">
        <f>20 / 86400</f>
        <v>2.3148148148148149E-4</v>
      </c>
    </row>
    <row r="364" spans="1:12" x14ac:dyDescent="0.25">
      <c r="A364" s="3">
        <v>45697.770428240736</v>
      </c>
      <c r="B364" t="s">
        <v>105</v>
      </c>
      <c r="C364" s="3">
        <v>45697.772465277776</v>
      </c>
      <c r="D364" t="s">
        <v>105</v>
      </c>
      <c r="E364" s="4">
        <v>1.0507561901211739</v>
      </c>
      <c r="F364" s="4">
        <v>347334.68574503047</v>
      </c>
      <c r="G364" s="4">
        <v>347335.73650122056</v>
      </c>
      <c r="H364" s="5">
        <f t="shared" si="7"/>
        <v>0</v>
      </c>
      <c r="I364" t="s">
        <v>155</v>
      </c>
      <c r="J364" t="s">
        <v>49</v>
      </c>
      <c r="K364" s="5">
        <f>176 / 86400</f>
        <v>2.0370370370370369E-3</v>
      </c>
      <c r="L364" s="5">
        <f>8 / 86400</f>
        <v>9.2592592592592588E-5</v>
      </c>
    </row>
    <row r="365" spans="1:12" x14ac:dyDescent="0.25">
      <c r="A365" s="3">
        <v>45697.772557870368</v>
      </c>
      <c r="B365" t="s">
        <v>105</v>
      </c>
      <c r="C365" s="3">
        <v>45697.779027777782</v>
      </c>
      <c r="D365" t="s">
        <v>186</v>
      </c>
      <c r="E365" s="4">
        <v>4.6384745386242869</v>
      </c>
      <c r="F365" s="4">
        <v>347335.7391445486</v>
      </c>
      <c r="G365" s="4">
        <v>347340.37761908723</v>
      </c>
      <c r="H365" s="5">
        <f t="shared" si="7"/>
        <v>0</v>
      </c>
      <c r="I365" t="s">
        <v>91</v>
      </c>
      <c r="J365" t="s">
        <v>119</v>
      </c>
      <c r="K365" s="5">
        <f>559 / 86400</f>
        <v>6.4699074074074077E-3</v>
      </c>
      <c r="L365" s="5">
        <f>47 / 86400</f>
        <v>5.4398148148148144E-4</v>
      </c>
    </row>
    <row r="366" spans="1:12" x14ac:dyDescent="0.25">
      <c r="A366" s="3">
        <v>45697.77957175926</v>
      </c>
      <c r="B366" t="s">
        <v>303</v>
      </c>
      <c r="C366" s="3">
        <v>45697.785844907412</v>
      </c>
      <c r="D366" t="s">
        <v>283</v>
      </c>
      <c r="E366" s="4">
        <v>2.9564008653759957</v>
      </c>
      <c r="F366" s="4">
        <v>347340.38579670643</v>
      </c>
      <c r="G366" s="4">
        <v>347343.34219757182</v>
      </c>
      <c r="H366" s="5">
        <f t="shared" si="7"/>
        <v>0</v>
      </c>
      <c r="I366" t="s">
        <v>180</v>
      </c>
      <c r="J366" t="s">
        <v>28</v>
      </c>
      <c r="K366" s="5">
        <f>542 / 86400</f>
        <v>6.2731481481481484E-3</v>
      </c>
      <c r="L366" s="5">
        <f>40 / 86400</f>
        <v>4.6296296296296298E-4</v>
      </c>
    </row>
    <row r="367" spans="1:12" x14ac:dyDescent="0.25">
      <c r="A367" s="3">
        <v>45697.786307870367</v>
      </c>
      <c r="B367" t="s">
        <v>283</v>
      </c>
      <c r="C367" s="3">
        <v>45697.786539351851</v>
      </c>
      <c r="D367" t="s">
        <v>283</v>
      </c>
      <c r="E367" s="4">
        <v>1.5843578279018403E-2</v>
      </c>
      <c r="F367" s="4">
        <v>347343.35116738756</v>
      </c>
      <c r="G367" s="4">
        <v>347343.36701096583</v>
      </c>
      <c r="H367" s="5">
        <f t="shared" si="7"/>
        <v>0</v>
      </c>
      <c r="I367" t="s">
        <v>52</v>
      </c>
      <c r="J367" t="s">
        <v>125</v>
      </c>
      <c r="K367" s="5">
        <f>20 / 86400</f>
        <v>2.3148148148148149E-4</v>
      </c>
      <c r="L367" s="5">
        <f>62 / 86400</f>
        <v>7.1759259259259259E-4</v>
      </c>
    </row>
    <row r="368" spans="1:12" x14ac:dyDescent="0.25">
      <c r="A368" s="3">
        <v>45697.787256944444</v>
      </c>
      <c r="B368" t="s">
        <v>283</v>
      </c>
      <c r="C368" s="3">
        <v>45697.789467592593</v>
      </c>
      <c r="D368" t="s">
        <v>261</v>
      </c>
      <c r="E368" s="4">
        <v>0.84108818376064298</v>
      </c>
      <c r="F368" s="4">
        <v>347343.37113207713</v>
      </c>
      <c r="G368" s="4">
        <v>347344.21222026087</v>
      </c>
      <c r="H368" s="5">
        <f t="shared" si="7"/>
        <v>0</v>
      </c>
      <c r="I368" t="s">
        <v>198</v>
      </c>
      <c r="J368" t="s">
        <v>95</v>
      </c>
      <c r="K368" s="5">
        <f>191 / 86400</f>
        <v>2.2106481481481482E-3</v>
      </c>
      <c r="L368" s="5">
        <f>6 / 86400</f>
        <v>6.9444444444444444E-5</v>
      </c>
    </row>
    <row r="369" spans="1:12" x14ac:dyDescent="0.25">
      <c r="A369" s="3">
        <v>45697.789537037039</v>
      </c>
      <c r="B369" t="s">
        <v>261</v>
      </c>
      <c r="C369" s="3">
        <v>45697.790925925925</v>
      </c>
      <c r="D369" t="s">
        <v>261</v>
      </c>
      <c r="E369" s="4">
        <v>0.68914715129137039</v>
      </c>
      <c r="F369" s="4">
        <v>347344.21749022946</v>
      </c>
      <c r="G369" s="4">
        <v>347344.90663738077</v>
      </c>
      <c r="H369" s="5">
        <f t="shared" si="7"/>
        <v>0</v>
      </c>
      <c r="I369" t="s">
        <v>80</v>
      </c>
      <c r="J369" t="s">
        <v>49</v>
      </c>
      <c r="K369" s="5">
        <f>120 / 86400</f>
        <v>1.3888888888888889E-3</v>
      </c>
      <c r="L369" s="5">
        <f>40 / 86400</f>
        <v>4.6296296296296298E-4</v>
      </c>
    </row>
    <row r="370" spans="1:12" x14ac:dyDescent="0.25">
      <c r="A370" s="3">
        <v>45697.791388888887</v>
      </c>
      <c r="B370" t="s">
        <v>261</v>
      </c>
      <c r="C370" s="3">
        <v>45697.794861111106</v>
      </c>
      <c r="D370" t="s">
        <v>261</v>
      </c>
      <c r="E370" s="4">
        <v>0.94068204528093335</v>
      </c>
      <c r="F370" s="4">
        <v>347344.91003098362</v>
      </c>
      <c r="G370" s="4">
        <v>347345.85071302892</v>
      </c>
      <c r="H370" s="5">
        <f t="shared" si="7"/>
        <v>0</v>
      </c>
      <c r="I370" t="s">
        <v>152</v>
      </c>
      <c r="J370" t="s">
        <v>120</v>
      </c>
      <c r="K370" s="5">
        <f>300 / 86400</f>
        <v>3.472222222222222E-3</v>
      </c>
      <c r="L370" s="5">
        <f>20 / 86400</f>
        <v>2.3148148148148149E-4</v>
      </c>
    </row>
    <row r="371" spans="1:12" x14ac:dyDescent="0.25">
      <c r="A371" s="3">
        <v>45697.795092592598</v>
      </c>
      <c r="B371" t="s">
        <v>261</v>
      </c>
      <c r="C371" s="3">
        <v>45697.795324074075</v>
      </c>
      <c r="D371" t="s">
        <v>261</v>
      </c>
      <c r="E371" s="4">
        <v>2.8482995450496675E-2</v>
      </c>
      <c r="F371" s="4">
        <v>347345.85261391295</v>
      </c>
      <c r="G371" s="4">
        <v>347345.88109690842</v>
      </c>
      <c r="H371" s="5">
        <f t="shared" si="7"/>
        <v>0</v>
      </c>
      <c r="I371" t="s">
        <v>40</v>
      </c>
      <c r="J371" t="s">
        <v>82</v>
      </c>
      <c r="K371" s="5">
        <f>20 / 86400</f>
        <v>2.3148148148148149E-4</v>
      </c>
      <c r="L371" s="5">
        <f>10 / 86400</f>
        <v>1.1574074074074075E-4</v>
      </c>
    </row>
    <row r="372" spans="1:12" x14ac:dyDescent="0.25">
      <c r="A372" s="3">
        <v>45697.795439814814</v>
      </c>
      <c r="B372" t="s">
        <v>261</v>
      </c>
      <c r="C372" s="3">
        <v>45697.795671296291</v>
      </c>
      <c r="D372" t="s">
        <v>24</v>
      </c>
      <c r="E372" s="4">
        <v>9.8984453558921812E-2</v>
      </c>
      <c r="F372" s="4">
        <v>347345.89225544175</v>
      </c>
      <c r="G372" s="4">
        <v>347345.99123989529</v>
      </c>
      <c r="H372" s="5">
        <f t="shared" si="7"/>
        <v>0</v>
      </c>
      <c r="I372" t="s">
        <v>71</v>
      </c>
      <c r="J372" t="s">
        <v>20</v>
      </c>
      <c r="K372" s="5">
        <f>20 / 86400</f>
        <v>2.3148148148148149E-4</v>
      </c>
      <c r="L372" s="5">
        <f>40 / 86400</f>
        <v>4.6296296296296298E-4</v>
      </c>
    </row>
    <row r="373" spans="1:12" x14ac:dyDescent="0.25">
      <c r="A373" s="3">
        <v>45697.796134259261</v>
      </c>
      <c r="B373" t="s">
        <v>262</v>
      </c>
      <c r="C373" s="3">
        <v>45697.798090277778</v>
      </c>
      <c r="D373" t="s">
        <v>283</v>
      </c>
      <c r="E373" s="4">
        <v>0.68486519205570218</v>
      </c>
      <c r="F373" s="4">
        <v>347346.01415049419</v>
      </c>
      <c r="G373" s="4">
        <v>347346.69901568623</v>
      </c>
      <c r="H373" s="5">
        <f t="shared" si="7"/>
        <v>0</v>
      </c>
      <c r="I373" t="s">
        <v>194</v>
      </c>
      <c r="J373" t="s">
        <v>175</v>
      </c>
      <c r="K373" s="5">
        <f>169 / 86400</f>
        <v>1.9560185185185184E-3</v>
      </c>
      <c r="L373" s="5">
        <f>20 / 86400</f>
        <v>2.3148148148148149E-4</v>
      </c>
    </row>
    <row r="374" spans="1:12" x14ac:dyDescent="0.25">
      <c r="A374" s="3">
        <v>45697.798321759255</v>
      </c>
      <c r="B374" t="s">
        <v>283</v>
      </c>
      <c r="C374" s="3">
        <v>45697.799942129626</v>
      </c>
      <c r="D374" t="s">
        <v>190</v>
      </c>
      <c r="E374" s="4">
        <v>0.7391253438591957</v>
      </c>
      <c r="F374" s="4">
        <v>347346.7544566954</v>
      </c>
      <c r="G374" s="4">
        <v>347347.49358203926</v>
      </c>
      <c r="H374" s="5">
        <f t="shared" si="7"/>
        <v>0</v>
      </c>
      <c r="I374" t="s">
        <v>256</v>
      </c>
      <c r="J374" t="s">
        <v>23</v>
      </c>
      <c r="K374" s="5">
        <f>140 / 86400</f>
        <v>1.6203703703703703E-3</v>
      </c>
      <c r="L374" s="5">
        <f>44 / 86400</f>
        <v>5.0925925925925921E-4</v>
      </c>
    </row>
    <row r="375" spans="1:12" x14ac:dyDescent="0.25">
      <c r="A375" s="3">
        <v>45697.800451388888</v>
      </c>
      <c r="B375" t="s">
        <v>190</v>
      </c>
      <c r="C375" s="3">
        <v>45697.80159722222</v>
      </c>
      <c r="D375" t="s">
        <v>78</v>
      </c>
      <c r="E375" s="4">
        <v>0.67390830051898953</v>
      </c>
      <c r="F375" s="4">
        <v>347347.50873229827</v>
      </c>
      <c r="G375" s="4">
        <v>347348.1826405988</v>
      </c>
      <c r="H375" s="5">
        <f t="shared" si="7"/>
        <v>0</v>
      </c>
      <c r="I375" t="s">
        <v>256</v>
      </c>
      <c r="J375" t="s">
        <v>81</v>
      </c>
      <c r="K375" s="5">
        <f>99 / 86400</f>
        <v>1.1458333333333333E-3</v>
      </c>
      <c r="L375" s="5">
        <f>20 / 86400</f>
        <v>2.3148148148148149E-4</v>
      </c>
    </row>
    <row r="376" spans="1:12" x14ac:dyDescent="0.25">
      <c r="A376" s="3">
        <v>45697.801828703705</v>
      </c>
      <c r="B376" t="s">
        <v>78</v>
      </c>
      <c r="C376" s="3">
        <v>45697.802523148144</v>
      </c>
      <c r="D376" t="s">
        <v>78</v>
      </c>
      <c r="E376" s="4">
        <v>5.0282583832740785E-2</v>
      </c>
      <c r="F376" s="4">
        <v>347348.19456763909</v>
      </c>
      <c r="G376" s="4">
        <v>347348.24485022295</v>
      </c>
      <c r="H376" s="5">
        <f t="shared" si="7"/>
        <v>0</v>
      </c>
      <c r="I376" t="s">
        <v>82</v>
      </c>
      <c r="J376" t="s">
        <v>125</v>
      </c>
      <c r="K376" s="5">
        <f>60 / 86400</f>
        <v>6.9444444444444447E-4</v>
      </c>
      <c r="L376" s="5">
        <f>20 / 86400</f>
        <v>2.3148148148148149E-4</v>
      </c>
    </row>
    <row r="377" spans="1:12" x14ac:dyDescent="0.25">
      <c r="A377" s="3">
        <v>45697.802754629629</v>
      </c>
      <c r="B377" t="s">
        <v>78</v>
      </c>
      <c r="C377" s="3">
        <v>45697.803217592591</v>
      </c>
      <c r="D377" t="s">
        <v>78</v>
      </c>
      <c r="E377" s="4">
        <v>7.0995623946189884E-2</v>
      </c>
      <c r="F377" s="4">
        <v>347348.26308836613</v>
      </c>
      <c r="G377" s="4">
        <v>347348.33408399008</v>
      </c>
      <c r="H377" s="5">
        <f t="shared" si="7"/>
        <v>0</v>
      </c>
      <c r="I377" t="s">
        <v>33</v>
      </c>
      <c r="J377" t="s">
        <v>29</v>
      </c>
      <c r="K377" s="5">
        <f>40 / 86400</f>
        <v>4.6296296296296298E-4</v>
      </c>
      <c r="L377" s="5">
        <f>51 / 86400</f>
        <v>5.9027777777777778E-4</v>
      </c>
    </row>
    <row r="378" spans="1:12" x14ac:dyDescent="0.25">
      <c r="A378" s="3">
        <v>45697.803807870368</v>
      </c>
      <c r="B378" t="s">
        <v>78</v>
      </c>
      <c r="C378" s="3">
        <v>45697.805659722224</v>
      </c>
      <c r="D378" t="s">
        <v>78</v>
      </c>
      <c r="E378" s="4">
        <v>0.94221380060911175</v>
      </c>
      <c r="F378" s="4">
        <v>347348.33726981375</v>
      </c>
      <c r="G378" s="4">
        <v>347349.27948361437</v>
      </c>
      <c r="H378" s="5">
        <f t="shared" si="7"/>
        <v>0</v>
      </c>
      <c r="I378" t="s">
        <v>204</v>
      </c>
      <c r="J378" t="s">
        <v>49</v>
      </c>
      <c r="K378" s="5">
        <f>160 / 86400</f>
        <v>1.8518518518518519E-3</v>
      </c>
      <c r="L378" s="5">
        <f>11 / 86400</f>
        <v>1.273148148148148E-4</v>
      </c>
    </row>
    <row r="379" spans="1:12" x14ac:dyDescent="0.25">
      <c r="A379" s="3">
        <v>45697.805787037039</v>
      </c>
      <c r="B379" t="s">
        <v>78</v>
      </c>
      <c r="C379" s="3">
        <v>45697.806712962964</v>
      </c>
      <c r="D379" t="s">
        <v>105</v>
      </c>
      <c r="E379" s="4">
        <v>0.75836854839324952</v>
      </c>
      <c r="F379" s="4">
        <v>347349.28585652838</v>
      </c>
      <c r="G379" s="4">
        <v>347350.0442250768</v>
      </c>
      <c r="H379" s="5">
        <f t="shared" si="7"/>
        <v>0</v>
      </c>
      <c r="I379" t="s">
        <v>180</v>
      </c>
      <c r="J379" t="s">
        <v>80</v>
      </c>
      <c r="K379" s="5">
        <f>80 / 86400</f>
        <v>9.2592592592592596E-4</v>
      </c>
      <c r="L379" s="5">
        <f>20 / 86400</f>
        <v>2.3148148148148149E-4</v>
      </c>
    </row>
    <row r="380" spans="1:12" x14ac:dyDescent="0.25">
      <c r="A380" s="3">
        <v>45697.806944444441</v>
      </c>
      <c r="B380" t="s">
        <v>105</v>
      </c>
      <c r="C380" s="3">
        <v>45697.807638888888</v>
      </c>
      <c r="D380" t="s">
        <v>105</v>
      </c>
      <c r="E380" s="4">
        <v>0.3709702344536781</v>
      </c>
      <c r="F380" s="4">
        <v>347350.18373679952</v>
      </c>
      <c r="G380" s="4">
        <v>347350.55470703397</v>
      </c>
      <c r="H380" s="5">
        <f t="shared" si="7"/>
        <v>0</v>
      </c>
      <c r="I380" t="s">
        <v>129</v>
      </c>
      <c r="J380" t="s">
        <v>26</v>
      </c>
      <c r="K380" s="5">
        <f>60 / 86400</f>
        <v>6.9444444444444447E-4</v>
      </c>
      <c r="L380" s="5">
        <f>40 / 86400</f>
        <v>4.6296296296296298E-4</v>
      </c>
    </row>
    <row r="381" spans="1:12" x14ac:dyDescent="0.25">
      <c r="A381" s="3">
        <v>45697.808101851857</v>
      </c>
      <c r="B381" t="s">
        <v>264</v>
      </c>
      <c r="C381" s="3">
        <v>45697.812268518523</v>
      </c>
      <c r="D381" t="s">
        <v>113</v>
      </c>
      <c r="E381" s="4">
        <v>2.2728035244345666</v>
      </c>
      <c r="F381" s="4">
        <v>347350.57619511947</v>
      </c>
      <c r="G381" s="4">
        <v>347352.84899864392</v>
      </c>
      <c r="H381" s="5">
        <f t="shared" si="7"/>
        <v>0</v>
      </c>
      <c r="I381" t="s">
        <v>256</v>
      </c>
      <c r="J381" t="s">
        <v>140</v>
      </c>
      <c r="K381" s="5">
        <f>360 / 86400</f>
        <v>4.1666666666666666E-3</v>
      </c>
      <c r="L381" s="5">
        <f>40 / 86400</f>
        <v>4.6296296296296298E-4</v>
      </c>
    </row>
    <row r="382" spans="1:12" x14ac:dyDescent="0.25">
      <c r="A382" s="3">
        <v>45697.812731481477</v>
      </c>
      <c r="B382" t="s">
        <v>113</v>
      </c>
      <c r="C382" s="3">
        <v>45697.813194444447</v>
      </c>
      <c r="D382" t="s">
        <v>105</v>
      </c>
      <c r="E382" s="4">
        <v>3.2025993883609771E-2</v>
      </c>
      <c r="F382" s="4">
        <v>347352.91444399802</v>
      </c>
      <c r="G382" s="4">
        <v>347352.94646999193</v>
      </c>
      <c r="H382" s="5">
        <f t="shared" si="7"/>
        <v>0</v>
      </c>
      <c r="I382" t="s">
        <v>82</v>
      </c>
      <c r="J382" t="s">
        <v>125</v>
      </c>
      <c r="K382" s="5">
        <f>40 / 86400</f>
        <v>4.6296296296296298E-4</v>
      </c>
      <c r="L382" s="5">
        <f>20 / 86400</f>
        <v>2.3148148148148149E-4</v>
      </c>
    </row>
    <row r="383" spans="1:12" x14ac:dyDescent="0.25">
      <c r="A383" s="3">
        <v>45697.813425925924</v>
      </c>
      <c r="B383" t="s">
        <v>105</v>
      </c>
      <c r="C383" s="3">
        <v>45697.813657407409</v>
      </c>
      <c r="D383" t="s">
        <v>105</v>
      </c>
      <c r="E383" s="4">
        <v>3.1218544840812684E-3</v>
      </c>
      <c r="F383" s="4">
        <v>347352.94974430074</v>
      </c>
      <c r="G383" s="4">
        <v>347352.95286615519</v>
      </c>
      <c r="H383" s="5">
        <f t="shared" si="7"/>
        <v>0</v>
      </c>
      <c r="I383" t="s">
        <v>40</v>
      </c>
      <c r="J383" t="s">
        <v>40</v>
      </c>
      <c r="K383" s="5">
        <f>20 / 86400</f>
        <v>2.3148148148148149E-4</v>
      </c>
      <c r="L383" s="5">
        <f>15 / 86400</f>
        <v>1.7361111111111112E-4</v>
      </c>
    </row>
    <row r="384" spans="1:12" x14ac:dyDescent="0.25">
      <c r="A384" s="3">
        <v>45697.813831018517</v>
      </c>
      <c r="B384" t="s">
        <v>105</v>
      </c>
      <c r="C384" s="3">
        <v>45697.814988425926</v>
      </c>
      <c r="D384" t="s">
        <v>105</v>
      </c>
      <c r="E384" s="4">
        <v>0.70469942659139628</v>
      </c>
      <c r="F384" s="4">
        <v>347352.95807719923</v>
      </c>
      <c r="G384" s="4">
        <v>347353.66277662583</v>
      </c>
      <c r="H384" s="5">
        <f t="shared" si="7"/>
        <v>0</v>
      </c>
      <c r="I384" t="s">
        <v>204</v>
      </c>
      <c r="J384" t="s">
        <v>81</v>
      </c>
      <c r="K384" s="5">
        <f>100 / 86400</f>
        <v>1.1574074074074073E-3</v>
      </c>
      <c r="L384" s="5">
        <f>33 / 86400</f>
        <v>3.8194444444444446E-4</v>
      </c>
    </row>
    <row r="385" spans="1:12" x14ac:dyDescent="0.25">
      <c r="A385" s="3">
        <v>45697.815370370372</v>
      </c>
      <c r="B385" t="s">
        <v>105</v>
      </c>
      <c r="C385" s="3">
        <v>45697.817453703705</v>
      </c>
      <c r="D385" t="s">
        <v>176</v>
      </c>
      <c r="E385" s="4">
        <v>1.4457105017304421</v>
      </c>
      <c r="F385" s="4">
        <v>347353.9256150318</v>
      </c>
      <c r="G385" s="4">
        <v>347355.37132553349</v>
      </c>
      <c r="H385" s="5">
        <f t="shared" si="7"/>
        <v>0</v>
      </c>
      <c r="I385" t="s">
        <v>155</v>
      </c>
      <c r="J385" t="s">
        <v>173</v>
      </c>
      <c r="K385" s="5">
        <f>180 / 86400</f>
        <v>2.0833333333333333E-3</v>
      </c>
      <c r="L385" s="5">
        <f>40 / 86400</f>
        <v>4.6296296296296298E-4</v>
      </c>
    </row>
    <row r="386" spans="1:12" x14ac:dyDescent="0.25">
      <c r="A386" s="3">
        <v>45697.817916666667</v>
      </c>
      <c r="B386" t="s">
        <v>176</v>
      </c>
      <c r="C386" s="3">
        <v>45697.821018518516</v>
      </c>
      <c r="D386" t="s">
        <v>171</v>
      </c>
      <c r="E386" s="4">
        <v>1.3576733539104462</v>
      </c>
      <c r="F386" s="4">
        <v>347355.44098136289</v>
      </c>
      <c r="G386" s="4">
        <v>347356.79865471681</v>
      </c>
      <c r="H386" s="5">
        <f t="shared" si="7"/>
        <v>0</v>
      </c>
      <c r="I386" t="s">
        <v>181</v>
      </c>
      <c r="J386" t="s">
        <v>20</v>
      </c>
      <c r="K386" s="5">
        <f>268 / 86400</f>
        <v>3.1018518518518517E-3</v>
      </c>
      <c r="L386" s="5">
        <f>40 / 86400</f>
        <v>4.6296296296296298E-4</v>
      </c>
    </row>
    <row r="387" spans="1:12" x14ac:dyDescent="0.25">
      <c r="A387" s="3">
        <v>45697.821481481486</v>
      </c>
      <c r="B387" t="s">
        <v>304</v>
      </c>
      <c r="C387" s="3">
        <v>45697.824664351851</v>
      </c>
      <c r="D387" t="s">
        <v>288</v>
      </c>
      <c r="E387" s="4">
        <v>0.97167473083734512</v>
      </c>
      <c r="F387" s="4">
        <v>347356.92160145991</v>
      </c>
      <c r="G387" s="4">
        <v>347357.89327619073</v>
      </c>
      <c r="H387" s="5">
        <f t="shared" si="7"/>
        <v>0</v>
      </c>
      <c r="I387" t="s">
        <v>199</v>
      </c>
      <c r="J387" t="s">
        <v>147</v>
      </c>
      <c r="K387" s="5">
        <f>275 / 86400</f>
        <v>3.1828703703703702E-3</v>
      </c>
      <c r="L387" s="5">
        <f t="shared" ref="L387:L393" si="8">20 / 86400</f>
        <v>2.3148148148148149E-4</v>
      </c>
    </row>
    <row r="388" spans="1:12" x14ac:dyDescent="0.25">
      <c r="A388" s="3">
        <v>45697.824895833328</v>
      </c>
      <c r="B388" t="s">
        <v>196</v>
      </c>
      <c r="C388" s="3">
        <v>45697.825543981482</v>
      </c>
      <c r="D388" t="s">
        <v>196</v>
      </c>
      <c r="E388" s="4">
        <v>6.8574342012405393E-2</v>
      </c>
      <c r="F388" s="4">
        <v>347357.91427699407</v>
      </c>
      <c r="G388" s="4">
        <v>347357.98285133607</v>
      </c>
      <c r="H388" s="5">
        <f t="shared" si="7"/>
        <v>0</v>
      </c>
      <c r="I388" t="s">
        <v>120</v>
      </c>
      <c r="J388" t="s">
        <v>191</v>
      </c>
      <c r="K388" s="5">
        <f>56 / 86400</f>
        <v>6.4814814814814813E-4</v>
      </c>
      <c r="L388" s="5">
        <f t="shared" si="8"/>
        <v>2.3148148148148149E-4</v>
      </c>
    </row>
    <row r="389" spans="1:12" x14ac:dyDescent="0.25">
      <c r="A389" s="3">
        <v>45697.825775462959</v>
      </c>
      <c r="B389" t="s">
        <v>196</v>
      </c>
      <c r="C389" s="3">
        <v>45697.826469907406</v>
      </c>
      <c r="D389" t="s">
        <v>196</v>
      </c>
      <c r="E389" s="4">
        <v>0.35541174924373625</v>
      </c>
      <c r="F389" s="4">
        <v>347358.00784954155</v>
      </c>
      <c r="G389" s="4">
        <v>347358.36326129077</v>
      </c>
      <c r="H389" s="5">
        <f t="shared" si="7"/>
        <v>0</v>
      </c>
      <c r="I389" t="s">
        <v>179</v>
      </c>
      <c r="J389" t="s">
        <v>49</v>
      </c>
      <c r="K389" s="5">
        <f>60 / 86400</f>
        <v>6.9444444444444447E-4</v>
      </c>
      <c r="L389" s="5">
        <f t="shared" si="8"/>
        <v>2.3148148148148149E-4</v>
      </c>
    </row>
    <row r="390" spans="1:12" x14ac:dyDescent="0.25">
      <c r="A390" s="3">
        <v>45697.826701388884</v>
      </c>
      <c r="B390" t="s">
        <v>196</v>
      </c>
      <c r="C390" s="3">
        <v>45697.828553240739</v>
      </c>
      <c r="D390" t="s">
        <v>196</v>
      </c>
      <c r="E390" s="4">
        <v>1.1406875229477882</v>
      </c>
      <c r="F390" s="4">
        <v>347358.41352692014</v>
      </c>
      <c r="G390" s="4">
        <v>347359.55421444308</v>
      </c>
      <c r="H390" s="5">
        <f t="shared" si="7"/>
        <v>0</v>
      </c>
      <c r="I390" t="s">
        <v>178</v>
      </c>
      <c r="J390" t="s">
        <v>137</v>
      </c>
      <c r="K390" s="5">
        <f>160 / 86400</f>
        <v>1.8518518518518519E-3</v>
      </c>
      <c r="L390" s="5">
        <f t="shared" si="8"/>
        <v>2.3148148148148149E-4</v>
      </c>
    </row>
    <row r="391" spans="1:12" x14ac:dyDescent="0.25">
      <c r="A391" s="3">
        <v>45697.828784722224</v>
      </c>
      <c r="B391" t="s">
        <v>305</v>
      </c>
      <c r="C391" s="3">
        <v>45697.829710648148</v>
      </c>
      <c r="D391" t="s">
        <v>197</v>
      </c>
      <c r="E391" s="4">
        <v>0.72337378501892091</v>
      </c>
      <c r="F391" s="4">
        <v>347359.62136739452</v>
      </c>
      <c r="G391" s="4">
        <v>347360.34474117955</v>
      </c>
      <c r="H391" s="5">
        <f t="shared" si="7"/>
        <v>0</v>
      </c>
      <c r="I391" t="s">
        <v>214</v>
      </c>
      <c r="J391" t="s">
        <v>194</v>
      </c>
      <c r="K391" s="5">
        <f>80 / 86400</f>
        <v>9.2592592592592596E-4</v>
      </c>
      <c r="L391" s="5">
        <f t="shared" si="8"/>
        <v>2.3148148148148149E-4</v>
      </c>
    </row>
    <row r="392" spans="1:12" x14ac:dyDescent="0.25">
      <c r="A392" s="3">
        <v>45697.829942129625</v>
      </c>
      <c r="B392" t="s">
        <v>97</v>
      </c>
      <c r="C392" s="3">
        <v>45697.830405092594</v>
      </c>
      <c r="D392" t="s">
        <v>97</v>
      </c>
      <c r="E392" s="4">
        <v>0.22252093994617461</v>
      </c>
      <c r="F392" s="4">
        <v>347360.40131739905</v>
      </c>
      <c r="G392" s="4">
        <v>347360.62383833894</v>
      </c>
      <c r="H392" s="5">
        <f t="shared" si="7"/>
        <v>0</v>
      </c>
      <c r="I392" t="s">
        <v>32</v>
      </c>
      <c r="J392" t="s">
        <v>28</v>
      </c>
      <c r="K392" s="5">
        <f>40 / 86400</f>
        <v>4.6296296296296298E-4</v>
      </c>
      <c r="L392" s="5">
        <f t="shared" si="8"/>
        <v>2.3148148148148149E-4</v>
      </c>
    </row>
    <row r="393" spans="1:12" x14ac:dyDescent="0.25">
      <c r="A393" s="3">
        <v>45697.830636574072</v>
      </c>
      <c r="B393" t="s">
        <v>97</v>
      </c>
      <c r="C393" s="3">
        <v>45697.833310185189</v>
      </c>
      <c r="D393" t="s">
        <v>267</v>
      </c>
      <c r="E393" s="4">
        <v>1.3740690679550172</v>
      </c>
      <c r="F393" s="4">
        <v>347360.70312508004</v>
      </c>
      <c r="G393" s="4">
        <v>347362.07719414798</v>
      </c>
      <c r="H393" s="5">
        <f t="shared" si="7"/>
        <v>0</v>
      </c>
      <c r="I393" t="s">
        <v>163</v>
      </c>
      <c r="J393" t="s">
        <v>49</v>
      </c>
      <c r="K393" s="5">
        <f>231 / 86400</f>
        <v>2.673611111111111E-3</v>
      </c>
      <c r="L393" s="5">
        <f t="shared" si="8"/>
        <v>2.3148148148148149E-4</v>
      </c>
    </row>
    <row r="394" spans="1:12" x14ac:dyDescent="0.25">
      <c r="A394" s="3">
        <v>45697.833541666667</v>
      </c>
      <c r="B394" t="s">
        <v>267</v>
      </c>
      <c r="C394" s="3">
        <v>45697.834699074076</v>
      </c>
      <c r="D394" t="s">
        <v>306</v>
      </c>
      <c r="E394" s="4">
        <v>0.70900298702716824</v>
      </c>
      <c r="F394" s="4">
        <v>347362.09569284163</v>
      </c>
      <c r="G394" s="4">
        <v>347362.8046958287</v>
      </c>
      <c r="H394" s="5">
        <f t="shared" si="7"/>
        <v>0</v>
      </c>
      <c r="I394" t="s">
        <v>207</v>
      </c>
      <c r="J394" t="s">
        <v>137</v>
      </c>
      <c r="K394" s="5">
        <f>100 / 86400</f>
        <v>1.1574074074074073E-3</v>
      </c>
      <c r="L394" s="5">
        <f>80 / 86400</f>
        <v>9.2592592592592596E-4</v>
      </c>
    </row>
    <row r="395" spans="1:12" x14ac:dyDescent="0.25">
      <c r="A395" s="3">
        <v>45697.835625</v>
      </c>
      <c r="B395" t="s">
        <v>203</v>
      </c>
      <c r="C395" s="3">
        <v>45697.837766203702</v>
      </c>
      <c r="D395" t="s">
        <v>269</v>
      </c>
      <c r="E395" s="4">
        <v>0.89724435997009278</v>
      </c>
      <c r="F395" s="4">
        <v>347362.84327007568</v>
      </c>
      <c r="G395" s="4">
        <v>347363.74051443563</v>
      </c>
      <c r="H395" s="5">
        <f t="shared" si="7"/>
        <v>0</v>
      </c>
      <c r="I395" t="s">
        <v>179</v>
      </c>
      <c r="J395" t="s">
        <v>71</v>
      </c>
      <c r="K395" s="5">
        <f>185 / 86400</f>
        <v>2.1412037037037038E-3</v>
      </c>
      <c r="L395" s="5">
        <f>20 / 86400</f>
        <v>2.3148148148148149E-4</v>
      </c>
    </row>
    <row r="396" spans="1:12" x14ac:dyDescent="0.25">
      <c r="A396" s="3">
        <v>45697.837997685187</v>
      </c>
      <c r="B396" t="s">
        <v>269</v>
      </c>
      <c r="C396" s="3">
        <v>45697.839803240742</v>
      </c>
      <c r="D396" t="s">
        <v>307</v>
      </c>
      <c r="E396" s="4">
        <v>0.68974512553215028</v>
      </c>
      <c r="F396" s="4">
        <v>347363.75843842828</v>
      </c>
      <c r="G396" s="4">
        <v>347364.44818355382</v>
      </c>
      <c r="H396" s="5">
        <f t="shared" si="7"/>
        <v>0</v>
      </c>
      <c r="I396" t="s">
        <v>137</v>
      </c>
      <c r="J396" t="s">
        <v>95</v>
      </c>
      <c r="K396" s="5">
        <f>156 / 86400</f>
        <v>1.8055555555555555E-3</v>
      </c>
      <c r="L396" s="5">
        <f>9 / 86400</f>
        <v>1.0416666666666667E-4</v>
      </c>
    </row>
    <row r="397" spans="1:12" x14ac:dyDescent="0.25">
      <c r="A397" s="3">
        <v>45697.839907407411</v>
      </c>
      <c r="B397" t="s">
        <v>307</v>
      </c>
      <c r="C397" s="3">
        <v>45697.841099537036</v>
      </c>
      <c r="D397" t="s">
        <v>270</v>
      </c>
      <c r="E397" s="4">
        <v>0.47026134681701659</v>
      </c>
      <c r="F397" s="4">
        <v>347364.45388889959</v>
      </c>
      <c r="G397" s="4">
        <v>347364.92415024637</v>
      </c>
      <c r="H397" s="5">
        <f t="shared" si="7"/>
        <v>0</v>
      </c>
      <c r="I397" t="s">
        <v>194</v>
      </c>
      <c r="J397" t="s">
        <v>95</v>
      </c>
      <c r="K397" s="5">
        <f>103 / 86400</f>
        <v>1.1921296296296296E-3</v>
      </c>
      <c r="L397" s="5">
        <f>20 / 86400</f>
        <v>2.3148148148148149E-4</v>
      </c>
    </row>
    <row r="398" spans="1:12" x14ac:dyDescent="0.25">
      <c r="A398" s="3">
        <v>45697.841331018513</v>
      </c>
      <c r="B398" t="s">
        <v>270</v>
      </c>
      <c r="C398" s="3">
        <v>45697.841562500005</v>
      </c>
      <c r="D398" t="s">
        <v>270</v>
      </c>
      <c r="E398" s="4">
        <v>9.9035810232162482E-3</v>
      </c>
      <c r="F398" s="4">
        <v>347364.94759548682</v>
      </c>
      <c r="G398" s="4">
        <v>347364.95749906782</v>
      </c>
      <c r="H398" s="5">
        <f t="shared" si="7"/>
        <v>0</v>
      </c>
      <c r="I398" t="s">
        <v>191</v>
      </c>
      <c r="J398" t="s">
        <v>153</v>
      </c>
      <c r="K398" s="5">
        <f>20 / 86400</f>
        <v>2.3148148148148149E-4</v>
      </c>
      <c r="L398" s="5">
        <f>20 / 86400</f>
        <v>2.3148148148148149E-4</v>
      </c>
    </row>
    <row r="399" spans="1:12" x14ac:dyDescent="0.25">
      <c r="A399" s="3">
        <v>45697.841793981483</v>
      </c>
      <c r="B399" t="s">
        <v>270</v>
      </c>
      <c r="C399" s="3">
        <v>45697.84275462963</v>
      </c>
      <c r="D399" t="s">
        <v>272</v>
      </c>
      <c r="E399" s="4">
        <v>6.5456421077251428E-2</v>
      </c>
      <c r="F399" s="4">
        <v>347364.96918585477</v>
      </c>
      <c r="G399" s="4">
        <v>347365.03464227589</v>
      </c>
      <c r="H399" s="5">
        <f t="shared" si="7"/>
        <v>0</v>
      </c>
      <c r="I399" t="s">
        <v>39</v>
      </c>
      <c r="J399" t="s">
        <v>125</v>
      </c>
      <c r="K399" s="5">
        <f>83 / 86400</f>
        <v>9.6064814814814819E-4</v>
      </c>
      <c r="L399" s="5">
        <f>20 / 86400</f>
        <v>2.3148148148148149E-4</v>
      </c>
    </row>
    <row r="400" spans="1:12" x14ac:dyDescent="0.25">
      <c r="A400" s="3">
        <v>45697.842986111107</v>
      </c>
      <c r="B400" t="s">
        <v>272</v>
      </c>
      <c r="C400" s="3">
        <v>45697.843449074076</v>
      </c>
      <c r="D400" t="s">
        <v>272</v>
      </c>
      <c r="E400" s="4">
        <v>0.12887279134988786</v>
      </c>
      <c r="F400" s="4">
        <v>347365.03716694977</v>
      </c>
      <c r="G400" s="4">
        <v>347365.16603974107</v>
      </c>
      <c r="H400" s="5">
        <f t="shared" si="7"/>
        <v>0</v>
      </c>
      <c r="I400" t="s">
        <v>189</v>
      </c>
      <c r="J400" t="s">
        <v>92</v>
      </c>
      <c r="K400" s="5">
        <f>40 / 86400</f>
        <v>4.6296296296296298E-4</v>
      </c>
      <c r="L400" s="5">
        <f>20 / 86400</f>
        <v>2.3148148148148149E-4</v>
      </c>
    </row>
    <row r="401" spans="1:12" x14ac:dyDescent="0.25">
      <c r="A401" s="3">
        <v>45697.843680555554</v>
      </c>
      <c r="B401" t="s">
        <v>36</v>
      </c>
      <c r="C401" s="3">
        <v>45697.845069444447</v>
      </c>
      <c r="D401" t="s">
        <v>308</v>
      </c>
      <c r="E401" s="4">
        <v>0.51253663820028306</v>
      </c>
      <c r="F401" s="4">
        <v>347365.3096514584</v>
      </c>
      <c r="G401" s="4">
        <v>347365.82218809659</v>
      </c>
      <c r="H401" s="5">
        <f t="shared" si="7"/>
        <v>0</v>
      </c>
      <c r="I401" t="s">
        <v>134</v>
      </c>
      <c r="J401" t="s">
        <v>175</v>
      </c>
      <c r="K401" s="5">
        <f>120 / 86400</f>
        <v>1.3888888888888889E-3</v>
      </c>
      <c r="L401" s="5">
        <f>17 / 86400</f>
        <v>1.9675925925925926E-4</v>
      </c>
    </row>
    <row r="402" spans="1:12" x14ac:dyDescent="0.25">
      <c r="A402" s="3">
        <v>45697.845266203702</v>
      </c>
      <c r="B402" t="s">
        <v>308</v>
      </c>
      <c r="C402" s="3">
        <v>45697.846018518518</v>
      </c>
      <c r="D402" t="s">
        <v>275</v>
      </c>
      <c r="E402" s="4">
        <v>0.44866174638271333</v>
      </c>
      <c r="F402" s="4">
        <v>347365.82719579979</v>
      </c>
      <c r="G402" s="4">
        <v>347366.27585754613</v>
      </c>
      <c r="H402" s="5">
        <f t="shared" si="7"/>
        <v>0</v>
      </c>
      <c r="I402" t="s">
        <v>32</v>
      </c>
      <c r="J402" t="s">
        <v>81</v>
      </c>
      <c r="K402" s="5">
        <f>65 / 86400</f>
        <v>7.5231481481481482E-4</v>
      </c>
      <c r="L402" s="5">
        <f>6 / 86400</f>
        <v>6.9444444444444444E-5</v>
      </c>
    </row>
    <row r="403" spans="1:12" x14ac:dyDescent="0.25">
      <c r="A403" s="3">
        <v>45697.846087962964</v>
      </c>
      <c r="B403" t="s">
        <v>275</v>
      </c>
      <c r="C403" s="3">
        <v>45697.84648148148</v>
      </c>
      <c r="D403" t="s">
        <v>107</v>
      </c>
      <c r="E403" s="4">
        <v>8.7113841056823724E-2</v>
      </c>
      <c r="F403" s="4">
        <v>347366.28011949192</v>
      </c>
      <c r="G403" s="4">
        <v>347366.367233333</v>
      </c>
      <c r="H403" s="5">
        <f t="shared" si="7"/>
        <v>0</v>
      </c>
      <c r="I403" t="s">
        <v>189</v>
      </c>
      <c r="J403" t="s">
        <v>52</v>
      </c>
      <c r="K403" s="5">
        <f>34 / 86400</f>
        <v>3.9351851851851852E-4</v>
      </c>
      <c r="L403" s="5">
        <f>170 / 86400</f>
        <v>1.9675925925925924E-3</v>
      </c>
    </row>
    <row r="404" spans="1:12" x14ac:dyDescent="0.25">
      <c r="A404" s="3">
        <v>45697.848449074074</v>
      </c>
      <c r="B404" t="s">
        <v>309</v>
      </c>
      <c r="C404" s="3">
        <v>45697.850138888884</v>
      </c>
      <c r="D404" t="s">
        <v>142</v>
      </c>
      <c r="E404" s="4">
        <v>1.0580714404582978E-2</v>
      </c>
      <c r="F404" s="4">
        <v>347366.47514988703</v>
      </c>
      <c r="G404" s="4">
        <v>347366.48573060142</v>
      </c>
      <c r="H404" s="5">
        <f t="shared" si="7"/>
        <v>0</v>
      </c>
      <c r="I404" t="s">
        <v>29</v>
      </c>
      <c r="J404" t="s">
        <v>63</v>
      </c>
      <c r="K404" s="5">
        <f>146 / 86400</f>
        <v>1.6898148148148148E-3</v>
      </c>
      <c r="L404" s="5">
        <f>40 / 86400</f>
        <v>4.6296296296296298E-4</v>
      </c>
    </row>
    <row r="405" spans="1:12" x14ac:dyDescent="0.25">
      <c r="A405" s="3">
        <v>45697.850601851853</v>
      </c>
      <c r="B405" t="s">
        <v>36</v>
      </c>
      <c r="C405" s="3">
        <v>45697.85083333333</v>
      </c>
      <c r="D405" t="s">
        <v>36</v>
      </c>
      <c r="E405" s="4">
        <v>3.6252279281616213E-3</v>
      </c>
      <c r="F405" s="4">
        <v>347366.4988989628</v>
      </c>
      <c r="G405" s="4">
        <v>347366.5025241907</v>
      </c>
      <c r="H405" s="5">
        <f t="shared" si="7"/>
        <v>0</v>
      </c>
      <c r="I405" t="s">
        <v>40</v>
      </c>
      <c r="J405" t="s">
        <v>40</v>
      </c>
      <c r="K405" s="5">
        <f>20 / 86400</f>
        <v>2.3148148148148149E-4</v>
      </c>
      <c r="L405" s="5">
        <f>480 / 86400</f>
        <v>5.5555555555555558E-3</v>
      </c>
    </row>
    <row r="406" spans="1:12" x14ac:dyDescent="0.25">
      <c r="A406" s="3">
        <v>45697.856388888889</v>
      </c>
      <c r="B406" t="s">
        <v>142</v>
      </c>
      <c r="C406" s="3">
        <v>45697.856620370367</v>
      </c>
      <c r="D406" t="s">
        <v>142</v>
      </c>
      <c r="E406" s="4">
        <v>2.2169457077980043E-3</v>
      </c>
      <c r="F406" s="4">
        <v>347366.53898488934</v>
      </c>
      <c r="G406" s="4">
        <v>347366.54120183503</v>
      </c>
      <c r="H406" s="5">
        <f t="shared" si="7"/>
        <v>0</v>
      </c>
      <c r="I406" t="s">
        <v>40</v>
      </c>
      <c r="J406" t="s">
        <v>63</v>
      </c>
      <c r="K406" s="5">
        <f>20 / 86400</f>
        <v>2.3148148148148149E-4</v>
      </c>
      <c r="L406" s="5">
        <f>100 / 86400</f>
        <v>1.1574074074074073E-3</v>
      </c>
    </row>
    <row r="407" spans="1:12" x14ac:dyDescent="0.25">
      <c r="A407" s="3">
        <v>45697.857777777783</v>
      </c>
      <c r="B407" t="s">
        <v>107</v>
      </c>
      <c r="C407" s="3">
        <v>45697.85800925926</v>
      </c>
      <c r="D407" t="s">
        <v>36</v>
      </c>
      <c r="E407" s="4">
        <v>2.5841475129127502E-3</v>
      </c>
      <c r="F407" s="4">
        <v>347366.55544566375</v>
      </c>
      <c r="G407" s="4">
        <v>347366.55802981125</v>
      </c>
      <c r="H407" s="5">
        <f t="shared" si="7"/>
        <v>0</v>
      </c>
      <c r="I407" t="s">
        <v>40</v>
      </c>
      <c r="J407" t="s">
        <v>63</v>
      </c>
      <c r="K407" s="5">
        <f>20 / 86400</f>
        <v>2.3148148148148149E-4</v>
      </c>
      <c r="L407" s="5">
        <f>15 / 86400</f>
        <v>1.7361111111111112E-4</v>
      </c>
    </row>
    <row r="408" spans="1:12" x14ac:dyDescent="0.25">
      <c r="A408" s="3">
        <v>45697.858182870375</v>
      </c>
      <c r="B408" t="s">
        <v>280</v>
      </c>
      <c r="C408" s="3">
        <v>45697.859212962961</v>
      </c>
      <c r="D408" t="s">
        <v>254</v>
      </c>
      <c r="E408" s="4">
        <v>0.22848066556453706</v>
      </c>
      <c r="F408" s="4">
        <v>347366.58759618184</v>
      </c>
      <c r="G408" s="4">
        <v>347366.81607684738</v>
      </c>
      <c r="H408" s="5">
        <f t="shared" si="7"/>
        <v>0</v>
      </c>
      <c r="I408" t="s">
        <v>71</v>
      </c>
      <c r="J408" t="s">
        <v>52</v>
      </c>
      <c r="K408" s="5">
        <f>89 / 86400</f>
        <v>1.0300925925925926E-3</v>
      </c>
      <c r="L408" s="5">
        <f>19 / 86400</f>
        <v>2.199074074074074E-4</v>
      </c>
    </row>
    <row r="409" spans="1:12" x14ac:dyDescent="0.25">
      <c r="A409" s="3">
        <v>45697.859432870369</v>
      </c>
      <c r="B409" t="s">
        <v>254</v>
      </c>
      <c r="C409" s="3">
        <v>45697.860243055555</v>
      </c>
      <c r="D409" t="s">
        <v>254</v>
      </c>
      <c r="E409" s="4">
        <v>0.42839996999502183</v>
      </c>
      <c r="F409" s="4">
        <v>347366.82433101581</v>
      </c>
      <c r="G409" s="4">
        <v>347367.25273098581</v>
      </c>
      <c r="H409" s="5">
        <f t="shared" si="7"/>
        <v>0</v>
      </c>
      <c r="I409" t="s">
        <v>119</v>
      </c>
      <c r="J409" t="s">
        <v>26</v>
      </c>
      <c r="K409" s="5">
        <f>70 / 86400</f>
        <v>8.1018518518518516E-4</v>
      </c>
      <c r="L409" s="5">
        <f>20 / 86400</f>
        <v>2.3148148148148149E-4</v>
      </c>
    </row>
    <row r="410" spans="1:12" x14ac:dyDescent="0.25">
      <c r="A410" s="3">
        <v>45697.860474537039</v>
      </c>
      <c r="B410" t="s">
        <v>98</v>
      </c>
      <c r="C410" s="3">
        <v>45697.860937500001</v>
      </c>
      <c r="D410" t="s">
        <v>98</v>
      </c>
      <c r="E410" s="4">
        <v>0.24424198257923127</v>
      </c>
      <c r="F410" s="4">
        <v>347367.39040232252</v>
      </c>
      <c r="G410" s="4">
        <v>347367.6346443051</v>
      </c>
      <c r="H410" s="5">
        <f t="shared" si="7"/>
        <v>0</v>
      </c>
      <c r="I410" t="s">
        <v>80</v>
      </c>
      <c r="J410" t="s">
        <v>26</v>
      </c>
      <c r="K410" s="5">
        <f>40 / 86400</f>
        <v>4.6296296296296298E-4</v>
      </c>
      <c r="L410" s="5">
        <f>38 / 86400</f>
        <v>4.3981481481481481E-4</v>
      </c>
    </row>
    <row r="411" spans="1:12" x14ac:dyDescent="0.25">
      <c r="A411" s="3">
        <v>45697.86137731481</v>
      </c>
      <c r="B411" t="s">
        <v>98</v>
      </c>
      <c r="C411" s="3">
        <v>45697.863113425927</v>
      </c>
      <c r="D411" t="s">
        <v>310</v>
      </c>
      <c r="E411" s="4">
        <v>0.61097157680988312</v>
      </c>
      <c r="F411" s="4">
        <v>347367.64279680775</v>
      </c>
      <c r="G411" s="4">
        <v>347368.25376838457</v>
      </c>
      <c r="H411" s="5">
        <f t="shared" si="7"/>
        <v>0</v>
      </c>
      <c r="I411" t="s">
        <v>140</v>
      </c>
      <c r="J411" t="s">
        <v>175</v>
      </c>
      <c r="K411" s="5">
        <f>150 / 86400</f>
        <v>1.736111111111111E-3</v>
      </c>
      <c r="L411" s="5">
        <f>20 / 86400</f>
        <v>2.3148148148148149E-4</v>
      </c>
    </row>
    <row r="412" spans="1:12" x14ac:dyDescent="0.25">
      <c r="A412" s="3">
        <v>45697.863344907411</v>
      </c>
      <c r="B412" t="s">
        <v>311</v>
      </c>
      <c r="C412" s="3">
        <v>45697.86650462963</v>
      </c>
      <c r="D412" t="s">
        <v>312</v>
      </c>
      <c r="E412" s="4">
        <v>1.3301935049891471</v>
      </c>
      <c r="F412" s="4">
        <v>347368.43744337664</v>
      </c>
      <c r="G412" s="4">
        <v>347369.76763688168</v>
      </c>
      <c r="H412" s="5">
        <f t="shared" si="7"/>
        <v>0</v>
      </c>
      <c r="I412" t="s">
        <v>173</v>
      </c>
      <c r="J412" t="s">
        <v>20</v>
      </c>
      <c r="K412" s="5">
        <f>273 / 86400</f>
        <v>3.1597222222222222E-3</v>
      </c>
      <c r="L412" s="5">
        <f>40 / 86400</f>
        <v>4.6296296296296298E-4</v>
      </c>
    </row>
    <row r="413" spans="1:12" x14ac:dyDescent="0.25">
      <c r="A413" s="3">
        <v>45697.866967592592</v>
      </c>
      <c r="B413" t="s">
        <v>205</v>
      </c>
      <c r="C413" s="3">
        <v>45697.871076388888</v>
      </c>
      <c r="D413" t="s">
        <v>197</v>
      </c>
      <c r="E413" s="4">
        <v>1.6292174562215804</v>
      </c>
      <c r="F413" s="4">
        <v>347369.81075653643</v>
      </c>
      <c r="G413" s="4">
        <v>347371.43997399264</v>
      </c>
      <c r="H413" s="5">
        <f t="shared" si="7"/>
        <v>0</v>
      </c>
      <c r="I413" t="s">
        <v>199</v>
      </c>
      <c r="J413" t="s">
        <v>71</v>
      </c>
      <c r="K413" s="5">
        <f>355 / 86400</f>
        <v>4.1087962962962962E-3</v>
      </c>
      <c r="L413" s="5">
        <f>3 / 86400</f>
        <v>3.4722222222222222E-5</v>
      </c>
    </row>
    <row r="414" spans="1:12" x14ac:dyDescent="0.25">
      <c r="A414" s="3">
        <v>45697.871111111112</v>
      </c>
      <c r="B414" t="s">
        <v>197</v>
      </c>
      <c r="C414" s="3">
        <v>45697.871805555551</v>
      </c>
      <c r="D414" t="s">
        <v>97</v>
      </c>
      <c r="E414" s="4">
        <v>0.2366207480430603</v>
      </c>
      <c r="F414" s="4">
        <v>347371.44423479785</v>
      </c>
      <c r="G414" s="4">
        <v>347371.68085554586</v>
      </c>
      <c r="H414" s="5">
        <f t="shared" si="7"/>
        <v>0</v>
      </c>
      <c r="I414" t="s">
        <v>81</v>
      </c>
      <c r="J414" t="s">
        <v>123</v>
      </c>
      <c r="K414" s="5">
        <f>60 / 86400</f>
        <v>6.9444444444444447E-4</v>
      </c>
      <c r="L414" s="5">
        <f>2 / 86400</f>
        <v>2.3148148148148147E-5</v>
      </c>
    </row>
    <row r="415" spans="1:12" x14ac:dyDescent="0.25">
      <c r="A415" s="3">
        <v>45697.871828703705</v>
      </c>
      <c r="B415" t="s">
        <v>97</v>
      </c>
      <c r="C415" s="3">
        <v>45697.872060185182</v>
      </c>
      <c r="D415" t="s">
        <v>97</v>
      </c>
      <c r="E415" s="4">
        <v>1.4752459406852722E-2</v>
      </c>
      <c r="F415" s="4">
        <v>347371.68378837896</v>
      </c>
      <c r="G415" s="4">
        <v>347371.69854083838</v>
      </c>
      <c r="H415" s="5">
        <f t="shared" si="7"/>
        <v>0</v>
      </c>
      <c r="I415" t="s">
        <v>39</v>
      </c>
      <c r="J415" t="s">
        <v>125</v>
      </c>
      <c r="K415" s="5">
        <f>20 / 86400</f>
        <v>2.3148148148148149E-4</v>
      </c>
      <c r="L415" s="5">
        <f>37 / 86400</f>
        <v>4.2824074074074075E-4</v>
      </c>
    </row>
    <row r="416" spans="1:12" x14ac:dyDescent="0.25">
      <c r="A416" s="3">
        <v>45697.872488425928</v>
      </c>
      <c r="B416" t="s">
        <v>313</v>
      </c>
      <c r="C416" s="3">
        <v>45697.874340277776</v>
      </c>
      <c r="D416" t="s">
        <v>196</v>
      </c>
      <c r="E416" s="4">
        <v>1.1811048558354378</v>
      </c>
      <c r="F416" s="4">
        <v>347371.72749196959</v>
      </c>
      <c r="G416" s="4">
        <v>347372.90859682544</v>
      </c>
      <c r="H416" s="5">
        <f t="shared" si="7"/>
        <v>0</v>
      </c>
      <c r="I416" t="s">
        <v>188</v>
      </c>
      <c r="J416" t="s">
        <v>134</v>
      </c>
      <c r="K416" s="5">
        <f>160 / 86400</f>
        <v>1.8518518518518519E-3</v>
      </c>
      <c r="L416" s="5">
        <f>20 / 86400</f>
        <v>2.3148148148148149E-4</v>
      </c>
    </row>
    <row r="417" spans="1:12" x14ac:dyDescent="0.25">
      <c r="A417" s="3">
        <v>45697.874571759261</v>
      </c>
      <c r="B417" t="s">
        <v>196</v>
      </c>
      <c r="C417" s="3">
        <v>45697.877118055556</v>
      </c>
      <c r="D417" t="s">
        <v>196</v>
      </c>
      <c r="E417" s="4">
        <v>1.1639520171284676</v>
      </c>
      <c r="F417" s="4">
        <v>347372.92351114005</v>
      </c>
      <c r="G417" s="4">
        <v>347374.08746315719</v>
      </c>
      <c r="H417" s="5">
        <f t="shared" ref="H417:H466" si="9">0 / 86400</f>
        <v>0</v>
      </c>
      <c r="I417" t="s">
        <v>181</v>
      </c>
      <c r="J417" t="s">
        <v>23</v>
      </c>
      <c r="K417" s="5">
        <f>220 / 86400</f>
        <v>2.5462962962962965E-3</v>
      </c>
      <c r="L417" s="5">
        <f>10 / 86400</f>
        <v>1.1574074074074075E-4</v>
      </c>
    </row>
    <row r="418" spans="1:12" x14ac:dyDescent="0.25">
      <c r="A418" s="3">
        <v>45697.877233796295</v>
      </c>
      <c r="B418" t="s">
        <v>196</v>
      </c>
      <c r="C418" s="3">
        <v>45697.878900462965</v>
      </c>
      <c r="D418" t="s">
        <v>314</v>
      </c>
      <c r="E418" s="4">
        <v>0.50720862257480626</v>
      </c>
      <c r="F418" s="4">
        <v>347374.08892211312</v>
      </c>
      <c r="G418" s="4">
        <v>347374.59613073571</v>
      </c>
      <c r="H418" s="5">
        <f t="shared" si="9"/>
        <v>0</v>
      </c>
      <c r="I418" t="s">
        <v>175</v>
      </c>
      <c r="J418" t="s">
        <v>147</v>
      </c>
      <c r="K418" s="5">
        <f>144 / 86400</f>
        <v>1.6666666666666668E-3</v>
      </c>
      <c r="L418" s="5">
        <f>40 / 86400</f>
        <v>4.6296296296296298E-4</v>
      </c>
    </row>
    <row r="419" spans="1:12" x14ac:dyDescent="0.25">
      <c r="A419" s="3">
        <v>45697.879363425927</v>
      </c>
      <c r="B419" t="s">
        <v>314</v>
      </c>
      <c r="C419" s="3">
        <v>45697.879594907412</v>
      </c>
      <c r="D419" t="s">
        <v>314</v>
      </c>
      <c r="E419" s="4">
        <v>2.9477123022079469E-3</v>
      </c>
      <c r="F419" s="4">
        <v>347374.61539079557</v>
      </c>
      <c r="G419" s="4">
        <v>347374.61833850789</v>
      </c>
      <c r="H419" s="5">
        <f t="shared" si="9"/>
        <v>0</v>
      </c>
      <c r="I419" t="s">
        <v>40</v>
      </c>
      <c r="J419" t="s">
        <v>40</v>
      </c>
      <c r="K419" s="5">
        <f>20 / 86400</f>
        <v>2.3148148148148149E-4</v>
      </c>
      <c r="L419" s="5">
        <f>7 / 86400</f>
        <v>8.1018518518518516E-5</v>
      </c>
    </row>
    <row r="420" spans="1:12" x14ac:dyDescent="0.25">
      <c r="A420" s="3">
        <v>45697.879675925928</v>
      </c>
      <c r="B420" t="s">
        <v>314</v>
      </c>
      <c r="C420" s="3">
        <v>45697.881412037037</v>
      </c>
      <c r="D420" t="s">
        <v>170</v>
      </c>
      <c r="E420" s="4">
        <v>0.55562678724527359</v>
      </c>
      <c r="F420" s="4">
        <v>347374.62223797315</v>
      </c>
      <c r="G420" s="4">
        <v>347375.17786476039</v>
      </c>
      <c r="H420" s="5">
        <f t="shared" si="9"/>
        <v>0</v>
      </c>
      <c r="I420" t="s">
        <v>134</v>
      </c>
      <c r="J420" t="s">
        <v>147</v>
      </c>
      <c r="K420" s="5">
        <f>150 / 86400</f>
        <v>1.736111111111111E-3</v>
      </c>
      <c r="L420" s="5">
        <f>20 / 86400</f>
        <v>2.3148148148148149E-4</v>
      </c>
    </row>
    <row r="421" spans="1:12" x14ac:dyDescent="0.25">
      <c r="A421" s="3">
        <v>45697.881643518514</v>
      </c>
      <c r="B421" t="s">
        <v>171</v>
      </c>
      <c r="C421" s="3">
        <v>45697.884189814809</v>
      </c>
      <c r="D421" t="s">
        <v>176</v>
      </c>
      <c r="E421" s="4">
        <v>1.3433578152656556</v>
      </c>
      <c r="F421" s="4">
        <v>347375.2627137212</v>
      </c>
      <c r="G421" s="4">
        <v>347376.60607153649</v>
      </c>
      <c r="H421" s="5">
        <f t="shared" si="9"/>
        <v>0</v>
      </c>
      <c r="I421" t="s">
        <v>179</v>
      </c>
      <c r="J421" t="s">
        <v>26</v>
      </c>
      <c r="K421" s="5">
        <f>220 / 86400</f>
        <v>2.5462962962962965E-3</v>
      </c>
      <c r="L421" s="5">
        <f>20 / 86400</f>
        <v>2.3148148148148149E-4</v>
      </c>
    </row>
    <row r="422" spans="1:12" x14ac:dyDescent="0.25">
      <c r="A422" s="3">
        <v>45697.884421296301</v>
      </c>
      <c r="B422" t="s">
        <v>176</v>
      </c>
      <c r="C422" s="3">
        <v>45697.88581018518</v>
      </c>
      <c r="D422" t="s">
        <v>176</v>
      </c>
      <c r="E422" s="4">
        <v>0.71587587136030195</v>
      </c>
      <c r="F422" s="4">
        <v>347376.629360619</v>
      </c>
      <c r="G422" s="4">
        <v>347377.34523649036</v>
      </c>
      <c r="H422" s="5">
        <f t="shared" si="9"/>
        <v>0</v>
      </c>
      <c r="I422" t="s">
        <v>207</v>
      </c>
      <c r="J422" t="s">
        <v>49</v>
      </c>
      <c r="K422" s="5">
        <f>120 / 86400</f>
        <v>1.3888888888888889E-3</v>
      </c>
      <c r="L422" s="5">
        <f>20 / 86400</f>
        <v>2.3148148148148149E-4</v>
      </c>
    </row>
    <row r="423" spans="1:12" x14ac:dyDescent="0.25">
      <c r="A423" s="3">
        <v>45697.886041666672</v>
      </c>
      <c r="B423" t="s">
        <v>176</v>
      </c>
      <c r="C423" s="3">
        <v>45697.888483796298</v>
      </c>
      <c r="D423" t="s">
        <v>105</v>
      </c>
      <c r="E423" s="4">
        <v>1.7086032735705377</v>
      </c>
      <c r="F423" s="4">
        <v>347377.38812886848</v>
      </c>
      <c r="G423" s="4">
        <v>347379.09673214203</v>
      </c>
      <c r="H423" s="5">
        <f t="shared" si="9"/>
        <v>0</v>
      </c>
      <c r="I423" t="s">
        <v>180</v>
      </c>
      <c r="J423" t="s">
        <v>173</v>
      </c>
      <c r="K423" s="5">
        <f>211 / 86400</f>
        <v>2.4421296296296296E-3</v>
      </c>
      <c r="L423" s="5">
        <f>26 / 86400</f>
        <v>3.0092592592592595E-4</v>
      </c>
    </row>
    <row r="424" spans="1:12" x14ac:dyDescent="0.25">
      <c r="A424" s="3">
        <v>45697.888784722221</v>
      </c>
      <c r="B424" t="s">
        <v>105</v>
      </c>
      <c r="C424" s="3">
        <v>45697.889236111107</v>
      </c>
      <c r="D424" t="s">
        <v>105</v>
      </c>
      <c r="E424" s="4">
        <v>5.7911416828632357E-2</v>
      </c>
      <c r="F424" s="4">
        <v>347379.10727125366</v>
      </c>
      <c r="G424" s="4">
        <v>347379.16518267046</v>
      </c>
      <c r="H424" s="5">
        <f t="shared" si="9"/>
        <v>0</v>
      </c>
      <c r="I424" t="s">
        <v>52</v>
      </c>
      <c r="J424" t="s">
        <v>82</v>
      </c>
      <c r="K424" s="5">
        <f>39 / 86400</f>
        <v>4.5138888888888887E-4</v>
      </c>
      <c r="L424" s="5">
        <f>19 / 86400</f>
        <v>2.199074074074074E-4</v>
      </c>
    </row>
    <row r="425" spans="1:12" x14ac:dyDescent="0.25">
      <c r="A425" s="3">
        <v>45697.889456018514</v>
      </c>
      <c r="B425" t="s">
        <v>105</v>
      </c>
      <c r="C425" s="3">
        <v>45697.890416666662</v>
      </c>
      <c r="D425" t="s">
        <v>105</v>
      </c>
      <c r="E425" s="4">
        <v>0.48361703121662142</v>
      </c>
      <c r="F425" s="4">
        <v>347379.17695540149</v>
      </c>
      <c r="G425" s="4">
        <v>347379.66057243268</v>
      </c>
      <c r="H425" s="5">
        <f t="shared" si="9"/>
        <v>0</v>
      </c>
      <c r="I425" t="s">
        <v>180</v>
      </c>
      <c r="J425" t="s">
        <v>49</v>
      </c>
      <c r="K425" s="5">
        <f>83 / 86400</f>
        <v>9.6064814814814819E-4</v>
      </c>
      <c r="L425" s="5">
        <f>20 / 86400</f>
        <v>2.3148148148148149E-4</v>
      </c>
    </row>
    <row r="426" spans="1:12" x14ac:dyDescent="0.25">
      <c r="A426" s="3">
        <v>45697.890648148154</v>
      </c>
      <c r="B426" t="s">
        <v>105</v>
      </c>
      <c r="C426" s="3">
        <v>45697.893692129626</v>
      </c>
      <c r="D426" t="s">
        <v>105</v>
      </c>
      <c r="E426" s="4">
        <v>1.8436467970609665</v>
      </c>
      <c r="F426" s="4">
        <v>347379.66260965681</v>
      </c>
      <c r="G426" s="4">
        <v>347381.50625645387</v>
      </c>
      <c r="H426" s="5">
        <f t="shared" si="9"/>
        <v>0</v>
      </c>
      <c r="I426" t="s">
        <v>209</v>
      </c>
      <c r="J426" t="s">
        <v>81</v>
      </c>
      <c r="K426" s="5">
        <f>263 / 86400</f>
        <v>3.0439814814814813E-3</v>
      </c>
      <c r="L426" s="5">
        <f>40 / 86400</f>
        <v>4.6296296296296298E-4</v>
      </c>
    </row>
    <row r="427" spans="1:12" x14ac:dyDescent="0.25">
      <c r="A427" s="3">
        <v>45697.894155092596</v>
      </c>
      <c r="B427" t="s">
        <v>105</v>
      </c>
      <c r="C427" s="3">
        <v>45697.896238425921</v>
      </c>
      <c r="D427" t="s">
        <v>315</v>
      </c>
      <c r="E427" s="4">
        <v>1.5427305814623833</v>
      </c>
      <c r="F427" s="4">
        <v>347381.55283281731</v>
      </c>
      <c r="G427" s="4">
        <v>347383.09556339879</v>
      </c>
      <c r="H427" s="5">
        <f t="shared" si="9"/>
        <v>0</v>
      </c>
      <c r="I427" t="s">
        <v>151</v>
      </c>
      <c r="J427" t="s">
        <v>199</v>
      </c>
      <c r="K427" s="5">
        <f>180 / 86400</f>
        <v>2.0833333333333333E-3</v>
      </c>
      <c r="L427" s="5">
        <f>20 / 86400</f>
        <v>2.3148148148148149E-4</v>
      </c>
    </row>
    <row r="428" spans="1:12" x14ac:dyDescent="0.25">
      <c r="A428" s="3">
        <v>45697.896469907406</v>
      </c>
      <c r="B428" t="s">
        <v>78</v>
      </c>
      <c r="C428" s="3">
        <v>45697.897164351853</v>
      </c>
      <c r="D428" t="s">
        <v>284</v>
      </c>
      <c r="E428" s="4">
        <v>0.51138886368274694</v>
      </c>
      <c r="F428" s="4">
        <v>347383.22271919152</v>
      </c>
      <c r="G428" s="4">
        <v>347383.73410805519</v>
      </c>
      <c r="H428" s="5">
        <f t="shared" si="9"/>
        <v>0</v>
      </c>
      <c r="I428" t="s">
        <v>204</v>
      </c>
      <c r="J428" t="s">
        <v>199</v>
      </c>
      <c r="K428" s="5">
        <f>60 / 86400</f>
        <v>6.9444444444444447E-4</v>
      </c>
      <c r="L428" s="5">
        <f>32 / 86400</f>
        <v>3.7037037037037035E-4</v>
      </c>
    </row>
    <row r="429" spans="1:12" x14ac:dyDescent="0.25">
      <c r="A429" s="3">
        <v>45697.897534722222</v>
      </c>
      <c r="B429" t="s">
        <v>284</v>
      </c>
      <c r="C429" s="3">
        <v>45697.898923611108</v>
      </c>
      <c r="D429" t="s">
        <v>78</v>
      </c>
      <c r="E429" s="4">
        <v>0.74255468088388443</v>
      </c>
      <c r="F429" s="4">
        <v>347383.73817728343</v>
      </c>
      <c r="G429" s="4">
        <v>347384.48073196429</v>
      </c>
      <c r="H429" s="5">
        <f t="shared" si="9"/>
        <v>0</v>
      </c>
      <c r="I429" t="s">
        <v>188</v>
      </c>
      <c r="J429" t="s">
        <v>26</v>
      </c>
      <c r="K429" s="5">
        <f>120 / 86400</f>
        <v>1.3888888888888889E-3</v>
      </c>
      <c r="L429" s="5">
        <f>8 / 86400</f>
        <v>9.2592592592592588E-5</v>
      </c>
    </row>
    <row r="430" spans="1:12" x14ac:dyDescent="0.25">
      <c r="A430" s="3">
        <v>45697.899016203708</v>
      </c>
      <c r="B430" t="s">
        <v>78</v>
      </c>
      <c r="C430" s="3">
        <v>45697.899710648147</v>
      </c>
      <c r="D430" t="s">
        <v>316</v>
      </c>
      <c r="E430" s="4">
        <v>4.4916575372219089E-2</v>
      </c>
      <c r="F430" s="4">
        <v>347384.48618288548</v>
      </c>
      <c r="G430" s="4">
        <v>347384.53109946084</v>
      </c>
      <c r="H430" s="5">
        <f t="shared" si="9"/>
        <v>0</v>
      </c>
      <c r="I430" t="s">
        <v>82</v>
      </c>
      <c r="J430" t="s">
        <v>125</v>
      </c>
      <c r="K430" s="5">
        <f>60 / 86400</f>
        <v>6.9444444444444447E-4</v>
      </c>
      <c r="L430" s="5">
        <f>60 / 86400</f>
        <v>6.9444444444444447E-4</v>
      </c>
    </row>
    <row r="431" spans="1:12" x14ac:dyDescent="0.25">
      <c r="A431" s="3">
        <v>45697.900405092594</v>
      </c>
      <c r="B431" t="s">
        <v>316</v>
      </c>
      <c r="C431" s="3">
        <v>45697.900868055556</v>
      </c>
      <c r="D431" t="s">
        <v>316</v>
      </c>
      <c r="E431" s="4">
        <v>5.9064031839370723E-3</v>
      </c>
      <c r="F431" s="4">
        <v>347384.54363324237</v>
      </c>
      <c r="G431" s="4">
        <v>347384.54953964555</v>
      </c>
      <c r="H431" s="5">
        <f t="shared" si="9"/>
        <v>0</v>
      </c>
      <c r="I431" t="s">
        <v>153</v>
      </c>
      <c r="J431" t="s">
        <v>40</v>
      </c>
      <c r="K431" s="5">
        <f>40 / 86400</f>
        <v>4.6296296296296298E-4</v>
      </c>
      <c r="L431" s="5">
        <f>40 / 86400</f>
        <v>4.6296296296296298E-4</v>
      </c>
    </row>
    <row r="432" spans="1:12" x14ac:dyDescent="0.25">
      <c r="A432" s="3">
        <v>45697.901331018518</v>
      </c>
      <c r="B432" t="s">
        <v>316</v>
      </c>
      <c r="C432" s="3">
        <v>45697.902928240743</v>
      </c>
      <c r="D432" t="s">
        <v>78</v>
      </c>
      <c r="E432" s="4">
        <v>0.21659096264839173</v>
      </c>
      <c r="F432" s="4">
        <v>347384.55500807852</v>
      </c>
      <c r="G432" s="4">
        <v>347384.77159904118</v>
      </c>
      <c r="H432" s="5">
        <f t="shared" si="9"/>
        <v>0</v>
      </c>
      <c r="I432" t="s">
        <v>33</v>
      </c>
      <c r="J432" t="s">
        <v>29</v>
      </c>
      <c r="K432" s="5">
        <f>138 / 86400</f>
        <v>1.5972222222222223E-3</v>
      </c>
      <c r="L432" s="5">
        <f>20 / 86400</f>
        <v>2.3148148148148149E-4</v>
      </c>
    </row>
    <row r="433" spans="1:12" x14ac:dyDescent="0.25">
      <c r="A433" s="3">
        <v>45697.90315972222</v>
      </c>
      <c r="B433" t="s">
        <v>78</v>
      </c>
      <c r="C433" s="3">
        <v>45697.903622685189</v>
      </c>
      <c r="D433" t="s">
        <v>78</v>
      </c>
      <c r="E433" s="4">
        <v>0.34407523524761202</v>
      </c>
      <c r="F433" s="4">
        <v>347384.82697101048</v>
      </c>
      <c r="G433" s="4">
        <v>347385.17104624573</v>
      </c>
      <c r="H433" s="5">
        <f t="shared" si="9"/>
        <v>0</v>
      </c>
      <c r="I433" t="s">
        <v>204</v>
      </c>
      <c r="J433" t="s">
        <v>199</v>
      </c>
      <c r="K433" s="5">
        <f>40 / 86400</f>
        <v>4.6296296296296298E-4</v>
      </c>
      <c r="L433" s="5">
        <f>20 / 86400</f>
        <v>2.3148148148148149E-4</v>
      </c>
    </row>
    <row r="434" spans="1:12" x14ac:dyDescent="0.25">
      <c r="A434" s="3">
        <v>45697.903854166667</v>
      </c>
      <c r="B434" t="s">
        <v>78</v>
      </c>
      <c r="C434" s="3">
        <v>45697.90587962963</v>
      </c>
      <c r="D434" t="s">
        <v>150</v>
      </c>
      <c r="E434" s="4">
        <v>1.4340960856676102</v>
      </c>
      <c r="F434" s="4">
        <v>347385.19839795603</v>
      </c>
      <c r="G434" s="4">
        <v>347386.6324940417</v>
      </c>
      <c r="H434" s="5">
        <f t="shared" si="9"/>
        <v>0</v>
      </c>
      <c r="I434" t="s">
        <v>207</v>
      </c>
      <c r="J434" t="s">
        <v>119</v>
      </c>
      <c r="K434" s="5">
        <f>175 / 86400</f>
        <v>2.0254629629629629E-3</v>
      </c>
      <c r="L434" s="5">
        <f>20 / 86400</f>
        <v>2.3148148148148149E-4</v>
      </c>
    </row>
    <row r="435" spans="1:12" x14ac:dyDescent="0.25">
      <c r="A435" s="3">
        <v>45697.906111111108</v>
      </c>
      <c r="B435" t="s">
        <v>111</v>
      </c>
      <c r="C435" s="3">
        <v>45697.906574074077</v>
      </c>
      <c r="D435" t="s">
        <v>150</v>
      </c>
      <c r="E435" s="4">
        <v>0.2550884135365486</v>
      </c>
      <c r="F435" s="4">
        <v>347386.69625082042</v>
      </c>
      <c r="G435" s="4">
        <v>347386.95133923396</v>
      </c>
      <c r="H435" s="5">
        <f t="shared" si="9"/>
        <v>0</v>
      </c>
      <c r="I435" t="s">
        <v>189</v>
      </c>
      <c r="J435" t="s">
        <v>140</v>
      </c>
      <c r="K435" s="5">
        <f>40 / 86400</f>
        <v>4.6296296296296298E-4</v>
      </c>
      <c r="L435" s="5">
        <f>20 / 86400</f>
        <v>2.3148148148148149E-4</v>
      </c>
    </row>
    <row r="436" spans="1:12" x14ac:dyDescent="0.25">
      <c r="A436" s="3">
        <v>45697.906805555554</v>
      </c>
      <c r="B436" t="s">
        <v>150</v>
      </c>
      <c r="C436" s="3">
        <v>45697.91673611111</v>
      </c>
      <c r="D436" t="s">
        <v>317</v>
      </c>
      <c r="E436" s="4">
        <v>6.6374265608787537</v>
      </c>
      <c r="F436" s="4">
        <v>347386.95691439969</v>
      </c>
      <c r="G436" s="4">
        <v>347393.59434096055</v>
      </c>
      <c r="H436" s="5">
        <f t="shared" si="9"/>
        <v>0</v>
      </c>
      <c r="I436" t="s">
        <v>217</v>
      </c>
      <c r="J436" t="s">
        <v>189</v>
      </c>
      <c r="K436" s="5">
        <f>858 / 86400</f>
        <v>9.9305555555555553E-3</v>
      </c>
      <c r="L436" s="5">
        <f>405 / 86400</f>
        <v>4.6874999999999998E-3</v>
      </c>
    </row>
    <row r="437" spans="1:12" x14ac:dyDescent="0.25">
      <c r="A437" s="3">
        <v>45697.921423611115</v>
      </c>
      <c r="B437" t="s">
        <v>317</v>
      </c>
      <c r="C437" s="3">
        <v>45697.922581018516</v>
      </c>
      <c r="D437" t="s">
        <v>317</v>
      </c>
      <c r="E437" s="4">
        <v>0.7644227356314659</v>
      </c>
      <c r="F437" s="4">
        <v>347393.67593456141</v>
      </c>
      <c r="G437" s="4">
        <v>347394.44035729708</v>
      </c>
      <c r="H437" s="5">
        <f t="shared" si="9"/>
        <v>0</v>
      </c>
      <c r="I437" t="s">
        <v>181</v>
      </c>
      <c r="J437" t="s">
        <v>189</v>
      </c>
      <c r="K437" s="5">
        <f>100 / 86400</f>
        <v>1.1574074074074073E-3</v>
      </c>
      <c r="L437" s="5">
        <f>102 / 86400</f>
        <v>1.1805555555555556E-3</v>
      </c>
    </row>
    <row r="438" spans="1:12" x14ac:dyDescent="0.25">
      <c r="A438" s="3">
        <v>45697.923761574071</v>
      </c>
      <c r="B438" t="s">
        <v>317</v>
      </c>
      <c r="C438" s="3">
        <v>45697.924479166672</v>
      </c>
      <c r="D438" t="s">
        <v>318</v>
      </c>
      <c r="E438" s="4">
        <v>0.1387742338180542</v>
      </c>
      <c r="F438" s="4">
        <v>347394.45122746512</v>
      </c>
      <c r="G438" s="4">
        <v>347394.59000169893</v>
      </c>
      <c r="H438" s="5">
        <f t="shared" si="9"/>
        <v>0</v>
      </c>
      <c r="I438" t="s">
        <v>33</v>
      </c>
      <c r="J438" t="s">
        <v>135</v>
      </c>
      <c r="K438" s="5">
        <f>62 / 86400</f>
        <v>7.1759259259259259E-4</v>
      </c>
      <c r="L438" s="5">
        <f>7 / 86400</f>
        <v>8.1018518518518516E-5</v>
      </c>
    </row>
    <row r="439" spans="1:12" x14ac:dyDescent="0.25">
      <c r="A439" s="3">
        <v>45697.924560185187</v>
      </c>
      <c r="B439" t="s">
        <v>319</v>
      </c>
      <c r="C439" s="3">
        <v>45697.943518518514</v>
      </c>
      <c r="D439" t="s">
        <v>317</v>
      </c>
      <c r="E439" s="4">
        <v>1.2579928181171418</v>
      </c>
      <c r="F439" s="4">
        <v>347394.60267304746</v>
      </c>
      <c r="G439" s="4">
        <v>347395.86066586559</v>
      </c>
      <c r="H439" s="5">
        <f t="shared" si="9"/>
        <v>0</v>
      </c>
      <c r="I439" t="s">
        <v>163</v>
      </c>
      <c r="J439" t="s">
        <v>125</v>
      </c>
      <c r="K439" s="5">
        <f>1638 / 86400</f>
        <v>1.8958333333333334E-2</v>
      </c>
      <c r="L439" s="5">
        <f>6 / 86400</f>
        <v>6.9444444444444444E-5</v>
      </c>
    </row>
    <row r="440" spans="1:12" x14ac:dyDescent="0.25">
      <c r="A440" s="3">
        <v>45697.94358796296</v>
      </c>
      <c r="B440" t="s">
        <v>317</v>
      </c>
      <c r="C440" s="3">
        <v>45697.945208333331</v>
      </c>
      <c r="D440" t="s">
        <v>317</v>
      </c>
      <c r="E440" s="4">
        <v>0.90552014571428296</v>
      </c>
      <c r="F440" s="4">
        <v>347395.86359920132</v>
      </c>
      <c r="G440" s="4">
        <v>347396.76911934704</v>
      </c>
      <c r="H440" s="5">
        <f t="shared" si="9"/>
        <v>0</v>
      </c>
      <c r="I440" t="s">
        <v>217</v>
      </c>
      <c r="J440" t="s">
        <v>140</v>
      </c>
      <c r="K440" s="5">
        <f>140 / 86400</f>
        <v>1.6203703703703703E-3</v>
      </c>
      <c r="L440" s="5">
        <f>20 / 86400</f>
        <v>2.3148148148148149E-4</v>
      </c>
    </row>
    <row r="441" spans="1:12" x14ac:dyDescent="0.25">
      <c r="A441" s="3">
        <v>45697.945439814815</v>
      </c>
      <c r="B441" t="s">
        <v>317</v>
      </c>
      <c r="C441" s="3">
        <v>45697.947060185186</v>
      </c>
      <c r="D441" t="s">
        <v>320</v>
      </c>
      <c r="E441" s="4">
        <v>0.64151443779468531</v>
      </c>
      <c r="F441" s="4">
        <v>347396.77068765863</v>
      </c>
      <c r="G441" s="4">
        <v>347397.41220209643</v>
      </c>
      <c r="H441" s="5">
        <f t="shared" si="9"/>
        <v>0</v>
      </c>
      <c r="I441" t="s">
        <v>189</v>
      </c>
      <c r="J441" t="s">
        <v>95</v>
      </c>
      <c r="K441" s="5">
        <f>140 / 86400</f>
        <v>1.6203703703703703E-3</v>
      </c>
      <c r="L441" s="5">
        <f>40 / 86400</f>
        <v>4.6296296296296298E-4</v>
      </c>
    </row>
    <row r="442" spans="1:12" x14ac:dyDescent="0.25">
      <c r="A442" s="3">
        <v>45697.947523148148</v>
      </c>
      <c r="B442" t="s">
        <v>320</v>
      </c>
      <c r="C442" s="3">
        <v>45697.950532407413</v>
      </c>
      <c r="D442" t="s">
        <v>321</v>
      </c>
      <c r="E442" s="4">
        <v>1.9556026287674904</v>
      </c>
      <c r="F442" s="4">
        <v>347397.54796241212</v>
      </c>
      <c r="G442" s="4">
        <v>347399.50356504088</v>
      </c>
      <c r="H442" s="5">
        <f t="shared" si="9"/>
        <v>0</v>
      </c>
      <c r="I442" t="s">
        <v>180</v>
      </c>
      <c r="J442" t="s">
        <v>134</v>
      </c>
      <c r="K442" s="5">
        <f>260 / 86400</f>
        <v>3.0092592592592593E-3</v>
      </c>
      <c r="L442" s="5">
        <f>20 / 86400</f>
        <v>2.3148148148148149E-4</v>
      </c>
    </row>
    <row r="443" spans="1:12" x14ac:dyDescent="0.25">
      <c r="A443" s="3">
        <v>45697.95076388889</v>
      </c>
      <c r="B443" t="s">
        <v>213</v>
      </c>
      <c r="C443" s="3">
        <v>45697.954236111109</v>
      </c>
      <c r="D443" t="s">
        <v>192</v>
      </c>
      <c r="E443" s="4">
        <v>2.4044820281863211</v>
      </c>
      <c r="F443" s="4">
        <v>347399.55799015448</v>
      </c>
      <c r="G443" s="4">
        <v>347401.9624721827</v>
      </c>
      <c r="H443" s="5">
        <f t="shared" si="9"/>
        <v>0</v>
      </c>
      <c r="I443" t="s">
        <v>209</v>
      </c>
      <c r="J443" t="s">
        <v>173</v>
      </c>
      <c r="K443" s="5">
        <f>300 / 86400</f>
        <v>3.472222222222222E-3</v>
      </c>
      <c r="L443" s="5">
        <f>20 / 86400</f>
        <v>2.3148148148148149E-4</v>
      </c>
    </row>
    <row r="444" spans="1:12" x14ac:dyDescent="0.25">
      <c r="A444" s="3">
        <v>45697.954467592594</v>
      </c>
      <c r="B444" t="s">
        <v>192</v>
      </c>
      <c r="C444" s="3">
        <v>45697.954699074078</v>
      </c>
      <c r="D444" t="s">
        <v>193</v>
      </c>
      <c r="E444" s="4">
        <v>1.9754316747188569E-2</v>
      </c>
      <c r="F444" s="4">
        <v>347401.97676674766</v>
      </c>
      <c r="G444" s="4">
        <v>347401.99652106443</v>
      </c>
      <c r="H444" s="5">
        <f t="shared" si="9"/>
        <v>0</v>
      </c>
      <c r="I444" t="s">
        <v>135</v>
      </c>
      <c r="J444" t="s">
        <v>191</v>
      </c>
      <c r="K444" s="5">
        <f>20 / 86400</f>
        <v>2.3148148148148149E-4</v>
      </c>
      <c r="L444" s="5">
        <f>120 / 86400</f>
        <v>1.3888888888888889E-3</v>
      </c>
    </row>
    <row r="445" spans="1:12" x14ac:dyDescent="0.25">
      <c r="A445" s="3">
        <v>45697.956087962964</v>
      </c>
      <c r="B445" t="s">
        <v>192</v>
      </c>
      <c r="C445" s="3">
        <v>45697.959560185191</v>
      </c>
      <c r="D445" t="s">
        <v>195</v>
      </c>
      <c r="E445" s="4">
        <v>2.5036204059720037</v>
      </c>
      <c r="F445" s="4">
        <v>347402.02598308097</v>
      </c>
      <c r="G445" s="4">
        <v>347404.52960348694</v>
      </c>
      <c r="H445" s="5">
        <f t="shared" si="9"/>
        <v>0</v>
      </c>
      <c r="I445" t="s">
        <v>248</v>
      </c>
      <c r="J445" t="s">
        <v>119</v>
      </c>
      <c r="K445" s="5">
        <f>300 / 86400</f>
        <v>3.472222222222222E-3</v>
      </c>
      <c r="L445" s="5">
        <f>22 / 86400</f>
        <v>2.5462962962962961E-4</v>
      </c>
    </row>
    <row r="446" spans="1:12" x14ac:dyDescent="0.25">
      <c r="A446" s="3">
        <v>45697.959814814814</v>
      </c>
      <c r="B446" t="s">
        <v>195</v>
      </c>
      <c r="C446" s="3">
        <v>45697.960740740746</v>
      </c>
      <c r="D446" t="s">
        <v>78</v>
      </c>
      <c r="E446" s="4">
        <v>0.76361822861433026</v>
      </c>
      <c r="F446" s="4">
        <v>347404.53291226987</v>
      </c>
      <c r="G446" s="4">
        <v>347405.29653049848</v>
      </c>
      <c r="H446" s="5">
        <f t="shared" si="9"/>
        <v>0</v>
      </c>
      <c r="I446" t="s">
        <v>216</v>
      </c>
      <c r="J446" t="s">
        <v>80</v>
      </c>
      <c r="K446" s="5">
        <f>80 / 86400</f>
        <v>9.2592592592592596E-4</v>
      </c>
      <c r="L446" s="5">
        <f>20 / 86400</f>
        <v>2.3148148148148149E-4</v>
      </c>
    </row>
    <row r="447" spans="1:12" x14ac:dyDescent="0.25">
      <c r="A447" s="3">
        <v>45697.960972222223</v>
      </c>
      <c r="B447" t="s">
        <v>78</v>
      </c>
      <c r="C447" s="3">
        <v>45697.9612037037</v>
      </c>
      <c r="D447" t="s">
        <v>78</v>
      </c>
      <c r="E447" s="4">
        <v>2.5247108936309815E-2</v>
      </c>
      <c r="F447" s="4">
        <v>347405.30005073635</v>
      </c>
      <c r="G447" s="4">
        <v>347405.32529784529</v>
      </c>
      <c r="H447" s="5">
        <f t="shared" si="9"/>
        <v>0</v>
      </c>
      <c r="I447" t="s">
        <v>52</v>
      </c>
      <c r="J447" t="s">
        <v>82</v>
      </c>
      <c r="K447" s="5">
        <f>20 / 86400</f>
        <v>2.3148148148148149E-4</v>
      </c>
      <c r="L447" s="5">
        <f>20 / 86400</f>
        <v>2.3148148148148149E-4</v>
      </c>
    </row>
    <row r="448" spans="1:12" x14ac:dyDescent="0.25">
      <c r="A448" s="3">
        <v>45697.961435185185</v>
      </c>
      <c r="B448" t="s">
        <v>78</v>
      </c>
      <c r="C448" s="3">
        <v>45697.962361111116</v>
      </c>
      <c r="D448" t="s">
        <v>78</v>
      </c>
      <c r="E448" s="4">
        <v>0.91805211675167087</v>
      </c>
      <c r="F448" s="4">
        <v>347405.35984624381</v>
      </c>
      <c r="G448" s="4">
        <v>347406.27789836057</v>
      </c>
      <c r="H448" s="5">
        <f t="shared" si="9"/>
        <v>0</v>
      </c>
      <c r="I448" t="s">
        <v>91</v>
      </c>
      <c r="J448" t="s">
        <v>168</v>
      </c>
      <c r="K448" s="5">
        <f>80 / 86400</f>
        <v>9.2592592592592596E-4</v>
      </c>
      <c r="L448" s="5">
        <f>20 / 86400</f>
        <v>2.3148148148148149E-4</v>
      </c>
    </row>
    <row r="449" spans="1:12" x14ac:dyDescent="0.25">
      <c r="A449" s="3">
        <v>45697.962592592594</v>
      </c>
      <c r="B449" t="s">
        <v>78</v>
      </c>
      <c r="C449" s="3">
        <v>45697.965370370366</v>
      </c>
      <c r="D449" t="s">
        <v>105</v>
      </c>
      <c r="E449" s="4">
        <v>1.87037607473135</v>
      </c>
      <c r="F449" s="4">
        <v>347406.29923827451</v>
      </c>
      <c r="G449" s="4">
        <v>347408.16961434926</v>
      </c>
      <c r="H449" s="5">
        <f t="shared" si="9"/>
        <v>0</v>
      </c>
      <c r="I449" t="s">
        <v>207</v>
      </c>
      <c r="J449" t="s">
        <v>189</v>
      </c>
      <c r="K449" s="5">
        <f>240 / 86400</f>
        <v>2.7777777777777779E-3</v>
      </c>
      <c r="L449" s="5">
        <f>40 / 86400</f>
        <v>4.6296296296296298E-4</v>
      </c>
    </row>
    <row r="450" spans="1:12" x14ac:dyDescent="0.25">
      <c r="A450" s="3">
        <v>45697.965833333335</v>
      </c>
      <c r="B450" t="s">
        <v>105</v>
      </c>
      <c r="C450" s="3">
        <v>45697.967222222222</v>
      </c>
      <c r="D450" t="s">
        <v>105</v>
      </c>
      <c r="E450" s="4">
        <v>0.83313518977165224</v>
      </c>
      <c r="F450" s="4">
        <v>347408.17564543016</v>
      </c>
      <c r="G450" s="4">
        <v>347409.00878061994</v>
      </c>
      <c r="H450" s="5">
        <f t="shared" si="9"/>
        <v>0</v>
      </c>
      <c r="I450" t="s">
        <v>168</v>
      </c>
      <c r="J450" t="s">
        <v>81</v>
      </c>
      <c r="K450" s="5">
        <f>120 / 86400</f>
        <v>1.3888888888888889E-3</v>
      </c>
      <c r="L450" s="5">
        <f>20 / 86400</f>
        <v>2.3148148148148149E-4</v>
      </c>
    </row>
    <row r="451" spans="1:12" x14ac:dyDescent="0.25">
      <c r="A451" s="3">
        <v>45697.967453703706</v>
      </c>
      <c r="B451" t="s">
        <v>105</v>
      </c>
      <c r="C451" s="3">
        <v>45697.968842592592</v>
      </c>
      <c r="D451" t="s">
        <v>285</v>
      </c>
      <c r="E451" s="4">
        <v>0.84597078007459636</v>
      </c>
      <c r="F451" s="4">
        <v>347409.06426371931</v>
      </c>
      <c r="G451" s="4">
        <v>347409.91023449937</v>
      </c>
      <c r="H451" s="5">
        <f t="shared" si="9"/>
        <v>0</v>
      </c>
      <c r="I451" t="s">
        <v>129</v>
      </c>
      <c r="J451" t="s">
        <v>81</v>
      </c>
      <c r="K451" s="5">
        <f>120 / 86400</f>
        <v>1.3888888888888889E-3</v>
      </c>
      <c r="L451" s="5">
        <f>60 / 86400</f>
        <v>6.9444444444444447E-4</v>
      </c>
    </row>
    <row r="452" spans="1:12" x14ac:dyDescent="0.25">
      <c r="A452" s="3">
        <v>45697.969537037032</v>
      </c>
      <c r="B452" t="s">
        <v>105</v>
      </c>
      <c r="C452" s="3">
        <v>45697.97347222222</v>
      </c>
      <c r="D452" t="s">
        <v>176</v>
      </c>
      <c r="E452" s="4">
        <v>2.5345573052167891</v>
      </c>
      <c r="F452" s="4">
        <v>347409.94968353392</v>
      </c>
      <c r="G452" s="4">
        <v>347412.48424083914</v>
      </c>
      <c r="H452" s="5">
        <f t="shared" si="9"/>
        <v>0</v>
      </c>
      <c r="I452" t="s">
        <v>207</v>
      </c>
      <c r="J452" t="s">
        <v>134</v>
      </c>
      <c r="K452" s="5">
        <f>340 / 86400</f>
        <v>3.9351851851851848E-3</v>
      </c>
      <c r="L452" s="5">
        <f>20 / 86400</f>
        <v>2.3148148148148149E-4</v>
      </c>
    </row>
    <row r="453" spans="1:12" x14ac:dyDescent="0.25">
      <c r="A453" s="3">
        <v>45697.973703703705</v>
      </c>
      <c r="B453" t="s">
        <v>176</v>
      </c>
      <c r="C453" s="3">
        <v>45697.976944444439</v>
      </c>
      <c r="D453" t="s">
        <v>322</v>
      </c>
      <c r="E453" s="4">
        <v>1.4179538985490798</v>
      </c>
      <c r="F453" s="4">
        <v>347412.48552713328</v>
      </c>
      <c r="G453" s="4">
        <v>347413.90348103183</v>
      </c>
      <c r="H453" s="5">
        <f t="shared" si="9"/>
        <v>0</v>
      </c>
      <c r="I453" t="s">
        <v>179</v>
      </c>
      <c r="J453" t="s">
        <v>20</v>
      </c>
      <c r="K453" s="5">
        <f>280 / 86400</f>
        <v>3.2407407407407406E-3</v>
      </c>
      <c r="L453" s="5">
        <f>29 / 86400</f>
        <v>3.3564814814814812E-4</v>
      </c>
    </row>
    <row r="454" spans="1:12" x14ac:dyDescent="0.25">
      <c r="A454" s="3">
        <v>45697.977280092593</v>
      </c>
      <c r="B454" t="s">
        <v>322</v>
      </c>
      <c r="C454" s="3">
        <v>45697.979664351849</v>
      </c>
      <c r="D454" t="s">
        <v>288</v>
      </c>
      <c r="E454" s="4">
        <v>0.95807897514104845</v>
      </c>
      <c r="F454" s="4">
        <v>347413.91071646876</v>
      </c>
      <c r="G454" s="4">
        <v>347414.86879544391</v>
      </c>
      <c r="H454" s="5">
        <f t="shared" si="9"/>
        <v>0</v>
      </c>
      <c r="I454" t="s">
        <v>198</v>
      </c>
      <c r="J454" t="s">
        <v>71</v>
      </c>
      <c r="K454" s="5">
        <f>206 / 86400</f>
        <v>2.3842592592592591E-3</v>
      </c>
      <c r="L454" s="5">
        <f>40 / 86400</f>
        <v>4.6296296296296298E-4</v>
      </c>
    </row>
    <row r="455" spans="1:12" x14ac:dyDescent="0.25">
      <c r="A455" s="3">
        <v>45697.980127314819</v>
      </c>
      <c r="B455" t="s">
        <v>288</v>
      </c>
      <c r="C455" s="3">
        <v>45697.980358796296</v>
      </c>
      <c r="D455" t="s">
        <v>266</v>
      </c>
      <c r="E455" s="4">
        <v>4.3827571451663973E-2</v>
      </c>
      <c r="F455" s="4">
        <v>347414.87946424412</v>
      </c>
      <c r="G455" s="4">
        <v>347414.92329181556</v>
      </c>
      <c r="H455" s="5">
        <f t="shared" si="9"/>
        <v>0</v>
      </c>
      <c r="I455" t="s">
        <v>153</v>
      </c>
      <c r="J455" t="s">
        <v>135</v>
      </c>
      <c r="K455" s="5">
        <f>20 / 86400</f>
        <v>2.3148148148148149E-4</v>
      </c>
      <c r="L455" s="5">
        <f>20 / 86400</f>
        <v>2.3148148148148149E-4</v>
      </c>
    </row>
    <row r="456" spans="1:12" x14ac:dyDescent="0.25">
      <c r="A456" s="3">
        <v>45697.980590277773</v>
      </c>
      <c r="B456" t="s">
        <v>266</v>
      </c>
      <c r="C456" s="3">
        <v>45697.980821759258</v>
      </c>
      <c r="D456" t="s">
        <v>266</v>
      </c>
      <c r="E456" s="4">
        <v>2.2886684596538545E-2</v>
      </c>
      <c r="F456" s="4">
        <v>347414.92568588722</v>
      </c>
      <c r="G456" s="4">
        <v>347414.9485725718</v>
      </c>
      <c r="H456" s="5">
        <f t="shared" si="9"/>
        <v>0</v>
      </c>
      <c r="I456" t="s">
        <v>191</v>
      </c>
      <c r="J456" t="s">
        <v>191</v>
      </c>
      <c r="K456" s="5">
        <f>20 / 86400</f>
        <v>2.3148148148148149E-4</v>
      </c>
      <c r="L456" s="5">
        <f>20 / 86400</f>
        <v>2.3148148148148149E-4</v>
      </c>
    </row>
    <row r="457" spans="1:12" x14ac:dyDescent="0.25">
      <c r="A457" s="3">
        <v>45697.981053240743</v>
      </c>
      <c r="B457" t="s">
        <v>266</v>
      </c>
      <c r="C457" s="3">
        <v>45697.981979166667</v>
      </c>
      <c r="D457" t="s">
        <v>196</v>
      </c>
      <c r="E457" s="4">
        <v>0.38117922526597975</v>
      </c>
      <c r="F457" s="4">
        <v>347414.96153001545</v>
      </c>
      <c r="G457" s="4">
        <v>347415.34270924074</v>
      </c>
      <c r="H457" s="5">
        <f t="shared" si="9"/>
        <v>0</v>
      </c>
      <c r="I457" t="s">
        <v>137</v>
      </c>
      <c r="J457" t="s">
        <v>71</v>
      </c>
      <c r="K457" s="5">
        <f>80 / 86400</f>
        <v>9.2592592592592596E-4</v>
      </c>
      <c r="L457" s="5">
        <f>10 / 86400</f>
        <v>1.1574074074074075E-4</v>
      </c>
    </row>
    <row r="458" spans="1:12" x14ac:dyDescent="0.25">
      <c r="A458" s="3">
        <v>45697.982094907406</v>
      </c>
      <c r="B458" t="s">
        <v>196</v>
      </c>
      <c r="C458" s="3">
        <v>45697.985567129625</v>
      </c>
      <c r="D458" t="s">
        <v>323</v>
      </c>
      <c r="E458" s="4">
        <v>1.9779645174145699</v>
      </c>
      <c r="F458" s="4">
        <v>347415.34997464489</v>
      </c>
      <c r="G458" s="4">
        <v>347417.32793916232</v>
      </c>
      <c r="H458" s="5">
        <f t="shared" si="9"/>
        <v>0</v>
      </c>
      <c r="I458" t="s">
        <v>207</v>
      </c>
      <c r="J458" t="s">
        <v>198</v>
      </c>
      <c r="K458" s="5">
        <f>300 / 86400</f>
        <v>3.472222222222222E-3</v>
      </c>
      <c r="L458" s="5">
        <f>40 / 86400</f>
        <v>4.6296296296296298E-4</v>
      </c>
    </row>
    <row r="459" spans="1:12" x14ac:dyDescent="0.25">
      <c r="A459" s="3">
        <v>45697.986030092594</v>
      </c>
      <c r="B459" t="s">
        <v>323</v>
      </c>
      <c r="C459" s="3">
        <v>45697.989502314813</v>
      </c>
      <c r="D459" t="s">
        <v>267</v>
      </c>
      <c r="E459" s="4">
        <v>1.9120477942228318</v>
      </c>
      <c r="F459" s="4">
        <v>347417.34726493363</v>
      </c>
      <c r="G459" s="4">
        <v>347419.2593127279</v>
      </c>
      <c r="H459" s="5">
        <f t="shared" si="9"/>
        <v>0</v>
      </c>
      <c r="I459" t="s">
        <v>209</v>
      </c>
      <c r="J459" t="s">
        <v>140</v>
      </c>
      <c r="K459" s="5">
        <f>300 / 86400</f>
        <v>3.472222222222222E-3</v>
      </c>
      <c r="L459" s="5">
        <f>20 / 86400</f>
        <v>2.3148148148148149E-4</v>
      </c>
    </row>
    <row r="460" spans="1:12" x14ac:dyDescent="0.25">
      <c r="A460" s="3">
        <v>45697.989733796298</v>
      </c>
      <c r="B460" t="s">
        <v>267</v>
      </c>
      <c r="C460" s="3">
        <v>45697.990601851852</v>
      </c>
      <c r="D460" t="s">
        <v>292</v>
      </c>
      <c r="E460" s="4">
        <v>0.50651272743940357</v>
      </c>
      <c r="F460" s="4">
        <v>347419.34982017695</v>
      </c>
      <c r="G460" s="4">
        <v>347419.85633290443</v>
      </c>
      <c r="H460" s="5">
        <f t="shared" si="9"/>
        <v>0</v>
      </c>
      <c r="I460" t="s">
        <v>181</v>
      </c>
      <c r="J460" t="s">
        <v>198</v>
      </c>
      <c r="K460" s="5">
        <f>75 / 86400</f>
        <v>8.6805555555555551E-4</v>
      </c>
      <c r="L460" s="5">
        <f>20 / 86400</f>
        <v>2.3148148148148149E-4</v>
      </c>
    </row>
    <row r="461" spans="1:12" x14ac:dyDescent="0.25">
      <c r="A461" s="3">
        <v>45697.99083333333</v>
      </c>
      <c r="B461" t="s">
        <v>112</v>
      </c>
      <c r="C461" s="3">
        <v>45697.992534722223</v>
      </c>
      <c r="D461" t="s">
        <v>269</v>
      </c>
      <c r="E461" s="4">
        <v>0.78087986361980444</v>
      </c>
      <c r="F461" s="4">
        <v>347419.94739769452</v>
      </c>
      <c r="G461" s="4">
        <v>347420.72827755817</v>
      </c>
      <c r="H461" s="5">
        <f t="shared" si="9"/>
        <v>0</v>
      </c>
      <c r="I461" t="s">
        <v>199</v>
      </c>
      <c r="J461" t="s">
        <v>23</v>
      </c>
      <c r="K461" s="5">
        <f>147 / 86400</f>
        <v>1.7013888888888888E-3</v>
      </c>
      <c r="L461" s="5">
        <f>16 / 86400</f>
        <v>1.8518518518518518E-4</v>
      </c>
    </row>
    <row r="462" spans="1:12" x14ac:dyDescent="0.25">
      <c r="A462" s="3">
        <v>45697.992719907408</v>
      </c>
      <c r="B462" t="s">
        <v>269</v>
      </c>
      <c r="C462" s="3">
        <v>45697.995011574079</v>
      </c>
      <c r="D462" t="s">
        <v>271</v>
      </c>
      <c r="E462" s="4">
        <v>1.2294210733175277</v>
      </c>
      <c r="F462" s="4">
        <v>347420.73362740641</v>
      </c>
      <c r="G462" s="4">
        <v>347421.96304847975</v>
      </c>
      <c r="H462" s="5">
        <f t="shared" si="9"/>
        <v>0</v>
      </c>
      <c r="I462" t="s">
        <v>152</v>
      </c>
      <c r="J462" t="s">
        <v>26</v>
      </c>
      <c r="K462" s="5">
        <f>198 / 86400</f>
        <v>2.2916666666666667E-3</v>
      </c>
      <c r="L462" s="5">
        <f>14 / 86400</f>
        <v>1.6203703703703703E-4</v>
      </c>
    </row>
    <row r="463" spans="1:12" x14ac:dyDescent="0.25">
      <c r="A463" s="3">
        <v>45697.995173611111</v>
      </c>
      <c r="B463" t="s">
        <v>271</v>
      </c>
      <c r="C463" s="3">
        <v>45697.995428240742</v>
      </c>
      <c r="D463" t="s">
        <v>272</v>
      </c>
      <c r="E463" s="4">
        <v>1.9233593225479125E-2</v>
      </c>
      <c r="F463" s="4">
        <v>347421.97918431688</v>
      </c>
      <c r="G463" s="4">
        <v>347421.99841791007</v>
      </c>
      <c r="H463" s="5">
        <f t="shared" si="9"/>
        <v>0</v>
      </c>
      <c r="I463" t="s">
        <v>147</v>
      </c>
      <c r="J463" t="s">
        <v>125</v>
      </c>
      <c r="K463" s="5">
        <f>22 / 86400</f>
        <v>2.5462962962962961E-4</v>
      </c>
      <c r="L463" s="5">
        <f>40 / 86400</f>
        <v>4.6296296296296298E-4</v>
      </c>
    </row>
    <row r="464" spans="1:12" x14ac:dyDescent="0.25">
      <c r="A464" s="3">
        <v>45697.995891203704</v>
      </c>
      <c r="B464" t="s">
        <v>272</v>
      </c>
      <c r="C464" s="3">
        <v>45697.996122685188</v>
      </c>
      <c r="D464" t="s">
        <v>272</v>
      </c>
      <c r="E464" s="4">
        <v>0</v>
      </c>
      <c r="F464" s="4">
        <v>347422.09651570831</v>
      </c>
      <c r="G464" s="4">
        <v>347422.09651570831</v>
      </c>
      <c r="H464" s="5">
        <f t="shared" si="9"/>
        <v>0</v>
      </c>
      <c r="I464" t="s">
        <v>179</v>
      </c>
      <c r="J464" t="s">
        <v>63</v>
      </c>
      <c r="K464" s="5">
        <f>20 / 86400</f>
        <v>2.3148148148148149E-4</v>
      </c>
      <c r="L464" s="5">
        <f>20 / 86400</f>
        <v>2.3148148148148149E-4</v>
      </c>
    </row>
    <row r="465" spans="1:12" x14ac:dyDescent="0.25">
      <c r="A465" s="3">
        <v>45697.996354166666</v>
      </c>
      <c r="B465" t="s">
        <v>36</v>
      </c>
      <c r="C465" s="3">
        <v>45697.997013888889</v>
      </c>
      <c r="D465" t="s">
        <v>142</v>
      </c>
      <c r="E465" s="4">
        <v>0.2476095188856125</v>
      </c>
      <c r="F465" s="4">
        <v>347422.29024584248</v>
      </c>
      <c r="G465" s="4">
        <v>347422.53785536136</v>
      </c>
      <c r="H465" s="5">
        <f t="shared" si="9"/>
        <v>0</v>
      </c>
      <c r="I465" t="s">
        <v>129</v>
      </c>
      <c r="J465" t="s">
        <v>95</v>
      </c>
      <c r="K465" s="5">
        <f>57 / 86400</f>
        <v>6.5972222222222224E-4</v>
      </c>
      <c r="L465" s="5">
        <f>100 / 86400</f>
        <v>1.1574074074074073E-3</v>
      </c>
    </row>
    <row r="466" spans="1:12" x14ac:dyDescent="0.25">
      <c r="A466" s="3">
        <v>45697.998171296298</v>
      </c>
      <c r="B466" t="s">
        <v>36</v>
      </c>
      <c r="C466" s="3">
        <v>45697.998402777783</v>
      </c>
      <c r="D466" t="s">
        <v>36</v>
      </c>
      <c r="E466" s="4">
        <v>2.1775826215744017E-3</v>
      </c>
      <c r="F466" s="4">
        <v>347422.54611027869</v>
      </c>
      <c r="G466" s="4">
        <v>347422.54828786128</v>
      </c>
      <c r="H466" s="5">
        <f t="shared" si="9"/>
        <v>0</v>
      </c>
      <c r="I466" t="s">
        <v>125</v>
      </c>
      <c r="J466" t="s">
        <v>63</v>
      </c>
      <c r="K466" s="5">
        <f>20 / 86400</f>
        <v>2.3148148148148149E-4</v>
      </c>
      <c r="L466" s="5">
        <f>137 / 86400</f>
        <v>1.5856481481481481E-3</v>
      </c>
    </row>
    <row r="467" spans="1:1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2" s="10" customFormat="1" ht="20.100000000000001" customHeight="1" x14ac:dyDescent="0.35">
      <c r="A469" s="15" t="s">
        <v>403</v>
      </c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1:1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2" ht="30" x14ac:dyDescent="0.25">
      <c r="A471" s="2" t="s">
        <v>6</v>
      </c>
      <c r="B471" s="2" t="s">
        <v>7</v>
      </c>
      <c r="C471" s="2" t="s">
        <v>8</v>
      </c>
      <c r="D471" s="2" t="s">
        <v>9</v>
      </c>
      <c r="E471" s="2" t="s">
        <v>10</v>
      </c>
      <c r="F471" s="2" t="s">
        <v>11</v>
      </c>
      <c r="G471" s="2" t="s">
        <v>12</v>
      </c>
      <c r="H471" s="2" t="s">
        <v>13</v>
      </c>
      <c r="I471" s="2" t="s">
        <v>14</v>
      </c>
      <c r="J471" s="2" t="s">
        <v>15</v>
      </c>
      <c r="K471" s="2" t="s">
        <v>16</v>
      </c>
      <c r="L471" s="2" t="s">
        <v>17</v>
      </c>
    </row>
    <row r="472" spans="1:12" x14ac:dyDescent="0.25">
      <c r="A472" s="3">
        <v>45697.480115740742</v>
      </c>
      <c r="B472" t="s">
        <v>38</v>
      </c>
      <c r="C472" s="3">
        <v>45697.481747685189</v>
      </c>
      <c r="D472" t="s">
        <v>38</v>
      </c>
      <c r="E472" s="4">
        <v>0</v>
      </c>
      <c r="F472" s="4">
        <v>507529.34</v>
      </c>
      <c r="G472" s="4">
        <v>507529.34</v>
      </c>
      <c r="H472" s="5">
        <f>139 / 86400</f>
        <v>1.6087962962962963E-3</v>
      </c>
      <c r="I472" t="s">
        <v>63</v>
      </c>
      <c r="J472" t="s">
        <v>63</v>
      </c>
      <c r="K472" s="5">
        <f>140 / 86400</f>
        <v>1.6203703703703703E-3</v>
      </c>
      <c r="L472" s="5">
        <f>41784 / 86400</f>
        <v>0.4836111111111111</v>
      </c>
    </row>
    <row r="473" spans="1:12" x14ac:dyDescent="0.25">
      <c r="A473" s="3">
        <v>45697.485243055555</v>
      </c>
      <c r="B473" t="s">
        <v>38</v>
      </c>
      <c r="C473" s="3">
        <v>45697.486064814817</v>
      </c>
      <c r="D473" t="s">
        <v>38</v>
      </c>
      <c r="E473" s="4">
        <v>4.2999999999999997E-2</v>
      </c>
      <c r="F473" s="4">
        <v>507529.34</v>
      </c>
      <c r="G473" s="4">
        <v>507529.38299999997</v>
      </c>
      <c r="H473" s="5">
        <f>0 / 86400</f>
        <v>0</v>
      </c>
      <c r="I473" t="s">
        <v>39</v>
      </c>
      <c r="J473" t="s">
        <v>153</v>
      </c>
      <c r="K473" s="5">
        <f>71 / 86400</f>
        <v>8.2175925925925927E-4</v>
      </c>
      <c r="L473" s="5">
        <f>44403 / 86400</f>
        <v>0.51392361111111107</v>
      </c>
    </row>
    <row r="474" spans="1:1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</row>
    <row r="476" spans="1:12" s="10" customFormat="1" ht="20.100000000000001" customHeight="1" x14ac:dyDescent="0.35">
      <c r="A476" s="15" t="s">
        <v>404</v>
      </c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1:1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</row>
    <row r="478" spans="1:12" ht="30" x14ac:dyDescent="0.25">
      <c r="A478" s="2" t="s">
        <v>6</v>
      </c>
      <c r="B478" s="2" t="s">
        <v>7</v>
      </c>
      <c r="C478" s="2" t="s">
        <v>8</v>
      </c>
      <c r="D478" s="2" t="s">
        <v>9</v>
      </c>
      <c r="E478" s="2" t="s">
        <v>10</v>
      </c>
      <c r="F478" s="2" t="s">
        <v>11</v>
      </c>
      <c r="G478" s="2" t="s">
        <v>12</v>
      </c>
      <c r="H478" s="2" t="s">
        <v>13</v>
      </c>
      <c r="I478" s="2" t="s">
        <v>14</v>
      </c>
      <c r="J478" s="2" t="s">
        <v>15</v>
      </c>
      <c r="K478" s="2" t="s">
        <v>16</v>
      </c>
      <c r="L478" s="2" t="s">
        <v>17</v>
      </c>
    </row>
    <row r="479" spans="1:12" x14ac:dyDescent="0.25">
      <c r="A479" s="3">
        <v>45697.352175925931</v>
      </c>
      <c r="B479" t="s">
        <v>41</v>
      </c>
      <c r="C479" s="3">
        <v>45697.587476851855</v>
      </c>
      <c r="D479" t="s">
        <v>118</v>
      </c>
      <c r="E479" s="4">
        <v>103.431</v>
      </c>
      <c r="F479" s="4">
        <v>436814.23100000003</v>
      </c>
      <c r="G479" s="4">
        <v>436917.66200000001</v>
      </c>
      <c r="H479" s="5">
        <f>6379 / 86400</f>
        <v>7.3831018518518518E-2</v>
      </c>
      <c r="I479" t="s">
        <v>133</v>
      </c>
      <c r="J479" t="s">
        <v>20</v>
      </c>
      <c r="K479" s="5">
        <f>20330 / 86400</f>
        <v>0.23530092592592591</v>
      </c>
      <c r="L479" s="5">
        <f>30748 / 86400</f>
        <v>0.35587962962962966</v>
      </c>
    </row>
    <row r="480" spans="1:12" x14ac:dyDescent="0.25">
      <c r="A480" s="3">
        <v>45697.591180555552</v>
      </c>
      <c r="B480" t="s">
        <v>118</v>
      </c>
      <c r="C480" s="3">
        <v>45697.593692129631</v>
      </c>
      <c r="D480" t="s">
        <v>143</v>
      </c>
      <c r="E480" s="4">
        <v>0.42599999999999999</v>
      </c>
      <c r="F480" s="4">
        <v>436917.66200000001</v>
      </c>
      <c r="G480" s="4">
        <v>436918.08799999999</v>
      </c>
      <c r="H480" s="5">
        <f>41 / 86400</f>
        <v>4.7453703703703704E-4</v>
      </c>
      <c r="I480" t="s">
        <v>49</v>
      </c>
      <c r="J480" t="s">
        <v>39</v>
      </c>
      <c r="K480" s="5">
        <f>217 / 86400</f>
        <v>2.5115740740740741E-3</v>
      </c>
      <c r="L480" s="5">
        <f>6353 / 86400</f>
        <v>7.3530092592592591E-2</v>
      </c>
    </row>
    <row r="481" spans="1:12" x14ac:dyDescent="0.25">
      <c r="A481" s="3">
        <v>45697.667222222226</v>
      </c>
      <c r="B481" t="s">
        <v>143</v>
      </c>
      <c r="C481" s="3">
        <v>45697.871782407412</v>
      </c>
      <c r="D481" t="s">
        <v>72</v>
      </c>
      <c r="E481" s="4">
        <v>95.986000000000004</v>
      </c>
      <c r="F481" s="4">
        <v>436918.08799999999</v>
      </c>
      <c r="G481" s="4">
        <v>437014.07400000002</v>
      </c>
      <c r="H481" s="5">
        <f>4899 / 86400</f>
        <v>5.6701388888888891E-2</v>
      </c>
      <c r="I481" t="s">
        <v>31</v>
      </c>
      <c r="J481" t="s">
        <v>28</v>
      </c>
      <c r="K481" s="5">
        <f>17673 / 86400</f>
        <v>0.20454861111111111</v>
      </c>
      <c r="L481" s="5">
        <f>172 / 86400</f>
        <v>1.9907407407407408E-3</v>
      </c>
    </row>
    <row r="482" spans="1:12" x14ac:dyDescent="0.25">
      <c r="A482" s="3">
        <v>45697.873773148152</v>
      </c>
      <c r="B482" t="s">
        <v>72</v>
      </c>
      <c r="C482" s="3">
        <v>45697.874583333338</v>
      </c>
      <c r="D482" t="s">
        <v>72</v>
      </c>
      <c r="E482" s="4">
        <v>3.6999999999999998E-2</v>
      </c>
      <c r="F482" s="4">
        <v>437014.07400000002</v>
      </c>
      <c r="G482" s="4">
        <v>437014.11099999998</v>
      </c>
      <c r="H482" s="5">
        <f>20 / 86400</f>
        <v>2.3148148148148149E-4</v>
      </c>
      <c r="I482" t="s">
        <v>135</v>
      </c>
      <c r="J482" t="s">
        <v>153</v>
      </c>
      <c r="K482" s="5">
        <f>70 / 86400</f>
        <v>8.1018518518518516E-4</v>
      </c>
      <c r="L482" s="5">
        <f>1539 / 86400</f>
        <v>1.7812499999999998E-2</v>
      </c>
    </row>
    <row r="483" spans="1:12" x14ac:dyDescent="0.25">
      <c r="A483" s="3">
        <v>45697.892395833333</v>
      </c>
      <c r="B483" t="s">
        <v>72</v>
      </c>
      <c r="C483" s="3">
        <v>45697.894131944442</v>
      </c>
      <c r="D483" t="s">
        <v>58</v>
      </c>
      <c r="E483" s="4">
        <v>0.24299999999999999</v>
      </c>
      <c r="F483" s="4">
        <v>437014.11099999998</v>
      </c>
      <c r="G483" s="4">
        <v>437014.35399999999</v>
      </c>
      <c r="H483" s="5">
        <f>59 / 86400</f>
        <v>6.8287037037037036E-4</v>
      </c>
      <c r="I483" t="s">
        <v>123</v>
      </c>
      <c r="J483" t="s">
        <v>29</v>
      </c>
      <c r="K483" s="5">
        <f>149 / 86400</f>
        <v>1.724537037037037E-3</v>
      </c>
      <c r="L483" s="5">
        <f>477 / 86400</f>
        <v>5.5208333333333333E-3</v>
      </c>
    </row>
    <row r="484" spans="1:12" x14ac:dyDescent="0.25">
      <c r="A484" s="3">
        <v>45697.899652777778</v>
      </c>
      <c r="B484" t="s">
        <v>58</v>
      </c>
      <c r="C484" s="3">
        <v>45697.902708333335</v>
      </c>
      <c r="D484" t="s">
        <v>41</v>
      </c>
      <c r="E484" s="4">
        <v>0.77</v>
      </c>
      <c r="F484" s="4">
        <v>437014.35399999999</v>
      </c>
      <c r="G484" s="4">
        <v>437015.12400000001</v>
      </c>
      <c r="H484" s="5">
        <f>40 / 86400</f>
        <v>4.6296296296296298E-4</v>
      </c>
      <c r="I484" t="s">
        <v>181</v>
      </c>
      <c r="J484" t="s">
        <v>120</v>
      </c>
      <c r="K484" s="5">
        <f>264 / 86400</f>
        <v>3.0555555555555557E-3</v>
      </c>
      <c r="L484" s="5">
        <f>8405 / 86400</f>
        <v>9.7280092592592599E-2</v>
      </c>
    </row>
    <row r="485" spans="1:1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</row>
    <row r="486" spans="1:1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</row>
    <row r="487" spans="1:12" s="10" customFormat="1" ht="20.100000000000001" customHeight="1" x14ac:dyDescent="0.35">
      <c r="A487" s="15" t="s">
        <v>405</v>
      </c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1:1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2" ht="30" x14ac:dyDescent="0.25">
      <c r="A489" s="2" t="s">
        <v>6</v>
      </c>
      <c r="B489" s="2" t="s">
        <v>7</v>
      </c>
      <c r="C489" s="2" t="s">
        <v>8</v>
      </c>
      <c r="D489" s="2" t="s">
        <v>9</v>
      </c>
      <c r="E489" s="2" t="s">
        <v>10</v>
      </c>
      <c r="F489" s="2" t="s">
        <v>11</v>
      </c>
      <c r="G489" s="2" t="s">
        <v>12</v>
      </c>
      <c r="H489" s="2" t="s">
        <v>13</v>
      </c>
      <c r="I489" s="2" t="s">
        <v>14</v>
      </c>
      <c r="J489" s="2" t="s">
        <v>15</v>
      </c>
      <c r="K489" s="2" t="s">
        <v>16</v>
      </c>
      <c r="L489" s="2" t="s">
        <v>17</v>
      </c>
    </row>
    <row r="490" spans="1:12" x14ac:dyDescent="0.25">
      <c r="A490" s="3">
        <v>45697.286203703705</v>
      </c>
      <c r="B490" t="s">
        <v>42</v>
      </c>
      <c r="C490" s="3">
        <v>45697.299745370372</v>
      </c>
      <c r="D490" t="s">
        <v>118</v>
      </c>
      <c r="E490" s="4">
        <v>3.7869999999999999</v>
      </c>
      <c r="F490" s="4">
        <v>53484.400999999998</v>
      </c>
      <c r="G490" s="4">
        <v>53488.188000000002</v>
      </c>
      <c r="H490" s="5">
        <f>219 / 86400</f>
        <v>2.5347222222222221E-3</v>
      </c>
      <c r="I490" t="s">
        <v>81</v>
      </c>
      <c r="J490" t="s">
        <v>92</v>
      </c>
      <c r="K490" s="5">
        <f>1169 / 86400</f>
        <v>1.3530092592592592E-2</v>
      </c>
      <c r="L490" s="5">
        <f>24843 / 86400</f>
        <v>0.28753472222222221</v>
      </c>
    </row>
    <row r="491" spans="1:12" x14ac:dyDescent="0.25">
      <c r="A491" s="3">
        <v>45697.301076388889</v>
      </c>
      <c r="B491" t="s">
        <v>118</v>
      </c>
      <c r="C491" s="3">
        <v>45697.302083333328</v>
      </c>
      <c r="D491" t="s">
        <v>118</v>
      </c>
      <c r="E491" s="4">
        <v>4.1000000000000002E-2</v>
      </c>
      <c r="F491" s="4">
        <v>53488.188000000002</v>
      </c>
      <c r="G491" s="4">
        <v>53488.228999999999</v>
      </c>
      <c r="H491" s="5">
        <f>39 / 86400</f>
        <v>4.5138888888888887E-4</v>
      </c>
      <c r="I491" t="s">
        <v>191</v>
      </c>
      <c r="J491" t="s">
        <v>153</v>
      </c>
      <c r="K491" s="5">
        <f>86 / 86400</f>
        <v>9.9537037037037042E-4</v>
      </c>
      <c r="L491" s="5">
        <f>735 / 86400</f>
        <v>8.5069444444444437E-3</v>
      </c>
    </row>
    <row r="492" spans="1:12" x14ac:dyDescent="0.25">
      <c r="A492" s="3">
        <v>45697.310590277775</v>
      </c>
      <c r="B492" t="s">
        <v>118</v>
      </c>
      <c r="C492" s="3">
        <v>45697.310810185183</v>
      </c>
      <c r="D492" t="s">
        <v>118</v>
      </c>
      <c r="E492" s="4">
        <v>0.02</v>
      </c>
      <c r="F492" s="4">
        <v>53488.228999999999</v>
      </c>
      <c r="G492" s="4">
        <v>53488.249000000003</v>
      </c>
      <c r="H492" s="5">
        <f>0 / 86400</f>
        <v>0</v>
      </c>
      <c r="I492" t="s">
        <v>29</v>
      </c>
      <c r="J492" t="s">
        <v>191</v>
      </c>
      <c r="K492" s="5">
        <f>18 / 86400</f>
        <v>2.0833333333333335E-4</v>
      </c>
      <c r="L492" s="5">
        <f>287 / 86400</f>
        <v>3.3217592592592591E-3</v>
      </c>
    </row>
    <row r="493" spans="1:12" x14ac:dyDescent="0.25">
      <c r="A493" s="3">
        <v>45697.31413194444</v>
      </c>
      <c r="B493" t="s">
        <v>118</v>
      </c>
      <c r="C493" s="3">
        <v>45697.413136574076</v>
      </c>
      <c r="D493" t="s">
        <v>324</v>
      </c>
      <c r="E493" s="4">
        <v>51.085000000000001</v>
      </c>
      <c r="F493" s="4">
        <v>53488.249000000003</v>
      </c>
      <c r="G493" s="4">
        <v>53539.334000000003</v>
      </c>
      <c r="H493" s="5">
        <f>2199 / 86400</f>
        <v>2.5451388888888888E-2</v>
      </c>
      <c r="I493" t="s">
        <v>25</v>
      </c>
      <c r="J493" t="s">
        <v>49</v>
      </c>
      <c r="K493" s="5">
        <f>8554 / 86400</f>
        <v>9.9004629629629623E-2</v>
      </c>
      <c r="L493" s="5">
        <f>39 / 86400</f>
        <v>4.5138888888888887E-4</v>
      </c>
    </row>
    <row r="494" spans="1:12" x14ac:dyDescent="0.25">
      <c r="A494" s="3">
        <v>45697.413587962961</v>
      </c>
      <c r="B494" t="s">
        <v>324</v>
      </c>
      <c r="C494" s="3">
        <v>45697.533807870372</v>
      </c>
      <c r="D494" t="s">
        <v>325</v>
      </c>
      <c r="E494" s="4">
        <v>46.511000000000003</v>
      </c>
      <c r="F494" s="4">
        <v>53539.334000000003</v>
      </c>
      <c r="G494" s="4">
        <v>53585.845000000001</v>
      </c>
      <c r="H494" s="5">
        <f>3832 / 86400</f>
        <v>4.4351851851851851E-2</v>
      </c>
      <c r="I494" t="s">
        <v>133</v>
      </c>
      <c r="J494" t="s">
        <v>95</v>
      </c>
      <c r="K494" s="5">
        <f>10387 / 86400</f>
        <v>0.12021990740740741</v>
      </c>
      <c r="L494" s="5">
        <f>1358 / 86400</f>
        <v>1.5717592592592592E-2</v>
      </c>
    </row>
    <row r="495" spans="1:12" x14ac:dyDescent="0.25">
      <c r="A495" s="3">
        <v>45697.549525462964</v>
      </c>
      <c r="B495" t="s">
        <v>325</v>
      </c>
      <c r="C495" s="3">
        <v>45697.552071759259</v>
      </c>
      <c r="D495" t="s">
        <v>325</v>
      </c>
      <c r="E495" s="4">
        <v>0.59399999999999997</v>
      </c>
      <c r="F495" s="4">
        <v>53585.845000000001</v>
      </c>
      <c r="G495" s="4">
        <v>53586.438999999998</v>
      </c>
      <c r="H495" s="5">
        <f>20 / 86400</f>
        <v>2.3148148148148149E-4</v>
      </c>
      <c r="I495" t="s">
        <v>28</v>
      </c>
      <c r="J495" t="s">
        <v>33</v>
      </c>
      <c r="K495" s="5">
        <f>220 / 86400</f>
        <v>2.5462962962962965E-3</v>
      </c>
      <c r="L495" s="5">
        <f>47 / 86400</f>
        <v>5.4398148148148144E-4</v>
      </c>
    </row>
    <row r="496" spans="1:12" x14ac:dyDescent="0.25">
      <c r="A496" s="3">
        <v>45697.552615740744</v>
      </c>
      <c r="B496" t="s">
        <v>325</v>
      </c>
      <c r="C496" s="3">
        <v>45697.602719907409</v>
      </c>
      <c r="D496" t="s">
        <v>176</v>
      </c>
      <c r="E496" s="4">
        <v>25.727</v>
      </c>
      <c r="F496" s="4">
        <v>53586.438999999998</v>
      </c>
      <c r="G496" s="4">
        <v>53612.165999999997</v>
      </c>
      <c r="H496" s="5">
        <f>1500 / 86400</f>
        <v>1.7361111111111112E-2</v>
      </c>
      <c r="I496" t="s">
        <v>25</v>
      </c>
      <c r="J496" t="s">
        <v>49</v>
      </c>
      <c r="K496" s="5">
        <f>4329 / 86400</f>
        <v>5.0104166666666665E-2</v>
      </c>
      <c r="L496" s="5">
        <f>62 / 86400</f>
        <v>7.1759259259259259E-4</v>
      </c>
    </row>
    <row r="497" spans="1:12" x14ac:dyDescent="0.25">
      <c r="A497" s="3">
        <v>45697.603437500002</v>
      </c>
      <c r="B497" t="s">
        <v>176</v>
      </c>
      <c r="C497" s="3">
        <v>45697.604351851856</v>
      </c>
      <c r="D497" t="s">
        <v>176</v>
      </c>
      <c r="E497" s="4">
        <v>0.375</v>
      </c>
      <c r="F497" s="4">
        <v>53612.165999999997</v>
      </c>
      <c r="G497" s="4">
        <v>53612.540999999997</v>
      </c>
      <c r="H497" s="5">
        <f>0 / 86400</f>
        <v>0</v>
      </c>
      <c r="I497" t="s">
        <v>81</v>
      </c>
      <c r="J497" t="s">
        <v>71</v>
      </c>
      <c r="K497" s="5">
        <f>79 / 86400</f>
        <v>9.1435185185185185E-4</v>
      </c>
      <c r="L497" s="5">
        <f>66 / 86400</f>
        <v>7.6388888888888893E-4</v>
      </c>
    </row>
    <row r="498" spans="1:12" x14ac:dyDescent="0.25">
      <c r="A498" s="3">
        <v>45697.605115740742</v>
      </c>
      <c r="B498" t="s">
        <v>176</v>
      </c>
      <c r="C498" s="3">
        <v>45697.609178240746</v>
      </c>
      <c r="D498" t="s">
        <v>105</v>
      </c>
      <c r="E498" s="4">
        <v>2.3220000000000001</v>
      </c>
      <c r="F498" s="4">
        <v>53612.540999999997</v>
      </c>
      <c r="G498" s="4">
        <v>53614.862999999998</v>
      </c>
      <c r="H498" s="5">
        <f>60 / 86400</f>
        <v>6.9444444444444447E-4</v>
      </c>
      <c r="I498" t="s">
        <v>156</v>
      </c>
      <c r="J498" t="s">
        <v>198</v>
      </c>
      <c r="K498" s="5">
        <f>351 / 86400</f>
        <v>4.0625000000000001E-3</v>
      </c>
      <c r="L498" s="5">
        <f>881 / 86400</f>
        <v>1.019675925925926E-2</v>
      </c>
    </row>
    <row r="499" spans="1:12" x14ac:dyDescent="0.25">
      <c r="A499" s="3">
        <v>45697.619374999995</v>
      </c>
      <c r="B499" t="s">
        <v>105</v>
      </c>
      <c r="C499" s="3">
        <v>45697.673518518517</v>
      </c>
      <c r="D499" t="s">
        <v>326</v>
      </c>
      <c r="E499" s="4">
        <v>20.567</v>
      </c>
      <c r="F499" s="4">
        <v>53614.862999999998</v>
      </c>
      <c r="G499" s="4">
        <v>53635.43</v>
      </c>
      <c r="H499" s="5">
        <f>1580 / 86400</f>
        <v>1.8287037037037036E-2</v>
      </c>
      <c r="I499" t="s">
        <v>76</v>
      </c>
      <c r="J499" t="s">
        <v>95</v>
      </c>
      <c r="K499" s="5">
        <f>4678 / 86400</f>
        <v>5.4143518518518521E-2</v>
      </c>
      <c r="L499" s="5">
        <f>112 / 86400</f>
        <v>1.2962962962962963E-3</v>
      </c>
    </row>
    <row r="500" spans="1:12" x14ac:dyDescent="0.25">
      <c r="A500" s="3">
        <v>45697.674814814818</v>
      </c>
      <c r="B500" t="s">
        <v>327</v>
      </c>
      <c r="C500" s="3">
        <v>45697.77043981482</v>
      </c>
      <c r="D500" t="s">
        <v>72</v>
      </c>
      <c r="E500" s="4">
        <v>47.256</v>
      </c>
      <c r="F500" s="4">
        <v>53635.43</v>
      </c>
      <c r="G500" s="4">
        <v>53682.686000000002</v>
      </c>
      <c r="H500" s="5">
        <f>2118 / 86400</f>
        <v>2.4513888888888891E-2</v>
      </c>
      <c r="I500" t="s">
        <v>328</v>
      </c>
      <c r="J500" t="s">
        <v>49</v>
      </c>
      <c r="K500" s="5">
        <f>8262 / 86400</f>
        <v>9.5625000000000002E-2</v>
      </c>
      <c r="L500" s="5">
        <f>1583 / 86400</f>
        <v>1.832175925925926E-2</v>
      </c>
    </row>
    <row r="501" spans="1:12" x14ac:dyDescent="0.25">
      <c r="A501" s="3">
        <v>45697.788761574076</v>
      </c>
      <c r="B501" t="s">
        <v>72</v>
      </c>
      <c r="C501" s="3">
        <v>45697.789641203708</v>
      </c>
      <c r="D501" t="s">
        <v>329</v>
      </c>
      <c r="E501" s="4">
        <v>0.22800000000000001</v>
      </c>
      <c r="F501" s="4">
        <v>53682.686000000002</v>
      </c>
      <c r="G501" s="4">
        <v>53682.913999999997</v>
      </c>
      <c r="H501" s="5">
        <f>0 / 86400</f>
        <v>0</v>
      </c>
      <c r="I501" t="s">
        <v>28</v>
      </c>
      <c r="J501" t="s">
        <v>120</v>
      </c>
      <c r="K501" s="5">
        <f>76 / 86400</f>
        <v>8.7962962962962962E-4</v>
      </c>
      <c r="L501" s="5">
        <f>376 / 86400</f>
        <v>4.3518518518518515E-3</v>
      </c>
    </row>
    <row r="502" spans="1:12" x14ac:dyDescent="0.25">
      <c r="A502" s="3">
        <v>45697.793993055559</v>
      </c>
      <c r="B502" t="s">
        <v>329</v>
      </c>
      <c r="C502" s="3">
        <v>45697.796296296292</v>
      </c>
      <c r="D502" t="s">
        <v>21</v>
      </c>
      <c r="E502" s="4">
        <v>0.35399999999999998</v>
      </c>
      <c r="F502" s="4">
        <v>53682.913999999997</v>
      </c>
      <c r="G502" s="4">
        <v>53683.267999999996</v>
      </c>
      <c r="H502" s="5">
        <f>60 / 86400</f>
        <v>6.9444444444444447E-4</v>
      </c>
      <c r="I502" t="s">
        <v>28</v>
      </c>
      <c r="J502" t="s">
        <v>29</v>
      </c>
      <c r="K502" s="5">
        <f>199 / 86400</f>
        <v>2.3032407407407407E-3</v>
      </c>
      <c r="L502" s="5">
        <f>17599 / 86400</f>
        <v>0.20369212962962963</v>
      </c>
    </row>
    <row r="503" spans="1:1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2" s="10" customFormat="1" ht="20.100000000000001" customHeight="1" x14ac:dyDescent="0.35">
      <c r="A505" s="15" t="s">
        <v>406</v>
      </c>
      <c r="B505" s="15"/>
      <c r="C505" s="15"/>
      <c r="D505" s="15"/>
      <c r="E505" s="15"/>
      <c r="F505" s="15"/>
      <c r="G505" s="15"/>
      <c r="H505" s="15"/>
      <c r="I505" s="15"/>
      <c r="J505" s="15"/>
    </row>
    <row r="506" spans="1:1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2" ht="30" x14ac:dyDescent="0.25">
      <c r="A507" s="2" t="s">
        <v>6</v>
      </c>
      <c r="B507" s="2" t="s">
        <v>7</v>
      </c>
      <c r="C507" s="2" t="s">
        <v>8</v>
      </c>
      <c r="D507" s="2" t="s">
        <v>9</v>
      </c>
      <c r="E507" s="2" t="s">
        <v>10</v>
      </c>
      <c r="F507" s="2" t="s">
        <v>11</v>
      </c>
      <c r="G507" s="2" t="s">
        <v>12</v>
      </c>
      <c r="H507" s="2" t="s">
        <v>13</v>
      </c>
      <c r="I507" s="2" t="s">
        <v>14</v>
      </c>
      <c r="J507" s="2" t="s">
        <v>15</v>
      </c>
      <c r="K507" s="2" t="s">
        <v>16</v>
      </c>
      <c r="L507" s="2" t="s">
        <v>17</v>
      </c>
    </row>
    <row r="508" spans="1:12" x14ac:dyDescent="0.25">
      <c r="A508" s="3">
        <v>45697.258113425924</v>
      </c>
      <c r="B508" t="s">
        <v>43</v>
      </c>
      <c r="C508" s="3">
        <v>45697.269016203703</v>
      </c>
      <c r="D508" t="s">
        <v>118</v>
      </c>
      <c r="E508" s="4">
        <v>0.86899999999999999</v>
      </c>
      <c r="F508" s="4">
        <v>215173.57699999999</v>
      </c>
      <c r="G508" s="4">
        <v>215174.446</v>
      </c>
      <c r="H508" s="5">
        <f>599 / 86400</f>
        <v>6.9328703703703705E-3</v>
      </c>
      <c r="I508" t="s">
        <v>49</v>
      </c>
      <c r="J508" t="s">
        <v>125</v>
      </c>
      <c r="K508" s="5">
        <f>942 / 86400</f>
        <v>1.0902777777777779E-2</v>
      </c>
      <c r="L508" s="5">
        <f>22454 / 86400</f>
        <v>0.25988425925925923</v>
      </c>
    </row>
    <row r="509" spans="1:12" x14ac:dyDescent="0.25">
      <c r="A509" s="3">
        <v>45697.270787037036</v>
      </c>
      <c r="B509" t="s">
        <v>118</v>
      </c>
      <c r="C509" s="3">
        <v>45697.271296296298</v>
      </c>
      <c r="D509" t="s">
        <v>330</v>
      </c>
      <c r="E509" s="4">
        <v>2.5000000000000001E-2</v>
      </c>
      <c r="F509" s="4">
        <v>215174.446</v>
      </c>
      <c r="G509" s="4">
        <v>215174.47099999999</v>
      </c>
      <c r="H509" s="5">
        <f>0 / 86400</f>
        <v>0</v>
      </c>
      <c r="I509" t="s">
        <v>29</v>
      </c>
      <c r="J509" t="s">
        <v>153</v>
      </c>
      <c r="K509" s="5">
        <f>44 / 86400</f>
        <v>5.0925925925925921E-4</v>
      </c>
      <c r="L509" s="5">
        <f>2634 / 86400</f>
        <v>3.048611111111111E-2</v>
      </c>
    </row>
    <row r="510" spans="1:12" x14ac:dyDescent="0.25">
      <c r="A510" s="3">
        <v>45697.301782407405</v>
      </c>
      <c r="B510" t="s">
        <v>330</v>
      </c>
      <c r="C510" s="3">
        <v>45697.305092592593</v>
      </c>
      <c r="D510" t="s">
        <v>128</v>
      </c>
      <c r="E510" s="4">
        <v>0.81499999999999995</v>
      </c>
      <c r="F510" s="4">
        <v>215174.47099999999</v>
      </c>
      <c r="G510" s="4">
        <v>215175.28599999999</v>
      </c>
      <c r="H510" s="5">
        <f>100 / 86400</f>
        <v>1.1574074074074073E-3</v>
      </c>
      <c r="I510" t="s">
        <v>119</v>
      </c>
      <c r="J510" t="s">
        <v>33</v>
      </c>
      <c r="K510" s="5">
        <f>286 / 86400</f>
        <v>3.3101851851851851E-3</v>
      </c>
      <c r="L510" s="5">
        <f>95 / 86400</f>
        <v>1.0995370370370371E-3</v>
      </c>
    </row>
    <row r="511" spans="1:12" x14ac:dyDescent="0.25">
      <c r="A511" s="3">
        <v>45697.306192129632</v>
      </c>
      <c r="B511" t="s">
        <v>128</v>
      </c>
      <c r="C511" s="3">
        <v>45697.582870370374</v>
      </c>
      <c r="D511" t="s">
        <v>41</v>
      </c>
      <c r="E511" s="4">
        <v>108.72499999999999</v>
      </c>
      <c r="F511" s="4">
        <v>215175.28599999999</v>
      </c>
      <c r="G511" s="4">
        <v>215284.011</v>
      </c>
      <c r="H511" s="5">
        <f>8774 / 86400</f>
        <v>0.10155092592592592</v>
      </c>
      <c r="I511" t="s">
        <v>45</v>
      </c>
      <c r="J511" t="s">
        <v>95</v>
      </c>
      <c r="K511" s="5">
        <f>23904 / 86400</f>
        <v>0.27666666666666667</v>
      </c>
      <c r="L511" s="5">
        <f>151 / 86400</f>
        <v>1.7476851851851852E-3</v>
      </c>
    </row>
    <row r="512" spans="1:12" x14ac:dyDescent="0.25">
      <c r="A512" s="3">
        <v>45697.584618055553</v>
      </c>
      <c r="B512" t="s">
        <v>41</v>
      </c>
      <c r="C512" s="3">
        <v>45697.584675925929</v>
      </c>
      <c r="D512" t="s">
        <v>41</v>
      </c>
      <c r="E512" s="4">
        <v>0</v>
      </c>
      <c r="F512" s="4">
        <v>215284.011</v>
      </c>
      <c r="G512" s="4">
        <v>215284.011</v>
      </c>
      <c r="H512" s="5">
        <f>0 / 86400</f>
        <v>0</v>
      </c>
      <c r="I512" t="s">
        <v>63</v>
      </c>
      <c r="J512" t="s">
        <v>63</v>
      </c>
      <c r="K512" s="5">
        <f>4 / 86400</f>
        <v>4.6296296296296294E-5</v>
      </c>
      <c r="L512" s="5">
        <f>2255 / 86400</f>
        <v>2.6099537037037036E-2</v>
      </c>
    </row>
    <row r="513" spans="1:12" x14ac:dyDescent="0.25">
      <c r="A513" s="3">
        <v>45697.610775462963</v>
      </c>
      <c r="B513" t="s">
        <v>41</v>
      </c>
      <c r="C513" s="3">
        <v>45697.61314814815</v>
      </c>
      <c r="D513" t="s">
        <v>43</v>
      </c>
      <c r="E513" s="4">
        <v>0.35199999999999998</v>
      </c>
      <c r="F513" s="4">
        <v>215284.011</v>
      </c>
      <c r="G513" s="4">
        <v>215284.36300000001</v>
      </c>
      <c r="H513" s="5">
        <f>59 / 86400</f>
        <v>6.8287037037037036E-4</v>
      </c>
      <c r="I513" t="s">
        <v>92</v>
      </c>
      <c r="J513" t="s">
        <v>29</v>
      </c>
      <c r="K513" s="5">
        <f>204 / 86400</f>
        <v>2.3611111111111111E-3</v>
      </c>
      <c r="L513" s="5">
        <f>1784 / 86400</f>
        <v>2.0648148148148148E-2</v>
      </c>
    </row>
    <row r="514" spans="1:12" x14ac:dyDescent="0.25">
      <c r="A514" s="3">
        <v>45697.633796296301</v>
      </c>
      <c r="B514" t="s">
        <v>43</v>
      </c>
      <c r="C514" s="3">
        <v>45697.845532407402</v>
      </c>
      <c r="D514" t="s">
        <v>128</v>
      </c>
      <c r="E514" s="4">
        <v>100.172</v>
      </c>
      <c r="F514" s="4">
        <v>215284.36300000001</v>
      </c>
      <c r="G514" s="4">
        <v>215384.535</v>
      </c>
      <c r="H514" s="5">
        <f>5205 / 86400</f>
        <v>6.0243055555555557E-2</v>
      </c>
      <c r="I514" t="s">
        <v>73</v>
      </c>
      <c r="J514" t="s">
        <v>28</v>
      </c>
      <c r="K514" s="5">
        <f>18293 / 86400</f>
        <v>0.21172453703703703</v>
      </c>
      <c r="L514" s="5">
        <f>65 / 86400</f>
        <v>7.5231481481481482E-4</v>
      </c>
    </row>
    <row r="515" spans="1:12" x14ac:dyDescent="0.25">
      <c r="A515" s="3">
        <v>45697.846284722225</v>
      </c>
      <c r="B515" t="s">
        <v>128</v>
      </c>
      <c r="C515" s="3">
        <v>45697.846516203703</v>
      </c>
      <c r="D515" t="s">
        <v>128</v>
      </c>
      <c r="E515" s="4">
        <v>3.0000000000000001E-3</v>
      </c>
      <c r="F515" s="4">
        <v>215384.535</v>
      </c>
      <c r="G515" s="4">
        <v>215384.538</v>
      </c>
      <c r="H515" s="5">
        <f>0 / 86400</f>
        <v>0</v>
      </c>
      <c r="I515" t="s">
        <v>63</v>
      </c>
      <c r="J515" t="s">
        <v>40</v>
      </c>
      <c r="K515" s="5">
        <f>20 / 86400</f>
        <v>2.3148148148148149E-4</v>
      </c>
      <c r="L515" s="5">
        <f>737 / 86400</f>
        <v>8.5300925925925926E-3</v>
      </c>
    </row>
    <row r="516" spans="1:12" x14ac:dyDescent="0.25">
      <c r="A516" s="3">
        <v>45697.855046296296</v>
      </c>
      <c r="B516" t="s">
        <v>128</v>
      </c>
      <c r="C516" s="3">
        <v>45697.973229166666</v>
      </c>
      <c r="D516" t="s">
        <v>331</v>
      </c>
      <c r="E516" s="4">
        <v>52.798000000000002</v>
      </c>
      <c r="F516" s="4">
        <v>215384.538</v>
      </c>
      <c r="G516" s="4">
        <v>215437.33600000001</v>
      </c>
      <c r="H516" s="5">
        <f>3021 / 86400</f>
        <v>3.4965277777777776E-2</v>
      </c>
      <c r="I516" t="s">
        <v>332</v>
      </c>
      <c r="J516" t="s">
        <v>23</v>
      </c>
      <c r="K516" s="5">
        <f>10210 / 86400</f>
        <v>0.1181712962962963</v>
      </c>
      <c r="L516" s="5">
        <f>8 / 86400</f>
        <v>9.2592592592592588E-5</v>
      </c>
    </row>
    <row r="517" spans="1:12" x14ac:dyDescent="0.25">
      <c r="A517" s="3">
        <v>45697.973321759258</v>
      </c>
      <c r="B517" t="s">
        <v>331</v>
      </c>
      <c r="C517" s="3">
        <v>45697.973414351851</v>
      </c>
      <c r="D517" t="s">
        <v>331</v>
      </c>
      <c r="E517" s="4">
        <v>0</v>
      </c>
      <c r="F517" s="4">
        <v>215437.33600000001</v>
      </c>
      <c r="G517" s="4">
        <v>215437.33600000001</v>
      </c>
      <c r="H517" s="5">
        <f>6 / 86400</f>
        <v>6.9444444444444444E-5</v>
      </c>
      <c r="I517" t="s">
        <v>63</v>
      </c>
      <c r="J517" t="s">
        <v>63</v>
      </c>
      <c r="K517" s="5">
        <f>8 / 86400</f>
        <v>9.2592592592592588E-5</v>
      </c>
      <c r="L517" s="5">
        <f>950 / 86400</f>
        <v>1.0995370370370371E-2</v>
      </c>
    </row>
    <row r="518" spans="1:12" x14ac:dyDescent="0.25">
      <c r="A518" s="3">
        <v>45697.984409722223</v>
      </c>
      <c r="B518" t="s">
        <v>239</v>
      </c>
      <c r="C518" s="3">
        <v>45697.98538194444</v>
      </c>
      <c r="D518" t="s">
        <v>44</v>
      </c>
      <c r="E518" s="4">
        <v>0.35099999999999998</v>
      </c>
      <c r="F518" s="4">
        <v>215437.33600000001</v>
      </c>
      <c r="G518" s="4">
        <v>215437.68700000001</v>
      </c>
      <c r="H518" s="5">
        <f>0 / 86400</f>
        <v>0</v>
      </c>
      <c r="I518" t="s">
        <v>81</v>
      </c>
      <c r="J518" t="s">
        <v>175</v>
      </c>
      <c r="K518" s="5">
        <f>84 / 86400</f>
        <v>9.7222222222222219E-4</v>
      </c>
      <c r="L518" s="5">
        <f>1262 / 86400</f>
        <v>1.4606481481481481E-2</v>
      </c>
    </row>
    <row r="519" spans="1:1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</row>
    <row r="520" spans="1:1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</row>
    <row r="521" spans="1:12" s="10" customFormat="1" ht="20.100000000000001" customHeight="1" x14ac:dyDescent="0.35">
      <c r="A521" s="15" t="s">
        <v>407</v>
      </c>
      <c r="B521" s="15"/>
      <c r="C521" s="15"/>
      <c r="D521" s="15"/>
      <c r="E521" s="15"/>
      <c r="F521" s="15"/>
      <c r="G521" s="15"/>
      <c r="H521" s="15"/>
      <c r="I521" s="15"/>
      <c r="J521" s="15"/>
    </row>
    <row r="522" spans="1:1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</row>
    <row r="523" spans="1:12" ht="30" x14ac:dyDescent="0.25">
      <c r="A523" s="2" t="s">
        <v>6</v>
      </c>
      <c r="B523" s="2" t="s">
        <v>7</v>
      </c>
      <c r="C523" s="2" t="s">
        <v>8</v>
      </c>
      <c r="D523" s="2" t="s">
        <v>9</v>
      </c>
      <c r="E523" s="2" t="s">
        <v>10</v>
      </c>
      <c r="F523" s="2" t="s">
        <v>11</v>
      </c>
      <c r="G523" s="2" t="s">
        <v>12</v>
      </c>
      <c r="H523" s="2" t="s">
        <v>13</v>
      </c>
      <c r="I523" s="2" t="s">
        <v>14</v>
      </c>
      <c r="J523" s="2" t="s">
        <v>15</v>
      </c>
      <c r="K523" s="2" t="s">
        <v>16</v>
      </c>
      <c r="L523" s="2" t="s">
        <v>17</v>
      </c>
    </row>
    <row r="524" spans="1:12" x14ac:dyDescent="0.25">
      <c r="A524" s="3">
        <v>45697.265023148153</v>
      </c>
      <c r="B524" t="s">
        <v>46</v>
      </c>
      <c r="C524" s="3">
        <v>45697.271041666667</v>
      </c>
      <c r="D524" t="s">
        <v>213</v>
      </c>
      <c r="E524" s="4">
        <v>1.4989999999403953</v>
      </c>
      <c r="F524" s="4">
        <v>524421.83700000006</v>
      </c>
      <c r="G524" s="4">
        <v>524423.33600000001</v>
      </c>
      <c r="H524" s="5">
        <f>159 / 86400</f>
        <v>1.8402777777777777E-3</v>
      </c>
      <c r="I524" t="s">
        <v>152</v>
      </c>
      <c r="J524" t="s">
        <v>33</v>
      </c>
      <c r="K524" s="5">
        <f>520 / 86400</f>
        <v>6.0185185185185185E-3</v>
      </c>
      <c r="L524" s="5">
        <f>24012 / 86400</f>
        <v>0.27791666666666665</v>
      </c>
    </row>
    <row r="525" spans="1:12" x14ac:dyDescent="0.25">
      <c r="A525" s="3">
        <v>45697.283935185187</v>
      </c>
      <c r="B525" t="s">
        <v>213</v>
      </c>
      <c r="C525" s="3">
        <v>45697.429872685185</v>
      </c>
      <c r="D525" t="s">
        <v>121</v>
      </c>
      <c r="E525" s="4">
        <v>72.477999999999994</v>
      </c>
      <c r="F525" s="4">
        <v>524423.33600000001</v>
      </c>
      <c r="G525" s="4">
        <v>524495.81400000001</v>
      </c>
      <c r="H525" s="5">
        <f>3661 / 86400</f>
        <v>4.2372685185185187E-2</v>
      </c>
      <c r="I525" t="s">
        <v>332</v>
      </c>
      <c r="J525" t="s">
        <v>49</v>
      </c>
      <c r="K525" s="5">
        <f>12608 / 86400</f>
        <v>0.14592592592592593</v>
      </c>
      <c r="L525" s="5">
        <f>796 / 86400</f>
        <v>9.2129629629629627E-3</v>
      </c>
    </row>
    <row r="526" spans="1:12" x14ac:dyDescent="0.25">
      <c r="A526" s="3">
        <v>45697.439085648148</v>
      </c>
      <c r="B526" t="s">
        <v>121</v>
      </c>
      <c r="C526" s="3">
        <v>45697.559467592597</v>
      </c>
      <c r="D526" t="s">
        <v>72</v>
      </c>
      <c r="E526" s="4">
        <v>50.765999999940398</v>
      </c>
      <c r="F526" s="4">
        <v>524495.81400000001</v>
      </c>
      <c r="G526" s="4">
        <v>524546.57999999996</v>
      </c>
      <c r="H526" s="5">
        <f>3580 / 86400</f>
        <v>4.1435185185185186E-2</v>
      </c>
      <c r="I526" t="s">
        <v>158</v>
      </c>
      <c r="J526" t="s">
        <v>20</v>
      </c>
      <c r="K526" s="5">
        <f>10400 / 86400</f>
        <v>0.12037037037037036</v>
      </c>
      <c r="L526" s="5">
        <f>60 / 86400</f>
        <v>6.9444444444444447E-4</v>
      </c>
    </row>
    <row r="527" spans="1:12" x14ac:dyDescent="0.25">
      <c r="A527" s="3">
        <v>45697.560162037036</v>
      </c>
      <c r="B527" t="s">
        <v>72</v>
      </c>
      <c r="C527" s="3">
        <v>45697.561921296292</v>
      </c>
      <c r="D527" t="s">
        <v>72</v>
      </c>
      <c r="E527" s="4">
        <v>0.15100000005960465</v>
      </c>
      <c r="F527" s="4">
        <v>524546.57999999996</v>
      </c>
      <c r="G527" s="4">
        <v>524546.73100000003</v>
      </c>
      <c r="H527" s="5">
        <f>59 / 86400</f>
        <v>6.8287037037037036E-4</v>
      </c>
      <c r="I527" t="s">
        <v>71</v>
      </c>
      <c r="J527" t="s">
        <v>191</v>
      </c>
      <c r="K527" s="5">
        <f>151 / 86400</f>
        <v>1.7476851851851852E-3</v>
      </c>
      <c r="L527" s="5">
        <f>180 / 86400</f>
        <v>2.0833333333333333E-3</v>
      </c>
    </row>
    <row r="528" spans="1:12" x14ac:dyDescent="0.25">
      <c r="A528" s="3">
        <v>45697.564004629632</v>
      </c>
      <c r="B528" t="s">
        <v>72</v>
      </c>
      <c r="C528" s="3">
        <v>45697.601655092592</v>
      </c>
      <c r="D528" t="s">
        <v>170</v>
      </c>
      <c r="E528" s="4">
        <v>31.191999999940396</v>
      </c>
      <c r="F528" s="4">
        <v>524546.73100000003</v>
      </c>
      <c r="G528" s="4">
        <v>524577.92299999995</v>
      </c>
      <c r="H528" s="5">
        <f>400 / 86400</f>
        <v>4.6296296296296294E-3</v>
      </c>
      <c r="I528" t="s">
        <v>48</v>
      </c>
      <c r="J528" t="s">
        <v>129</v>
      </c>
      <c r="K528" s="5">
        <f>3253 / 86400</f>
        <v>3.7650462962962962E-2</v>
      </c>
      <c r="L528" s="5">
        <f>3577 / 86400</f>
        <v>4.1400462962962965E-2</v>
      </c>
    </row>
    <row r="529" spans="1:12" x14ac:dyDescent="0.25">
      <c r="A529" s="3">
        <v>45697.643055555556</v>
      </c>
      <c r="B529" t="s">
        <v>170</v>
      </c>
      <c r="C529" s="3">
        <v>45697.781805555554</v>
      </c>
      <c r="D529" t="s">
        <v>101</v>
      </c>
      <c r="E529" s="4">
        <v>77.352999999999994</v>
      </c>
      <c r="F529" s="4">
        <v>524577.92299999995</v>
      </c>
      <c r="G529" s="4">
        <v>524655.27599999995</v>
      </c>
      <c r="H529" s="5">
        <f>3098 / 86400</f>
        <v>3.5856481481481482E-2</v>
      </c>
      <c r="I529" t="s">
        <v>51</v>
      </c>
      <c r="J529" t="s">
        <v>140</v>
      </c>
      <c r="K529" s="5">
        <f>11987 / 86400</f>
        <v>0.13873842592592592</v>
      </c>
      <c r="L529" s="5">
        <f>660 / 86400</f>
        <v>7.6388888888888886E-3</v>
      </c>
    </row>
    <row r="530" spans="1:12" x14ac:dyDescent="0.25">
      <c r="A530" s="3">
        <v>45697.789444444439</v>
      </c>
      <c r="B530" t="s">
        <v>101</v>
      </c>
      <c r="C530" s="3">
        <v>45697.798645833333</v>
      </c>
      <c r="D530" t="s">
        <v>47</v>
      </c>
      <c r="E530" s="4">
        <v>2.7200000001192093</v>
      </c>
      <c r="F530" s="4">
        <v>524655.27599999995</v>
      </c>
      <c r="G530" s="4">
        <v>524657.99600000004</v>
      </c>
      <c r="H530" s="5">
        <f>299 / 86400</f>
        <v>3.460648148148148E-3</v>
      </c>
      <c r="I530" t="s">
        <v>177</v>
      </c>
      <c r="J530" t="s">
        <v>92</v>
      </c>
      <c r="K530" s="5">
        <f>795 / 86400</f>
        <v>9.2013888888888892E-3</v>
      </c>
      <c r="L530" s="5">
        <f>17396 / 86400</f>
        <v>0.2013425925925926</v>
      </c>
    </row>
    <row r="531" spans="1:1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2" s="10" customFormat="1" ht="20.100000000000001" customHeight="1" x14ac:dyDescent="0.35">
      <c r="A533" s="15" t="s">
        <v>408</v>
      </c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2" ht="30" x14ac:dyDescent="0.25">
      <c r="A535" s="2" t="s">
        <v>6</v>
      </c>
      <c r="B535" s="2" t="s">
        <v>7</v>
      </c>
      <c r="C535" s="2" t="s">
        <v>8</v>
      </c>
      <c r="D535" s="2" t="s">
        <v>9</v>
      </c>
      <c r="E535" s="2" t="s">
        <v>10</v>
      </c>
      <c r="F535" s="2" t="s">
        <v>11</v>
      </c>
      <c r="G535" s="2" t="s">
        <v>12</v>
      </c>
      <c r="H535" s="2" t="s">
        <v>13</v>
      </c>
      <c r="I535" s="2" t="s">
        <v>14</v>
      </c>
      <c r="J535" s="2" t="s">
        <v>15</v>
      </c>
      <c r="K535" s="2" t="s">
        <v>16</v>
      </c>
      <c r="L535" s="2" t="s">
        <v>17</v>
      </c>
    </row>
    <row r="536" spans="1:12" x14ac:dyDescent="0.25">
      <c r="A536" s="3">
        <v>45697.263333333336</v>
      </c>
      <c r="B536" t="s">
        <v>50</v>
      </c>
      <c r="C536" s="3">
        <v>45697.265775462962</v>
      </c>
      <c r="D536" t="s">
        <v>333</v>
      </c>
      <c r="E536" s="4">
        <v>0.34799999999999998</v>
      </c>
      <c r="F536" s="4">
        <v>425320.15500000003</v>
      </c>
      <c r="G536" s="4">
        <v>425320.50300000003</v>
      </c>
      <c r="H536" s="5">
        <f>140 / 86400</f>
        <v>1.6203703703703703E-3</v>
      </c>
      <c r="I536" t="s">
        <v>71</v>
      </c>
      <c r="J536" t="s">
        <v>29</v>
      </c>
      <c r="K536" s="5">
        <f>210 / 86400</f>
        <v>2.4305555555555556E-3</v>
      </c>
      <c r="L536" s="5">
        <f>22925 / 86400</f>
        <v>0.26533564814814814</v>
      </c>
    </row>
    <row r="537" spans="1:12" x14ac:dyDescent="0.25">
      <c r="A537" s="3">
        <v>45697.267777777779</v>
      </c>
      <c r="B537" t="s">
        <v>333</v>
      </c>
      <c r="C537" s="3">
        <v>45697.27853009259</v>
      </c>
      <c r="D537" t="s">
        <v>142</v>
      </c>
      <c r="E537" s="4">
        <v>6.0140000000000002</v>
      </c>
      <c r="F537" s="4">
        <v>425320.50300000003</v>
      </c>
      <c r="G537" s="4">
        <v>425326.51699999999</v>
      </c>
      <c r="H537" s="5">
        <f>220 / 86400</f>
        <v>2.5462962962962965E-3</v>
      </c>
      <c r="I537" t="s">
        <v>91</v>
      </c>
      <c r="J537" t="s">
        <v>140</v>
      </c>
      <c r="K537" s="5">
        <f>928 / 86400</f>
        <v>1.074074074074074E-2</v>
      </c>
      <c r="L537" s="5">
        <f>223 / 86400</f>
        <v>2.5810185185185185E-3</v>
      </c>
    </row>
    <row r="538" spans="1:12" x14ac:dyDescent="0.25">
      <c r="A538" s="3">
        <v>45697.281111111108</v>
      </c>
      <c r="B538" t="s">
        <v>142</v>
      </c>
      <c r="C538" s="3">
        <v>45697.281388888892</v>
      </c>
      <c r="D538" t="s">
        <v>142</v>
      </c>
      <c r="E538" s="4">
        <v>0</v>
      </c>
      <c r="F538" s="4">
        <v>425326.51699999999</v>
      </c>
      <c r="G538" s="4">
        <v>425326.51699999999</v>
      </c>
      <c r="H538" s="5">
        <f>19 / 86400</f>
        <v>2.199074074074074E-4</v>
      </c>
      <c r="I538" t="s">
        <v>63</v>
      </c>
      <c r="J538" t="s">
        <v>63</v>
      </c>
      <c r="K538" s="5">
        <f>23 / 86400</f>
        <v>2.6620370370370372E-4</v>
      </c>
      <c r="L538" s="5">
        <f>182 / 86400</f>
        <v>2.1064814814814813E-3</v>
      </c>
    </row>
    <row r="539" spans="1:12" x14ac:dyDescent="0.25">
      <c r="A539" s="3">
        <v>45697.283495370371</v>
      </c>
      <c r="B539" t="s">
        <v>36</v>
      </c>
      <c r="C539" s="3">
        <v>45697.28429398148</v>
      </c>
      <c r="D539" t="s">
        <v>36</v>
      </c>
      <c r="E539" s="4">
        <v>3.0000000000000001E-3</v>
      </c>
      <c r="F539" s="4">
        <v>425326.51699999999</v>
      </c>
      <c r="G539" s="4">
        <v>425326.52</v>
      </c>
      <c r="H539" s="5">
        <f>59 / 86400</f>
        <v>6.8287037037037036E-4</v>
      </c>
      <c r="I539" t="s">
        <v>63</v>
      </c>
      <c r="J539" t="s">
        <v>63</v>
      </c>
      <c r="K539" s="5">
        <f>68 / 86400</f>
        <v>7.8703703703703705E-4</v>
      </c>
      <c r="L539" s="5">
        <f>176 / 86400</f>
        <v>2.0370370370370369E-3</v>
      </c>
    </row>
    <row r="540" spans="1:12" x14ac:dyDescent="0.25">
      <c r="A540" s="3">
        <v>45697.28633101852</v>
      </c>
      <c r="B540" t="s">
        <v>142</v>
      </c>
      <c r="C540" s="3">
        <v>45697.360405092593</v>
      </c>
      <c r="D540" t="s">
        <v>127</v>
      </c>
      <c r="E540" s="4">
        <v>40.674999999999997</v>
      </c>
      <c r="F540" s="4">
        <v>425326.52</v>
      </c>
      <c r="G540" s="4">
        <v>425367.19500000001</v>
      </c>
      <c r="H540" s="5">
        <f>1218 / 86400</f>
        <v>1.4097222222222223E-2</v>
      </c>
      <c r="I540" t="s">
        <v>218</v>
      </c>
      <c r="J540" t="s">
        <v>140</v>
      </c>
      <c r="K540" s="5">
        <f>6399 / 86400</f>
        <v>7.4062500000000003E-2</v>
      </c>
      <c r="L540" s="5">
        <f>2084 / 86400</f>
        <v>2.4120370370370372E-2</v>
      </c>
    </row>
    <row r="541" spans="1:12" x14ac:dyDescent="0.25">
      <c r="A541" s="3">
        <v>45697.384525462963</v>
      </c>
      <c r="B541" t="s">
        <v>72</v>
      </c>
      <c r="C541" s="3">
        <v>45697.389317129629</v>
      </c>
      <c r="D541" t="s">
        <v>118</v>
      </c>
      <c r="E541" s="4">
        <v>1.361</v>
      </c>
      <c r="F541" s="4">
        <v>425367.19500000001</v>
      </c>
      <c r="G541" s="4">
        <v>425368.55599999998</v>
      </c>
      <c r="H541" s="5">
        <f>99 / 86400</f>
        <v>1.1458333333333333E-3</v>
      </c>
      <c r="I541" t="s">
        <v>173</v>
      </c>
      <c r="J541" t="s">
        <v>92</v>
      </c>
      <c r="K541" s="5">
        <f>413 / 86400</f>
        <v>4.7800925925925927E-3</v>
      </c>
      <c r="L541" s="5">
        <f>1428 / 86400</f>
        <v>1.6527777777777777E-2</v>
      </c>
    </row>
    <row r="542" spans="1:12" x14ac:dyDescent="0.25">
      <c r="A542" s="3">
        <v>45697.405844907407</v>
      </c>
      <c r="B542" t="s">
        <v>118</v>
      </c>
      <c r="C542" s="3">
        <v>45697.413124999999</v>
      </c>
      <c r="D542" t="s">
        <v>127</v>
      </c>
      <c r="E542" s="4">
        <v>1.2030000000000001</v>
      </c>
      <c r="F542" s="4">
        <v>425368.55599999998</v>
      </c>
      <c r="G542" s="4">
        <v>425369.75900000002</v>
      </c>
      <c r="H542" s="5">
        <f>320 / 86400</f>
        <v>3.7037037037037038E-3</v>
      </c>
      <c r="I542" t="s">
        <v>140</v>
      </c>
      <c r="J542" t="s">
        <v>39</v>
      </c>
      <c r="K542" s="5">
        <f>629 / 86400</f>
        <v>7.2800925925925923E-3</v>
      </c>
      <c r="L542" s="5">
        <f>223 / 86400</f>
        <v>2.5810185185185185E-3</v>
      </c>
    </row>
    <row r="543" spans="1:12" x14ac:dyDescent="0.25">
      <c r="A543" s="3">
        <v>45697.415706018517</v>
      </c>
      <c r="B543" t="s">
        <v>127</v>
      </c>
      <c r="C543" s="3">
        <v>45697.416701388887</v>
      </c>
      <c r="D543" t="s">
        <v>127</v>
      </c>
      <c r="E543" s="4">
        <v>0.22600000000000001</v>
      </c>
      <c r="F543" s="4">
        <v>425369.75900000002</v>
      </c>
      <c r="G543" s="4">
        <v>425369.98499999999</v>
      </c>
      <c r="H543" s="5">
        <f>20 / 86400</f>
        <v>2.3148148148148149E-4</v>
      </c>
      <c r="I543" t="s">
        <v>147</v>
      </c>
      <c r="J543" t="s">
        <v>52</v>
      </c>
      <c r="K543" s="5">
        <f>86 / 86400</f>
        <v>9.9537037037037042E-4</v>
      </c>
      <c r="L543" s="5">
        <f>815 / 86400</f>
        <v>9.432870370370371E-3</v>
      </c>
    </row>
    <row r="544" spans="1:12" x14ac:dyDescent="0.25">
      <c r="A544" s="3">
        <v>45697.426134259258</v>
      </c>
      <c r="B544" t="s">
        <v>127</v>
      </c>
      <c r="C544" s="3">
        <v>45697.534814814819</v>
      </c>
      <c r="D544" t="s">
        <v>334</v>
      </c>
      <c r="E544" s="4">
        <v>49.845999999999997</v>
      </c>
      <c r="F544" s="4">
        <v>425369.98499999999</v>
      </c>
      <c r="G544" s="4">
        <v>425419.83100000001</v>
      </c>
      <c r="H544" s="5">
        <f>2560 / 86400</f>
        <v>2.9629629629629631E-2</v>
      </c>
      <c r="I544" t="s">
        <v>76</v>
      </c>
      <c r="J544" t="s">
        <v>23</v>
      </c>
      <c r="K544" s="5">
        <f>9390 / 86400</f>
        <v>0.10868055555555556</v>
      </c>
      <c r="L544" s="5">
        <f>100 / 86400</f>
        <v>1.1574074074074073E-3</v>
      </c>
    </row>
    <row r="545" spans="1:12" x14ac:dyDescent="0.25">
      <c r="A545" s="3">
        <v>45697.53597222222</v>
      </c>
      <c r="B545" t="s">
        <v>334</v>
      </c>
      <c r="C545" s="3">
        <v>45697.640127314815</v>
      </c>
      <c r="D545" t="s">
        <v>72</v>
      </c>
      <c r="E545" s="4">
        <v>51.002000000000002</v>
      </c>
      <c r="F545" s="4">
        <v>425419.83100000001</v>
      </c>
      <c r="G545" s="4">
        <v>425470.83299999998</v>
      </c>
      <c r="H545" s="5">
        <f>2280 / 86400</f>
        <v>2.6388888888888889E-2</v>
      </c>
      <c r="I545" t="s">
        <v>94</v>
      </c>
      <c r="J545" t="s">
        <v>28</v>
      </c>
      <c r="K545" s="5">
        <f>8998 / 86400</f>
        <v>0.10414351851851852</v>
      </c>
      <c r="L545" s="5">
        <f>411 / 86400</f>
        <v>4.7569444444444447E-3</v>
      </c>
    </row>
    <row r="546" spans="1:12" x14ac:dyDescent="0.25">
      <c r="A546" s="3">
        <v>45697.644884259258</v>
      </c>
      <c r="B546" t="s">
        <v>72</v>
      </c>
      <c r="C546" s="3">
        <v>45697.64576388889</v>
      </c>
      <c r="D546" t="s">
        <v>72</v>
      </c>
      <c r="E546" s="4">
        <v>2.9000000000000001E-2</v>
      </c>
      <c r="F546" s="4">
        <v>425470.83299999998</v>
      </c>
      <c r="G546" s="4">
        <v>425470.86200000002</v>
      </c>
      <c r="H546" s="5">
        <f>40 / 86400</f>
        <v>4.6296296296296298E-4</v>
      </c>
      <c r="I546" t="s">
        <v>82</v>
      </c>
      <c r="J546" t="s">
        <v>40</v>
      </c>
      <c r="K546" s="5">
        <f>75 / 86400</f>
        <v>8.6805555555555551E-4</v>
      </c>
      <c r="L546" s="5">
        <f>3629 / 86400</f>
        <v>4.2002314814814812E-2</v>
      </c>
    </row>
    <row r="547" spans="1:12" x14ac:dyDescent="0.25">
      <c r="A547" s="3">
        <v>45697.6877662037</v>
      </c>
      <c r="B547" t="s">
        <v>72</v>
      </c>
      <c r="C547" s="3">
        <v>45697.775555555556</v>
      </c>
      <c r="D547" t="s">
        <v>252</v>
      </c>
      <c r="E547" s="4">
        <v>38.853999999999999</v>
      </c>
      <c r="F547" s="4">
        <v>425470.86200000002</v>
      </c>
      <c r="G547" s="4">
        <v>425509.71600000001</v>
      </c>
      <c r="H547" s="5">
        <f>2359 / 86400</f>
        <v>2.7303240740740739E-2</v>
      </c>
      <c r="I547" t="s">
        <v>37</v>
      </c>
      <c r="J547" t="s">
        <v>20</v>
      </c>
      <c r="K547" s="5">
        <f>7584 / 86400</f>
        <v>8.7777777777777774E-2</v>
      </c>
      <c r="L547" s="5">
        <f>234 / 86400</f>
        <v>2.7083333333333334E-3</v>
      </c>
    </row>
    <row r="548" spans="1:12" x14ac:dyDescent="0.25">
      <c r="A548" s="3">
        <v>45697.778263888889</v>
      </c>
      <c r="B548" t="s">
        <v>252</v>
      </c>
      <c r="C548" s="3">
        <v>45697.781053240746</v>
      </c>
      <c r="D548" t="s">
        <v>36</v>
      </c>
      <c r="E548" s="4">
        <v>0.47699999999999998</v>
      </c>
      <c r="F548" s="4">
        <v>425509.71600000001</v>
      </c>
      <c r="G548" s="4">
        <v>425510.19300000003</v>
      </c>
      <c r="H548" s="5">
        <f>120 / 86400</f>
        <v>1.3888888888888889E-3</v>
      </c>
      <c r="I548" t="s">
        <v>140</v>
      </c>
      <c r="J548" t="s">
        <v>39</v>
      </c>
      <c r="K548" s="5">
        <f>241 / 86400</f>
        <v>2.7893518518518519E-3</v>
      </c>
      <c r="L548" s="5">
        <f>65 / 86400</f>
        <v>7.5231481481481482E-4</v>
      </c>
    </row>
    <row r="549" spans="1:12" x14ac:dyDescent="0.25">
      <c r="A549" s="3">
        <v>45697.781805555554</v>
      </c>
      <c r="B549" t="s">
        <v>335</v>
      </c>
      <c r="C549" s="3">
        <v>45697.814305555556</v>
      </c>
      <c r="D549" t="s">
        <v>336</v>
      </c>
      <c r="E549" s="4">
        <v>8.5169999999999995</v>
      </c>
      <c r="F549" s="4">
        <v>425510.19300000003</v>
      </c>
      <c r="G549" s="4">
        <v>425518.71</v>
      </c>
      <c r="H549" s="5">
        <f>1399 / 86400</f>
        <v>1.6192129629629629E-2</v>
      </c>
      <c r="I549" t="s">
        <v>220</v>
      </c>
      <c r="J549" t="s">
        <v>120</v>
      </c>
      <c r="K549" s="5">
        <f>2808 / 86400</f>
        <v>3.2500000000000001E-2</v>
      </c>
      <c r="L549" s="5">
        <f>240 / 86400</f>
        <v>2.7777777777777779E-3</v>
      </c>
    </row>
    <row r="550" spans="1:12" x14ac:dyDescent="0.25">
      <c r="A550" s="3">
        <v>45697.817083333328</v>
      </c>
      <c r="B550" t="s">
        <v>336</v>
      </c>
      <c r="C550" s="3">
        <v>45697.822465277779</v>
      </c>
      <c r="D550" t="s">
        <v>50</v>
      </c>
      <c r="E550" s="4">
        <v>0.38300000000000001</v>
      </c>
      <c r="F550" s="4">
        <v>425518.71</v>
      </c>
      <c r="G550" s="4">
        <v>425519.09299999999</v>
      </c>
      <c r="H550" s="5">
        <f>260 / 86400</f>
        <v>3.0092592592592593E-3</v>
      </c>
      <c r="I550" t="s">
        <v>92</v>
      </c>
      <c r="J550" t="s">
        <v>125</v>
      </c>
      <c r="K550" s="5">
        <f>465 / 86400</f>
        <v>5.3819444444444444E-3</v>
      </c>
      <c r="L550" s="5">
        <f>15338 / 86400</f>
        <v>0.17752314814814815</v>
      </c>
    </row>
    <row r="551" spans="1:1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s="10" customFormat="1" ht="20.100000000000001" customHeight="1" x14ac:dyDescent="0.35">
      <c r="A553" s="15" t="s">
        <v>409</v>
      </c>
      <c r="B553" s="15"/>
      <c r="C553" s="15"/>
      <c r="D553" s="15"/>
      <c r="E553" s="15"/>
      <c r="F553" s="15"/>
      <c r="G553" s="15"/>
      <c r="H553" s="15"/>
      <c r="I553" s="15"/>
      <c r="J553" s="15"/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ht="30" x14ac:dyDescent="0.25">
      <c r="A555" s="2" t="s">
        <v>6</v>
      </c>
      <c r="B555" s="2" t="s">
        <v>7</v>
      </c>
      <c r="C555" s="2" t="s">
        <v>8</v>
      </c>
      <c r="D555" s="2" t="s">
        <v>9</v>
      </c>
      <c r="E555" s="2" t="s">
        <v>10</v>
      </c>
      <c r="F555" s="2" t="s">
        <v>11</v>
      </c>
      <c r="G555" s="2" t="s">
        <v>12</v>
      </c>
      <c r="H555" s="2" t="s">
        <v>13</v>
      </c>
      <c r="I555" s="2" t="s">
        <v>14</v>
      </c>
      <c r="J555" s="2" t="s">
        <v>15</v>
      </c>
      <c r="K555" s="2" t="s">
        <v>16</v>
      </c>
      <c r="L555" s="2" t="s">
        <v>17</v>
      </c>
    </row>
    <row r="556" spans="1:12" x14ac:dyDescent="0.25">
      <c r="A556" s="3">
        <v>45697.272280092591</v>
      </c>
      <c r="B556" t="s">
        <v>27</v>
      </c>
      <c r="C556" s="3">
        <v>45697.290879629625</v>
      </c>
      <c r="D556" t="s">
        <v>24</v>
      </c>
      <c r="E556" s="4">
        <v>2.4750000000000001</v>
      </c>
      <c r="F556" s="4">
        <v>12105.512000000001</v>
      </c>
      <c r="G556" s="4">
        <v>12107.986999999999</v>
      </c>
      <c r="H556" s="5">
        <f>1059 / 86400</f>
        <v>1.2256944444444445E-2</v>
      </c>
      <c r="I556" t="s">
        <v>209</v>
      </c>
      <c r="J556" t="s">
        <v>29</v>
      </c>
      <c r="K556" s="5">
        <f>1607 / 86400</f>
        <v>1.8599537037037036E-2</v>
      </c>
      <c r="L556" s="5">
        <f>23578 / 86400</f>
        <v>0.27289351851851851</v>
      </c>
    </row>
    <row r="557" spans="1:12" x14ac:dyDescent="0.25">
      <c r="A557" s="3">
        <v>45697.291493055556</v>
      </c>
      <c r="B557" t="s">
        <v>24</v>
      </c>
      <c r="C557" s="3">
        <v>45697.347314814819</v>
      </c>
      <c r="D557" t="s">
        <v>337</v>
      </c>
      <c r="E557" s="4">
        <v>23.395</v>
      </c>
      <c r="F557" s="4">
        <v>12107.986999999999</v>
      </c>
      <c r="G557" s="4">
        <v>12131.382</v>
      </c>
      <c r="H557" s="5">
        <f>1380 / 86400</f>
        <v>1.5972222222222221E-2</v>
      </c>
      <c r="I557" t="s">
        <v>133</v>
      </c>
      <c r="J557" t="s">
        <v>71</v>
      </c>
      <c r="K557" s="5">
        <f>4823 / 86400</f>
        <v>5.5821759259259258E-2</v>
      </c>
      <c r="L557" s="5">
        <f>50 / 86400</f>
        <v>5.7870370370370367E-4</v>
      </c>
    </row>
    <row r="558" spans="1:12" x14ac:dyDescent="0.25">
      <c r="A558" s="3">
        <v>45697.347893518519</v>
      </c>
      <c r="B558" t="s">
        <v>337</v>
      </c>
      <c r="C558" s="3">
        <v>45697.361597222218</v>
      </c>
      <c r="D558" t="s">
        <v>338</v>
      </c>
      <c r="E558" s="4">
        <v>5.649</v>
      </c>
      <c r="F558" s="4">
        <v>12131.382</v>
      </c>
      <c r="G558" s="4">
        <v>12137.031000000001</v>
      </c>
      <c r="H558" s="5">
        <f>419 / 86400</f>
        <v>4.8495370370370368E-3</v>
      </c>
      <c r="I558" t="s">
        <v>217</v>
      </c>
      <c r="J558" t="s">
        <v>71</v>
      </c>
      <c r="K558" s="5">
        <f>1183 / 86400</f>
        <v>1.369212962962963E-2</v>
      </c>
      <c r="L558" s="5">
        <f>56 / 86400</f>
        <v>6.4814814814814813E-4</v>
      </c>
    </row>
    <row r="559" spans="1:12" x14ac:dyDescent="0.25">
      <c r="A559" s="3">
        <v>45697.362245370372</v>
      </c>
      <c r="B559" t="s">
        <v>338</v>
      </c>
      <c r="C559" s="3">
        <v>45697.470231481479</v>
      </c>
      <c r="D559" t="s">
        <v>72</v>
      </c>
      <c r="E559" s="4">
        <v>49.323999999999998</v>
      </c>
      <c r="F559" s="4">
        <v>12137.031000000001</v>
      </c>
      <c r="G559" s="4">
        <v>12186.355</v>
      </c>
      <c r="H559" s="5">
        <f>2839 / 86400</f>
        <v>3.2858796296296296E-2</v>
      </c>
      <c r="I559" t="s">
        <v>37</v>
      </c>
      <c r="J559" t="s">
        <v>23</v>
      </c>
      <c r="K559" s="5">
        <f>9329 / 86400</f>
        <v>0.10797453703703704</v>
      </c>
      <c r="L559" s="5">
        <f>79 / 86400</f>
        <v>9.1435185185185185E-4</v>
      </c>
    </row>
    <row r="560" spans="1:12" x14ac:dyDescent="0.25">
      <c r="A560" s="3">
        <v>45697.471145833333</v>
      </c>
      <c r="B560" t="s">
        <v>72</v>
      </c>
      <c r="C560" s="3">
        <v>45697.47519675926</v>
      </c>
      <c r="D560" t="s">
        <v>41</v>
      </c>
      <c r="E560" s="4">
        <v>1.232</v>
      </c>
      <c r="F560" s="4">
        <v>12186.355</v>
      </c>
      <c r="G560" s="4">
        <v>12187.587</v>
      </c>
      <c r="H560" s="5">
        <f>40 / 86400</f>
        <v>4.6296296296296298E-4</v>
      </c>
      <c r="I560" t="s">
        <v>32</v>
      </c>
      <c r="J560" t="s">
        <v>147</v>
      </c>
      <c r="K560" s="5">
        <f>349 / 86400</f>
        <v>4.0393518518518521E-3</v>
      </c>
      <c r="L560" s="5">
        <f>2798 / 86400</f>
        <v>3.2384259259259258E-2</v>
      </c>
    </row>
    <row r="561" spans="1:12" x14ac:dyDescent="0.25">
      <c r="A561" s="3">
        <v>45697.505925925929</v>
      </c>
      <c r="B561" t="s">
        <v>41</v>
      </c>
      <c r="C561" s="3">
        <v>45697.506921296299</v>
      </c>
      <c r="D561" t="s">
        <v>43</v>
      </c>
      <c r="E561" s="4">
        <v>0.152</v>
      </c>
      <c r="F561" s="4">
        <v>12187.587</v>
      </c>
      <c r="G561" s="4">
        <v>12187.739</v>
      </c>
      <c r="H561" s="5">
        <f>39 / 86400</f>
        <v>4.5138888888888887E-4</v>
      </c>
      <c r="I561" t="s">
        <v>95</v>
      </c>
      <c r="J561" t="s">
        <v>29</v>
      </c>
      <c r="K561" s="5">
        <f>86 / 86400</f>
        <v>9.9537037037037042E-4</v>
      </c>
      <c r="L561" s="5">
        <f>0 / 86400</f>
        <v>0</v>
      </c>
    </row>
    <row r="562" spans="1:12" x14ac:dyDescent="0.25">
      <c r="A562" s="3">
        <v>45697.507581018523</v>
      </c>
      <c r="B562" t="s">
        <v>122</v>
      </c>
      <c r="C562" s="3">
        <v>45697.509942129633</v>
      </c>
      <c r="D562" t="s">
        <v>118</v>
      </c>
      <c r="E562" s="4">
        <v>0.85199999999999998</v>
      </c>
      <c r="F562" s="4">
        <v>12187.739</v>
      </c>
      <c r="G562" s="4">
        <v>12188.591</v>
      </c>
      <c r="H562" s="5">
        <f>20 / 86400</f>
        <v>2.3148148148148149E-4</v>
      </c>
      <c r="I562" t="s">
        <v>137</v>
      </c>
      <c r="J562" t="s">
        <v>175</v>
      </c>
      <c r="K562" s="5">
        <f>203 / 86400</f>
        <v>2.3495370370370371E-3</v>
      </c>
      <c r="L562" s="5">
        <f>668 / 86400</f>
        <v>7.7314814814814815E-3</v>
      </c>
    </row>
    <row r="563" spans="1:12" x14ac:dyDescent="0.25">
      <c r="A563" s="3">
        <v>45697.51767361111</v>
      </c>
      <c r="B563" t="s">
        <v>118</v>
      </c>
      <c r="C563" s="3">
        <v>45697.740393518514</v>
      </c>
      <c r="D563" t="s">
        <v>261</v>
      </c>
      <c r="E563" s="4">
        <v>104.521</v>
      </c>
      <c r="F563" s="4">
        <v>12188.591</v>
      </c>
      <c r="G563" s="4">
        <v>12293.111999999999</v>
      </c>
      <c r="H563" s="5">
        <f>6031 / 86400</f>
        <v>6.9803240740740735E-2</v>
      </c>
      <c r="I563" t="s">
        <v>51</v>
      </c>
      <c r="J563" t="s">
        <v>28</v>
      </c>
      <c r="K563" s="5">
        <f>19243 / 86400</f>
        <v>0.22271990740740741</v>
      </c>
      <c r="L563" s="5">
        <f>128 / 86400</f>
        <v>1.4814814814814814E-3</v>
      </c>
    </row>
    <row r="564" spans="1:12" x14ac:dyDescent="0.25">
      <c r="A564" s="3">
        <v>45697.741875</v>
      </c>
      <c r="B564" t="s">
        <v>261</v>
      </c>
      <c r="C564" s="3">
        <v>45697.742361111115</v>
      </c>
      <c r="D564" t="s">
        <v>261</v>
      </c>
      <c r="E564" s="4">
        <v>0.14000000000000001</v>
      </c>
      <c r="F564" s="4">
        <v>12293.111999999999</v>
      </c>
      <c r="G564" s="4">
        <v>12293.252</v>
      </c>
      <c r="H564" s="5">
        <f>0 / 86400</f>
        <v>0</v>
      </c>
      <c r="I564" t="s">
        <v>175</v>
      </c>
      <c r="J564" t="s">
        <v>92</v>
      </c>
      <c r="K564" s="5">
        <f>41 / 86400</f>
        <v>4.7453703703703704E-4</v>
      </c>
      <c r="L564" s="5">
        <f>172 / 86400</f>
        <v>1.9907407407407408E-3</v>
      </c>
    </row>
    <row r="565" spans="1:12" x14ac:dyDescent="0.25">
      <c r="A565" s="3">
        <v>45697.744351851856</v>
      </c>
      <c r="B565" t="s">
        <v>261</v>
      </c>
      <c r="C565" s="3">
        <v>45697.748495370368</v>
      </c>
      <c r="D565" t="s">
        <v>261</v>
      </c>
      <c r="E565" s="4">
        <v>1.0580000000000001</v>
      </c>
      <c r="F565" s="4">
        <v>12293.252</v>
      </c>
      <c r="G565" s="4">
        <v>12294.31</v>
      </c>
      <c r="H565" s="5">
        <f>80 / 86400</f>
        <v>9.2592592592592596E-4</v>
      </c>
      <c r="I565" t="s">
        <v>49</v>
      </c>
      <c r="J565" t="s">
        <v>120</v>
      </c>
      <c r="K565" s="5">
        <f>357 / 86400</f>
        <v>4.1319444444444442E-3</v>
      </c>
      <c r="L565" s="5">
        <f>225 / 86400</f>
        <v>2.6041666666666665E-3</v>
      </c>
    </row>
    <row r="566" spans="1:12" x14ac:dyDescent="0.25">
      <c r="A566" s="3">
        <v>45697.751099537039</v>
      </c>
      <c r="B566" t="s">
        <v>261</v>
      </c>
      <c r="C566" s="3">
        <v>45697.756273148145</v>
      </c>
      <c r="D566" t="s">
        <v>27</v>
      </c>
      <c r="E566" s="4">
        <v>1.2769999999999999</v>
      </c>
      <c r="F566" s="4">
        <v>12294.31</v>
      </c>
      <c r="G566" s="4">
        <v>12295.587</v>
      </c>
      <c r="H566" s="5">
        <f>121 / 86400</f>
        <v>1.4004629629629629E-3</v>
      </c>
      <c r="I566" t="s">
        <v>81</v>
      </c>
      <c r="J566" t="s">
        <v>33</v>
      </c>
      <c r="K566" s="5">
        <f>446 / 86400</f>
        <v>5.162037037037037E-3</v>
      </c>
      <c r="L566" s="5">
        <f>21057 / 86400</f>
        <v>0.24371527777777777</v>
      </c>
    </row>
    <row r="567" spans="1:1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2" s="10" customFormat="1" ht="20.100000000000001" customHeight="1" x14ac:dyDescent="0.35">
      <c r="A569" s="15" t="s">
        <v>410</v>
      </c>
      <c r="B569" s="15"/>
      <c r="C569" s="15"/>
      <c r="D569" s="15"/>
      <c r="E569" s="15"/>
      <c r="F569" s="15"/>
      <c r="G569" s="15"/>
      <c r="H569" s="15"/>
      <c r="I569" s="15"/>
      <c r="J569" s="15"/>
    </row>
    <row r="570" spans="1:1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2" ht="30" x14ac:dyDescent="0.25">
      <c r="A571" s="2" t="s">
        <v>6</v>
      </c>
      <c r="B571" s="2" t="s">
        <v>7</v>
      </c>
      <c r="C571" s="2" t="s">
        <v>8</v>
      </c>
      <c r="D571" s="2" t="s">
        <v>9</v>
      </c>
      <c r="E571" s="2" t="s">
        <v>10</v>
      </c>
      <c r="F571" s="2" t="s">
        <v>11</v>
      </c>
      <c r="G571" s="2" t="s">
        <v>12</v>
      </c>
      <c r="H571" s="2" t="s">
        <v>13</v>
      </c>
      <c r="I571" s="2" t="s">
        <v>14</v>
      </c>
      <c r="J571" s="2" t="s">
        <v>15</v>
      </c>
      <c r="K571" s="2" t="s">
        <v>16</v>
      </c>
      <c r="L571" s="2" t="s">
        <v>17</v>
      </c>
    </row>
    <row r="572" spans="1:12" x14ac:dyDescent="0.25">
      <c r="A572" s="3">
        <v>45697.272152777776</v>
      </c>
      <c r="B572" t="s">
        <v>27</v>
      </c>
      <c r="C572" s="3">
        <v>45697.278831018513</v>
      </c>
      <c r="D572" t="s">
        <v>27</v>
      </c>
      <c r="E572" s="4">
        <v>0.124</v>
      </c>
      <c r="F572" s="4">
        <v>5063.6940000000004</v>
      </c>
      <c r="G572" s="4">
        <v>5063.8180000000002</v>
      </c>
      <c r="H572" s="5">
        <f>419 / 86400</f>
        <v>4.8495370370370368E-3</v>
      </c>
      <c r="I572" t="s">
        <v>52</v>
      </c>
      <c r="J572" t="s">
        <v>40</v>
      </c>
      <c r="K572" s="5">
        <f>577 / 86400</f>
        <v>6.6782407407407407E-3</v>
      </c>
      <c r="L572" s="5">
        <f>85822 / 86400</f>
        <v>0.99331018518518521</v>
      </c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2" s="10" customFormat="1" ht="20.100000000000001" customHeight="1" x14ac:dyDescent="0.35">
      <c r="A575" s="15" t="s">
        <v>411</v>
      </c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2" ht="30" x14ac:dyDescent="0.25">
      <c r="A577" s="2" t="s">
        <v>6</v>
      </c>
      <c r="B577" s="2" t="s">
        <v>7</v>
      </c>
      <c r="C577" s="2" t="s">
        <v>8</v>
      </c>
      <c r="D577" s="2" t="s">
        <v>9</v>
      </c>
      <c r="E577" s="2" t="s">
        <v>10</v>
      </c>
      <c r="F577" s="2" t="s">
        <v>11</v>
      </c>
      <c r="G577" s="2" t="s">
        <v>12</v>
      </c>
      <c r="H577" s="2" t="s">
        <v>13</v>
      </c>
      <c r="I577" s="2" t="s">
        <v>14</v>
      </c>
      <c r="J577" s="2" t="s">
        <v>15</v>
      </c>
      <c r="K577" s="2" t="s">
        <v>16</v>
      </c>
      <c r="L577" s="2" t="s">
        <v>17</v>
      </c>
    </row>
    <row r="578" spans="1:12" x14ac:dyDescent="0.25">
      <c r="A578" s="3">
        <v>45697.315787037034</v>
      </c>
      <c r="B578" t="s">
        <v>53</v>
      </c>
      <c r="C578" s="3">
        <v>45697.367638888885</v>
      </c>
      <c r="D578" t="s">
        <v>58</v>
      </c>
      <c r="E578" s="4">
        <v>31.811</v>
      </c>
      <c r="F578" s="4">
        <v>392069.90600000002</v>
      </c>
      <c r="G578" s="4">
        <v>392101.717</v>
      </c>
      <c r="H578" s="5">
        <f>1219 / 86400</f>
        <v>1.4108796296296296E-2</v>
      </c>
      <c r="I578" t="s">
        <v>133</v>
      </c>
      <c r="J578" t="s">
        <v>137</v>
      </c>
      <c r="K578" s="5">
        <f>4480 / 86400</f>
        <v>5.185185185185185E-2</v>
      </c>
      <c r="L578" s="5">
        <f>27419 / 86400</f>
        <v>0.31734953703703705</v>
      </c>
    </row>
    <row r="579" spans="1:12" x14ac:dyDescent="0.25">
      <c r="A579" s="3">
        <v>45697.369201388894</v>
      </c>
      <c r="B579" t="s">
        <v>58</v>
      </c>
      <c r="C579" s="3">
        <v>45697.374699074076</v>
      </c>
      <c r="D579" t="s">
        <v>58</v>
      </c>
      <c r="E579" s="4">
        <v>5.0999999999999997E-2</v>
      </c>
      <c r="F579" s="4">
        <v>392101.717</v>
      </c>
      <c r="G579" s="4">
        <v>392101.76799999998</v>
      </c>
      <c r="H579" s="5">
        <f>419 / 86400</f>
        <v>4.8495370370370368E-3</v>
      </c>
      <c r="I579" t="s">
        <v>39</v>
      </c>
      <c r="J579" t="s">
        <v>63</v>
      </c>
      <c r="K579" s="5">
        <f>474 / 86400</f>
        <v>5.4861111111111109E-3</v>
      </c>
      <c r="L579" s="5">
        <f>552 / 86400</f>
        <v>6.3888888888888893E-3</v>
      </c>
    </row>
    <row r="580" spans="1:12" x14ac:dyDescent="0.25">
      <c r="A580" s="3">
        <v>45697.38108796296</v>
      </c>
      <c r="B580" t="s">
        <v>58</v>
      </c>
      <c r="C580" s="3">
        <v>45697.384004629625</v>
      </c>
      <c r="D580" t="s">
        <v>118</v>
      </c>
      <c r="E580" s="4">
        <v>1.119</v>
      </c>
      <c r="F580" s="4">
        <v>392101.76799999998</v>
      </c>
      <c r="G580" s="4">
        <v>392102.88699999999</v>
      </c>
      <c r="H580" s="5">
        <f>0 / 86400</f>
        <v>0</v>
      </c>
      <c r="I580" t="s">
        <v>189</v>
      </c>
      <c r="J580" t="s">
        <v>95</v>
      </c>
      <c r="K580" s="5">
        <f>251 / 86400</f>
        <v>2.9050925925925928E-3</v>
      </c>
      <c r="L580" s="5">
        <f>3052 / 86400</f>
        <v>3.5324074074074077E-2</v>
      </c>
    </row>
    <row r="581" spans="1:12" x14ac:dyDescent="0.25">
      <c r="A581" s="3">
        <v>45697.419328703705</v>
      </c>
      <c r="B581" t="s">
        <v>118</v>
      </c>
      <c r="C581" s="3">
        <v>45697.542453703703</v>
      </c>
      <c r="D581" t="s">
        <v>144</v>
      </c>
      <c r="E581" s="4">
        <v>51.091999999999999</v>
      </c>
      <c r="F581" s="4">
        <v>392102.88699999999</v>
      </c>
      <c r="G581" s="4">
        <v>392153.97899999999</v>
      </c>
      <c r="H581" s="5">
        <f>4440 / 86400</f>
        <v>5.1388888888888887E-2</v>
      </c>
      <c r="I581" t="s">
        <v>19</v>
      </c>
      <c r="J581" t="s">
        <v>71</v>
      </c>
      <c r="K581" s="5">
        <f>10637 / 86400</f>
        <v>0.12311342592592593</v>
      </c>
      <c r="L581" s="5">
        <f>2191 / 86400</f>
        <v>2.5358796296296296E-2</v>
      </c>
    </row>
    <row r="582" spans="1:12" x14ac:dyDescent="0.25">
      <c r="A582" s="3">
        <v>45697.567812499998</v>
      </c>
      <c r="B582" t="s">
        <v>144</v>
      </c>
      <c r="C582" s="3">
        <v>45697.669317129628</v>
      </c>
      <c r="D582" t="s">
        <v>122</v>
      </c>
      <c r="E582" s="4">
        <v>50.816000000000003</v>
      </c>
      <c r="F582" s="4">
        <v>392153.97899999999</v>
      </c>
      <c r="G582" s="4">
        <v>392204.79499999998</v>
      </c>
      <c r="H582" s="5">
        <f>2699 / 86400</f>
        <v>3.1238425925925926E-2</v>
      </c>
      <c r="I582" t="s">
        <v>158</v>
      </c>
      <c r="J582" t="s">
        <v>49</v>
      </c>
      <c r="K582" s="5">
        <f>8769 / 86400</f>
        <v>0.10149305555555556</v>
      </c>
      <c r="L582" s="5">
        <f>1469 / 86400</f>
        <v>1.7002314814814814E-2</v>
      </c>
    </row>
    <row r="583" spans="1:12" x14ac:dyDescent="0.25">
      <c r="A583" s="3">
        <v>45697.686319444445</v>
      </c>
      <c r="B583" t="s">
        <v>122</v>
      </c>
      <c r="C583" s="3">
        <v>45697.687118055561</v>
      </c>
      <c r="D583" t="s">
        <v>122</v>
      </c>
      <c r="E583" s="4">
        <v>0.14000000000000001</v>
      </c>
      <c r="F583" s="4">
        <v>392204.79499999998</v>
      </c>
      <c r="G583" s="4">
        <v>392204.935</v>
      </c>
      <c r="H583" s="5">
        <f>39 / 86400</f>
        <v>4.5138888888888887E-4</v>
      </c>
      <c r="I583" t="s">
        <v>52</v>
      </c>
      <c r="J583" t="s">
        <v>39</v>
      </c>
      <c r="K583" s="5">
        <f>68 / 86400</f>
        <v>7.8703703703703705E-4</v>
      </c>
      <c r="L583" s="5">
        <f>912 / 86400</f>
        <v>1.0555555555555556E-2</v>
      </c>
    </row>
    <row r="584" spans="1:12" x14ac:dyDescent="0.25">
      <c r="A584" s="3">
        <v>45697.69767361111</v>
      </c>
      <c r="B584" t="s">
        <v>122</v>
      </c>
      <c r="C584" s="3">
        <v>45697.96597222222</v>
      </c>
      <c r="D584" t="s">
        <v>339</v>
      </c>
      <c r="E584" s="4">
        <v>117.504</v>
      </c>
      <c r="F584" s="4">
        <v>392204.935</v>
      </c>
      <c r="G584" s="4">
        <v>392322.43900000001</v>
      </c>
      <c r="H584" s="5">
        <f>7951 / 86400</f>
        <v>9.2025462962962962E-2</v>
      </c>
      <c r="I584" t="s">
        <v>328</v>
      </c>
      <c r="J584" t="s">
        <v>20</v>
      </c>
      <c r="K584" s="5">
        <f>23181 / 86400</f>
        <v>0.26829861111111108</v>
      </c>
      <c r="L584" s="5">
        <f>1531 / 86400</f>
        <v>1.7719907407407406E-2</v>
      </c>
    </row>
    <row r="585" spans="1:12" x14ac:dyDescent="0.25">
      <c r="A585" s="3">
        <v>45697.98369212963</v>
      </c>
      <c r="B585" t="s">
        <v>339</v>
      </c>
      <c r="C585" s="3">
        <v>45697.985949074078</v>
      </c>
      <c r="D585" t="s">
        <v>101</v>
      </c>
      <c r="E585" s="4">
        <v>0.85</v>
      </c>
      <c r="F585" s="4">
        <v>392322.43900000001</v>
      </c>
      <c r="G585" s="4">
        <v>392323.28899999999</v>
      </c>
      <c r="H585" s="5">
        <f>19 / 86400</f>
        <v>2.199074074074074E-4</v>
      </c>
      <c r="I585" t="s">
        <v>173</v>
      </c>
      <c r="J585" t="s">
        <v>95</v>
      </c>
      <c r="K585" s="5">
        <f>194 / 86400</f>
        <v>2.2453703703703702E-3</v>
      </c>
      <c r="L585" s="5">
        <f>222 / 86400</f>
        <v>2.5694444444444445E-3</v>
      </c>
    </row>
    <row r="586" spans="1:12" x14ac:dyDescent="0.25">
      <c r="A586" s="3">
        <v>45697.988518518519</v>
      </c>
      <c r="B586" t="s">
        <v>101</v>
      </c>
      <c r="C586" s="3">
        <v>45697.993298611109</v>
      </c>
      <c r="D586" t="s">
        <v>54</v>
      </c>
      <c r="E586" s="4">
        <v>2.4009999999999998</v>
      </c>
      <c r="F586" s="4">
        <v>392323.28899999999</v>
      </c>
      <c r="G586" s="4">
        <v>392325.69</v>
      </c>
      <c r="H586" s="5">
        <f>160 / 86400</f>
        <v>1.8518518518518519E-3</v>
      </c>
      <c r="I586" t="s">
        <v>216</v>
      </c>
      <c r="J586" t="s">
        <v>49</v>
      </c>
      <c r="K586" s="5">
        <f>412 / 86400</f>
        <v>4.7685185185185183E-3</v>
      </c>
      <c r="L586" s="5">
        <f>578 / 86400</f>
        <v>6.6898148148148151E-3</v>
      </c>
    </row>
    <row r="587" spans="1:1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2" s="10" customFormat="1" ht="20.100000000000001" customHeight="1" x14ac:dyDescent="0.35">
      <c r="A589" s="15" t="s">
        <v>412</v>
      </c>
      <c r="B589" s="15"/>
      <c r="C589" s="15"/>
      <c r="D589" s="15"/>
      <c r="E589" s="15"/>
      <c r="F589" s="15"/>
      <c r="G589" s="15"/>
      <c r="H589" s="15"/>
      <c r="I589" s="15"/>
      <c r="J589" s="15"/>
    </row>
    <row r="590" spans="1:1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</row>
    <row r="591" spans="1:12" ht="30" x14ac:dyDescent="0.25">
      <c r="A591" s="2" t="s">
        <v>6</v>
      </c>
      <c r="B591" s="2" t="s">
        <v>7</v>
      </c>
      <c r="C591" s="2" t="s">
        <v>8</v>
      </c>
      <c r="D591" s="2" t="s">
        <v>9</v>
      </c>
      <c r="E591" s="2" t="s">
        <v>10</v>
      </c>
      <c r="F591" s="2" t="s">
        <v>11</v>
      </c>
      <c r="G591" s="2" t="s">
        <v>12</v>
      </c>
      <c r="H591" s="2" t="s">
        <v>13</v>
      </c>
      <c r="I591" s="2" t="s">
        <v>14</v>
      </c>
      <c r="J591" s="2" t="s">
        <v>15</v>
      </c>
      <c r="K591" s="2" t="s">
        <v>16</v>
      </c>
      <c r="L591" s="2" t="s">
        <v>17</v>
      </c>
    </row>
    <row r="592" spans="1:12" x14ac:dyDescent="0.25">
      <c r="A592" s="3">
        <v>45697.147696759261</v>
      </c>
      <c r="B592" t="s">
        <v>55</v>
      </c>
      <c r="C592" s="3">
        <v>45697.308368055557</v>
      </c>
      <c r="D592" t="s">
        <v>330</v>
      </c>
      <c r="E592" s="4">
        <v>82.421000000000006</v>
      </c>
      <c r="F592" s="4">
        <v>522358.04700000002</v>
      </c>
      <c r="G592" s="4">
        <v>522440.46799999999</v>
      </c>
      <c r="H592" s="5">
        <f>3359 / 86400</f>
        <v>3.8877314814814816E-2</v>
      </c>
      <c r="I592" t="s">
        <v>215</v>
      </c>
      <c r="J592" t="s">
        <v>49</v>
      </c>
      <c r="K592" s="5">
        <f>13881 / 86400</f>
        <v>0.16065972222222222</v>
      </c>
      <c r="L592" s="5">
        <f>16290 / 86400</f>
        <v>0.18854166666666666</v>
      </c>
    </row>
    <row r="593" spans="1:12" x14ac:dyDescent="0.25">
      <c r="A593" s="3">
        <v>45697.349212962959</v>
      </c>
      <c r="B593" t="s">
        <v>330</v>
      </c>
      <c r="C593" s="3">
        <v>45697.550949074073</v>
      </c>
      <c r="D593" t="s">
        <v>148</v>
      </c>
      <c r="E593" s="4">
        <v>82.944000000000003</v>
      </c>
      <c r="F593" s="4">
        <v>522440.46799999999</v>
      </c>
      <c r="G593" s="4">
        <v>522523.41200000001</v>
      </c>
      <c r="H593" s="5">
        <f>5792 / 86400</f>
        <v>6.7037037037037034E-2</v>
      </c>
      <c r="I593" t="s">
        <v>56</v>
      </c>
      <c r="J593" t="s">
        <v>71</v>
      </c>
      <c r="K593" s="5">
        <f>17429 / 86400</f>
        <v>0.20172453703703705</v>
      </c>
      <c r="L593" s="5">
        <f>371 / 86400</f>
        <v>4.2939814814814811E-3</v>
      </c>
    </row>
    <row r="594" spans="1:12" x14ac:dyDescent="0.25">
      <c r="A594" s="3">
        <v>45697.555243055554</v>
      </c>
      <c r="B594" t="s">
        <v>148</v>
      </c>
      <c r="C594" s="3">
        <v>45697.562627314815</v>
      </c>
      <c r="D594" t="s">
        <v>55</v>
      </c>
      <c r="E594" s="4">
        <v>3.8980000000000001</v>
      </c>
      <c r="F594" s="4">
        <v>522523.41200000001</v>
      </c>
      <c r="G594" s="4">
        <v>522527.31</v>
      </c>
      <c r="H594" s="5">
        <f>100 / 86400</f>
        <v>1.1574074074074073E-3</v>
      </c>
      <c r="I594" t="s">
        <v>180</v>
      </c>
      <c r="J594" t="s">
        <v>26</v>
      </c>
      <c r="K594" s="5">
        <f>637 / 86400</f>
        <v>7.3726851851851852E-3</v>
      </c>
      <c r="L594" s="5">
        <f>37788 / 86400</f>
        <v>0.43736111111111109</v>
      </c>
    </row>
    <row r="595" spans="1:1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2" s="10" customFormat="1" ht="20.100000000000001" customHeight="1" x14ac:dyDescent="0.35">
      <c r="A597" s="15" t="s">
        <v>413</v>
      </c>
      <c r="B597" s="15"/>
      <c r="C597" s="15"/>
      <c r="D597" s="15"/>
      <c r="E597" s="15"/>
      <c r="F597" s="15"/>
      <c r="G597" s="15"/>
      <c r="H597" s="15"/>
      <c r="I597" s="15"/>
      <c r="J597" s="15"/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ht="30" x14ac:dyDescent="0.25">
      <c r="A599" s="2" t="s">
        <v>6</v>
      </c>
      <c r="B599" s="2" t="s">
        <v>7</v>
      </c>
      <c r="C599" s="2" t="s">
        <v>8</v>
      </c>
      <c r="D599" s="2" t="s">
        <v>9</v>
      </c>
      <c r="E599" s="2" t="s">
        <v>10</v>
      </c>
      <c r="F599" s="2" t="s">
        <v>11</v>
      </c>
      <c r="G599" s="2" t="s">
        <v>12</v>
      </c>
      <c r="H599" s="2" t="s">
        <v>13</v>
      </c>
      <c r="I599" s="2" t="s">
        <v>14</v>
      </c>
      <c r="J599" s="2" t="s">
        <v>15</v>
      </c>
      <c r="K599" s="2" t="s">
        <v>16</v>
      </c>
      <c r="L599" s="2" t="s">
        <v>17</v>
      </c>
    </row>
    <row r="600" spans="1:12" x14ac:dyDescent="0.25">
      <c r="A600" s="3">
        <v>45697.409351851849</v>
      </c>
      <c r="B600" t="s">
        <v>57</v>
      </c>
      <c r="C600" s="3">
        <v>45697.472858796296</v>
      </c>
      <c r="D600" t="s">
        <v>329</v>
      </c>
      <c r="E600" s="4">
        <v>27.045999999999999</v>
      </c>
      <c r="F600" s="4">
        <v>411067.73300000001</v>
      </c>
      <c r="G600" s="4">
        <v>411094.77899999998</v>
      </c>
      <c r="H600" s="5">
        <f>1518 / 86400</f>
        <v>1.7569444444444443E-2</v>
      </c>
      <c r="I600" t="s">
        <v>155</v>
      </c>
      <c r="J600" t="s">
        <v>20</v>
      </c>
      <c r="K600" s="5">
        <f>5486 / 86400</f>
        <v>6.3495370370370369E-2</v>
      </c>
      <c r="L600" s="5">
        <f>38830 / 86400</f>
        <v>0.44942129629629629</v>
      </c>
    </row>
    <row r="601" spans="1:12" x14ac:dyDescent="0.25">
      <c r="A601" s="3">
        <v>45697.512928240743</v>
      </c>
      <c r="B601" t="s">
        <v>340</v>
      </c>
      <c r="C601" s="3">
        <v>45697.517581018517</v>
      </c>
      <c r="D601" t="s">
        <v>127</v>
      </c>
      <c r="E601" s="4">
        <v>0.42099999999999999</v>
      </c>
      <c r="F601" s="4">
        <v>411094.77899999998</v>
      </c>
      <c r="G601" s="4">
        <v>411095.2</v>
      </c>
      <c r="H601" s="5">
        <f>259 / 86400</f>
        <v>2.9976851851851853E-3</v>
      </c>
      <c r="I601" t="s">
        <v>140</v>
      </c>
      <c r="J601" t="s">
        <v>191</v>
      </c>
      <c r="K601" s="5">
        <f>402 / 86400</f>
        <v>4.6527777777777774E-3</v>
      </c>
      <c r="L601" s="5">
        <f>395 / 86400</f>
        <v>4.5717592592592589E-3</v>
      </c>
    </row>
    <row r="602" spans="1:12" x14ac:dyDescent="0.25">
      <c r="A602" s="3">
        <v>45697.522152777776</v>
      </c>
      <c r="B602" t="s">
        <v>72</v>
      </c>
      <c r="C602" s="3">
        <v>45697.524918981479</v>
      </c>
      <c r="D602" t="s">
        <v>127</v>
      </c>
      <c r="E602" s="4">
        <v>2.8000000000000001E-2</v>
      </c>
      <c r="F602" s="4">
        <v>411095.2</v>
      </c>
      <c r="G602" s="4">
        <v>411095.228</v>
      </c>
      <c r="H602" s="5">
        <f>219 / 86400</f>
        <v>2.5347222222222221E-3</v>
      </c>
      <c r="I602" t="s">
        <v>39</v>
      </c>
      <c r="J602" t="s">
        <v>63</v>
      </c>
      <c r="K602" s="5">
        <f>238 / 86400</f>
        <v>2.7546296296296294E-3</v>
      </c>
      <c r="L602" s="5">
        <f>718 / 86400</f>
        <v>8.3101851851851843E-3</v>
      </c>
    </row>
    <row r="603" spans="1:12" x14ac:dyDescent="0.25">
      <c r="A603" s="3">
        <v>45697.533229166671</v>
      </c>
      <c r="B603" t="s">
        <v>127</v>
      </c>
      <c r="C603" s="3">
        <v>45697.992326388892</v>
      </c>
      <c r="D603" t="s">
        <v>58</v>
      </c>
      <c r="E603" s="4">
        <v>198.60300000000001</v>
      </c>
      <c r="F603" s="4">
        <v>411095.228</v>
      </c>
      <c r="G603" s="4">
        <v>411293.83100000001</v>
      </c>
      <c r="H603" s="5">
        <f>11478 / 86400</f>
        <v>0.13284722222222223</v>
      </c>
      <c r="I603" t="s">
        <v>59</v>
      </c>
      <c r="J603" t="s">
        <v>20</v>
      </c>
      <c r="K603" s="5">
        <f>39666 / 86400</f>
        <v>0.45909722222222221</v>
      </c>
      <c r="L603" s="5">
        <f>662 / 86400</f>
        <v>7.6620370370370366E-3</v>
      </c>
    </row>
    <row r="604" spans="1:1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s="10" customFormat="1" ht="20.100000000000001" customHeight="1" x14ac:dyDescent="0.35">
      <c r="A606" s="15" t="s">
        <v>414</v>
      </c>
      <c r="B606" s="15"/>
      <c r="C606" s="15"/>
      <c r="D606" s="15"/>
      <c r="E606" s="15"/>
      <c r="F606" s="15"/>
      <c r="G606" s="15"/>
      <c r="H606" s="15"/>
      <c r="I606" s="15"/>
      <c r="J606" s="15"/>
    </row>
    <row r="607" spans="1:1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2" ht="30" x14ac:dyDescent="0.25">
      <c r="A608" s="2" t="s">
        <v>6</v>
      </c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11</v>
      </c>
      <c r="G608" s="2" t="s">
        <v>12</v>
      </c>
      <c r="H608" s="2" t="s">
        <v>13</v>
      </c>
      <c r="I608" s="2" t="s">
        <v>14</v>
      </c>
      <c r="J608" s="2" t="s">
        <v>15</v>
      </c>
      <c r="K608" s="2" t="s">
        <v>16</v>
      </c>
      <c r="L608" s="2" t="s">
        <v>17</v>
      </c>
    </row>
    <row r="609" spans="1:12" x14ac:dyDescent="0.25">
      <c r="A609" s="3">
        <v>45697.258298611108</v>
      </c>
      <c r="B609" t="s">
        <v>60</v>
      </c>
      <c r="C609" s="3">
        <v>45697.264409722222</v>
      </c>
      <c r="D609" t="s">
        <v>341</v>
      </c>
      <c r="E609" s="4">
        <v>1.41</v>
      </c>
      <c r="F609" s="4">
        <v>401973.83399999997</v>
      </c>
      <c r="G609" s="4">
        <v>401975.24400000001</v>
      </c>
      <c r="H609" s="5">
        <f>139 / 86400</f>
        <v>1.6087962962962963E-3</v>
      </c>
      <c r="I609" t="s">
        <v>194</v>
      </c>
      <c r="J609" t="s">
        <v>33</v>
      </c>
      <c r="K609" s="5">
        <f>528 / 86400</f>
        <v>6.1111111111111114E-3</v>
      </c>
      <c r="L609" s="5">
        <f>22508 / 86400</f>
        <v>0.26050925925925927</v>
      </c>
    </row>
    <row r="610" spans="1:12" x14ac:dyDescent="0.25">
      <c r="A610" s="3">
        <v>45697.26662037037</v>
      </c>
      <c r="B610" t="s">
        <v>341</v>
      </c>
      <c r="C610" s="3">
        <v>45697.483229166668</v>
      </c>
      <c r="D610" t="s">
        <v>118</v>
      </c>
      <c r="E610" s="4">
        <v>101.702</v>
      </c>
      <c r="F610" s="4">
        <v>401975.24400000001</v>
      </c>
      <c r="G610" s="4">
        <v>402076.946</v>
      </c>
      <c r="H610" s="5">
        <f>5182 / 86400</f>
        <v>5.9976851851851851E-2</v>
      </c>
      <c r="I610" t="s">
        <v>56</v>
      </c>
      <c r="J610" t="s">
        <v>28</v>
      </c>
      <c r="K610" s="5">
        <f>18715 / 86400</f>
        <v>0.21660879629629629</v>
      </c>
      <c r="L610" s="5">
        <f>495 / 86400</f>
        <v>5.7291666666666663E-3</v>
      </c>
    </row>
    <row r="611" spans="1:12" x14ac:dyDescent="0.25">
      <c r="A611" s="3">
        <v>45697.488958333328</v>
      </c>
      <c r="B611" t="s">
        <v>118</v>
      </c>
      <c r="C611" s="3">
        <v>45697.490057870367</v>
      </c>
      <c r="D611" t="s">
        <v>143</v>
      </c>
      <c r="E611" s="4">
        <v>0.40500000000000003</v>
      </c>
      <c r="F611" s="4">
        <v>402076.946</v>
      </c>
      <c r="G611" s="4">
        <v>402077.35100000002</v>
      </c>
      <c r="H611" s="5">
        <f>0 / 86400</f>
        <v>0</v>
      </c>
      <c r="I611" t="s">
        <v>198</v>
      </c>
      <c r="J611" t="s">
        <v>95</v>
      </c>
      <c r="K611" s="5">
        <f>94 / 86400</f>
        <v>1.0879629629629629E-3</v>
      </c>
      <c r="L611" s="5">
        <f>1569 / 86400</f>
        <v>1.8159722222222223E-2</v>
      </c>
    </row>
    <row r="612" spans="1:12" x14ac:dyDescent="0.25">
      <c r="A612" s="3">
        <v>45697.508217592593</v>
      </c>
      <c r="B612" t="s">
        <v>143</v>
      </c>
      <c r="C612" s="3">
        <v>45697.613506944443</v>
      </c>
      <c r="D612" t="s">
        <v>121</v>
      </c>
      <c r="E612" s="4">
        <v>50.548000000000002</v>
      </c>
      <c r="F612" s="4">
        <v>402077.35100000002</v>
      </c>
      <c r="G612" s="4">
        <v>402127.89899999998</v>
      </c>
      <c r="H612" s="5">
        <f>2719 / 86400</f>
        <v>3.1469907407407405E-2</v>
      </c>
      <c r="I612" t="s">
        <v>56</v>
      </c>
      <c r="J612" t="s">
        <v>28</v>
      </c>
      <c r="K612" s="5">
        <f>9096 / 86400</f>
        <v>0.10527777777777778</v>
      </c>
      <c r="L612" s="5">
        <f>414 / 86400</f>
        <v>4.7916666666666663E-3</v>
      </c>
    </row>
    <row r="613" spans="1:12" x14ac:dyDescent="0.25">
      <c r="A613" s="3">
        <v>45697.618298611109</v>
      </c>
      <c r="B613" t="s">
        <v>121</v>
      </c>
      <c r="C613" s="3">
        <v>45697.737395833334</v>
      </c>
      <c r="D613" t="s">
        <v>127</v>
      </c>
      <c r="E613" s="4">
        <v>51.042000000000002</v>
      </c>
      <c r="F613" s="4">
        <v>402127.89899999998</v>
      </c>
      <c r="G613" s="4">
        <v>402178.94099999999</v>
      </c>
      <c r="H613" s="5">
        <f>3200 / 86400</f>
        <v>3.7037037037037035E-2</v>
      </c>
      <c r="I613" t="s">
        <v>61</v>
      </c>
      <c r="J613" t="s">
        <v>20</v>
      </c>
      <c r="K613" s="5">
        <f>10290 / 86400</f>
        <v>0.11909722222222222</v>
      </c>
      <c r="L613" s="5">
        <f>158 / 86400</f>
        <v>1.8287037037037037E-3</v>
      </c>
    </row>
    <row r="614" spans="1:12" x14ac:dyDescent="0.25">
      <c r="A614" s="3">
        <v>45697.739224537036</v>
      </c>
      <c r="B614" t="s">
        <v>127</v>
      </c>
      <c r="C614" s="3">
        <v>45697.741805555561</v>
      </c>
      <c r="D614" t="s">
        <v>329</v>
      </c>
      <c r="E614" s="4">
        <v>0.32900000000000001</v>
      </c>
      <c r="F614" s="4">
        <v>402178.94099999999</v>
      </c>
      <c r="G614" s="4">
        <v>402179.27</v>
      </c>
      <c r="H614" s="5">
        <f>79 / 86400</f>
        <v>9.1435185185185185E-4</v>
      </c>
      <c r="I614" t="s">
        <v>140</v>
      </c>
      <c r="J614" t="s">
        <v>82</v>
      </c>
      <c r="K614" s="5">
        <f>223 / 86400</f>
        <v>2.5810185185185185E-3</v>
      </c>
      <c r="L614" s="5">
        <f>366 / 86400</f>
        <v>4.2361111111111115E-3</v>
      </c>
    </row>
    <row r="615" spans="1:12" x14ac:dyDescent="0.25">
      <c r="A615" s="3">
        <v>45697.746041666665</v>
      </c>
      <c r="B615" t="s">
        <v>329</v>
      </c>
      <c r="C615" s="3">
        <v>45697.748738425929</v>
      </c>
      <c r="D615" t="s">
        <v>60</v>
      </c>
      <c r="E615" s="4">
        <v>0.47299999999999998</v>
      </c>
      <c r="F615" s="4">
        <v>402179.27</v>
      </c>
      <c r="G615" s="4">
        <v>402179.74300000002</v>
      </c>
      <c r="H615" s="5">
        <f>60 / 86400</f>
        <v>6.9444444444444447E-4</v>
      </c>
      <c r="I615" t="s">
        <v>26</v>
      </c>
      <c r="J615" t="s">
        <v>39</v>
      </c>
      <c r="K615" s="5">
        <f>232 / 86400</f>
        <v>2.685185185185185E-3</v>
      </c>
      <c r="L615" s="5">
        <f>21708 / 86400</f>
        <v>0.25124999999999997</v>
      </c>
    </row>
    <row r="616" spans="1:1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</row>
    <row r="617" spans="1:1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</row>
    <row r="618" spans="1:12" s="10" customFormat="1" ht="20.100000000000001" customHeight="1" x14ac:dyDescent="0.35">
      <c r="A618" s="15" t="s">
        <v>415</v>
      </c>
      <c r="B618" s="15"/>
      <c r="C618" s="15"/>
      <c r="D618" s="15"/>
      <c r="E618" s="15"/>
      <c r="F618" s="15"/>
      <c r="G618" s="15"/>
      <c r="H618" s="15"/>
      <c r="I618" s="15"/>
      <c r="J618" s="15"/>
    </row>
    <row r="619" spans="1:1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2" ht="30" x14ac:dyDescent="0.25">
      <c r="A620" s="2" t="s">
        <v>6</v>
      </c>
      <c r="B620" s="2" t="s">
        <v>7</v>
      </c>
      <c r="C620" s="2" t="s">
        <v>8</v>
      </c>
      <c r="D620" s="2" t="s">
        <v>9</v>
      </c>
      <c r="E620" s="2" t="s">
        <v>10</v>
      </c>
      <c r="F620" s="2" t="s">
        <v>11</v>
      </c>
      <c r="G620" s="2" t="s">
        <v>12</v>
      </c>
      <c r="H620" s="2" t="s">
        <v>13</v>
      </c>
      <c r="I620" s="2" t="s">
        <v>14</v>
      </c>
      <c r="J620" s="2" t="s">
        <v>15</v>
      </c>
      <c r="K620" s="2" t="s">
        <v>16</v>
      </c>
      <c r="L620" s="2" t="s">
        <v>17</v>
      </c>
    </row>
    <row r="621" spans="1:12" x14ac:dyDescent="0.25">
      <c r="A621" s="3">
        <v>45697.736157407402</v>
      </c>
      <c r="B621" t="s">
        <v>62</v>
      </c>
      <c r="C621" s="3">
        <v>45697.736817129626</v>
      </c>
      <c r="D621" t="s">
        <v>62</v>
      </c>
      <c r="E621" s="4">
        <v>8.0000000000000002E-3</v>
      </c>
      <c r="F621" s="4">
        <v>40315.968999999997</v>
      </c>
      <c r="G621" s="4">
        <v>40315.976999999999</v>
      </c>
      <c r="H621" s="5">
        <f>39 / 86400</f>
        <v>4.5138888888888887E-4</v>
      </c>
      <c r="I621" t="s">
        <v>63</v>
      </c>
      <c r="J621" t="s">
        <v>40</v>
      </c>
      <c r="K621" s="5">
        <f>57 / 86400</f>
        <v>6.5972222222222224E-4</v>
      </c>
      <c r="L621" s="5">
        <f>86342 / 86400</f>
        <v>0.99932870370370375</v>
      </c>
    </row>
    <row r="622" spans="1:1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2" s="10" customFormat="1" ht="20.100000000000001" customHeight="1" x14ac:dyDescent="0.35">
      <c r="A624" s="15" t="s">
        <v>416</v>
      </c>
      <c r="B624" s="15"/>
      <c r="C624" s="15"/>
      <c r="D624" s="15"/>
      <c r="E624" s="15"/>
      <c r="F624" s="15"/>
      <c r="G624" s="15"/>
      <c r="H624" s="15"/>
      <c r="I624" s="15"/>
      <c r="J624" s="15"/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ht="30" x14ac:dyDescent="0.25">
      <c r="A626" s="2" t="s">
        <v>6</v>
      </c>
      <c r="B626" s="2" t="s">
        <v>7</v>
      </c>
      <c r="C626" s="2" t="s">
        <v>8</v>
      </c>
      <c r="D626" s="2" t="s">
        <v>9</v>
      </c>
      <c r="E626" s="2" t="s">
        <v>10</v>
      </c>
      <c r="F626" s="2" t="s">
        <v>11</v>
      </c>
      <c r="G626" s="2" t="s">
        <v>12</v>
      </c>
      <c r="H626" s="2" t="s">
        <v>13</v>
      </c>
      <c r="I626" s="2" t="s">
        <v>14</v>
      </c>
      <c r="J626" s="2" t="s">
        <v>15</v>
      </c>
      <c r="K626" s="2" t="s">
        <v>16</v>
      </c>
      <c r="L626" s="2" t="s">
        <v>17</v>
      </c>
    </row>
    <row r="627" spans="1:12" x14ac:dyDescent="0.25">
      <c r="A627" s="3">
        <v>45697</v>
      </c>
      <c r="B627" t="s">
        <v>64</v>
      </c>
      <c r="C627" s="3">
        <v>45697.096990740742</v>
      </c>
      <c r="D627" t="s">
        <v>342</v>
      </c>
      <c r="E627" s="4">
        <v>122.255</v>
      </c>
      <c r="F627" s="4">
        <v>45278.881999999998</v>
      </c>
      <c r="G627" s="4">
        <v>45401.137000000002</v>
      </c>
      <c r="H627" s="5">
        <f>900 / 86400</f>
        <v>1.0416666666666666E-2</v>
      </c>
      <c r="I627" t="s">
        <v>332</v>
      </c>
      <c r="J627" t="s">
        <v>217</v>
      </c>
      <c r="K627" s="5">
        <f>8380 / 86400</f>
        <v>9.6990740740740738E-2</v>
      </c>
      <c r="L627" s="5">
        <f>54605 / 86400</f>
        <v>0.63200231481481484</v>
      </c>
    </row>
    <row r="628" spans="1:12" x14ac:dyDescent="0.25">
      <c r="A628" s="3">
        <v>45697.728993055556</v>
      </c>
      <c r="B628" t="s">
        <v>342</v>
      </c>
      <c r="C628" s="3">
        <v>45697.911168981482</v>
      </c>
      <c r="D628" t="s">
        <v>78</v>
      </c>
      <c r="E628" s="4">
        <v>152.12200000000001</v>
      </c>
      <c r="F628" s="4">
        <v>45401.137000000002</v>
      </c>
      <c r="G628" s="4">
        <v>45553.258999999998</v>
      </c>
      <c r="H628" s="5">
        <f>2139 / 86400</f>
        <v>2.4756944444444446E-2</v>
      </c>
      <c r="I628" t="s">
        <v>65</v>
      </c>
      <c r="J628" t="s">
        <v>129</v>
      </c>
      <c r="K628" s="5">
        <f>15740 / 86400</f>
        <v>0.18217592592592594</v>
      </c>
      <c r="L628" s="5">
        <f>33 / 86400</f>
        <v>3.8194444444444446E-4</v>
      </c>
    </row>
    <row r="629" spans="1:12" x14ac:dyDescent="0.25">
      <c r="A629" s="3">
        <v>45697.911550925928</v>
      </c>
      <c r="B629" t="s">
        <v>78</v>
      </c>
      <c r="C629" s="3">
        <v>45697.919039351851</v>
      </c>
      <c r="D629" t="s">
        <v>343</v>
      </c>
      <c r="E629" s="4">
        <v>3.2490000000000001</v>
      </c>
      <c r="F629" s="4">
        <v>45553.258999999998</v>
      </c>
      <c r="G629" s="4">
        <v>45556.508000000002</v>
      </c>
      <c r="H629" s="5">
        <f>139 / 86400</f>
        <v>1.6087962962962963E-3</v>
      </c>
      <c r="I629" t="s">
        <v>146</v>
      </c>
      <c r="J629" t="s">
        <v>20</v>
      </c>
      <c r="K629" s="5">
        <f>647 / 86400</f>
        <v>7.4884259259259262E-3</v>
      </c>
      <c r="L629" s="5">
        <f>85 / 86400</f>
        <v>9.837962962962962E-4</v>
      </c>
    </row>
    <row r="630" spans="1:12" x14ac:dyDescent="0.25">
      <c r="A630" s="3">
        <v>45697.920023148152</v>
      </c>
      <c r="B630" t="s">
        <v>343</v>
      </c>
      <c r="C630" s="3">
        <v>45697.927442129629</v>
      </c>
      <c r="D630" t="s">
        <v>54</v>
      </c>
      <c r="E630" s="4">
        <v>1.032</v>
      </c>
      <c r="F630" s="4">
        <v>45556.508000000002</v>
      </c>
      <c r="G630" s="4">
        <v>45557.54</v>
      </c>
      <c r="H630" s="5">
        <f>299 / 86400</f>
        <v>3.460648148148148E-3</v>
      </c>
      <c r="I630" t="s">
        <v>194</v>
      </c>
      <c r="J630" t="s">
        <v>29</v>
      </c>
      <c r="K630" s="5">
        <f>640 / 86400</f>
        <v>7.4074074074074077E-3</v>
      </c>
      <c r="L630" s="5">
        <f>6268 / 86400</f>
        <v>7.2546296296296303E-2</v>
      </c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2" s="10" customFormat="1" ht="20.100000000000001" customHeight="1" x14ac:dyDescent="0.35">
      <c r="A633" s="15" t="s">
        <v>417</v>
      </c>
      <c r="B633" s="15"/>
      <c r="C633" s="15"/>
      <c r="D633" s="15"/>
      <c r="E633" s="15"/>
      <c r="F633" s="15"/>
      <c r="G633" s="15"/>
      <c r="H633" s="15"/>
      <c r="I633" s="15"/>
      <c r="J633" s="15"/>
    </row>
    <row r="634" spans="1:1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</row>
    <row r="635" spans="1:12" ht="30" x14ac:dyDescent="0.25">
      <c r="A635" s="2" t="s">
        <v>6</v>
      </c>
      <c r="B635" s="2" t="s">
        <v>7</v>
      </c>
      <c r="C635" s="2" t="s">
        <v>8</v>
      </c>
      <c r="D635" s="2" t="s">
        <v>9</v>
      </c>
      <c r="E635" s="2" t="s">
        <v>10</v>
      </c>
      <c r="F635" s="2" t="s">
        <v>11</v>
      </c>
      <c r="G635" s="2" t="s">
        <v>12</v>
      </c>
      <c r="H635" s="2" t="s">
        <v>13</v>
      </c>
      <c r="I635" s="2" t="s">
        <v>14</v>
      </c>
      <c r="J635" s="2" t="s">
        <v>15</v>
      </c>
      <c r="K635" s="2" t="s">
        <v>16</v>
      </c>
      <c r="L635" s="2" t="s">
        <v>17</v>
      </c>
    </row>
    <row r="636" spans="1:12" x14ac:dyDescent="0.25">
      <c r="A636" s="3">
        <v>45697</v>
      </c>
      <c r="B636" t="s">
        <v>66</v>
      </c>
      <c r="C636" s="3">
        <v>45697.018136574072</v>
      </c>
      <c r="D636" t="s">
        <v>67</v>
      </c>
      <c r="E636" s="4">
        <v>8.4969999999999999</v>
      </c>
      <c r="F636" s="4">
        <v>526586.59600000002</v>
      </c>
      <c r="G636" s="4">
        <v>526595.09299999999</v>
      </c>
      <c r="H636" s="5">
        <f>380 / 86400</f>
        <v>4.3981481481481484E-3</v>
      </c>
      <c r="I636" t="s">
        <v>31</v>
      </c>
      <c r="J636" t="s">
        <v>28</v>
      </c>
      <c r="K636" s="5">
        <f>1567 / 86400</f>
        <v>1.8136574074074076E-2</v>
      </c>
      <c r="L636" s="5">
        <f>118 / 86400</f>
        <v>1.3657407407407407E-3</v>
      </c>
    </row>
    <row r="637" spans="1:12" x14ac:dyDescent="0.25">
      <c r="A637" s="3">
        <v>45697.019502314812</v>
      </c>
      <c r="B637" t="s">
        <v>67</v>
      </c>
      <c r="C637" s="3">
        <v>45697.019652777773</v>
      </c>
      <c r="D637" t="s">
        <v>67</v>
      </c>
      <c r="E637" s="4">
        <v>1.0000000596046448E-3</v>
      </c>
      <c r="F637" s="4">
        <v>526595.09299999999</v>
      </c>
      <c r="G637" s="4">
        <v>526595.09400000004</v>
      </c>
      <c r="H637" s="5">
        <f>0 / 86400</f>
        <v>0</v>
      </c>
      <c r="I637" t="s">
        <v>40</v>
      </c>
      <c r="J637" t="s">
        <v>63</v>
      </c>
      <c r="K637" s="5">
        <f>12 / 86400</f>
        <v>1.3888888888888889E-4</v>
      </c>
      <c r="L637" s="5">
        <f>13 / 86400</f>
        <v>1.5046296296296297E-4</v>
      </c>
    </row>
    <row r="638" spans="1:12" x14ac:dyDescent="0.25">
      <c r="A638" s="3">
        <v>45697.019803240742</v>
      </c>
      <c r="B638" t="s">
        <v>67</v>
      </c>
      <c r="C638" s="3">
        <v>45697.019884259258</v>
      </c>
      <c r="D638" t="s">
        <v>67</v>
      </c>
      <c r="E638" s="4">
        <v>0</v>
      </c>
      <c r="F638" s="4">
        <v>526595.09400000004</v>
      </c>
      <c r="G638" s="4">
        <v>526595.09400000004</v>
      </c>
      <c r="H638" s="5">
        <f>0 / 86400</f>
        <v>0</v>
      </c>
      <c r="I638" t="s">
        <v>63</v>
      </c>
      <c r="J638" t="s">
        <v>63</v>
      </c>
      <c r="K638" s="5">
        <f>6 / 86400</f>
        <v>6.9444444444444444E-5</v>
      </c>
      <c r="L638" s="5">
        <f>528 / 86400</f>
        <v>6.1111111111111114E-3</v>
      </c>
    </row>
    <row r="639" spans="1:12" x14ac:dyDescent="0.25">
      <c r="A639" s="3">
        <v>45697.025995370372</v>
      </c>
      <c r="B639" t="s">
        <v>67</v>
      </c>
      <c r="C639" s="3">
        <v>45697.027453703704</v>
      </c>
      <c r="D639" t="s">
        <v>67</v>
      </c>
      <c r="E639" s="4">
        <v>9.9999994039535523E-4</v>
      </c>
      <c r="F639" s="4">
        <v>526595.09400000004</v>
      </c>
      <c r="G639" s="4">
        <v>526595.09499999997</v>
      </c>
      <c r="H639" s="5">
        <f>119 / 86400</f>
        <v>1.3773148148148147E-3</v>
      </c>
      <c r="I639" t="s">
        <v>63</v>
      </c>
      <c r="J639" t="s">
        <v>63</v>
      </c>
      <c r="K639" s="5">
        <f>125 / 86400</f>
        <v>1.4467592592592592E-3</v>
      </c>
      <c r="L639" s="5">
        <f>259 / 86400</f>
        <v>2.9976851851851853E-3</v>
      </c>
    </row>
    <row r="640" spans="1:12" x14ac:dyDescent="0.25">
      <c r="A640" s="3">
        <v>45697.030451388884</v>
      </c>
      <c r="B640" t="s">
        <v>67</v>
      </c>
      <c r="C640" s="3">
        <v>45697.091932870375</v>
      </c>
      <c r="D640" t="s">
        <v>344</v>
      </c>
      <c r="E640" s="4">
        <v>31.256</v>
      </c>
      <c r="F640" s="4">
        <v>526595.09499999997</v>
      </c>
      <c r="G640" s="4">
        <v>526626.35100000002</v>
      </c>
      <c r="H640" s="5">
        <f>1740 / 86400</f>
        <v>2.013888888888889E-2</v>
      </c>
      <c r="I640" t="s">
        <v>141</v>
      </c>
      <c r="J640" t="s">
        <v>49</v>
      </c>
      <c r="K640" s="5">
        <f>5311 / 86400</f>
        <v>6.1469907407407411E-2</v>
      </c>
      <c r="L640" s="5">
        <f>727 / 86400</f>
        <v>8.4143518518518517E-3</v>
      </c>
    </row>
    <row r="641" spans="1:12" x14ac:dyDescent="0.25">
      <c r="A641" s="3">
        <v>45697.100347222222</v>
      </c>
      <c r="B641" t="s">
        <v>344</v>
      </c>
      <c r="C641" s="3">
        <v>45697.130787037036</v>
      </c>
      <c r="D641" t="s">
        <v>344</v>
      </c>
      <c r="E641" s="4">
        <v>4.5769999999403952</v>
      </c>
      <c r="F641" s="4">
        <v>526626.35100000002</v>
      </c>
      <c r="G641" s="4">
        <v>526630.92799999996</v>
      </c>
      <c r="H641" s="5">
        <f>1740 / 86400</f>
        <v>2.013888888888889E-2</v>
      </c>
      <c r="I641" t="s">
        <v>178</v>
      </c>
      <c r="J641" t="s">
        <v>29</v>
      </c>
      <c r="K641" s="5">
        <f>2630 / 86400</f>
        <v>3.0439814814814815E-2</v>
      </c>
      <c r="L641" s="5">
        <f>5212 / 86400</f>
        <v>6.0324074074074072E-2</v>
      </c>
    </row>
    <row r="642" spans="1:12" x14ac:dyDescent="0.25">
      <c r="A642" s="3">
        <v>45697.191111111111</v>
      </c>
      <c r="B642" t="s">
        <v>344</v>
      </c>
      <c r="C642" s="3">
        <v>45697.348495370374</v>
      </c>
      <c r="D642" t="s">
        <v>41</v>
      </c>
      <c r="E642" s="4">
        <v>83.456000000000003</v>
      </c>
      <c r="F642" s="4">
        <v>526630.92799999996</v>
      </c>
      <c r="G642" s="4">
        <v>526714.38399999996</v>
      </c>
      <c r="H642" s="5">
        <f>4079 / 86400</f>
        <v>4.7210648148148147E-2</v>
      </c>
      <c r="I642" t="s">
        <v>158</v>
      </c>
      <c r="J642" t="s">
        <v>26</v>
      </c>
      <c r="K642" s="5">
        <f>13597 / 86400</f>
        <v>0.15737268518518518</v>
      </c>
      <c r="L642" s="5">
        <f>2070 / 86400</f>
        <v>2.3958333333333335E-2</v>
      </c>
    </row>
    <row r="643" spans="1:12" x14ac:dyDescent="0.25">
      <c r="A643" s="3">
        <v>45697.372453703705</v>
      </c>
      <c r="B643" t="s">
        <v>41</v>
      </c>
      <c r="C643" s="3">
        <v>45697.376215277778</v>
      </c>
      <c r="D643" t="s">
        <v>72</v>
      </c>
      <c r="E643" s="4">
        <v>0.89600000005960467</v>
      </c>
      <c r="F643" s="4">
        <v>526714.38399999996</v>
      </c>
      <c r="G643" s="4">
        <v>526715.28</v>
      </c>
      <c r="H643" s="5">
        <f>140 / 86400</f>
        <v>1.6203703703703703E-3</v>
      </c>
      <c r="I643" t="s">
        <v>181</v>
      </c>
      <c r="J643" t="s">
        <v>33</v>
      </c>
      <c r="K643" s="5">
        <f>325 / 86400</f>
        <v>3.7615740740740739E-3</v>
      </c>
      <c r="L643" s="5">
        <f>180 / 86400</f>
        <v>2.0833333333333333E-3</v>
      </c>
    </row>
    <row r="644" spans="1:12" x14ac:dyDescent="0.25">
      <c r="A644" s="3">
        <v>45697.378298611111</v>
      </c>
      <c r="B644" t="s">
        <v>72</v>
      </c>
      <c r="C644" s="3">
        <v>45697.382199074069</v>
      </c>
      <c r="D644" t="s">
        <v>118</v>
      </c>
      <c r="E644" s="4">
        <v>1.3310000000596047</v>
      </c>
      <c r="F644" s="4">
        <v>526715.28</v>
      </c>
      <c r="G644" s="4">
        <v>526716.61100000003</v>
      </c>
      <c r="H644" s="5">
        <f>39 / 86400</f>
        <v>4.5138888888888887E-4</v>
      </c>
      <c r="I644" t="s">
        <v>204</v>
      </c>
      <c r="J644" t="s">
        <v>123</v>
      </c>
      <c r="K644" s="5">
        <f>336 / 86400</f>
        <v>3.8888888888888888E-3</v>
      </c>
      <c r="L644" s="5">
        <f>332 / 86400</f>
        <v>3.8425925925925928E-3</v>
      </c>
    </row>
    <row r="645" spans="1:12" x14ac:dyDescent="0.25">
      <c r="A645" s="3">
        <v>45697.386041666672</v>
      </c>
      <c r="B645" t="s">
        <v>118</v>
      </c>
      <c r="C645" s="3">
        <v>45697.479120370372</v>
      </c>
      <c r="D645" t="s">
        <v>67</v>
      </c>
      <c r="E645" s="4">
        <v>47.569999999940393</v>
      </c>
      <c r="F645" s="4">
        <v>526716.61100000003</v>
      </c>
      <c r="G645" s="4">
        <v>526764.18099999998</v>
      </c>
      <c r="H645" s="5">
        <f>2620 / 86400</f>
        <v>3.0324074074074073E-2</v>
      </c>
      <c r="I645" t="s">
        <v>19</v>
      </c>
      <c r="J645" t="s">
        <v>49</v>
      </c>
      <c r="K645" s="5">
        <f>8041 / 86400</f>
        <v>9.3067129629629625E-2</v>
      </c>
      <c r="L645" s="5">
        <f>78 / 86400</f>
        <v>9.0277777777777774E-4</v>
      </c>
    </row>
    <row r="646" spans="1:12" x14ac:dyDescent="0.25">
      <c r="A646" s="3">
        <v>45697.480023148149</v>
      </c>
      <c r="B646" t="s">
        <v>67</v>
      </c>
      <c r="C646" s="3">
        <v>45697.57603009259</v>
      </c>
      <c r="D646" t="s">
        <v>54</v>
      </c>
      <c r="E646" s="4">
        <v>41.918000000059607</v>
      </c>
      <c r="F646" s="4">
        <v>526764.18099999998</v>
      </c>
      <c r="G646" s="4">
        <v>526806.09900000005</v>
      </c>
      <c r="H646" s="5">
        <f>3041 / 86400</f>
        <v>3.5196759259259261E-2</v>
      </c>
      <c r="I646" t="s">
        <v>215</v>
      </c>
      <c r="J646" t="s">
        <v>20</v>
      </c>
      <c r="K646" s="5">
        <f>8295 / 86400</f>
        <v>9.600694444444445E-2</v>
      </c>
      <c r="L646" s="5">
        <f>373 / 86400</f>
        <v>4.31712962962963E-3</v>
      </c>
    </row>
    <row r="647" spans="1:12" x14ac:dyDescent="0.25">
      <c r="A647" s="3">
        <v>45697.580347222218</v>
      </c>
      <c r="B647" t="s">
        <v>54</v>
      </c>
      <c r="C647" s="3">
        <v>45697.580960648149</v>
      </c>
      <c r="D647" t="s">
        <v>344</v>
      </c>
      <c r="E647" s="4">
        <v>4.1999999880790707E-2</v>
      </c>
      <c r="F647" s="4">
        <v>526806.09900000005</v>
      </c>
      <c r="G647" s="4">
        <v>526806.14099999995</v>
      </c>
      <c r="H647" s="5">
        <f>20 / 86400</f>
        <v>2.3148148148148149E-4</v>
      </c>
      <c r="I647" t="s">
        <v>39</v>
      </c>
      <c r="J647" t="s">
        <v>125</v>
      </c>
      <c r="K647" s="5">
        <f>52 / 86400</f>
        <v>6.018518518518519E-4</v>
      </c>
      <c r="L647" s="5">
        <f>136 / 86400</f>
        <v>1.5740740740740741E-3</v>
      </c>
    </row>
    <row r="648" spans="1:12" x14ac:dyDescent="0.25">
      <c r="A648" s="3">
        <v>45697.582534722227</v>
      </c>
      <c r="B648" t="s">
        <v>344</v>
      </c>
      <c r="C648" s="3">
        <v>45697.587326388893</v>
      </c>
      <c r="D648" t="s">
        <v>344</v>
      </c>
      <c r="E648" s="4">
        <v>0.89900000011920933</v>
      </c>
      <c r="F648" s="4">
        <v>526806.14099999995</v>
      </c>
      <c r="G648" s="4">
        <v>526807.04000000004</v>
      </c>
      <c r="H648" s="5">
        <f>160 / 86400</f>
        <v>1.8518518518518519E-3</v>
      </c>
      <c r="I648" t="s">
        <v>49</v>
      </c>
      <c r="J648" t="s">
        <v>135</v>
      </c>
      <c r="K648" s="5">
        <f>413 / 86400</f>
        <v>4.7800925925925927E-3</v>
      </c>
      <c r="L648" s="5">
        <f>3982 / 86400</f>
        <v>4.6087962962962963E-2</v>
      </c>
    </row>
    <row r="649" spans="1:12" x14ac:dyDescent="0.25">
      <c r="A649" s="3">
        <v>45697.633414351847</v>
      </c>
      <c r="B649" t="s">
        <v>344</v>
      </c>
      <c r="C649" s="3">
        <v>45697.641215277778</v>
      </c>
      <c r="D649" t="s">
        <v>345</v>
      </c>
      <c r="E649" s="4">
        <v>1.5069999999403954</v>
      </c>
      <c r="F649" s="4">
        <v>526807.04000000004</v>
      </c>
      <c r="G649" s="4">
        <v>526808.54700000002</v>
      </c>
      <c r="H649" s="5">
        <f>279 / 86400</f>
        <v>3.2291666666666666E-3</v>
      </c>
      <c r="I649" t="s">
        <v>26</v>
      </c>
      <c r="J649" t="s">
        <v>135</v>
      </c>
      <c r="K649" s="5">
        <f>674 / 86400</f>
        <v>7.8009259259259256E-3</v>
      </c>
      <c r="L649" s="5">
        <f>2205 / 86400</f>
        <v>2.5520833333333333E-2</v>
      </c>
    </row>
    <row r="650" spans="1:12" x14ac:dyDescent="0.25">
      <c r="A650" s="3">
        <v>45697.66673611111</v>
      </c>
      <c r="B650" t="s">
        <v>345</v>
      </c>
      <c r="C650" s="3">
        <v>45697.679456018523</v>
      </c>
      <c r="D650" t="s">
        <v>111</v>
      </c>
      <c r="E650" s="4">
        <v>2.4789999999403953</v>
      </c>
      <c r="F650" s="4">
        <v>526808.54700000002</v>
      </c>
      <c r="G650" s="4">
        <v>526811.02599999995</v>
      </c>
      <c r="H650" s="5">
        <f>599 / 86400</f>
        <v>6.9328703703703705E-3</v>
      </c>
      <c r="I650" t="s">
        <v>168</v>
      </c>
      <c r="J650" t="s">
        <v>135</v>
      </c>
      <c r="K650" s="5">
        <f>1098 / 86400</f>
        <v>1.2708333333333334E-2</v>
      </c>
      <c r="L650" s="5">
        <f>3181 / 86400</f>
        <v>3.681712962962963E-2</v>
      </c>
    </row>
    <row r="651" spans="1:12" x14ac:dyDescent="0.25">
      <c r="A651" s="3">
        <v>45697.716273148151</v>
      </c>
      <c r="B651" t="s">
        <v>111</v>
      </c>
      <c r="C651" s="3">
        <v>45697.883032407408</v>
      </c>
      <c r="D651" t="s">
        <v>346</v>
      </c>
      <c r="E651" s="4">
        <v>74.667000000059602</v>
      </c>
      <c r="F651" s="4">
        <v>526811.02599999995</v>
      </c>
      <c r="G651" s="4">
        <v>526885.69299999997</v>
      </c>
      <c r="H651" s="5">
        <f>5199 / 86400</f>
        <v>6.0173611111111108E-2</v>
      </c>
      <c r="I651" t="s">
        <v>19</v>
      </c>
      <c r="J651" t="s">
        <v>23</v>
      </c>
      <c r="K651" s="5">
        <f>14407 / 86400</f>
        <v>0.16674768518518518</v>
      </c>
      <c r="L651" s="5">
        <f>2406 / 86400</f>
        <v>2.7847222222222221E-2</v>
      </c>
    </row>
    <row r="652" spans="1:12" x14ac:dyDescent="0.25">
      <c r="A652" s="3">
        <v>45697.910879629635</v>
      </c>
      <c r="B652" t="s">
        <v>103</v>
      </c>
      <c r="C652" s="3">
        <v>45697.978761574079</v>
      </c>
      <c r="D652" t="s">
        <v>272</v>
      </c>
      <c r="E652" s="4">
        <v>34.793000000059607</v>
      </c>
      <c r="F652" s="4">
        <v>526885.69299999997</v>
      </c>
      <c r="G652" s="4">
        <v>526920.48600000003</v>
      </c>
      <c r="H652" s="5">
        <f>2099 / 86400</f>
        <v>2.4293981481481482E-2</v>
      </c>
      <c r="I652" t="s">
        <v>68</v>
      </c>
      <c r="J652" t="s">
        <v>49</v>
      </c>
      <c r="K652" s="5">
        <f>5865 / 86400</f>
        <v>6.7881944444444439E-2</v>
      </c>
      <c r="L652" s="5">
        <f>42 / 86400</f>
        <v>4.861111111111111E-4</v>
      </c>
    </row>
    <row r="653" spans="1:12" x14ac:dyDescent="0.25">
      <c r="A653" s="3">
        <v>45697.979247685187</v>
      </c>
      <c r="B653" t="s">
        <v>272</v>
      </c>
      <c r="C653" s="3">
        <v>45697.979432870372</v>
      </c>
      <c r="D653" t="s">
        <v>272</v>
      </c>
      <c r="E653" s="4">
        <v>9.9999988079071045E-4</v>
      </c>
      <c r="F653" s="4">
        <v>526920.48600000003</v>
      </c>
      <c r="G653" s="4">
        <v>526920.48699999996</v>
      </c>
      <c r="H653" s="5">
        <f>0 / 86400</f>
        <v>0</v>
      </c>
      <c r="I653" t="s">
        <v>63</v>
      </c>
      <c r="J653" t="s">
        <v>63</v>
      </c>
      <c r="K653" s="5">
        <f>16 / 86400</f>
        <v>1.8518518518518518E-4</v>
      </c>
      <c r="L653" s="5">
        <f>127 / 86400</f>
        <v>1.4699074074074074E-3</v>
      </c>
    </row>
    <row r="654" spans="1:12" x14ac:dyDescent="0.25">
      <c r="A654" s="3">
        <v>45697.980902777781</v>
      </c>
      <c r="B654" t="s">
        <v>272</v>
      </c>
      <c r="C654" s="3">
        <v>45697.99998842593</v>
      </c>
      <c r="D654" t="s">
        <v>67</v>
      </c>
      <c r="E654" s="4">
        <v>9.3190000000596047</v>
      </c>
      <c r="F654" s="4">
        <v>526920.48699999996</v>
      </c>
      <c r="G654" s="4">
        <v>526929.80599999998</v>
      </c>
      <c r="H654" s="5">
        <f>340 / 86400</f>
        <v>3.9351851851851848E-3</v>
      </c>
      <c r="I654" t="s">
        <v>56</v>
      </c>
      <c r="J654" t="s">
        <v>28</v>
      </c>
      <c r="K654" s="5">
        <f>1649 / 86400</f>
        <v>1.9085648148148147E-2</v>
      </c>
      <c r="L654" s="5">
        <f>0 / 86400</f>
        <v>0</v>
      </c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s="10" customFormat="1" ht="20.100000000000001" customHeight="1" x14ac:dyDescent="0.35">
      <c r="A657" s="15" t="s">
        <v>418</v>
      </c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ht="30" x14ac:dyDescent="0.25">
      <c r="A659" s="2" t="s">
        <v>6</v>
      </c>
      <c r="B659" s="2" t="s">
        <v>7</v>
      </c>
      <c r="C659" s="2" t="s">
        <v>8</v>
      </c>
      <c r="D659" s="2" t="s">
        <v>9</v>
      </c>
      <c r="E659" s="2" t="s">
        <v>10</v>
      </c>
      <c r="F659" s="2" t="s">
        <v>11</v>
      </c>
      <c r="G659" s="2" t="s">
        <v>12</v>
      </c>
      <c r="H659" s="2" t="s">
        <v>13</v>
      </c>
      <c r="I659" s="2" t="s">
        <v>14</v>
      </c>
      <c r="J659" s="2" t="s">
        <v>15</v>
      </c>
      <c r="K659" s="2" t="s">
        <v>16</v>
      </c>
      <c r="L659" s="2" t="s">
        <v>17</v>
      </c>
    </row>
    <row r="660" spans="1:12" x14ac:dyDescent="0.25">
      <c r="A660" s="3">
        <v>45697.258391203708</v>
      </c>
      <c r="B660" t="s">
        <v>27</v>
      </c>
      <c r="C660" s="3">
        <v>45697.348275462966</v>
      </c>
      <c r="D660" t="s">
        <v>347</v>
      </c>
      <c r="E660" s="4">
        <v>36.798000000000002</v>
      </c>
      <c r="F660" s="4">
        <v>567093.92799999996</v>
      </c>
      <c r="G660" s="4">
        <v>567130.72600000002</v>
      </c>
      <c r="H660" s="5">
        <f>2558 / 86400</f>
        <v>2.960648148148148E-2</v>
      </c>
      <c r="I660" t="s">
        <v>51</v>
      </c>
      <c r="J660" t="s">
        <v>71</v>
      </c>
      <c r="K660" s="5">
        <f>7766 / 86400</f>
        <v>8.9884259259259261E-2</v>
      </c>
      <c r="L660" s="5">
        <f>24657 / 86400</f>
        <v>0.28538194444444442</v>
      </c>
    </row>
    <row r="661" spans="1:12" x14ac:dyDescent="0.25">
      <c r="A661" s="3">
        <v>45697.3752662037</v>
      </c>
      <c r="B661" t="s">
        <v>347</v>
      </c>
      <c r="C661" s="3">
        <v>45697.591493055559</v>
      </c>
      <c r="D661" t="s">
        <v>348</v>
      </c>
      <c r="E661" s="4">
        <v>94.456000000000003</v>
      </c>
      <c r="F661" s="4">
        <v>567130.72600000002</v>
      </c>
      <c r="G661" s="4">
        <v>567225.18200000003</v>
      </c>
      <c r="H661" s="5">
        <f>5621 / 86400</f>
        <v>6.5057870370370377E-2</v>
      </c>
      <c r="I661" t="s">
        <v>68</v>
      </c>
      <c r="J661" t="s">
        <v>20</v>
      </c>
      <c r="K661" s="5">
        <f>18681 / 86400</f>
        <v>0.21621527777777777</v>
      </c>
      <c r="L661" s="5">
        <f>3922 / 86400</f>
        <v>4.5393518518518521E-2</v>
      </c>
    </row>
    <row r="662" spans="1:12" x14ac:dyDescent="0.25">
      <c r="A662" s="3">
        <v>45697.636886574073</v>
      </c>
      <c r="B662" t="s">
        <v>348</v>
      </c>
      <c r="C662" s="3">
        <v>45697.726608796293</v>
      </c>
      <c r="D662" t="s">
        <v>136</v>
      </c>
      <c r="E662" s="4">
        <v>46.523000000000003</v>
      </c>
      <c r="F662" s="4">
        <v>567225.18200000003</v>
      </c>
      <c r="G662" s="4">
        <v>567271.70499999996</v>
      </c>
      <c r="H662" s="5">
        <f>1546 / 86400</f>
        <v>1.7893518518518517E-2</v>
      </c>
      <c r="I662" t="s">
        <v>141</v>
      </c>
      <c r="J662" t="s">
        <v>26</v>
      </c>
      <c r="K662" s="5">
        <f>7751 / 86400</f>
        <v>8.971064814814815E-2</v>
      </c>
      <c r="L662" s="5">
        <f>127 / 86400</f>
        <v>1.4699074074074074E-3</v>
      </c>
    </row>
    <row r="663" spans="1:12" x14ac:dyDescent="0.25">
      <c r="A663" s="3">
        <v>45697.728078703702</v>
      </c>
      <c r="B663" t="s">
        <v>138</v>
      </c>
      <c r="C663" s="3">
        <v>45697.855937500004</v>
      </c>
      <c r="D663" t="s">
        <v>101</v>
      </c>
      <c r="E663" s="4">
        <v>58.406999999999996</v>
      </c>
      <c r="F663" s="4">
        <v>567271.70499999996</v>
      </c>
      <c r="G663" s="4">
        <v>567330.11199999996</v>
      </c>
      <c r="H663" s="5">
        <f>3118 / 86400</f>
        <v>3.6087962962962961E-2</v>
      </c>
      <c r="I663" t="s">
        <v>19</v>
      </c>
      <c r="J663" t="s">
        <v>23</v>
      </c>
      <c r="K663" s="5">
        <f>11047 / 86400</f>
        <v>0.12785879629629629</v>
      </c>
      <c r="L663" s="5">
        <f>817 / 86400</f>
        <v>9.4560185185185181E-3</v>
      </c>
    </row>
    <row r="664" spans="1:12" x14ac:dyDescent="0.25">
      <c r="A664" s="3">
        <v>45697.865393518514</v>
      </c>
      <c r="B664" t="s">
        <v>349</v>
      </c>
      <c r="C664" s="3">
        <v>45697.871331018519</v>
      </c>
      <c r="D664" t="s">
        <v>27</v>
      </c>
      <c r="E664" s="4">
        <v>2.2160000000000002</v>
      </c>
      <c r="F664" s="4">
        <v>567330.11199999996</v>
      </c>
      <c r="G664" s="4">
        <v>567332.32799999998</v>
      </c>
      <c r="H664" s="5">
        <f>120 / 86400</f>
        <v>1.3888888888888889E-3</v>
      </c>
      <c r="I664" t="s">
        <v>209</v>
      </c>
      <c r="J664" t="s">
        <v>95</v>
      </c>
      <c r="K664" s="5">
        <f>513 / 86400</f>
        <v>5.9375000000000001E-3</v>
      </c>
      <c r="L664" s="5">
        <f>1225 / 86400</f>
        <v>1.4178240740740741E-2</v>
      </c>
    </row>
    <row r="665" spans="1:12" x14ac:dyDescent="0.25">
      <c r="A665" s="3">
        <v>45697.885509259257</v>
      </c>
      <c r="B665" t="s">
        <v>27</v>
      </c>
      <c r="C665" s="3">
        <v>45697.886469907404</v>
      </c>
      <c r="D665" t="s">
        <v>27</v>
      </c>
      <c r="E665" s="4">
        <v>3.5999999999999997E-2</v>
      </c>
      <c r="F665" s="4">
        <v>567332.32799999998</v>
      </c>
      <c r="G665" s="4">
        <v>567332.36399999994</v>
      </c>
      <c r="H665" s="5">
        <f>40 / 86400</f>
        <v>4.6296296296296298E-4</v>
      </c>
      <c r="I665" t="s">
        <v>40</v>
      </c>
      <c r="J665" t="s">
        <v>153</v>
      </c>
      <c r="K665" s="5">
        <f>83 / 86400</f>
        <v>9.6064814814814819E-4</v>
      </c>
      <c r="L665" s="5">
        <f>9808 / 86400</f>
        <v>0.11351851851851852</v>
      </c>
    </row>
    <row r="666" spans="1:1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 spans="1:12" s="10" customFormat="1" ht="20.100000000000001" customHeight="1" x14ac:dyDescent="0.35">
      <c r="A668" s="15" t="s">
        <v>419</v>
      </c>
      <c r="B668" s="15"/>
      <c r="C668" s="15"/>
      <c r="D668" s="15"/>
      <c r="E668" s="15"/>
      <c r="F668" s="15"/>
      <c r="G668" s="15"/>
      <c r="H668" s="15"/>
      <c r="I668" s="15"/>
      <c r="J668" s="15"/>
    </row>
    <row r="669" spans="1:1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</row>
    <row r="670" spans="1:12" ht="30" x14ac:dyDescent="0.25">
      <c r="A670" s="2" t="s">
        <v>6</v>
      </c>
      <c r="B670" s="2" t="s">
        <v>7</v>
      </c>
      <c r="C670" s="2" t="s">
        <v>8</v>
      </c>
      <c r="D670" s="2" t="s">
        <v>9</v>
      </c>
      <c r="E670" s="2" t="s">
        <v>10</v>
      </c>
      <c r="F670" s="2" t="s">
        <v>11</v>
      </c>
      <c r="G670" s="2" t="s">
        <v>12</v>
      </c>
      <c r="H670" s="2" t="s">
        <v>13</v>
      </c>
      <c r="I670" s="2" t="s">
        <v>14</v>
      </c>
      <c r="J670" s="2" t="s">
        <v>15</v>
      </c>
      <c r="K670" s="2" t="s">
        <v>16</v>
      </c>
      <c r="L670" s="2" t="s">
        <v>17</v>
      </c>
    </row>
    <row r="671" spans="1:12" x14ac:dyDescent="0.25">
      <c r="A671" s="3">
        <v>45697.25105324074</v>
      </c>
      <c r="B671" t="s">
        <v>69</v>
      </c>
      <c r="C671" s="3">
        <v>45697.335706018523</v>
      </c>
      <c r="D671" t="s">
        <v>118</v>
      </c>
      <c r="E671" s="4">
        <v>37.128</v>
      </c>
      <c r="F671" s="4">
        <v>434738.45699999999</v>
      </c>
      <c r="G671" s="4">
        <v>434775.58500000002</v>
      </c>
      <c r="H671" s="5">
        <f>2299 / 86400</f>
        <v>2.6608796296296297E-2</v>
      </c>
      <c r="I671" t="s">
        <v>77</v>
      </c>
      <c r="J671" t="s">
        <v>20</v>
      </c>
      <c r="K671" s="5">
        <f>7314 / 86400</f>
        <v>8.4652777777777771E-2</v>
      </c>
      <c r="L671" s="5">
        <f>23824 / 86400</f>
        <v>0.27574074074074073</v>
      </c>
    </row>
    <row r="672" spans="1:12" x14ac:dyDescent="0.25">
      <c r="A672" s="3">
        <v>45697.360393518524</v>
      </c>
      <c r="B672" t="s">
        <v>118</v>
      </c>
      <c r="C672" s="3">
        <v>45697.363136574073</v>
      </c>
      <c r="D672" t="s">
        <v>127</v>
      </c>
      <c r="E672" s="4">
        <v>1.2330000000000001</v>
      </c>
      <c r="F672" s="4">
        <v>434775.58500000002</v>
      </c>
      <c r="G672" s="4">
        <v>434776.81800000003</v>
      </c>
      <c r="H672" s="5">
        <f>0 / 86400</f>
        <v>0</v>
      </c>
      <c r="I672" t="s">
        <v>194</v>
      </c>
      <c r="J672" t="s">
        <v>23</v>
      </c>
      <c r="K672" s="5">
        <f>237 / 86400</f>
        <v>2.7430555555555554E-3</v>
      </c>
      <c r="L672" s="5">
        <f>2020 / 86400</f>
        <v>2.3379629629629629E-2</v>
      </c>
    </row>
    <row r="673" spans="1:12" x14ac:dyDescent="0.25">
      <c r="A673" s="3">
        <v>45697.386516203704</v>
      </c>
      <c r="B673" t="s">
        <v>127</v>
      </c>
      <c r="C673" s="3">
        <v>45697.387453703705</v>
      </c>
      <c r="D673" t="s">
        <v>72</v>
      </c>
      <c r="E673" s="4">
        <v>4.8000000000000001E-2</v>
      </c>
      <c r="F673" s="4">
        <v>434776.81800000003</v>
      </c>
      <c r="G673" s="4">
        <v>434776.86599999998</v>
      </c>
      <c r="H673" s="5">
        <f>39 / 86400</f>
        <v>4.5138888888888887E-4</v>
      </c>
      <c r="I673" t="s">
        <v>92</v>
      </c>
      <c r="J673" t="s">
        <v>153</v>
      </c>
      <c r="K673" s="5">
        <f>81 / 86400</f>
        <v>9.3749999999999997E-4</v>
      </c>
      <c r="L673" s="5">
        <f>893 / 86400</f>
        <v>1.0335648148148148E-2</v>
      </c>
    </row>
    <row r="674" spans="1:12" x14ac:dyDescent="0.25">
      <c r="A674" s="3">
        <v>45697.397789351853</v>
      </c>
      <c r="B674" t="s">
        <v>72</v>
      </c>
      <c r="C674" s="3">
        <v>45697.402858796297</v>
      </c>
      <c r="D674" t="s">
        <v>127</v>
      </c>
      <c r="E674" s="4">
        <v>0.11600000000000001</v>
      </c>
      <c r="F674" s="4">
        <v>434776.86599999998</v>
      </c>
      <c r="G674" s="4">
        <v>434776.98200000002</v>
      </c>
      <c r="H674" s="5">
        <f>319 / 86400</f>
        <v>3.6921296296296298E-3</v>
      </c>
      <c r="I674" t="s">
        <v>135</v>
      </c>
      <c r="J674" t="s">
        <v>40</v>
      </c>
      <c r="K674" s="5">
        <f>438 / 86400</f>
        <v>5.0694444444444441E-3</v>
      </c>
      <c r="L674" s="5">
        <f>154 / 86400</f>
        <v>1.7824074074074075E-3</v>
      </c>
    </row>
    <row r="675" spans="1:12" x14ac:dyDescent="0.25">
      <c r="A675" s="3">
        <v>45697.404641203699</v>
      </c>
      <c r="B675" t="s">
        <v>127</v>
      </c>
      <c r="C675" s="3">
        <v>45697.404699074075</v>
      </c>
      <c r="D675" t="s">
        <v>127</v>
      </c>
      <c r="E675" s="4">
        <v>0</v>
      </c>
      <c r="F675" s="4">
        <v>434776.98200000002</v>
      </c>
      <c r="G675" s="4">
        <v>434776.98200000002</v>
      </c>
      <c r="H675" s="5">
        <f>0 / 86400</f>
        <v>0</v>
      </c>
      <c r="I675" t="s">
        <v>125</v>
      </c>
      <c r="J675" t="s">
        <v>63</v>
      </c>
      <c r="K675" s="5">
        <f>5 / 86400</f>
        <v>5.7870370370370373E-5</v>
      </c>
      <c r="L675" s="5">
        <f>22 / 86400</f>
        <v>2.5462962962962961E-4</v>
      </c>
    </row>
    <row r="676" spans="1:12" x14ac:dyDescent="0.25">
      <c r="A676" s="3">
        <v>45697.404953703706</v>
      </c>
      <c r="B676" t="s">
        <v>127</v>
      </c>
      <c r="C676" s="3">
        <v>45697.635798611111</v>
      </c>
      <c r="D676" t="s">
        <v>122</v>
      </c>
      <c r="E676" s="4">
        <v>99.936000000000007</v>
      </c>
      <c r="F676" s="4">
        <v>434776.98200000002</v>
      </c>
      <c r="G676" s="4">
        <v>434876.91800000001</v>
      </c>
      <c r="H676" s="5">
        <f>6200 / 86400</f>
        <v>7.1759259259259259E-2</v>
      </c>
      <c r="I676" t="s">
        <v>70</v>
      </c>
      <c r="J676" t="s">
        <v>20</v>
      </c>
      <c r="K676" s="5">
        <f>19945 / 86400</f>
        <v>0.2308449074074074</v>
      </c>
      <c r="L676" s="5">
        <f>6010 / 86400</f>
        <v>6.9560185185185183E-2</v>
      </c>
    </row>
    <row r="677" spans="1:12" x14ac:dyDescent="0.25">
      <c r="A677" s="3">
        <v>45697.705358796295</v>
      </c>
      <c r="B677" t="s">
        <v>122</v>
      </c>
      <c r="C677" s="3">
        <v>45697.709062499998</v>
      </c>
      <c r="D677" t="s">
        <v>72</v>
      </c>
      <c r="E677" s="4">
        <v>0.70799999999999996</v>
      </c>
      <c r="F677" s="4">
        <v>434876.91800000001</v>
      </c>
      <c r="G677" s="4">
        <v>434877.62599999999</v>
      </c>
      <c r="H677" s="5">
        <f>60 / 86400</f>
        <v>6.9444444444444447E-4</v>
      </c>
      <c r="I677" t="s">
        <v>81</v>
      </c>
      <c r="J677" t="s">
        <v>135</v>
      </c>
      <c r="K677" s="5">
        <f>320 / 86400</f>
        <v>3.7037037037037038E-3</v>
      </c>
      <c r="L677" s="5">
        <f>647 / 86400</f>
        <v>7.4884259259259262E-3</v>
      </c>
    </row>
    <row r="678" spans="1:12" x14ac:dyDescent="0.25">
      <c r="A678" s="3">
        <v>45697.716550925921</v>
      </c>
      <c r="B678" t="s">
        <v>72</v>
      </c>
      <c r="C678" s="3">
        <v>45697.716631944444</v>
      </c>
      <c r="D678" t="s">
        <v>72</v>
      </c>
      <c r="E678" s="4">
        <v>4.0000000000000001E-3</v>
      </c>
      <c r="F678" s="4">
        <v>434877.62599999999</v>
      </c>
      <c r="G678" s="4">
        <v>434877.63</v>
      </c>
      <c r="H678" s="5">
        <f>0 / 86400</f>
        <v>0</v>
      </c>
      <c r="I678" t="s">
        <v>29</v>
      </c>
      <c r="J678" t="s">
        <v>153</v>
      </c>
      <c r="K678" s="5">
        <f>7 / 86400</f>
        <v>8.1018518518518516E-5</v>
      </c>
      <c r="L678" s="5">
        <f>5 / 86400</f>
        <v>5.7870370370370373E-5</v>
      </c>
    </row>
    <row r="679" spans="1:12" x14ac:dyDescent="0.25">
      <c r="A679" s="3">
        <v>45697.716689814813</v>
      </c>
      <c r="B679" t="s">
        <v>72</v>
      </c>
      <c r="C679" s="3">
        <v>45697.717800925922</v>
      </c>
      <c r="D679" t="s">
        <v>58</v>
      </c>
      <c r="E679" s="4">
        <v>0.23200000000000001</v>
      </c>
      <c r="F679" s="4">
        <v>434877.63</v>
      </c>
      <c r="G679" s="4">
        <v>434877.86200000002</v>
      </c>
      <c r="H679" s="5">
        <f>0 / 86400</f>
        <v>0</v>
      </c>
      <c r="I679" t="s">
        <v>20</v>
      </c>
      <c r="J679" t="s">
        <v>52</v>
      </c>
      <c r="K679" s="5">
        <f>96 / 86400</f>
        <v>1.1111111111111111E-3</v>
      </c>
      <c r="L679" s="5">
        <f>1889 / 86400</f>
        <v>2.1863425925925925E-2</v>
      </c>
    </row>
    <row r="680" spans="1:12" x14ac:dyDescent="0.25">
      <c r="A680" s="3">
        <v>45697.739664351851</v>
      </c>
      <c r="B680" t="s">
        <v>58</v>
      </c>
      <c r="C680" s="3">
        <v>45697.843449074076</v>
      </c>
      <c r="D680" t="s">
        <v>289</v>
      </c>
      <c r="E680" s="4">
        <v>43.145000000000003</v>
      </c>
      <c r="F680" s="4">
        <v>434877.86200000002</v>
      </c>
      <c r="G680" s="4">
        <v>434921.00699999998</v>
      </c>
      <c r="H680" s="5">
        <f>2659 / 86400</f>
        <v>3.0775462962962963E-2</v>
      </c>
      <c r="I680" t="s">
        <v>56</v>
      </c>
      <c r="J680" t="s">
        <v>71</v>
      </c>
      <c r="K680" s="5">
        <f>8967 / 86400</f>
        <v>0.10378472222222222</v>
      </c>
      <c r="L680" s="5">
        <f>317 / 86400</f>
        <v>3.6689814814814814E-3</v>
      </c>
    </row>
    <row r="681" spans="1:12" x14ac:dyDescent="0.25">
      <c r="A681" s="3">
        <v>45697.847118055557</v>
      </c>
      <c r="B681" t="s">
        <v>289</v>
      </c>
      <c r="C681" s="3">
        <v>45697.848182870366</v>
      </c>
      <c r="D681" t="s">
        <v>350</v>
      </c>
      <c r="E681" s="4">
        <v>3.3000000000000002E-2</v>
      </c>
      <c r="F681" s="4">
        <v>434921.00699999998</v>
      </c>
      <c r="G681" s="4">
        <v>434921.04</v>
      </c>
      <c r="H681" s="5">
        <f>60 / 86400</f>
        <v>6.9444444444444447E-4</v>
      </c>
      <c r="I681" t="s">
        <v>135</v>
      </c>
      <c r="J681" t="s">
        <v>40</v>
      </c>
      <c r="K681" s="5">
        <f>91 / 86400</f>
        <v>1.0532407407407407E-3</v>
      </c>
      <c r="L681" s="5">
        <f>734 / 86400</f>
        <v>8.4953703703703701E-3</v>
      </c>
    </row>
    <row r="682" spans="1:12" x14ac:dyDescent="0.25">
      <c r="A682" s="3">
        <v>45697.856678240743</v>
      </c>
      <c r="B682" t="s">
        <v>350</v>
      </c>
      <c r="C682" s="3">
        <v>45697.860706018517</v>
      </c>
      <c r="D682" t="s">
        <v>97</v>
      </c>
      <c r="E682" s="4">
        <v>1.3109999999999999</v>
      </c>
      <c r="F682" s="4">
        <v>434921.04</v>
      </c>
      <c r="G682" s="4">
        <v>434922.35100000002</v>
      </c>
      <c r="H682" s="5">
        <f>20 / 86400</f>
        <v>2.3148148148148149E-4</v>
      </c>
      <c r="I682" t="s">
        <v>134</v>
      </c>
      <c r="J682" t="s">
        <v>123</v>
      </c>
      <c r="K682" s="5">
        <f>347 / 86400</f>
        <v>4.0162037037037041E-3</v>
      </c>
      <c r="L682" s="5">
        <f>380 / 86400</f>
        <v>4.3981481481481484E-3</v>
      </c>
    </row>
    <row r="683" spans="1:12" x14ac:dyDescent="0.25">
      <c r="A683" s="3">
        <v>45697.865104166667</v>
      </c>
      <c r="B683" t="s">
        <v>97</v>
      </c>
      <c r="C683" s="3">
        <v>45697.870729166665</v>
      </c>
      <c r="D683" t="s">
        <v>351</v>
      </c>
      <c r="E683" s="4">
        <v>1.573</v>
      </c>
      <c r="F683" s="4">
        <v>434922.35100000002</v>
      </c>
      <c r="G683" s="4">
        <v>434923.924</v>
      </c>
      <c r="H683" s="5">
        <f>20 / 86400</f>
        <v>2.3148148148148149E-4</v>
      </c>
      <c r="I683" t="s">
        <v>20</v>
      </c>
      <c r="J683" t="s">
        <v>92</v>
      </c>
      <c r="K683" s="5">
        <f>485 / 86400</f>
        <v>5.6134259259259262E-3</v>
      </c>
      <c r="L683" s="5">
        <f>73 / 86400</f>
        <v>8.4490740740740739E-4</v>
      </c>
    </row>
    <row r="684" spans="1:12" x14ac:dyDescent="0.25">
      <c r="A684" s="3">
        <v>45697.871574074074</v>
      </c>
      <c r="B684" t="s">
        <v>351</v>
      </c>
      <c r="C684" s="3">
        <v>45697.871689814812</v>
      </c>
      <c r="D684" t="s">
        <v>351</v>
      </c>
      <c r="E684" s="4">
        <v>2E-3</v>
      </c>
      <c r="F684" s="4">
        <v>434923.924</v>
      </c>
      <c r="G684" s="4">
        <v>434923.92599999998</v>
      </c>
      <c r="H684" s="5">
        <f>0 / 86400</f>
        <v>0</v>
      </c>
      <c r="I684" t="s">
        <v>63</v>
      </c>
      <c r="J684" t="s">
        <v>40</v>
      </c>
      <c r="K684" s="5">
        <f>10 / 86400</f>
        <v>1.1574074074074075E-4</v>
      </c>
      <c r="L684" s="5">
        <f>333 / 86400</f>
        <v>3.8541666666666668E-3</v>
      </c>
    </row>
    <row r="685" spans="1:12" x14ac:dyDescent="0.25">
      <c r="A685" s="3">
        <v>45697.875543981485</v>
      </c>
      <c r="B685" t="s">
        <v>351</v>
      </c>
      <c r="C685" s="3">
        <v>45697.877476851849</v>
      </c>
      <c r="D685" t="s">
        <v>69</v>
      </c>
      <c r="E685" s="4">
        <v>0.53900000000000003</v>
      </c>
      <c r="F685" s="4">
        <v>434923.92599999998</v>
      </c>
      <c r="G685" s="4">
        <v>434924.46500000003</v>
      </c>
      <c r="H685" s="5">
        <f>40 / 86400</f>
        <v>4.6296296296296298E-4</v>
      </c>
      <c r="I685" t="s">
        <v>163</v>
      </c>
      <c r="J685" t="s">
        <v>92</v>
      </c>
      <c r="K685" s="5">
        <f>167 / 86400</f>
        <v>1.9328703703703704E-3</v>
      </c>
      <c r="L685" s="5">
        <f>159 / 86400</f>
        <v>1.8402777777777777E-3</v>
      </c>
    </row>
    <row r="686" spans="1:12" x14ac:dyDescent="0.25">
      <c r="A686" s="3">
        <v>45697.879317129627</v>
      </c>
      <c r="B686" t="s">
        <v>69</v>
      </c>
      <c r="C686" s="3">
        <v>45697.880300925928</v>
      </c>
      <c r="D686" t="s">
        <v>69</v>
      </c>
      <c r="E686" s="4">
        <v>0.02</v>
      </c>
      <c r="F686" s="4">
        <v>434924.46500000003</v>
      </c>
      <c r="G686" s="4">
        <v>434924.48499999999</v>
      </c>
      <c r="H686" s="5">
        <f>79 / 86400</f>
        <v>9.1435185185185185E-4</v>
      </c>
      <c r="I686" t="s">
        <v>63</v>
      </c>
      <c r="J686" t="s">
        <v>40</v>
      </c>
      <c r="K686" s="5">
        <f>84 / 86400</f>
        <v>9.7222222222222219E-4</v>
      </c>
      <c r="L686" s="5">
        <f>10341 / 86400</f>
        <v>0.1196875</v>
      </c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2" s="10" customFormat="1" ht="20.100000000000001" customHeight="1" x14ac:dyDescent="0.35">
      <c r="A689" s="15" t="s">
        <v>420</v>
      </c>
      <c r="B689" s="15"/>
      <c r="C689" s="15"/>
      <c r="D689" s="15"/>
      <c r="E689" s="15"/>
      <c r="F689" s="15"/>
      <c r="G689" s="15"/>
      <c r="H689" s="15"/>
      <c r="I689" s="15"/>
      <c r="J689" s="15"/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2" ht="30" x14ac:dyDescent="0.25">
      <c r="A691" s="2" t="s">
        <v>6</v>
      </c>
      <c r="B691" s="2" t="s">
        <v>7</v>
      </c>
      <c r="C691" s="2" t="s">
        <v>8</v>
      </c>
      <c r="D691" s="2" t="s">
        <v>9</v>
      </c>
      <c r="E691" s="2" t="s">
        <v>10</v>
      </c>
      <c r="F691" s="2" t="s">
        <v>11</v>
      </c>
      <c r="G691" s="2" t="s">
        <v>12</v>
      </c>
      <c r="H691" s="2" t="s">
        <v>13</v>
      </c>
      <c r="I691" s="2" t="s">
        <v>14</v>
      </c>
      <c r="J691" s="2" t="s">
        <v>15</v>
      </c>
      <c r="K691" s="2" t="s">
        <v>16</v>
      </c>
      <c r="L691" s="2" t="s">
        <v>17</v>
      </c>
    </row>
    <row r="692" spans="1:12" x14ac:dyDescent="0.25">
      <c r="A692" s="3">
        <v>45697.278182870374</v>
      </c>
      <c r="B692" t="s">
        <v>72</v>
      </c>
      <c r="C692" s="3">
        <v>45697.279513888891</v>
      </c>
      <c r="D692" t="s">
        <v>127</v>
      </c>
      <c r="E692" s="4">
        <v>4.8000000000000001E-2</v>
      </c>
      <c r="F692" s="4">
        <v>514586.402</v>
      </c>
      <c r="G692" s="4">
        <v>514586.45</v>
      </c>
      <c r="H692" s="5">
        <f>30 / 86400</f>
        <v>3.4722222222222224E-4</v>
      </c>
      <c r="I692" t="s">
        <v>39</v>
      </c>
      <c r="J692" t="s">
        <v>153</v>
      </c>
      <c r="K692" s="5">
        <f>115 / 86400</f>
        <v>1.3310185185185185E-3</v>
      </c>
      <c r="L692" s="5">
        <f>24038 / 86400</f>
        <v>0.2782175925925926</v>
      </c>
    </row>
    <row r="693" spans="1:12" x14ac:dyDescent="0.25">
      <c r="A693" s="3">
        <v>45697.279548611114</v>
      </c>
      <c r="B693" t="s">
        <v>127</v>
      </c>
      <c r="C693" s="3">
        <v>45697.27957175926</v>
      </c>
      <c r="D693" t="s">
        <v>127</v>
      </c>
      <c r="E693" s="4">
        <v>2E-3</v>
      </c>
      <c r="F693" s="4">
        <v>514586.45199999999</v>
      </c>
      <c r="G693" s="4">
        <v>514586.45400000003</v>
      </c>
      <c r="H693" s="5">
        <f>0 / 86400</f>
        <v>0</v>
      </c>
      <c r="I693" t="s">
        <v>33</v>
      </c>
      <c r="J693" t="s">
        <v>191</v>
      </c>
      <c r="K693" s="5">
        <f>2 / 86400</f>
        <v>2.3148148148148147E-5</v>
      </c>
      <c r="L693" s="5">
        <f>30 / 86400</f>
        <v>3.4722222222222224E-4</v>
      </c>
    </row>
    <row r="694" spans="1:12" x14ac:dyDescent="0.25">
      <c r="A694" s="3">
        <v>45697.279918981483</v>
      </c>
      <c r="B694" t="s">
        <v>127</v>
      </c>
      <c r="C694" s="3">
        <v>45697.283831018518</v>
      </c>
      <c r="D694" t="s">
        <v>330</v>
      </c>
      <c r="E694" s="4">
        <v>1.165</v>
      </c>
      <c r="F694" s="4">
        <v>514586.60600000003</v>
      </c>
      <c r="G694" s="4">
        <v>514587.77100000001</v>
      </c>
      <c r="H694" s="5">
        <f>30 / 86400</f>
        <v>3.4722222222222224E-4</v>
      </c>
      <c r="I694" t="s">
        <v>179</v>
      </c>
      <c r="J694" t="s">
        <v>92</v>
      </c>
      <c r="K694" s="5">
        <f>338 / 86400</f>
        <v>3.9120370370370368E-3</v>
      </c>
      <c r="L694" s="5">
        <f>2964 / 86400</f>
        <v>3.4305555555555554E-2</v>
      </c>
    </row>
    <row r="695" spans="1:12" x14ac:dyDescent="0.25">
      <c r="A695" s="3">
        <v>45697.318136574075</v>
      </c>
      <c r="B695" t="s">
        <v>330</v>
      </c>
      <c r="C695" s="3">
        <v>45697.325462962966</v>
      </c>
      <c r="D695" t="s">
        <v>122</v>
      </c>
      <c r="E695" s="4">
        <v>0.73199999999999998</v>
      </c>
      <c r="F695" s="4">
        <v>514587.77100000001</v>
      </c>
      <c r="G695" s="4">
        <v>514588.50300000003</v>
      </c>
      <c r="H695" s="5">
        <f>391 / 86400</f>
        <v>4.5254629629629629E-3</v>
      </c>
      <c r="I695" t="s">
        <v>28</v>
      </c>
      <c r="J695" t="s">
        <v>191</v>
      </c>
      <c r="K695" s="5">
        <f>633 / 86400</f>
        <v>7.3263888888888892E-3</v>
      </c>
      <c r="L695" s="5">
        <f>1245 / 86400</f>
        <v>1.4409722222222223E-2</v>
      </c>
    </row>
    <row r="696" spans="1:12" x14ac:dyDescent="0.25">
      <c r="A696" s="3">
        <v>45697.339872685188</v>
      </c>
      <c r="B696" t="s">
        <v>122</v>
      </c>
      <c r="C696" s="3">
        <v>45697.340613425928</v>
      </c>
      <c r="D696" t="s">
        <v>128</v>
      </c>
      <c r="E696" s="4">
        <v>0.04</v>
      </c>
      <c r="F696" s="4">
        <v>514588.50300000003</v>
      </c>
      <c r="G696" s="4">
        <v>514588.54300000001</v>
      </c>
      <c r="H696" s="5">
        <f>31 / 86400</f>
        <v>3.5879629629629629E-4</v>
      </c>
      <c r="I696" t="s">
        <v>82</v>
      </c>
      <c r="J696" t="s">
        <v>153</v>
      </c>
      <c r="K696" s="5">
        <f>64 / 86400</f>
        <v>7.407407407407407E-4</v>
      </c>
      <c r="L696" s="5">
        <f>542 / 86400</f>
        <v>6.2731481481481484E-3</v>
      </c>
    </row>
    <row r="697" spans="1:12" x14ac:dyDescent="0.25">
      <c r="A697" s="3">
        <v>45697.346886574072</v>
      </c>
      <c r="B697" t="s">
        <v>128</v>
      </c>
      <c r="C697" s="3">
        <v>45697.347083333334</v>
      </c>
      <c r="D697" t="s">
        <v>128</v>
      </c>
      <c r="E697" s="4">
        <v>5.0000000000000001E-3</v>
      </c>
      <c r="F697" s="4">
        <v>514588.54300000001</v>
      </c>
      <c r="G697" s="4">
        <v>514588.54800000001</v>
      </c>
      <c r="H697" s="5">
        <f>0 / 86400</f>
        <v>0</v>
      </c>
      <c r="I697" t="s">
        <v>63</v>
      </c>
      <c r="J697" t="s">
        <v>40</v>
      </c>
      <c r="K697" s="5">
        <f>17 / 86400</f>
        <v>1.9675925925925926E-4</v>
      </c>
      <c r="L697" s="5">
        <f>295 / 86400</f>
        <v>3.414351851851852E-3</v>
      </c>
    </row>
    <row r="698" spans="1:12" x14ac:dyDescent="0.25">
      <c r="A698" s="3">
        <v>45697.350497685184</v>
      </c>
      <c r="B698" t="s">
        <v>128</v>
      </c>
      <c r="C698" s="3">
        <v>45697.367534722223</v>
      </c>
      <c r="D698" t="s">
        <v>74</v>
      </c>
      <c r="E698" s="4">
        <v>6.5250000000000004</v>
      </c>
      <c r="F698" s="4">
        <v>514588.54800000001</v>
      </c>
      <c r="G698" s="4">
        <v>514595.07299999997</v>
      </c>
      <c r="H698" s="5">
        <f>539 / 86400</f>
        <v>6.2384259259259259E-3</v>
      </c>
      <c r="I698" t="s">
        <v>151</v>
      </c>
      <c r="J698" t="s">
        <v>95</v>
      </c>
      <c r="K698" s="5">
        <f>1472 / 86400</f>
        <v>1.7037037037037038E-2</v>
      </c>
      <c r="L698" s="5">
        <f>5 / 86400</f>
        <v>5.7870370370370373E-5</v>
      </c>
    </row>
    <row r="699" spans="1:12" x14ac:dyDescent="0.25">
      <c r="A699" s="3">
        <v>45697.367592592593</v>
      </c>
      <c r="B699" t="s">
        <v>74</v>
      </c>
      <c r="C699" s="3">
        <v>45697.413645833338</v>
      </c>
      <c r="D699" t="s">
        <v>352</v>
      </c>
      <c r="E699" s="4">
        <v>31.715</v>
      </c>
      <c r="F699" s="4">
        <v>514595.11700000003</v>
      </c>
      <c r="G699" s="4">
        <v>514626.83199999999</v>
      </c>
      <c r="H699" s="5">
        <f>998 / 86400</f>
        <v>1.1550925925925926E-2</v>
      </c>
      <c r="I699" t="s">
        <v>73</v>
      </c>
      <c r="J699" t="s">
        <v>173</v>
      </c>
      <c r="K699" s="5">
        <f>3979 / 86400</f>
        <v>4.6053240740740742E-2</v>
      </c>
      <c r="L699" s="5">
        <f>8 / 86400</f>
        <v>9.2592592592592588E-5</v>
      </c>
    </row>
    <row r="700" spans="1:12" x14ac:dyDescent="0.25">
      <c r="A700" s="3">
        <v>45697.413738425923</v>
      </c>
      <c r="B700" t="s">
        <v>352</v>
      </c>
      <c r="C700" s="3">
        <v>45697.419965277775</v>
      </c>
      <c r="D700" t="s">
        <v>353</v>
      </c>
      <c r="E700" s="4">
        <v>2.8959999999999999</v>
      </c>
      <c r="F700" s="4">
        <v>514626.86200000002</v>
      </c>
      <c r="G700" s="4">
        <v>514629.75799999997</v>
      </c>
      <c r="H700" s="5">
        <f>236 / 86400</f>
        <v>2.7314814814814814E-3</v>
      </c>
      <c r="I700" t="s">
        <v>204</v>
      </c>
      <c r="J700" t="s">
        <v>23</v>
      </c>
      <c r="K700" s="5">
        <f>538 / 86400</f>
        <v>6.2268518518518515E-3</v>
      </c>
      <c r="L700" s="5">
        <f>3 / 86400</f>
        <v>3.4722222222222222E-5</v>
      </c>
    </row>
    <row r="701" spans="1:12" x14ac:dyDescent="0.25">
      <c r="A701" s="3">
        <v>45697.42</v>
      </c>
      <c r="B701" t="s">
        <v>354</v>
      </c>
      <c r="C701" s="3">
        <v>45697.431458333333</v>
      </c>
      <c r="D701" t="s">
        <v>355</v>
      </c>
      <c r="E701" s="4">
        <v>2.7189999999999999</v>
      </c>
      <c r="F701" s="4">
        <v>514629.77600000001</v>
      </c>
      <c r="G701" s="4">
        <v>514632.495</v>
      </c>
      <c r="H701" s="5">
        <f>450 / 86400</f>
        <v>5.208333333333333E-3</v>
      </c>
      <c r="I701" t="s">
        <v>194</v>
      </c>
      <c r="J701" t="s">
        <v>33</v>
      </c>
      <c r="K701" s="5">
        <f>990 / 86400</f>
        <v>1.1458333333333333E-2</v>
      </c>
      <c r="L701" s="5">
        <f>30 / 86400</f>
        <v>3.4722222222222224E-4</v>
      </c>
    </row>
    <row r="702" spans="1:12" x14ac:dyDescent="0.25">
      <c r="A702" s="3">
        <v>45697.431805555556</v>
      </c>
      <c r="B702" t="s">
        <v>355</v>
      </c>
      <c r="C702" s="3">
        <v>45697.584618055553</v>
      </c>
      <c r="D702" t="s">
        <v>356</v>
      </c>
      <c r="E702" s="4">
        <v>60.957999999999998</v>
      </c>
      <c r="F702" s="4">
        <v>514632.533</v>
      </c>
      <c r="G702" s="4">
        <v>514693.49099999998</v>
      </c>
      <c r="H702" s="5">
        <f>5340 / 86400</f>
        <v>6.1805555555555558E-2</v>
      </c>
      <c r="I702" t="s">
        <v>133</v>
      </c>
      <c r="J702" t="s">
        <v>71</v>
      </c>
      <c r="K702" s="5">
        <f>13203 / 86400</f>
        <v>0.15281249999999999</v>
      </c>
      <c r="L702" s="5">
        <f>2069 / 86400</f>
        <v>2.3946759259259258E-2</v>
      </c>
    </row>
    <row r="703" spans="1:12" x14ac:dyDescent="0.25">
      <c r="A703" s="3">
        <v>45697.608564814815</v>
      </c>
      <c r="B703" t="s">
        <v>41</v>
      </c>
      <c r="C703" s="3">
        <v>45697.619016203702</v>
      </c>
      <c r="D703" t="s">
        <v>41</v>
      </c>
      <c r="E703" s="4">
        <v>0.192</v>
      </c>
      <c r="F703" s="4">
        <v>514693.49099999998</v>
      </c>
      <c r="G703" s="4">
        <v>514693.68300000002</v>
      </c>
      <c r="H703" s="5">
        <f>780 / 86400</f>
        <v>9.0277777777777769E-3</v>
      </c>
      <c r="I703" t="s">
        <v>33</v>
      </c>
      <c r="J703" t="s">
        <v>40</v>
      </c>
      <c r="K703" s="5">
        <f>903 / 86400</f>
        <v>1.0451388888888889E-2</v>
      </c>
      <c r="L703" s="5">
        <f>181 / 86400</f>
        <v>2.0949074074074073E-3</v>
      </c>
    </row>
    <row r="704" spans="1:12" x14ac:dyDescent="0.25">
      <c r="A704" s="3">
        <v>45697.621111111112</v>
      </c>
      <c r="B704" t="s">
        <v>41</v>
      </c>
      <c r="C704" s="3">
        <v>45697.632314814815</v>
      </c>
      <c r="D704" t="s">
        <v>128</v>
      </c>
      <c r="E704" s="4">
        <v>1.161</v>
      </c>
      <c r="F704" s="4">
        <v>514693.68300000002</v>
      </c>
      <c r="G704" s="4">
        <v>514694.84399999998</v>
      </c>
      <c r="H704" s="5">
        <f>659 / 86400</f>
        <v>7.6273148148148151E-3</v>
      </c>
      <c r="I704" t="s">
        <v>81</v>
      </c>
      <c r="J704" t="s">
        <v>191</v>
      </c>
      <c r="K704" s="5">
        <f>968 / 86400</f>
        <v>1.1203703703703704E-2</v>
      </c>
      <c r="L704" s="5">
        <f>478 / 86400</f>
        <v>5.5324074074074078E-3</v>
      </c>
    </row>
    <row r="705" spans="1:12" x14ac:dyDescent="0.25">
      <c r="A705" s="3">
        <v>45697.63784722222</v>
      </c>
      <c r="B705" t="s">
        <v>128</v>
      </c>
      <c r="C705" s="3">
        <v>45697.63957175926</v>
      </c>
      <c r="D705" t="s">
        <v>128</v>
      </c>
      <c r="E705" s="4">
        <v>4.0000000000000001E-3</v>
      </c>
      <c r="F705" s="4">
        <v>514694.84399999998</v>
      </c>
      <c r="G705" s="4">
        <v>514694.848</v>
      </c>
      <c r="H705" s="5">
        <f>119 / 86400</f>
        <v>1.3773148148148147E-3</v>
      </c>
      <c r="I705" t="s">
        <v>63</v>
      </c>
      <c r="J705" t="s">
        <v>63</v>
      </c>
      <c r="K705" s="5">
        <f>149 / 86400</f>
        <v>1.724537037037037E-3</v>
      </c>
      <c r="L705" s="5">
        <f>296 / 86400</f>
        <v>3.425925925925926E-3</v>
      </c>
    </row>
    <row r="706" spans="1:12" x14ac:dyDescent="0.25">
      <c r="A706" s="3">
        <v>45697.642997685187</v>
      </c>
      <c r="B706" t="s">
        <v>128</v>
      </c>
      <c r="C706" s="3">
        <v>45697.661678240736</v>
      </c>
      <c r="D706" t="s">
        <v>74</v>
      </c>
      <c r="E706" s="4">
        <v>6.6779999999999999</v>
      </c>
      <c r="F706" s="4">
        <v>514694.848</v>
      </c>
      <c r="G706" s="4">
        <v>514701.52600000001</v>
      </c>
      <c r="H706" s="5">
        <f>749 / 86400</f>
        <v>8.6689814814814806E-3</v>
      </c>
      <c r="I706" t="s">
        <v>149</v>
      </c>
      <c r="J706" t="s">
        <v>175</v>
      </c>
      <c r="K706" s="5">
        <f>1614 / 86400</f>
        <v>1.8680555555555554E-2</v>
      </c>
      <c r="L706" s="5">
        <f>7 / 86400</f>
        <v>8.1018518518518516E-5</v>
      </c>
    </row>
    <row r="707" spans="1:12" x14ac:dyDescent="0.25">
      <c r="A707" s="3">
        <v>45697.661759259259</v>
      </c>
      <c r="B707" t="s">
        <v>74</v>
      </c>
      <c r="C707" s="3">
        <v>45697.699675925927</v>
      </c>
      <c r="D707" t="s">
        <v>176</v>
      </c>
      <c r="E707" s="4">
        <v>22.623999999999999</v>
      </c>
      <c r="F707" s="4">
        <v>514701.57900000003</v>
      </c>
      <c r="G707" s="4">
        <v>514724.20299999998</v>
      </c>
      <c r="H707" s="5">
        <f>1050 / 86400</f>
        <v>1.2152777777777778E-2</v>
      </c>
      <c r="I707" t="s">
        <v>77</v>
      </c>
      <c r="J707" t="s">
        <v>81</v>
      </c>
      <c r="K707" s="5">
        <f>3276 / 86400</f>
        <v>3.7916666666666668E-2</v>
      </c>
      <c r="L707" s="5">
        <f>30 / 86400</f>
        <v>3.4722222222222224E-4</v>
      </c>
    </row>
    <row r="708" spans="1:12" x14ac:dyDescent="0.25">
      <c r="A708" s="3">
        <v>45697.700023148151</v>
      </c>
      <c r="B708" t="s">
        <v>176</v>
      </c>
      <c r="C708" s="3">
        <v>45697.719293981485</v>
      </c>
      <c r="D708" t="s">
        <v>271</v>
      </c>
      <c r="E708" s="4">
        <v>8.61</v>
      </c>
      <c r="F708" s="4">
        <v>514724.41499999998</v>
      </c>
      <c r="G708" s="4">
        <v>514733.02500000002</v>
      </c>
      <c r="H708" s="5">
        <f>540 / 86400</f>
        <v>6.2500000000000003E-3</v>
      </c>
      <c r="I708" t="s">
        <v>77</v>
      </c>
      <c r="J708" t="s">
        <v>23</v>
      </c>
      <c r="K708" s="5">
        <f>1665 / 86400</f>
        <v>1.9270833333333334E-2</v>
      </c>
      <c r="L708" s="5">
        <f>1 / 86400</f>
        <v>1.1574074074074073E-5</v>
      </c>
    </row>
    <row r="709" spans="1:12" x14ac:dyDescent="0.25">
      <c r="A709" s="3">
        <v>45697.719305555554</v>
      </c>
      <c r="B709" t="s">
        <v>271</v>
      </c>
      <c r="C709" s="3">
        <v>45697.741909722223</v>
      </c>
      <c r="D709" t="s">
        <v>357</v>
      </c>
      <c r="E709" s="4">
        <v>8.1370000000000005</v>
      </c>
      <c r="F709" s="4">
        <v>514733.02500000002</v>
      </c>
      <c r="G709" s="4">
        <v>514741.16200000001</v>
      </c>
      <c r="H709" s="5">
        <f>727 / 86400</f>
        <v>8.4143518518518517E-3</v>
      </c>
      <c r="I709" t="s">
        <v>216</v>
      </c>
      <c r="J709" t="s">
        <v>175</v>
      </c>
      <c r="K709" s="5">
        <f>1953 / 86400</f>
        <v>2.2604166666666668E-2</v>
      </c>
      <c r="L709" s="5">
        <f>31 / 86400</f>
        <v>3.5879629629629629E-4</v>
      </c>
    </row>
    <row r="710" spans="1:12" x14ac:dyDescent="0.25">
      <c r="A710" s="3">
        <v>45697.742268518516</v>
      </c>
      <c r="B710" t="s">
        <v>358</v>
      </c>
      <c r="C710" s="3">
        <v>45697.862754629634</v>
      </c>
      <c r="D710" t="s">
        <v>72</v>
      </c>
      <c r="E710" s="4">
        <v>59.701000000000001</v>
      </c>
      <c r="F710" s="4">
        <v>514741.44300000003</v>
      </c>
      <c r="G710" s="4">
        <v>514801.14399999997</v>
      </c>
      <c r="H710" s="5">
        <f>2880 / 86400</f>
        <v>3.3333333333333333E-2</v>
      </c>
      <c r="I710" t="s">
        <v>359</v>
      </c>
      <c r="J710" t="s">
        <v>49</v>
      </c>
      <c r="K710" s="5">
        <f>10410 / 86400</f>
        <v>0.12048611111111111</v>
      </c>
      <c r="L710" s="5">
        <f>930 / 86400</f>
        <v>1.0763888888888889E-2</v>
      </c>
    </row>
    <row r="711" spans="1:12" x14ac:dyDescent="0.25">
      <c r="A711" s="3">
        <v>45697.873518518521</v>
      </c>
      <c r="B711" t="s">
        <v>127</v>
      </c>
      <c r="C711" s="3">
        <v>45697.879872685182</v>
      </c>
      <c r="D711" t="s">
        <v>43</v>
      </c>
      <c r="E711" s="4">
        <v>1.071</v>
      </c>
      <c r="F711" s="4">
        <v>514801.14399999997</v>
      </c>
      <c r="G711" s="4">
        <v>514802.21500000003</v>
      </c>
      <c r="H711" s="5">
        <f>330 / 86400</f>
        <v>3.8194444444444443E-3</v>
      </c>
      <c r="I711" t="s">
        <v>129</v>
      </c>
      <c r="J711" t="s">
        <v>39</v>
      </c>
      <c r="K711" s="5">
        <f>549 / 86400</f>
        <v>6.3541666666666668E-3</v>
      </c>
      <c r="L711" s="5">
        <f>10378 / 86400</f>
        <v>0.12011574074074075</v>
      </c>
    </row>
    <row r="712" spans="1:1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</row>
    <row r="714" spans="1:12" s="10" customFormat="1" ht="20.100000000000001" customHeight="1" x14ac:dyDescent="0.35">
      <c r="A714" s="15" t="s">
        <v>421</v>
      </c>
      <c r="B714" s="15"/>
      <c r="C714" s="15"/>
      <c r="D714" s="15"/>
      <c r="E714" s="15"/>
      <c r="F714" s="15"/>
      <c r="G714" s="15"/>
      <c r="H714" s="15"/>
      <c r="I714" s="15"/>
      <c r="J714" s="15"/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ht="30" x14ac:dyDescent="0.25">
      <c r="A716" s="2" t="s">
        <v>6</v>
      </c>
      <c r="B716" s="2" t="s">
        <v>7</v>
      </c>
      <c r="C716" s="2" t="s">
        <v>8</v>
      </c>
      <c r="D716" s="2" t="s">
        <v>9</v>
      </c>
      <c r="E716" s="2" t="s">
        <v>10</v>
      </c>
      <c r="F716" s="2" t="s">
        <v>11</v>
      </c>
      <c r="G716" s="2" t="s">
        <v>12</v>
      </c>
      <c r="H716" s="2" t="s">
        <v>13</v>
      </c>
      <c r="I716" s="2" t="s">
        <v>14</v>
      </c>
      <c r="J716" s="2" t="s">
        <v>15</v>
      </c>
      <c r="K716" s="2" t="s">
        <v>16</v>
      </c>
      <c r="L716" s="2" t="s">
        <v>17</v>
      </c>
    </row>
    <row r="717" spans="1:12" x14ac:dyDescent="0.25">
      <c r="A717" s="3">
        <v>45697.316331018519</v>
      </c>
      <c r="B717" t="s">
        <v>74</v>
      </c>
      <c r="C717" s="3">
        <v>45697.414710648147</v>
      </c>
      <c r="D717" t="s">
        <v>36</v>
      </c>
      <c r="E717" s="4">
        <v>46.009</v>
      </c>
      <c r="F717" s="4">
        <v>351609.179</v>
      </c>
      <c r="G717" s="4">
        <v>351655.18800000002</v>
      </c>
      <c r="H717" s="5">
        <f>2761 / 86400</f>
        <v>3.1956018518518516E-2</v>
      </c>
      <c r="I717" t="s">
        <v>70</v>
      </c>
      <c r="J717" t="s">
        <v>23</v>
      </c>
      <c r="K717" s="5">
        <f>8500 / 86400</f>
        <v>9.8379629629629636E-2</v>
      </c>
      <c r="L717" s="5">
        <f>27437 / 86400</f>
        <v>0.31755787037037037</v>
      </c>
    </row>
    <row r="718" spans="1:12" x14ac:dyDescent="0.25">
      <c r="A718" s="3">
        <v>45697.415937500002</v>
      </c>
      <c r="B718" t="s">
        <v>36</v>
      </c>
      <c r="C718" s="3">
        <v>45697.504108796296</v>
      </c>
      <c r="D718" t="s">
        <v>127</v>
      </c>
      <c r="E718" s="4">
        <v>43.945</v>
      </c>
      <c r="F718" s="4">
        <v>351655.18800000002</v>
      </c>
      <c r="G718" s="4">
        <v>351699.13299999997</v>
      </c>
      <c r="H718" s="5">
        <f>2340 / 86400</f>
        <v>2.7083333333333334E-2</v>
      </c>
      <c r="I718" t="s">
        <v>76</v>
      </c>
      <c r="J718" t="s">
        <v>49</v>
      </c>
      <c r="K718" s="5">
        <f>7618 / 86400</f>
        <v>8.8171296296296303E-2</v>
      </c>
      <c r="L718" s="5">
        <f>375 / 86400</f>
        <v>4.340277777777778E-3</v>
      </c>
    </row>
    <row r="719" spans="1:12" x14ac:dyDescent="0.25">
      <c r="A719" s="3">
        <v>45697.505173611113</v>
      </c>
      <c r="B719" t="s">
        <v>127</v>
      </c>
      <c r="C719" s="3">
        <v>45697.506493055553</v>
      </c>
      <c r="D719" t="s">
        <v>72</v>
      </c>
      <c r="E719" s="4">
        <v>0.13200000000000001</v>
      </c>
      <c r="F719" s="4">
        <v>351699.13299999997</v>
      </c>
      <c r="G719" s="4">
        <v>351699.26500000001</v>
      </c>
      <c r="H719" s="5">
        <f>60 / 86400</f>
        <v>6.9444444444444447E-4</v>
      </c>
      <c r="I719" t="s">
        <v>33</v>
      </c>
      <c r="J719" t="s">
        <v>191</v>
      </c>
      <c r="K719" s="5">
        <f>114 / 86400</f>
        <v>1.3194444444444445E-3</v>
      </c>
      <c r="L719" s="5">
        <f>0 / 86400</f>
        <v>0</v>
      </c>
    </row>
    <row r="720" spans="1:12" x14ac:dyDescent="0.25">
      <c r="A720" s="3">
        <v>45697.50844907407</v>
      </c>
      <c r="B720" t="s">
        <v>72</v>
      </c>
      <c r="C720" s="3">
        <v>45697.510798611111</v>
      </c>
      <c r="D720" t="s">
        <v>72</v>
      </c>
      <c r="E720" s="4">
        <v>0.20599999999999999</v>
      </c>
      <c r="F720" s="4">
        <v>351699.26500000001</v>
      </c>
      <c r="G720" s="4">
        <v>351699.47100000002</v>
      </c>
      <c r="H720" s="5">
        <f>120 / 86400</f>
        <v>1.3888888888888889E-3</v>
      </c>
      <c r="I720" t="s">
        <v>28</v>
      </c>
      <c r="J720" t="s">
        <v>191</v>
      </c>
      <c r="K720" s="5">
        <f>203 / 86400</f>
        <v>2.3495370370370371E-3</v>
      </c>
      <c r="L720" s="5">
        <f>498 / 86400</f>
        <v>5.7638888888888887E-3</v>
      </c>
    </row>
    <row r="721" spans="1:12" x14ac:dyDescent="0.25">
      <c r="A721" s="3">
        <v>45697.516562500001</v>
      </c>
      <c r="B721" t="s">
        <v>127</v>
      </c>
      <c r="C721" s="3">
        <v>45697.517997685187</v>
      </c>
      <c r="D721" t="s">
        <v>122</v>
      </c>
      <c r="E721" s="4">
        <v>0.433</v>
      </c>
      <c r="F721" s="4">
        <v>351699.47100000002</v>
      </c>
      <c r="G721" s="4">
        <v>351699.90399999998</v>
      </c>
      <c r="H721" s="5">
        <f>0 / 86400</f>
        <v>0</v>
      </c>
      <c r="I721" t="s">
        <v>140</v>
      </c>
      <c r="J721" t="s">
        <v>147</v>
      </c>
      <c r="K721" s="5">
        <f>124 / 86400</f>
        <v>1.4351851851851852E-3</v>
      </c>
      <c r="L721" s="5">
        <f>2716 / 86400</f>
        <v>3.1435185185185184E-2</v>
      </c>
    </row>
    <row r="722" spans="1:12" x14ac:dyDescent="0.25">
      <c r="A722" s="3">
        <v>45697.549432870372</v>
      </c>
      <c r="B722" t="s">
        <v>122</v>
      </c>
      <c r="C722" s="3">
        <v>45697.658518518518</v>
      </c>
      <c r="D722" t="s">
        <v>360</v>
      </c>
      <c r="E722" s="4">
        <v>51.396999999999998</v>
      </c>
      <c r="F722" s="4">
        <v>351699.90399999998</v>
      </c>
      <c r="G722" s="4">
        <v>351751.30099999998</v>
      </c>
      <c r="H722" s="5">
        <f>2739 / 86400</f>
        <v>3.170138888888889E-2</v>
      </c>
      <c r="I722" t="s">
        <v>19</v>
      </c>
      <c r="J722" t="s">
        <v>28</v>
      </c>
      <c r="K722" s="5">
        <f>9425 / 86400</f>
        <v>0.10908564814814815</v>
      </c>
      <c r="L722" s="5">
        <f>1199 / 86400</f>
        <v>1.3877314814814815E-2</v>
      </c>
    </row>
    <row r="723" spans="1:12" x14ac:dyDescent="0.25">
      <c r="A723" s="3">
        <v>45697.672395833331</v>
      </c>
      <c r="B723" t="s">
        <v>360</v>
      </c>
      <c r="C723" s="3">
        <v>45697.741249999999</v>
      </c>
      <c r="D723" t="s">
        <v>150</v>
      </c>
      <c r="E723" s="4">
        <v>25.591000000000001</v>
      </c>
      <c r="F723" s="4">
        <v>351751.30099999998</v>
      </c>
      <c r="G723" s="4">
        <v>351776.89199999999</v>
      </c>
      <c r="H723" s="5">
        <f>2501 / 86400</f>
        <v>2.8946759259259259E-2</v>
      </c>
      <c r="I723" t="s">
        <v>146</v>
      </c>
      <c r="J723" t="s">
        <v>175</v>
      </c>
      <c r="K723" s="5">
        <f>5948 / 86400</f>
        <v>6.8842592592592594E-2</v>
      </c>
      <c r="L723" s="5">
        <f>753 / 86400</f>
        <v>8.7152777777777784E-3</v>
      </c>
    </row>
    <row r="724" spans="1:12" x14ac:dyDescent="0.25">
      <c r="A724" s="3">
        <v>45697.749965277777</v>
      </c>
      <c r="B724" t="s">
        <v>150</v>
      </c>
      <c r="C724" s="3">
        <v>45697.780960648146</v>
      </c>
      <c r="D724" t="s">
        <v>361</v>
      </c>
      <c r="E724" s="4">
        <v>17.651</v>
      </c>
      <c r="F724" s="4">
        <v>351776.89199999999</v>
      </c>
      <c r="G724" s="4">
        <v>351794.54300000001</v>
      </c>
      <c r="H724" s="5">
        <f>240 / 86400</f>
        <v>2.7777777777777779E-3</v>
      </c>
      <c r="I724" t="s">
        <v>146</v>
      </c>
      <c r="J724" t="s">
        <v>198</v>
      </c>
      <c r="K724" s="5">
        <f>2678 / 86400</f>
        <v>3.0995370370370371E-2</v>
      </c>
      <c r="L724" s="5">
        <f>463 / 86400</f>
        <v>5.3587962962962964E-3</v>
      </c>
    </row>
    <row r="725" spans="1:12" x14ac:dyDescent="0.25">
      <c r="A725" s="3">
        <v>45697.786319444444</v>
      </c>
      <c r="B725" t="s">
        <v>361</v>
      </c>
      <c r="C725" s="3">
        <v>45697.790347222224</v>
      </c>
      <c r="D725" t="s">
        <v>75</v>
      </c>
      <c r="E725" s="4">
        <v>0.82099999999999995</v>
      </c>
      <c r="F725" s="4">
        <v>351794.54300000001</v>
      </c>
      <c r="G725" s="4">
        <v>351795.364</v>
      </c>
      <c r="H725" s="5">
        <f>60 / 86400</f>
        <v>6.9444444444444447E-4</v>
      </c>
      <c r="I725" t="s">
        <v>23</v>
      </c>
      <c r="J725" t="s">
        <v>135</v>
      </c>
      <c r="K725" s="5">
        <f>348 / 86400</f>
        <v>4.0277777777777777E-3</v>
      </c>
      <c r="L725" s="5">
        <f>18113 / 86400</f>
        <v>0.2096412037037037</v>
      </c>
    </row>
    <row r="726" spans="1:1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2" s="10" customFormat="1" ht="20.100000000000001" customHeight="1" x14ac:dyDescent="0.35">
      <c r="A728" s="15" t="s">
        <v>422</v>
      </c>
      <c r="B728" s="15"/>
      <c r="C728" s="15"/>
      <c r="D728" s="15"/>
      <c r="E728" s="15"/>
      <c r="F728" s="15"/>
      <c r="G728" s="15"/>
      <c r="H728" s="15"/>
      <c r="I728" s="15"/>
      <c r="J728" s="15"/>
    </row>
    <row r="729" spans="1:1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 spans="1:12" ht="30" x14ac:dyDescent="0.25">
      <c r="A730" s="2" t="s">
        <v>6</v>
      </c>
      <c r="B730" s="2" t="s">
        <v>7</v>
      </c>
      <c r="C730" s="2" t="s">
        <v>8</v>
      </c>
      <c r="D730" s="2" t="s">
        <v>9</v>
      </c>
      <c r="E730" s="2" t="s">
        <v>10</v>
      </c>
      <c r="F730" s="2" t="s">
        <v>11</v>
      </c>
      <c r="G730" s="2" t="s">
        <v>12</v>
      </c>
      <c r="H730" s="2" t="s">
        <v>13</v>
      </c>
      <c r="I730" s="2" t="s">
        <v>14</v>
      </c>
      <c r="J730" s="2" t="s">
        <v>15</v>
      </c>
      <c r="K730" s="2" t="s">
        <v>16</v>
      </c>
      <c r="L730" s="2" t="s">
        <v>17</v>
      </c>
    </row>
    <row r="731" spans="1:12" x14ac:dyDescent="0.25">
      <c r="A731" s="3">
        <v>45697.153437500005</v>
      </c>
      <c r="B731" t="s">
        <v>27</v>
      </c>
      <c r="C731" s="3">
        <v>45697.2190625</v>
      </c>
      <c r="D731" t="s">
        <v>121</v>
      </c>
      <c r="E731" s="4">
        <v>34.774000000000001</v>
      </c>
      <c r="F731" s="4">
        <v>441017.38299999997</v>
      </c>
      <c r="G731" s="4">
        <v>441052.15700000001</v>
      </c>
      <c r="H731" s="5">
        <f>1100 / 86400</f>
        <v>1.2731481481481481E-2</v>
      </c>
      <c r="I731" t="s">
        <v>76</v>
      </c>
      <c r="J731" t="s">
        <v>26</v>
      </c>
      <c r="K731" s="5">
        <f>5670 / 86400</f>
        <v>6.5625000000000003E-2</v>
      </c>
      <c r="L731" s="5">
        <f>13969 / 86400</f>
        <v>0.16167824074074075</v>
      </c>
    </row>
    <row r="732" spans="1:12" x14ac:dyDescent="0.25">
      <c r="A732" s="3">
        <v>45697.227303240739</v>
      </c>
      <c r="B732" t="s">
        <v>121</v>
      </c>
      <c r="C732" s="3">
        <v>45697.23369212963</v>
      </c>
      <c r="D732" t="s">
        <v>121</v>
      </c>
      <c r="E732" s="4">
        <v>0.59099999999999997</v>
      </c>
      <c r="F732" s="4">
        <v>441052.15700000001</v>
      </c>
      <c r="G732" s="4">
        <v>441052.74800000002</v>
      </c>
      <c r="H732" s="5">
        <f>379 / 86400</f>
        <v>4.386574074074074E-3</v>
      </c>
      <c r="I732" t="s">
        <v>23</v>
      </c>
      <c r="J732" t="s">
        <v>191</v>
      </c>
      <c r="K732" s="5">
        <f>552 / 86400</f>
        <v>6.3888888888888893E-3</v>
      </c>
      <c r="L732" s="5">
        <f>348 / 86400</f>
        <v>4.0277777777777777E-3</v>
      </c>
    </row>
    <row r="733" spans="1:12" x14ac:dyDescent="0.25">
      <c r="A733" s="3">
        <v>45697.237719907411</v>
      </c>
      <c r="B733" t="s">
        <v>121</v>
      </c>
      <c r="C733" s="3">
        <v>45697.243680555555</v>
      </c>
      <c r="D733" t="s">
        <v>362</v>
      </c>
      <c r="E733" s="4">
        <v>1.6040000000000001</v>
      </c>
      <c r="F733" s="4">
        <v>441052.74800000002</v>
      </c>
      <c r="G733" s="4">
        <v>441054.35200000001</v>
      </c>
      <c r="H733" s="5">
        <f>240 / 86400</f>
        <v>2.7777777777777779E-3</v>
      </c>
      <c r="I733" t="s">
        <v>180</v>
      </c>
      <c r="J733" t="s">
        <v>120</v>
      </c>
      <c r="K733" s="5">
        <f>514 / 86400</f>
        <v>5.9490740740740745E-3</v>
      </c>
      <c r="L733" s="5">
        <f>1787 / 86400</f>
        <v>2.0682870370370369E-2</v>
      </c>
    </row>
    <row r="734" spans="1:12" x14ac:dyDescent="0.25">
      <c r="A734" s="3">
        <v>45697.264363425929</v>
      </c>
      <c r="B734" t="s">
        <v>362</v>
      </c>
      <c r="C734" s="3">
        <v>45697.267569444448</v>
      </c>
      <c r="D734" t="s">
        <v>362</v>
      </c>
      <c r="E734" s="4">
        <v>0</v>
      </c>
      <c r="F734" s="4">
        <v>441054.35200000001</v>
      </c>
      <c r="G734" s="4">
        <v>441054.35200000001</v>
      </c>
      <c r="H734" s="5">
        <f>259 / 86400</f>
        <v>2.9976851851851853E-3</v>
      </c>
      <c r="I734" t="s">
        <v>63</v>
      </c>
      <c r="J734" t="s">
        <v>63</v>
      </c>
      <c r="K734" s="5">
        <f>276 / 86400</f>
        <v>3.1944444444444446E-3</v>
      </c>
      <c r="L734" s="5">
        <f>1724 / 86400</f>
        <v>1.9953703703703703E-2</v>
      </c>
    </row>
    <row r="735" spans="1:12" x14ac:dyDescent="0.25">
      <c r="A735" s="3">
        <v>45697.287523148145</v>
      </c>
      <c r="B735" t="s">
        <v>362</v>
      </c>
      <c r="C735" s="3">
        <v>45697.288356481484</v>
      </c>
      <c r="D735" t="s">
        <v>362</v>
      </c>
      <c r="E735" s="4">
        <v>0</v>
      </c>
      <c r="F735" s="4">
        <v>441054.35200000001</v>
      </c>
      <c r="G735" s="4">
        <v>441054.35200000001</v>
      </c>
      <c r="H735" s="5">
        <f>59 / 86400</f>
        <v>6.8287037037037036E-4</v>
      </c>
      <c r="I735" t="s">
        <v>63</v>
      </c>
      <c r="J735" t="s">
        <v>63</v>
      </c>
      <c r="K735" s="5">
        <f>71 / 86400</f>
        <v>8.2175925925925927E-4</v>
      </c>
      <c r="L735" s="5">
        <f>350 / 86400</f>
        <v>4.0509259259259257E-3</v>
      </c>
    </row>
    <row r="736" spans="1:12" x14ac:dyDescent="0.25">
      <c r="A736" s="3">
        <v>45697.292407407411</v>
      </c>
      <c r="B736" t="s">
        <v>362</v>
      </c>
      <c r="C736" s="3">
        <v>45697.293379629627</v>
      </c>
      <c r="D736" t="s">
        <v>362</v>
      </c>
      <c r="E736" s="4">
        <v>0</v>
      </c>
      <c r="F736" s="4">
        <v>441054.35200000001</v>
      </c>
      <c r="G736" s="4">
        <v>441054.35200000001</v>
      </c>
      <c r="H736" s="5">
        <f>79 / 86400</f>
        <v>9.1435185185185185E-4</v>
      </c>
      <c r="I736" t="s">
        <v>63</v>
      </c>
      <c r="J736" t="s">
        <v>63</v>
      </c>
      <c r="K736" s="5">
        <f>83 / 86400</f>
        <v>9.6064814814814819E-4</v>
      </c>
      <c r="L736" s="5">
        <f>77 / 86400</f>
        <v>8.9120370370370373E-4</v>
      </c>
    </row>
    <row r="737" spans="1:12" x14ac:dyDescent="0.25">
      <c r="A737" s="3">
        <v>45697.294270833328</v>
      </c>
      <c r="B737" t="s">
        <v>362</v>
      </c>
      <c r="C737" s="3">
        <v>45697.294386574074</v>
      </c>
      <c r="D737" t="s">
        <v>362</v>
      </c>
      <c r="E737" s="4">
        <v>0</v>
      </c>
      <c r="F737" s="4">
        <v>441054.35200000001</v>
      </c>
      <c r="G737" s="4">
        <v>441054.35200000001</v>
      </c>
      <c r="H737" s="5">
        <f>0 / 86400</f>
        <v>0</v>
      </c>
      <c r="I737" t="s">
        <v>63</v>
      </c>
      <c r="J737" t="s">
        <v>63</v>
      </c>
      <c r="K737" s="5">
        <f>9 / 86400</f>
        <v>1.0416666666666667E-4</v>
      </c>
      <c r="L737" s="5">
        <f>83 / 86400</f>
        <v>9.6064814814814819E-4</v>
      </c>
    </row>
    <row r="738" spans="1:12" x14ac:dyDescent="0.25">
      <c r="A738" s="3">
        <v>45697.295347222222</v>
      </c>
      <c r="B738" t="s">
        <v>362</v>
      </c>
      <c r="C738" s="3">
        <v>45697.295740740738</v>
      </c>
      <c r="D738" t="s">
        <v>362</v>
      </c>
      <c r="E738" s="4">
        <v>0</v>
      </c>
      <c r="F738" s="4">
        <v>441054.35200000001</v>
      </c>
      <c r="G738" s="4">
        <v>441054.35200000001</v>
      </c>
      <c r="H738" s="5">
        <f>19 / 86400</f>
        <v>2.199074074074074E-4</v>
      </c>
      <c r="I738" t="s">
        <v>63</v>
      </c>
      <c r="J738" t="s">
        <v>63</v>
      </c>
      <c r="K738" s="5">
        <f>34 / 86400</f>
        <v>3.9351851851851852E-4</v>
      </c>
      <c r="L738" s="5">
        <f>14 / 86400</f>
        <v>1.6203703703703703E-4</v>
      </c>
    </row>
    <row r="739" spans="1:12" x14ac:dyDescent="0.25">
      <c r="A739" s="3">
        <v>45697.295902777776</v>
      </c>
      <c r="B739" t="s">
        <v>362</v>
      </c>
      <c r="C739" s="3">
        <v>45697.297395833331</v>
      </c>
      <c r="D739" t="s">
        <v>362</v>
      </c>
      <c r="E739" s="4">
        <v>0</v>
      </c>
      <c r="F739" s="4">
        <v>441054.35200000001</v>
      </c>
      <c r="G739" s="4">
        <v>441054.35200000001</v>
      </c>
      <c r="H739" s="5">
        <f>119 / 86400</f>
        <v>1.3773148148148147E-3</v>
      </c>
      <c r="I739" t="s">
        <v>63</v>
      </c>
      <c r="J739" t="s">
        <v>63</v>
      </c>
      <c r="K739" s="5">
        <f>129 / 86400</f>
        <v>1.4930555555555556E-3</v>
      </c>
      <c r="L739" s="5">
        <f>334 / 86400</f>
        <v>3.8657407407407408E-3</v>
      </c>
    </row>
    <row r="740" spans="1:12" x14ac:dyDescent="0.25">
      <c r="A740" s="3">
        <v>45697.301261574074</v>
      </c>
      <c r="B740" t="s">
        <v>362</v>
      </c>
      <c r="C740" s="3">
        <v>45697.301365740743</v>
      </c>
      <c r="D740" t="s">
        <v>362</v>
      </c>
      <c r="E740" s="4">
        <v>0</v>
      </c>
      <c r="F740" s="4">
        <v>441054.35200000001</v>
      </c>
      <c r="G740" s="4">
        <v>441054.35200000001</v>
      </c>
      <c r="H740" s="5">
        <f>0 / 86400</f>
        <v>0</v>
      </c>
      <c r="I740" t="s">
        <v>63</v>
      </c>
      <c r="J740" t="s">
        <v>63</v>
      </c>
      <c r="K740" s="5">
        <f>9 / 86400</f>
        <v>1.0416666666666667E-4</v>
      </c>
      <c r="L740" s="5">
        <f>93 / 86400</f>
        <v>1.0763888888888889E-3</v>
      </c>
    </row>
    <row r="741" spans="1:12" x14ac:dyDescent="0.25">
      <c r="A741" s="3">
        <v>45697.302442129629</v>
      </c>
      <c r="B741" t="s">
        <v>362</v>
      </c>
      <c r="C741" s="3">
        <v>45697.302581018521</v>
      </c>
      <c r="D741" t="s">
        <v>362</v>
      </c>
      <c r="E741" s="4">
        <v>0</v>
      </c>
      <c r="F741" s="4">
        <v>441054.35200000001</v>
      </c>
      <c r="G741" s="4">
        <v>441054.35200000001</v>
      </c>
      <c r="H741" s="5">
        <f>0 / 86400</f>
        <v>0</v>
      </c>
      <c r="I741" t="s">
        <v>63</v>
      </c>
      <c r="J741" t="s">
        <v>63</v>
      </c>
      <c r="K741" s="5">
        <f>11 / 86400</f>
        <v>1.273148148148148E-4</v>
      </c>
      <c r="L741" s="5">
        <f>164 / 86400</f>
        <v>1.8981481481481482E-3</v>
      </c>
    </row>
    <row r="742" spans="1:12" x14ac:dyDescent="0.25">
      <c r="A742" s="3">
        <v>45697.304479166662</v>
      </c>
      <c r="B742" t="s">
        <v>362</v>
      </c>
      <c r="C742" s="3">
        <v>45697.304560185185</v>
      </c>
      <c r="D742" t="s">
        <v>362</v>
      </c>
      <c r="E742" s="4">
        <v>0</v>
      </c>
      <c r="F742" s="4">
        <v>441054.35200000001</v>
      </c>
      <c r="G742" s="4">
        <v>441054.35200000001</v>
      </c>
      <c r="H742" s="5">
        <f>0 / 86400</f>
        <v>0</v>
      </c>
      <c r="I742" t="s">
        <v>63</v>
      </c>
      <c r="J742" t="s">
        <v>63</v>
      </c>
      <c r="K742" s="5">
        <f>6 / 86400</f>
        <v>6.9444444444444444E-5</v>
      </c>
      <c r="L742" s="5">
        <f>87 / 86400</f>
        <v>1.0069444444444444E-3</v>
      </c>
    </row>
    <row r="743" spans="1:12" x14ac:dyDescent="0.25">
      <c r="A743" s="3">
        <v>45697.305567129632</v>
      </c>
      <c r="B743" t="s">
        <v>362</v>
      </c>
      <c r="C743" s="3">
        <v>45697.305636574078</v>
      </c>
      <c r="D743" t="s">
        <v>362</v>
      </c>
      <c r="E743" s="4">
        <v>0</v>
      </c>
      <c r="F743" s="4">
        <v>441054.35200000001</v>
      </c>
      <c r="G743" s="4">
        <v>441054.35200000001</v>
      </c>
      <c r="H743" s="5">
        <f>0 / 86400</f>
        <v>0</v>
      </c>
      <c r="I743" t="s">
        <v>63</v>
      </c>
      <c r="J743" t="s">
        <v>63</v>
      </c>
      <c r="K743" s="5">
        <f>5 / 86400</f>
        <v>5.7870370370370373E-5</v>
      </c>
      <c r="L743" s="5">
        <f>704 / 86400</f>
        <v>8.1481481481481474E-3</v>
      </c>
    </row>
    <row r="744" spans="1:12" x14ac:dyDescent="0.25">
      <c r="A744" s="3">
        <v>45697.313784722224</v>
      </c>
      <c r="B744" t="s">
        <v>362</v>
      </c>
      <c r="C744" s="3">
        <v>45697.384201388893</v>
      </c>
      <c r="D744" t="s">
        <v>27</v>
      </c>
      <c r="E744" s="4">
        <v>30.12</v>
      </c>
      <c r="F744" s="4">
        <v>441054.35200000001</v>
      </c>
      <c r="G744" s="4">
        <v>441084.47200000001</v>
      </c>
      <c r="H744" s="5">
        <f>1478 / 86400</f>
        <v>1.7106481481481483E-2</v>
      </c>
      <c r="I744" t="s">
        <v>216</v>
      </c>
      <c r="J744" t="s">
        <v>20</v>
      </c>
      <c r="K744" s="5">
        <f>6084 / 86400</f>
        <v>7.0416666666666669E-2</v>
      </c>
      <c r="L744" s="5">
        <f>937 / 86400</f>
        <v>1.0844907407407407E-2</v>
      </c>
    </row>
    <row r="745" spans="1:12" x14ac:dyDescent="0.25">
      <c r="A745" s="3">
        <v>45697.395046296297</v>
      </c>
      <c r="B745" t="s">
        <v>27</v>
      </c>
      <c r="C745" s="3">
        <v>45697.40115740741</v>
      </c>
      <c r="D745" t="s">
        <v>27</v>
      </c>
      <c r="E745" s="4">
        <v>2.214</v>
      </c>
      <c r="F745" s="4">
        <v>441084.47200000001</v>
      </c>
      <c r="G745" s="4">
        <v>441086.68599999999</v>
      </c>
      <c r="H745" s="5">
        <f>79 / 86400</f>
        <v>9.1435185185185185E-4</v>
      </c>
      <c r="I745" t="s">
        <v>129</v>
      </c>
      <c r="J745" t="s">
        <v>175</v>
      </c>
      <c r="K745" s="5">
        <f>527 / 86400</f>
        <v>6.099537037037037E-3</v>
      </c>
      <c r="L745" s="5">
        <f>1201 / 86400</f>
        <v>1.3900462962962963E-2</v>
      </c>
    </row>
    <row r="746" spans="1:12" x14ac:dyDescent="0.25">
      <c r="A746" s="3">
        <v>45697.41505787037</v>
      </c>
      <c r="B746" t="s">
        <v>363</v>
      </c>
      <c r="C746" s="3">
        <v>45697.421365740738</v>
      </c>
      <c r="D746" t="s">
        <v>27</v>
      </c>
      <c r="E746" s="4">
        <v>0.25900000000000001</v>
      </c>
      <c r="F746" s="4">
        <v>441086.68599999999</v>
      </c>
      <c r="G746" s="4">
        <v>441086.94500000001</v>
      </c>
      <c r="H746" s="5">
        <f>380 / 86400</f>
        <v>4.3981481481481484E-3</v>
      </c>
      <c r="I746" t="s">
        <v>147</v>
      </c>
      <c r="J746" t="s">
        <v>153</v>
      </c>
      <c r="K746" s="5">
        <f>545 / 86400</f>
        <v>6.3078703703703708E-3</v>
      </c>
      <c r="L746" s="5">
        <f>3346 / 86400</f>
        <v>3.8726851851851853E-2</v>
      </c>
    </row>
    <row r="747" spans="1:12" x14ac:dyDescent="0.25">
      <c r="A747" s="3">
        <v>45697.460092592592</v>
      </c>
      <c r="B747" t="s">
        <v>27</v>
      </c>
      <c r="C747" s="3">
        <v>45697.460717592592</v>
      </c>
      <c r="D747" t="s">
        <v>27</v>
      </c>
      <c r="E747" s="4">
        <v>0</v>
      </c>
      <c r="F747" s="4">
        <v>441086.94500000001</v>
      </c>
      <c r="G747" s="4">
        <v>441086.94500000001</v>
      </c>
      <c r="H747" s="5">
        <f>40 / 86400</f>
        <v>4.6296296296296298E-4</v>
      </c>
      <c r="I747" t="s">
        <v>63</v>
      </c>
      <c r="J747" t="s">
        <v>63</v>
      </c>
      <c r="K747" s="5">
        <f>54 / 86400</f>
        <v>6.2500000000000001E-4</v>
      </c>
      <c r="L747" s="5">
        <f>17 / 86400</f>
        <v>1.9675925925925926E-4</v>
      </c>
    </row>
    <row r="748" spans="1:12" x14ac:dyDescent="0.25">
      <c r="A748" s="3">
        <v>45697.460914351846</v>
      </c>
      <c r="B748" t="s">
        <v>27</v>
      </c>
      <c r="C748" s="3">
        <v>45697.46092592593</v>
      </c>
      <c r="D748" t="s">
        <v>27</v>
      </c>
      <c r="E748" s="4">
        <v>0</v>
      </c>
      <c r="F748" s="4">
        <v>441086.94500000001</v>
      </c>
      <c r="G748" s="4">
        <v>441086.94500000001</v>
      </c>
      <c r="H748" s="5">
        <f>0 / 86400</f>
        <v>0</v>
      </c>
      <c r="I748" t="s">
        <v>63</v>
      </c>
      <c r="J748" t="s">
        <v>63</v>
      </c>
      <c r="K748" s="5">
        <f>0 / 86400</f>
        <v>0</v>
      </c>
      <c r="L748" s="5">
        <f>11 / 86400</f>
        <v>1.273148148148148E-4</v>
      </c>
    </row>
    <row r="749" spans="1:12" x14ac:dyDescent="0.25">
      <c r="A749" s="3">
        <v>45697.461053240739</v>
      </c>
      <c r="B749" t="s">
        <v>27</v>
      </c>
      <c r="C749" s="3">
        <v>45697.461701388893</v>
      </c>
      <c r="D749" t="s">
        <v>27</v>
      </c>
      <c r="E749" s="4">
        <v>0</v>
      </c>
      <c r="F749" s="4">
        <v>441086.94500000001</v>
      </c>
      <c r="G749" s="4">
        <v>441086.94500000001</v>
      </c>
      <c r="H749" s="5">
        <f>48 / 86400</f>
        <v>5.5555555555555556E-4</v>
      </c>
      <c r="I749" t="s">
        <v>63</v>
      </c>
      <c r="J749" t="s">
        <v>63</v>
      </c>
      <c r="K749" s="5">
        <f>56 / 86400</f>
        <v>6.4814814814814813E-4</v>
      </c>
      <c r="L749" s="5">
        <f>18 / 86400</f>
        <v>2.0833333333333335E-4</v>
      </c>
    </row>
    <row r="750" spans="1:12" x14ac:dyDescent="0.25">
      <c r="A750" s="3">
        <v>45697.461909722224</v>
      </c>
      <c r="B750" t="s">
        <v>27</v>
      </c>
      <c r="C750" s="3">
        <v>45697.46199074074</v>
      </c>
      <c r="D750" t="s">
        <v>27</v>
      </c>
      <c r="E750" s="4">
        <v>0</v>
      </c>
      <c r="F750" s="4">
        <v>441086.94500000001</v>
      </c>
      <c r="G750" s="4">
        <v>441086.94500000001</v>
      </c>
      <c r="H750" s="5">
        <f>0 / 86400</f>
        <v>0</v>
      </c>
      <c r="I750" t="s">
        <v>63</v>
      </c>
      <c r="J750" t="s">
        <v>63</v>
      </c>
      <c r="K750" s="5">
        <f>6 / 86400</f>
        <v>6.9444444444444444E-5</v>
      </c>
      <c r="L750" s="5">
        <f>14634 / 86400</f>
        <v>0.169375</v>
      </c>
    </row>
    <row r="751" spans="1:12" x14ac:dyDescent="0.25">
      <c r="A751" s="3">
        <v>45697.631365740745</v>
      </c>
      <c r="B751" t="s">
        <v>27</v>
      </c>
      <c r="C751" s="3">
        <v>45697.641458333332</v>
      </c>
      <c r="D751" t="s">
        <v>27</v>
      </c>
      <c r="E751" s="4">
        <v>2.621</v>
      </c>
      <c r="F751" s="4">
        <v>441086.94500000001</v>
      </c>
      <c r="G751" s="4">
        <v>441089.56599999999</v>
      </c>
      <c r="H751" s="5">
        <f>341 / 86400</f>
        <v>3.9467592592592592E-3</v>
      </c>
      <c r="I751" t="s">
        <v>194</v>
      </c>
      <c r="J751" t="s">
        <v>120</v>
      </c>
      <c r="K751" s="5">
        <f>872 / 86400</f>
        <v>1.0092592592592592E-2</v>
      </c>
      <c r="L751" s="5">
        <f>7048 / 86400</f>
        <v>8.1574074074074077E-2</v>
      </c>
    </row>
    <row r="752" spans="1:12" x14ac:dyDescent="0.25">
      <c r="A752" s="3">
        <v>45697.723032407404</v>
      </c>
      <c r="B752" t="s">
        <v>27</v>
      </c>
      <c r="C752" s="3">
        <v>45697.723055555558</v>
      </c>
      <c r="D752" t="s">
        <v>27</v>
      </c>
      <c r="E752" s="4">
        <v>0</v>
      </c>
      <c r="F752" s="4">
        <v>441089.56599999999</v>
      </c>
      <c r="G752" s="4">
        <v>441089.56599999999</v>
      </c>
      <c r="H752" s="5">
        <f>0 / 86400</f>
        <v>0</v>
      </c>
      <c r="I752" t="s">
        <v>63</v>
      </c>
      <c r="J752" t="s">
        <v>63</v>
      </c>
      <c r="K752" s="5">
        <f>1 / 86400</f>
        <v>1.1574074074074073E-5</v>
      </c>
      <c r="L752" s="5">
        <f>2 / 86400</f>
        <v>2.3148148148148147E-5</v>
      </c>
    </row>
    <row r="753" spans="1:12" x14ac:dyDescent="0.25">
      <c r="A753" s="3">
        <v>45697.723078703704</v>
      </c>
      <c r="B753" t="s">
        <v>27</v>
      </c>
      <c r="C753" s="3">
        <v>45697.723912037036</v>
      </c>
      <c r="D753" t="s">
        <v>27</v>
      </c>
      <c r="E753" s="4">
        <v>0</v>
      </c>
      <c r="F753" s="4">
        <v>441089.56599999999</v>
      </c>
      <c r="G753" s="4">
        <v>441089.56599999999</v>
      </c>
      <c r="H753" s="5">
        <f>56 / 86400</f>
        <v>6.4814814814814813E-4</v>
      </c>
      <c r="I753" t="s">
        <v>63</v>
      </c>
      <c r="J753" t="s">
        <v>63</v>
      </c>
      <c r="K753" s="5">
        <f>72 / 86400</f>
        <v>8.3333333333333339E-4</v>
      </c>
      <c r="L753" s="5">
        <f>2109 / 86400</f>
        <v>2.4409722222222222E-2</v>
      </c>
    </row>
    <row r="754" spans="1:12" x14ac:dyDescent="0.25">
      <c r="A754" s="3">
        <v>45697.74832175926</v>
      </c>
      <c r="B754" t="s">
        <v>27</v>
      </c>
      <c r="C754" s="3">
        <v>45697.748819444445</v>
      </c>
      <c r="D754" t="s">
        <v>27</v>
      </c>
      <c r="E754" s="4">
        <v>0</v>
      </c>
      <c r="F754" s="4">
        <v>441089.56599999999</v>
      </c>
      <c r="G754" s="4">
        <v>441089.56599999999</v>
      </c>
      <c r="H754" s="5">
        <f>39 / 86400</f>
        <v>4.5138888888888887E-4</v>
      </c>
      <c r="I754" t="s">
        <v>63</v>
      </c>
      <c r="J754" t="s">
        <v>63</v>
      </c>
      <c r="K754" s="5">
        <f>43 / 86400</f>
        <v>4.9768518518518521E-4</v>
      </c>
      <c r="L754" s="5">
        <f>1 / 86400</f>
        <v>1.1574074074074073E-5</v>
      </c>
    </row>
    <row r="755" spans="1:12" x14ac:dyDescent="0.25">
      <c r="A755" s="3">
        <v>45697.748831018514</v>
      </c>
      <c r="B755" t="s">
        <v>27</v>
      </c>
      <c r="C755" s="3">
        <v>45697.748935185184</v>
      </c>
      <c r="D755" t="s">
        <v>27</v>
      </c>
      <c r="E755" s="4">
        <v>0</v>
      </c>
      <c r="F755" s="4">
        <v>441089.56599999999</v>
      </c>
      <c r="G755" s="4">
        <v>441089.56599999999</v>
      </c>
      <c r="H755" s="5">
        <f>0 / 86400</f>
        <v>0</v>
      </c>
      <c r="I755" t="s">
        <v>63</v>
      </c>
      <c r="J755" t="s">
        <v>63</v>
      </c>
      <c r="K755" s="5">
        <f>9 / 86400</f>
        <v>1.0416666666666667E-4</v>
      </c>
      <c r="L755" s="5">
        <f>338 / 86400</f>
        <v>3.9120370370370368E-3</v>
      </c>
    </row>
    <row r="756" spans="1:12" x14ac:dyDescent="0.25">
      <c r="A756" s="3">
        <v>45697.752847222218</v>
      </c>
      <c r="B756" t="s">
        <v>27</v>
      </c>
      <c r="C756" s="3">
        <v>45697.753032407403</v>
      </c>
      <c r="D756" t="s">
        <v>27</v>
      </c>
      <c r="E756" s="4">
        <v>0</v>
      </c>
      <c r="F756" s="4">
        <v>441089.56599999999</v>
      </c>
      <c r="G756" s="4">
        <v>441089.56599999999</v>
      </c>
      <c r="H756" s="5">
        <f>0 / 86400</f>
        <v>0</v>
      </c>
      <c r="I756" t="s">
        <v>63</v>
      </c>
      <c r="J756" t="s">
        <v>63</v>
      </c>
      <c r="K756" s="5">
        <f>15 / 86400</f>
        <v>1.7361111111111112E-4</v>
      </c>
      <c r="L756" s="5">
        <f>2888 / 86400</f>
        <v>3.3425925925925928E-2</v>
      </c>
    </row>
    <row r="757" spans="1:12" x14ac:dyDescent="0.25">
      <c r="A757" s="3">
        <v>45697.786458333328</v>
      </c>
      <c r="B757" t="s">
        <v>27</v>
      </c>
      <c r="C757" s="3">
        <v>45697.793993055559</v>
      </c>
      <c r="D757" t="s">
        <v>27</v>
      </c>
      <c r="E757" s="4">
        <v>2.6389999999999998</v>
      </c>
      <c r="F757" s="4">
        <v>441089.56599999999</v>
      </c>
      <c r="G757" s="4">
        <v>441092.20500000002</v>
      </c>
      <c r="H757" s="5">
        <f>39 / 86400</f>
        <v>4.5138888888888887E-4</v>
      </c>
      <c r="I757" t="s">
        <v>137</v>
      </c>
      <c r="J757" t="s">
        <v>175</v>
      </c>
      <c r="K757" s="5">
        <f>650 / 86400</f>
        <v>7.5231481481481477E-3</v>
      </c>
      <c r="L757" s="5">
        <f>17798 / 86400</f>
        <v>0.20599537037037038</v>
      </c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s="10" customFormat="1" ht="20.100000000000001" customHeight="1" x14ac:dyDescent="0.35">
      <c r="A760" s="15" t="s">
        <v>423</v>
      </c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2" ht="30" x14ac:dyDescent="0.25">
      <c r="A762" s="2" t="s">
        <v>6</v>
      </c>
      <c r="B762" s="2" t="s">
        <v>7</v>
      </c>
      <c r="C762" s="2" t="s">
        <v>8</v>
      </c>
      <c r="D762" s="2" t="s">
        <v>9</v>
      </c>
      <c r="E762" s="2" t="s">
        <v>10</v>
      </c>
      <c r="F762" s="2" t="s">
        <v>11</v>
      </c>
      <c r="G762" s="2" t="s">
        <v>12</v>
      </c>
      <c r="H762" s="2" t="s">
        <v>13</v>
      </c>
      <c r="I762" s="2" t="s">
        <v>14</v>
      </c>
      <c r="J762" s="2" t="s">
        <v>15</v>
      </c>
      <c r="K762" s="2" t="s">
        <v>16</v>
      </c>
      <c r="L762" s="2" t="s">
        <v>17</v>
      </c>
    </row>
    <row r="763" spans="1:12" x14ac:dyDescent="0.25">
      <c r="A763" s="3">
        <v>45697.349965277783</v>
      </c>
      <c r="B763" t="s">
        <v>75</v>
      </c>
      <c r="C763" s="3">
        <v>45697.460787037038</v>
      </c>
      <c r="D763" t="s">
        <v>121</v>
      </c>
      <c r="E763" s="4">
        <v>47.746000000000002</v>
      </c>
      <c r="F763" s="4">
        <v>473416.027</v>
      </c>
      <c r="G763" s="4">
        <v>473463.77299999999</v>
      </c>
      <c r="H763" s="5">
        <f>3079 / 86400</f>
        <v>3.5636574074074077E-2</v>
      </c>
      <c r="I763" t="s">
        <v>77</v>
      </c>
      <c r="J763" t="s">
        <v>20</v>
      </c>
      <c r="K763" s="5">
        <f>9575 / 86400</f>
        <v>0.11082175925925926</v>
      </c>
      <c r="L763" s="5">
        <f>30320 / 86400</f>
        <v>0.35092592592592592</v>
      </c>
    </row>
    <row r="764" spans="1:12" x14ac:dyDescent="0.25">
      <c r="A764" s="3">
        <v>45697.461747685185</v>
      </c>
      <c r="B764" t="s">
        <v>121</v>
      </c>
      <c r="C764" s="3">
        <v>45697.59003472222</v>
      </c>
      <c r="D764" t="s">
        <v>118</v>
      </c>
      <c r="E764" s="4">
        <v>50.676000000000002</v>
      </c>
      <c r="F764" s="4">
        <v>473463.77299999999</v>
      </c>
      <c r="G764" s="4">
        <v>473514.44900000002</v>
      </c>
      <c r="H764" s="5">
        <f>3841 / 86400</f>
        <v>4.445601851851852E-2</v>
      </c>
      <c r="I764" t="s">
        <v>359</v>
      </c>
      <c r="J764" t="s">
        <v>95</v>
      </c>
      <c r="K764" s="5">
        <f>11084 / 86400</f>
        <v>0.12828703703703703</v>
      </c>
      <c r="L764" s="5">
        <f>193 / 86400</f>
        <v>2.2337962962962962E-3</v>
      </c>
    </row>
    <row r="765" spans="1:12" x14ac:dyDescent="0.25">
      <c r="A765" s="3">
        <v>45697.592268518521</v>
      </c>
      <c r="B765" t="s">
        <v>118</v>
      </c>
      <c r="C765" s="3">
        <v>45697.596400462964</v>
      </c>
      <c r="D765" t="s">
        <v>41</v>
      </c>
      <c r="E765" s="4">
        <v>1.1830000000000001</v>
      </c>
      <c r="F765" s="4">
        <v>473514.44900000002</v>
      </c>
      <c r="G765" s="4">
        <v>473515.63199999998</v>
      </c>
      <c r="H765" s="5">
        <f>40 / 86400</f>
        <v>4.6296296296296298E-4</v>
      </c>
      <c r="I765" t="s">
        <v>198</v>
      </c>
      <c r="J765" t="s">
        <v>92</v>
      </c>
      <c r="K765" s="5">
        <f>356 / 86400</f>
        <v>4.1203703703703706E-3</v>
      </c>
      <c r="L765" s="5">
        <f>1235 / 86400</f>
        <v>1.4293981481481482E-2</v>
      </c>
    </row>
    <row r="766" spans="1:12" x14ac:dyDescent="0.25">
      <c r="A766" s="3">
        <v>45697.610694444447</v>
      </c>
      <c r="B766" t="s">
        <v>41</v>
      </c>
      <c r="C766" s="3">
        <v>45697.613425925927</v>
      </c>
      <c r="D766" t="s">
        <v>72</v>
      </c>
      <c r="E766" s="4">
        <v>0.88600000000000001</v>
      </c>
      <c r="F766" s="4">
        <v>473515.63199999998</v>
      </c>
      <c r="G766" s="4">
        <v>473516.51799999998</v>
      </c>
      <c r="H766" s="5">
        <f>20 / 86400</f>
        <v>2.3148148148148149E-4</v>
      </c>
      <c r="I766" t="s">
        <v>163</v>
      </c>
      <c r="J766" t="s">
        <v>123</v>
      </c>
      <c r="K766" s="5">
        <f>236 / 86400</f>
        <v>2.7314814814814814E-3</v>
      </c>
      <c r="L766" s="5">
        <f>473 / 86400</f>
        <v>5.4745370370370373E-3</v>
      </c>
    </row>
    <row r="767" spans="1:12" x14ac:dyDescent="0.25">
      <c r="A767" s="3">
        <v>45697.618900462963</v>
      </c>
      <c r="B767" t="s">
        <v>72</v>
      </c>
      <c r="C767" s="3">
        <v>45697.732719907406</v>
      </c>
      <c r="D767" t="s">
        <v>121</v>
      </c>
      <c r="E767" s="4">
        <v>50.115000000000002</v>
      </c>
      <c r="F767" s="4">
        <v>473516.51799999998</v>
      </c>
      <c r="G767" s="4">
        <v>473566.63299999997</v>
      </c>
      <c r="H767" s="5">
        <f>3440 / 86400</f>
        <v>3.9814814814814817E-2</v>
      </c>
      <c r="I767" t="s">
        <v>77</v>
      </c>
      <c r="J767" t="s">
        <v>20</v>
      </c>
      <c r="K767" s="5">
        <f>9833 / 86400</f>
        <v>0.11380787037037036</v>
      </c>
      <c r="L767" s="5">
        <f>722 / 86400</f>
        <v>8.3564814814814821E-3</v>
      </c>
    </row>
    <row r="768" spans="1:12" x14ac:dyDescent="0.25">
      <c r="A768" s="3">
        <v>45697.741076388891</v>
      </c>
      <c r="B768" t="s">
        <v>121</v>
      </c>
      <c r="C768" s="3">
        <v>45697.865381944444</v>
      </c>
      <c r="D768" t="s">
        <v>361</v>
      </c>
      <c r="E768" s="4">
        <v>55.545999999999999</v>
      </c>
      <c r="F768" s="4">
        <v>473566.63299999997</v>
      </c>
      <c r="G768" s="4">
        <v>473622.179</v>
      </c>
      <c r="H768" s="5">
        <f>3200 / 86400</f>
        <v>3.7037037037037035E-2</v>
      </c>
      <c r="I768" t="s">
        <v>359</v>
      </c>
      <c r="J768" t="s">
        <v>23</v>
      </c>
      <c r="K768" s="5">
        <f>10740 / 86400</f>
        <v>0.12430555555555556</v>
      </c>
      <c r="L768" s="5">
        <f>564 / 86400</f>
        <v>6.5277777777777782E-3</v>
      </c>
    </row>
    <row r="769" spans="1:12" x14ac:dyDescent="0.25">
      <c r="A769" s="3">
        <v>45697.87190972222</v>
      </c>
      <c r="B769" t="s">
        <v>361</v>
      </c>
      <c r="C769" s="3">
        <v>45697.876527777778</v>
      </c>
      <c r="D769" t="s">
        <v>75</v>
      </c>
      <c r="E769" s="4">
        <v>0.83399999999999996</v>
      </c>
      <c r="F769" s="4">
        <v>473622.179</v>
      </c>
      <c r="G769" s="4">
        <v>473623.01299999998</v>
      </c>
      <c r="H769" s="5">
        <f>160 / 86400</f>
        <v>1.8518518518518519E-3</v>
      </c>
      <c r="I769" t="s">
        <v>129</v>
      </c>
      <c r="J769" t="s">
        <v>135</v>
      </c>
      <c r="K769" s="5">
        <f>398 / 86400</f>
        <v>4.6064814814814814E-3</v>
      </c>
      <c r="L769" s="5">
        <f>10667 / 86400</f>
        <v>0.12346064814814815</v>
      </c>
    </row>
    <row r="770" spans="1:1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2" s="10" customFormat="1" ht="20.100000000000001" customHeight="1" x14ac:dyDescent="0.35">
      <c r="A772" s="15" t="s">
        <v>424</v>
      </c>
      <c r="B772" s="15"/>
      <c r="C772" s="15"/>
      <c r="D772" s="15"/>
      <c r="E772" s="15"/>
      <c r="F772" s="15"/>
      <c r="G772" s="15"/>
      <c r="H772" s="15"/>
      <c r="I772" s="15"/>
      <c r="J772" s="15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ht="30" x14ac:dyDescent="0.25">
      <c r="A774" s="2" t="s">
        <v>6</v>
      </c>
      <c r="B774" s="2" t="s">
        <v>7</v>
      </c>
      <c r="C774" s="2" t="s">
        <v>8</v>
      </c>
      <c r="D774" s="2" t="s">
        <v>9</v>
      </c>
      <c r="E774" s="2" t="s">
        <v>10</v>
      </c>
      <c r="F774" s="2" t="s">
        <v>11</v>
      </c>
      <c r="G774" s="2" t="s">
        <v>12</v>
      </c>
      <c r="H774" s="2" t="s">
        <v>13</v>
      </c>
      <c r="I774" s="2" t="s">
        <v>14</v>
      </c>
      <c r="J774" s="2" t="s">
        <v>15</v>
      </c>
      <c r="K774" s="2" t="s">
        <v>16</v>
      </c>
      <c r="L774" s="2" t="s">
        <v>17</v>
      </c>
    </row>
    <row r="775" spans="1:12" x14ac:dyDescent="0.25">
      <c r="A775" s="3">
        <v>45697.003113425926</v>
      </c>
      <c r="B775" t="s">
        <v>78</v>
      </c>
      <c r="C775" s="3">
        <v>45697.004710648151</v>
      </c>
      <c r="D775" t="s">
        <v>101</v>
      </c>
      <c r="E775" s="4">
        <v>2.8000000000000001E-2</v>
      </c>
      <c r="F775" s="4">
        <v>412884.44</v>
      </c>
      <c r="G775" s="4">
        <v>412884.46799999999</v>
      </c>
      <c r="H775" s="5">
        <f>120 / 86400</f>
        <v>1.3888888888888889E-3</v>
      </c>
      <c r="I775" t="s">
        <v>39</v>
      </c>
      <c r="J775" t="s">
        <v>40</v>
      </c>
      <c r="K775" s="5">
        <f>137 / 86400</f>
        <v>1.5856481481481481E-3</v>
      </c>
      <c r="L775" s="5">
        <f>438 / 86400</f>
        <v>5.0694444444444441E-3</v>
      </c>
    </row>
    <row r="776" spans="1:12" x14ac:dyDescent="0.25">
      <c r="A776" s="3">
        <v>45697.006666666668</v>
      </c>
      <c r="B776" t="s">
        <v>101</v>
      </c>
      <c r="C776" s="3">
        <v>45697.010474537034</v>
      </c>
      <c r="D776" t="s">
        <v>79</v>
      </c>
      <c r="E776" s="4">
        <v>1.476</v>
      </c>
      <c r="F776" s="4">
        <v>412884.46799999999</v>
      </c>
      <c r="G776" s="4">
        <v>412885.94400000002</v>
      </c>
      <c r="H776" s="5">
        <f>40 / 86400</f>
        <v>4.6296296296296298E-4</v>
      </c>
      <c r="I776" t="s">
        <v>179</v>
      </c>
      <c r="J776" t="s">
        <v>95</v>
      </c>
      <c r="K776" s="5">
        <f>328 / 86400</f>
        <v>3.7962962962962963E-3</v>
      </c>
      <c r="L776" s="5">
        <f>516 / 86400</f>
        <v>5.9722222222222225E-3</v>
      </c>
    </row>
    <row r="777" spans="1:12" x14ac:dyDescent="0.25">
      <c r="A777" s="3">
        <v>45697.016446759255</v>
      </c>
      <c r="B777" t="s">
        <v>79</v>
      </c>
      <c r="C777" s="3">
        <v>45697.016759259262</v>
      </c>
      <c r="D777" t="s">
        <v>79</v>
      </c>
      <c r="E777" s="4">
        <v>0.02</v>
      </c>
      <c r="F777" s="4">
        <v>412885.94400000002</v>
      </c>
      <c r="G777" s="4">
        <v>412885.96399999998</v>
      </c>
      <c r="H777" s="5">
        <f>0 / 86400</f>
        <v>0</v>
      </c>
      <c r="I777" t="s">
        <v>82</v>
      </c>
      <c r="J777" t="s">
        <v>125</v>
      </c>
      <c r="K777" s="5">
        <f>26 / 86400</f>
        <v>3.0092592592592595E-4</v>
      </c>
      <c r="L777" s="5">
        <f>31372 / 86400</f>
        <v>0.36310185185185184</v>
      </c>
    </row>
    <row r="778" spans="1:12" x14ac:dyDescent="0.25">
      <c r="A778" s="3">
        <v>45697.379861111112</v>
      </c>
      <c r="B778" t="s">
        <v>79</v>
      </c>
      <c r="C778" s="3">
        <v>45697.381342592591</v>
      </c>
      <c r="D778" t="s">
        <v>79</v>
      </c>
      <c r="E778" s="4">
        <v>0.04</v>
      </c>
      <c r="F778" s="4">
        <v>412885.96399999998</v>
      </c>
      <c r="G778" s="4">
        <v>412886.00400000002</v>
      </c>
      <c r="H778" s="5">
        <f>99 / 86400</f>
        <v>1.1458333333333333E-3</v>
      </c>
      <c r="I778" t="s">
        <v>82</v>
      </c>
      <c r="J778" t="s">
        <v>40</v>
      </c>
      <c r="K778" s="5">
        <f>128 / 86400</f>
        <v>1.4814814814814814E-3</v>
      </c>
      <c r="L778" s="5">
        <f>1267 / 86400</f>
        <v>1.4664351851851852E-2</v>
      </c>
    </row>
    <row r="779" spans="1:12" x14ac:dyDescent="0.25">
      <c r="A779" s="3">
        <v>45697.396006944444</v>
      </c>
      <c r="B779" t="s">
        <v>79</v>
      </c>
      <c r="C779" s="3">
        <v>45697.397106481483</v>
      </c>
      <c r="D779" t="s">
        <v>79</v>
      </c>
      <c r="E779" s="4">
        <v>3.5999999999999997E-2</v>
      </c>
      <c r="F779" s="4">
        <v>412886.00400000002</v>
      </c>
      <c r="G779" s="4">
        <v>412886.04</v>
      </c>
      <c r="H779" s="5">
        <f>20 / 86400</f>
        <v>2.3148148148148149E-4</v>
      </c>
      <c r="I779" t="s">
        <v>82</v>
      </c>
      <c r="J779" t="s">
        <v>40</v>
      </c>
      <c r="K779" s="5">
        <f>95 / 86400</f>
        <v>1.0995370370370371E-3</v>
      </c>
      <c r="L779" s="5">
        <f>903 / 86400</f>
        <v>1.0451388888888889E-2</v>
      </c>
    </row>
    <row r="780" spans="1:12" x14ac:dyDescent="0.25">
      <c r="A780" s="3">
        <v>45697.407557870371</v>
      </c>
      <c r="B780" t="s">
        <v>79</v>
      </c>
      <c r="C780" s="3">
        <v>45697.437384259261</v>
      </c>
      <c r="D780" t="s">
        <v>283</v>
      </c>
      <c r="E780" s="4">
        <v>7.4989999999999997</v>
      </c>
      <c r="F780" s="4">
        <v>412886.04</v>
      </c>
      <c r="G780" s="4">
        <v>412893.53899999999</v>
      </c>
      <c r="H780" s="5">
        <f>599 / 86400</f>
        <v>6.9328703703703705E-3</v>
      </c>
      <c r="I780" t="s">
        <v>173</v>
      </c>
      <c r="J780" t="s">
        <v>33</v>
      </c>
      <c r="K780" s="5">
        <f>2577 / 86400</f>
        <v>2.9826388888888888E-2</v>
      </c>
      <c r="L780" s="5">
        <f>1610 / 86400</f>
        <v>1.863425925925926E-2</v>
      </c>
    </row>
    <row r="781" spans="1:12" x14ac:dyDescent="0.25">
      <c r="A781" s="3">
        <v>45697.456018518518</v>
      </c>
      <c r="B781" t="s">
        <v>283</v>
      </c>
      <c r="C781" s="3">
        <v>45697.474479166667</v>
      </c>
      <c r="D781" t="s">
        <v>101</v>
      </c>
      <c r="E781" s="4">
        <v>2.694</v>
      </c>
      <c r="F781" s="4">
        <v>412893.53899999999</v>
      </c>
      <c r="G781" s="4">
        <v>412896.23300000001</v>
      </c>
      <c r="H781" s="5">
        <f>839 / 86400</f>
        <v>9.7106481481481488E-3</v>
      </c>
      <c r="I781" t="s">
        <v>80</v>
      </c>
      <c r="J781" t="s">
        <v>29</v>
      </c>
      <c r="K781" s="5">
        <f>1595 / 86400</f>
        <v>1.846064814814815E-2</v>
      </c>
      <c r="L781" s="5">
        <f>106 / 86400</f>
        <v>1.2268518518518518E-3</v>
      </c>
    </row>
    <row r="782" spans="1:12" x14ac:dyDescent="0.25">
      <c r="A782" s="3">
        <v>45697.475706018522</v>
      </c>
      <c r="B782" t="s">
        <v>101</v>
      </c>
      <c r="C782" s="3">
        <v>45697.480173611111</v>
      </c>
      <c r="D782" t="s">
        <v>79</v>
      </c>
      <c r="E782" s="4">
        <v>1.706</v>
      </c>
      <c r="F782" s="4">
        <v>412896.23300000001</v>
      </c>
      <c r="G782" s="4">
        <v>412897.93900000001</v>
      </c>
      <c r="H782" s="5">
        <f>0 / 86400</f>
        <v>0</v>
      </c>
      <c r="I782" t="s">
        <v>179</v>
      </c>
      <c r="J782" t="s">
        <v>95</v>
      </c>
      <c r="K782" s="5">
        <f>386 / 86400</f>
        <v>4.4675925925925924E-3</v>
      </c>
      <c r="L782" s="5">
        <f>34 / 86400</f>
        <v>3.9351851851851852E-4</v>
      </c>
    </row>
    <row r="783" spans="1:12" x14ac:dyDescent="0.25">
      <c r="A783" s="3">
        <v>45697.480567129634</v>
      </c>
      <c r="B783" t="s">
        <v>79</v>
      </c>
      <c r="C783" s="3">
        <v>45697.480798611112</v>
      </c>
      <c r="D783" t="s">
        <v>79</v>
      </c>
      <c r="E783" s="4">
        <v>8.9999999999999993E-3</v>
      </c>
      <c r="F783" s="4">
        <v>412897.93900000001</v>
      </c>
      <c r="G783" s="4">
        <v>412897.94799999997</v>
      </c>
      <c r="H783" s="5">
        <f>0 / 86400</f>
        <v>0</v>
      </c>
      <c r="I783" t="s">
        <v>153</v>
      </c>
      <c r="J783" t="s">
        <v>153</v>
      </c>
      <c r="K783" s="5">
        <f>20 / 86400</f>
        <v>2.3148148148148149E-4</v>
      </c>
      <c r="L783" s="5">
        <f>37969 / 86400</f>
        <v>0.43945601851851851</v>
      </c>
    </row>
    <row r="784" spans="1:12" x14ac:dyDescent="0.25">
      <c r="A784" s="3">
        <v>45697.920254629629</v>
      </c>
      <c r="B784" t="s">
        <v>79</v>
      </c>
      <c r="C784" s="3">
        <v>45697.921365740738</v>
      </c>
      <c r="D784" t="s">
        <v>79</v>
      </c>
      <c r="E784" s="4">
        <v>4.2000000000000003E-2</v>
      </c>
      <c r="F784" s="4">
        <v>412897.94799999997</v>
      </c>
      <c r="G784" s="4">
        <v>412897.99</v>
      </c>
      <c r="H784" s="5">
        <f>20 / 86400</f>
        <v>2.3148148148148149E-4</v>
      </c>
      <c r="I784" t="s">
        <v>82</v>
      </c>
      <c r="J784" t="s">
        <v>153</v>
      </c>
      <c r="K784" s="5">
        <f>95 / 86400</f>
        <v>1.0995370370370371E-3</v>
      </c>
      <c r="L784" s="5">
        <f>62 / 86400</f>
        <v>7.1759259259259259E-4</v>
      </c>
    </row>
    <row r="785" spans="1:12" x14ac:dyDescent="0.25">
      <c r="A785" s="3">
        <v>45697.922083333338</v>
      </c>
      <c r="B785" t="s">
        <v>79</v>
      </c>
      <c r="C785" s="3">
        <v>45697.9221412037</v>
      </c>
      <c r="D785" t="s">
        <v>79</v>
      </c>
      <c r="E785" s="4">
        <v>2E-3</v>
      </c>
      <c r="F785" s="4">
        <v>412897.99</v>
      </c>
      <c r="G785" s="4">
        <v>412897.99200000003</v>
      </c>
      <c r="H785" s="5">
        <f>0 / 86400</f>
        <v>0</v>
      </c>
      <c r="I785" t="s">
        <v>63</v>
      </c>
      <c r="J785" t="s">
        <v>40</v>
      </c>
      <c r="K785" s="5">
        <f>5 / 86400</f>
        <v>5.7870370370370373E-5</v>
      </c>
      <c r="L785" s="5">
        <f>6726 / 86400</f>
        <v>7.784722222222222E-2</v>
      </c>
    </row>
    <row r="786" spans="1:1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s="10" customFormat="1" ht="20.100000000000001" customHeight="1" x14ac:dyDescent="0.35">
      <c r="A788" s="15" t="s">
        <v>425</v>
      </c>
      <c r="B788" s="15"/>
      <c r="C788" s="15"/>
      <c r="D788" s="15"/>
      <c r="E788" s="15"/>
      <c r="F788" s="15"/>
      <c r="G788" s="15"/>
      <c r="H788" s="15"/>
      <c r="I788" s="15"/>
      <c r="J788" s="15"/>
    </row>
    <row r="789" spans="1:1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</row>
    <row r="790" spans="1:12" ht="30" x14ac:dyDescent="0.25">
      <c r="A790" s="2" t="s">
        <v>6</v>
      </c>
      <c r="B790" s="2" t="s">
        <v>7</v>
      </c>
      <c r="C790" s="2" t="s">
        <v>8</v>
      </c>
      <c r="D790" s="2" t="s">
        <v>9</v>
      </c>
      <c r="E790" s="2" t="s">
        <v>10</v>
      </c>
      <c r="F790" s="2" t="s">
        <v>11</v>
      </c>
      <c r="G790" s="2" t="s">
        <v>12</v>
      </c>
      <c r="H790" s="2" t="s">
        <v>13</v>
      </c>
      <c r="I790" s="2" t="s">
        <v>14</v>
      </c>
      <c r="J790" s="2" t="s">
        <v>15</v>
      </c>
      <c r="K790" s="2" t="s">
        <v>16</v>
      </c>
      <c r="L790" s="2" t="s">
        <v>17</v>
      </c>
    </row>
    <row r="791" spans="1:12" x14ac:dyDescent="0.25">
      <c r="A791" s="3">
        <v>45697.257708333331</v>
      </c>
      <c r="B791" t="s">
        <v>27</v>
      </c>
      <c r="C791" s="3">
        <v>45697.258761574078</v>
      </c>
      <c r="D791" t="s">
        <v>27</v>
      </c>
      <c r="E791" s="4">
        <v>5.0999999999999997E-2</v>
      </c>
      <c r="F791" s="4">
        <v>327197.64799999999</v>
      </c>
      <c r="G791" s="4">
        <v>327197.69900000002</v>
      </c>
      <c r="H791" s="5">
        <f>20 / 86400</f>
        <v>2.3148148148148149E-4</v>
      </c>
      <c r="I791" t="s">
        <v>82</v>
      </c>
      <c r="J791" t="s">
        <v>153</v>
      </c>
      <c r="K791" s="5">
        <f>91 / 86400</f>
        <v>1.0532407407407407E-3</v>
      </c>
      <c r="L791" s="5">
        <f>24340 / 86400</f>
        <v>0.28171296296296294</v>
      </c>
    </row>
    <row r="792" spans="1:12" x14ac:dyDescent="0.25">
      <c r="A792" s="3">
        <v>45697.282766203702</v>
      </c>
      <c r="B792" t="s">
        <v>27</v>
      </c>
      <c r="C792" s="3">
        <v>45697.283576388887</v>
      </c>
      <c r="D792" t="s">
        <v>27</v>
      </c>
      <c r="E792" s="4">
        <v>3.6999999999999998E-2</v>
      </c>
      <c r="F792" s="4">
        <v>327197.69900000002</v>
      </c>
      <c r="G792" s="4">
        <v>327197.73599999998</v>
      </c>
      <c r="H792" s="5">
        <f>39 / 86400</f>
        <v>4.5138888888888887E-4</v>
      </c>
      <c r="I792" t="s">
        <v>82</v>
      </c>
      <c r="J792" t="s">
        <v>153</v>
      </c>
      <c r="K792" s="5">
        <f>70 / 86400</f>
        <v>8.1018518518518516E-4</v>
      </c>
      <c r="L792" s="5">
        <f>10087 / 86400</f>
        <v>0.11674768518518519</v>
      </c>
    </row>
    <row r="793" spans="1:12" x14ac:dyDescent="0.25">
      <c r="A793" s="3">
        <v>45697.400324074071</v>
      </c>
      <c r="B793" t="s">
        <v>27</v>
      </c>
      <c r="C793" s="3">
        <v>45697.596331018518</v>
      </c>
      <c r="D793" t="s">
        <v>364</v>
      </c>
      <c r="E793" s="4">
        <v>98.647999999999996</v>
      </c>
      <c r="F793" s="4">
        <v>327197.73599999998</v>
      </c>
      <c r="G793" s="4">
        <v>327296.38400000002</v>
      </c>
      <c r="H793" s="5">
        <f>5218 / 86400</f>
        <v>6.039351851851852E-2</v>
      </c>
      <c r="I793" t="s">
        <v>25</v>
      </c>
      <c r="J793" t="s">
        <v>49</v>
      </c>
      <c r="K793" s="5">
        <f>16935 / 86400</f>
        <v>0.19600694444444444</v>
      </c>
      <c r="L793" s="5">
        <f>509 / 86400</f>
        <v>5.8912037037037041E-3</v>
      </c>
    </row>
    <row r="794" spans="1:12" x14ac:dyDescent="0.25">
      <c r="A794" s="3">
        <v>45697.602222222224</v>
      </c>
      <c r="B794" t="s">
        <v>364</v>
      </c>
      <c r="C794" s="3">
        <v>45697.605231481481</v>
      </c>
      <c r="D794" t="s">
        <v>365</v>
      </c>
      <c r="E794" s="4">
        <v>1.4019999999999999</v>
      </c>
      <c r="F794" s="4">
        <v>327296.38400000002</v>
      </c>
      <c r="G794" s="4">
        <v>327297.78600000002</v>
      </c>
      <c r="H794" s="5">
        <f>40 / 86400</f>
        <v>4.6296296296296298E-4</v>
      </c>
      <c r="I794" t="s">
        <v>204</v>
      </c>
      <c r="J794" t="s">
        <v>23</v>
      </c>
      <c r="K794" s="5">
        <f>260 / 86400</f>
        <v>3.0092592592592593E-3</v>
      </c>
      <c r="L794" s="5">
        <f>1786 / 86400</f>
        <v>2.0671296296296295E-2</v>
      </c>
    </row>
    <row r="795" spans="1:12" x14ac:dyDescent="0.25">
      <c r="A795" s="3">
        <v>45697.625902777778</v>
      </c>
      <c r="B795" t="s">
        <v>365</v>
      </c>
      <c r="C795" s="3">
        <v>45697.717094907406</v>
      </c>
      <c r="D795" t="s">
        <v>366</v>
      </c>
      <c r="E795" s="4">
        <v>42.87</v>
      </c>
      <c r="F795" s="4">
        <v>327297.78600000002</v>
      </c>
      <c r="G795" s="4">
        <v>327340.65600000002</v>
      </c>
      <c r="H795" s="5">
        <f>2459 / 86400</f>
        <v>2.8460648148148148E-2</v>
      </c>
      <c r="I795" t="s">
        <v>65</v>
      </c>
      <c r="J795" t="s">
        <v>28</v>
      </c>
      <c r="K795" s="5">
        <f>7879 / 86400</f>
        <v>9.1192129629629623E-2</v>
      </c>
      <c r="L795" s="5">
        <f>39 / 86400</f>
        <v>4.5138888888888887E-4</v>
      </c>
    </row>
    <row r="796" spans="1:12" x14ac:dyDescent="0.25">
      <c r="A796" s="3">
        <v>45697.717546296291</v>
      </c>
      <c r="B796" t="s">
        <v>366</v>
      </c>
      <c r="C796" s="3">
        <v>45697.821689814809</v>
      </c>
      <c r="D796" t="s">
        <v>101</v>
      </c>
      <c r="E796" s="4">
        <v>42.43</v>
      </c>
      <c r="F796" s="4">
        <v>327340.65600000002</v>
      </c>
      <c r="G796" s="4">
        <v>327383.08600000001</v>
      </c>
      <c r="H796" s="5">
        <f>2760 / 86400</f>
        <v>3.1944444444444442E-2</v>
      </c>
      <c r="I796" t="s">
        <v>215</v>
      </c>
      <c r="J796" t="s">
        <v>71</v>
      </c>
      <c r="K796" s="5">
        <f>8997 / 86400</f>
        <v>0.10413194444444444</v>
      </c>
      <c r="L796" s="5">
        <f>432 / 86400</f>
        <v>5.0000000000000001E-3</v>
      </c>
    </row>
    <row r="797" spans="1:12" x14ac:dyDescent="0.25">
      <c r="A797" s="3">
        <v>45697.826689814814</v>
      </c>
      <c r="B797" t="s">
        <v>101</v>
      </c>
      <c r="C797" s="3">
        <v>45697.827557870369</v>
      </c>
      <c r="D797" t="s">
        <v>101</v>
      </c>
      <c r="E797" s="4">
        <v>5.5E-2</v>
      </c>
      <c r="F797" s="4">
        <v>327383.08600000001</v>
      </c>
      <c r="G797" s="4">
        <v>327383.141</v>
      </c>
      <c r="H797" s="5">
        <f>0 / 86400</f>
        <v>0</v>
      </c>
      <c r="I797" t="s">
        <v>29</v>
      </c>
      <c r="J797" t="s">
        <v>125</v>
      </c>
      <c r="K797" s="5">
        <f>75 / 86400</f>
        <v>8.6805555555555551E-4</v>
      </c>
      <c r="L797" s="5">
        <f>1038 / 86400</f>
        <v>1.2013888888888888E-2</v>
      </c>
    </row>
    <row r="798" spans="1:12" x14ac:dyDescent="0.25">
      <c r="A798" s="3">
        <v>45697.839571759258</v>
      </c>
      <c r="B798" t="s">
        <v>101</v>
      </c>
      <c r="C798" s="3">
        <v>45697.848576388889</v>
      </c>
      <c r="D798" t="s">
        <v>27</v>
      </c>
      <c r="E798" s="4">
        <v>3.0910000000000002</v>
      </c>
      <c r="F798" s="4">
        <v>327383.141</v>
      </c>
      <c r="G798" s="4">
        <v>327386.23200000002</v>
      </c>
      <c r="H798" s="5">
        <f>100 / 86400</f>
        <v>1.1574074074074073E-3</v>
      </c>
      <c r="I798" t="s">
        <v>188</v>
      </c>
      <c r="J798" t="s">
        <v>123</v>
      </c>
      <c r="K798" s="5">
        <f>778 / 86400</f>
        <v>9.0046296296296298E-3</v>
      </c>
      <c r="L798" s="5">
        <f>3052 / 86400</f>
        <v>3.5324074074074077E-2</v>
      </c>
    </row>
    <row r="799" spans="1:12" x14ac:dyDescent="0.25">
      <c r="A799" s="3">
        <v>45697.883900462963</v>
      </c>
      <c r="B799" t="s">
        <v>27</v>
      </c>
      <c r="C799" s="3">
        <v>45697.884872685187</v>
      </c>
      <c r="D799" t="s">
        <v>27</v>
      </c>
      <c r="E799" s="4">
        <v>3.6999999999999998E-2</v>
      </c>
      <c r="F799" s="4">
        <v>327386.23200000002</v>
      </c>
      <c r="G799" s="4">
        <v>327386.26899999997</v>
      </c>
      <c r="H799" s="5">
        <f>19 / 86400</f>
        <v>2.199074074074074E-4</v>
      </c>
      <c r="I799" t="s">
        <v>29</v>
      </c>
      <c r="J799" t="s">
        <v>153</v>
      </c>
      <c r="K799" s="5">
        <f>84 / 86400</f>
        <v>9.7222222222222219E-4</v>
      </c>
      <c r="L799" s="5">
        <f>201 / 86400</f>
        <v>2.3263888888888887E-3</v>
      </c>
    </row>
    <row r="800" spans="1:12" x14ac:dyDescent="0.25">
      <c r="A800" s="3">
        <v>45697.887199074074</v>
      </c>
      <c r="B800" t="s">
        <v>27</v>
      </c>
      <c r="C800" s="3">
        <v>45697.888020833328</v>
      </c>
      <c r="D800" t="s">
        <v>27</v>
      </c>
      <c r="E800" s="4">
        <v>3.3000000000000002E-2</v>
      </c>
      <c r="F800" s="4">
        <v>327386.26899999997</v>
      </c>
      <c r="G800" s="4">
        <v>327386.30200000003</v>
      </c>
      <c r="H800" s="5">
        <f>20 / 86400</f>
        <v>2.3148148148148149E-4</v>
      </c>
      <c r="I800" t="s">
        <v>29</v>
      </c>
      <c r="J800" t="s">
        <v>153</v>
      </c>
      <c r="K800" s="5">
        <f>71 / 86400</f>
        <v>8.2175925925925927E-4</v>
      </c>
      <c r="L800" s="5">
        <f>9674 / 86400</f>
        <v>0.11196759259259259</v>
      </c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 spans="1:12" s="10" customFormat="1" ht="20.100000000000001" customHeight="1" x14ac:dyDescent="0.35">
      <c r="A803" s="15" t="s">
        <v>426</v>
      </c>
      <c r="B803" s="15"/>
      <c r="C803" s="15"/>
      <c r="D803" s="15"/>
      <c r="E803" s="15"/>
      <c r="F803" s="15"/>
      <c r="G803" s="15"/>
      <c r="H803" s="15"/>
      <c r="I803" s="15"/>
      <c r="J803" s="15"/>
    </row>
    <row r="804" spans="1:1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ht="30" x14ac:dyDescent="0.25">
      <c r="A805" s="2" t="s">
        <v>6</v>
      </c>
      <c r="B805" s="2" t="s">
        <v>7</v>
      </c>
      <c r="C805" s="2" t="s">
        <v>8</v>
      </c>
      <c r="D805" s="2" t="s">
        <v>9</v>
      </c>
      <c r="E805" s="2" t="s">
        <v>10</v>
      </c>
      <c r="F805" s="2" t="s">
        <v>11</v>
      </c>
      <c r="G805" s="2" t="s">
        <v>12</v>
      </c>
      <c r="H805" s="2" t="s">
        <v>13</v>
      </c>
      <c r="I805" s="2" t="s">
        <v>14</v>
      </c>
      <c r="J805" s="2" t="s">
        <v>15</v>
      </c>
      <c r="K805" s="2" t="s">
        <v>16</v>
      </c>
      <c r="L805" s="2" t="s">
        <v>17</v>
      </c>
    </row>
    <row r="806" spans="1:12" x14ac:dyDescent="0.25">
      <c r="A806" s="3">
        <v>45697.341342592597</v>
      </c>
      <c r="B806" t="s">
        <v>27</v>
      </c>
      <c r="C806" s="3">
        <v>45697.349791666667</v>
      </c>
      <c r="D806" t="s">
        <v>261</v>
      </c>
      <c r="E806" s="4">
        <v>0.59499999999999997</v>
      </c>
      <c r="F806" s="4">
        <v>359919.71799999999</v>
      </c>
      <c r="G806" s="4">
        <v>359920.31300000002</v>
      </c>
      <c r="H806" s="5">
        <f>460 / 86400</f>
        <v>5.324074074074074E-3</v>
      </c>
      <c r="I806" t="s">
        <v>198</v>
      </c>
      <c r="J806" t="s">
        <v>125</v>
      </c>
      <c r="K806" s="5">
        <f>730 / 86400</f>
        <v>8.4490740740740741E-3</v>
      </c>
      <c r="L806" s="5">
        <f>31879 / 86400</f>
        <v>0.36896990740740743</v>
      </c>
    </row>
    <row r="807" spans="1:12" x14ac:dyDescent="0.25">
      <c r="A807" s="3">
        <v>45697.377418981487</v>
      </c>
      <c r="B807" t="s">
        <v>261</v>
      </c>
      <c r="C807" s="3">
        <v>45697.381238425922</v>
      </c>
      <c r="D807" t="s">
        <v>27</v>
      </c>
      <c r="E807" s="4">
        <v>0.95799999999999996</v>
      </c>
      <c r="F807" s="4">
        <v>359920.31300000002</v>
      </c>
      <c r="G807" s="4">
        <v>359921.27100000001</v>
      </c>
      <c r="H807" s="5">
        <f>159 / 86400</f>
        <v>1.8402777777777777E-3</v>
      </c>
      <c r="I807" t="s">
        <v>81</v>
      </c>
      <c r="J807" t="s">
        <v>33</v>
      </c>
      <c r="K807" s="5">
        <f>330 / 86400</f>
        <v>3.8194444444444443E-3</v>
      </c>
      <c r="L807" s="5">
        <f>628 / 86400</f>
        <v>7.2685185185185188E-3</v>
      </c>
    </row>
    <row r="808" spans="1:12" x14ac:dyDescent="0.25">
      <c r="A808" s="3">
        <v>45697.388506944444</v>
      </c>
      <c r="B808" t="s">
        <v>27</v>
      </c>
      <c r="C808" s="3">
        <v>45697.389374999999</v>
      </c>
      <c r="D808" t="s">
        <v>27</v>
      </c>
      <c r="E808" s="4">
        <v>3.6999999999999998E-2</v>
      </c>
      <c r="F808" s="4">
        <v>359921.27100000001</v>
      </c>
      <c r="G808" s="4">
        <v>359921.30800000002</v>
      </c>
      <c r="H808" s="5">
        <f>0 / 86400</f>
        <v>0</v>
      </c>
      <c r="I808" t="s">
        <v>29</v>
      </c>
      <c r="J808" t="s">
        <v>153</v>
      </c>
      <c r="K808" s="5">
        <f>74 / 86400</f>
        <v>8.564814814814815E-4</v>
      </c>
      <c r="L808" s="5">
        <f>52757 / 86400</f>
        <v>0.61061342592592593</v>
      </c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2" s="10" customFormat="1" ht="20.100000000000001" customHeight="1" x14ac:dyDescent="0.35">
      <c r="A811" s="15" t="s">
        <v>427</v>
      </c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2" ht="30" x14ac:dyDescent="0.25">
      <c r="A813" s="2" t="s">
        <v>6</v>
      </c>
      <c r="B813" s="2" t="s">
        <v>7</v>
      </c>
      <c r="C813" s="2" t="s">
        <v>8</v>
      </c>
      <c r="D813" s="2" t="s">
        <v>9</v>
      </c>
      <c r="E813" s="2" t="s">
        <v>10</v>
      </c>
      <c r="F813" s="2" t="s">
        <v>11</v>
      </c>
      <c r="G813" s="2" t="s">
        <v>12</v>
      </c>
      <c r="H813" s="2" t="s">
        <v>13</v>
      </c>
      <c r="I813" s="2" t="s">
        <v>14</v>
      </c>
      <c r="J813" s="2" t="s">
        <v>15</v>
      </c>
      <c r="K813" s="2" t="s">
        <v>16</v>
      </c>
      <c r="L813" s="2" t="s">
        <v>17</v>
      </c>
    </row>
    <row r="814" spans="1:12" x14ac:dyDescent="0.25">
      <c r="A814" s="3">
        <v>45697.300057870365</v>
      </c>
      <c r="B814" t="s">
        <v>83</v>
      </c>
      <c r="C814" s="3">
        <v>45697.30268518519</v>
      </c>
      <c r="D814" t="s">
        <v>83</v>
      </c>
      <c r="E814" s="4">
        <v>0.14399999999999999</v>
      </c>
      <c r="F814" s="4">
        <v>81188.002999999997</v>
      </c>
      <c r="G814" s="4">
        <v>81188.146999999997</v>
      </c>
      <c r="H814" s="5">
        <f>120 / 86400</f>
        <v>1.3888888888888889E-3</v>
      </c>
      <c r="I814" t="s">
        <v>52</v>
      </c>
      <c r="J814" t="s">
        <v>153</v>
      </c>
      <c r="K814" s="5">
        <f>227 / 86400</f>
        <v>2.627314814814815E-3</v>
      </c>
      <c r="L814" s="5">
        <f>25946 / 86400</f>
        <v>0.30030092592592594</v>
      </c>
    </row>
    <row r="815" spans="1:12" x14ac:dyDescent="0.25">
      <c r="A815" s="3">
        <v>45697.302928240737</v>
      </c>
      <c r="B815" t="s">
        <v>83</v>
      </c>
      <c r="C815" s="3">
        <v>45697.330243055556</v>
      </c>
      <c r="D815" t="s">
        <v>83</v>
      </c>
      <c r="E815" s="4">
        <v>0</v>
      </c>
      <c r="F815" s="4">
        <v>81188.146999999997</v>
      </c>
      <c r="G815" s="4">
        <v>81188.146999999997</v>
      </c>
      <c r="H815" s="5">
        <f>2339 / 86400</f>
        <v>2.7071759259259261E-2</v>
      </c>
      <c r="I815" t="s">
        <v>63</v>
      </c>
      <c r="J815" t="s">
        <v>63</v>
      </c>
      <c r="K815" s="5">
        <f>2360 / 86400</f>
        <v>2.7314814814814816E-2</v>
      </c>
      <c r="L815" s="5">
        <f>49060 / 86400</f>
        <v>0.56782407407407409</v>
      </c>
    </row>
    <row r="816" spans="1:12" x14ac:dyDescent="0.25">
      <c r="A816" s="3">
        <v>45697.89806712963</v>
      </c>
      <c r="B816" t="s">
        <v>83</v>
      </c>
      <c r="C816" s="3">
        <v>45697.952916666662</v>
      </c>
      <c r="D816" t="s">
        <v>83</v>
      </c>
      <c r="E816" s="4">
        <v>0.106</v>
      </c>
      <c r="F816" s="4">
        <v>81188.146999999997</v>
      </c>
      <c r="G816" s="4">
        <v>81188.252999999997</v>
      </c>
      <c r="H816" s="5">
        <f>4639 / 86400</f>
        <v>5.3692129629629631E-2</v>
      </c>
      <c r="I816" t="s">
        <v>29</v>
      </c>
      <c r="J816" t="s">
        <v>63</v>
      </c>
      <c r="K816" s="5">
        <f>4739 / 86400</f>
        <v>5.4849537037037037E-2</v>
      </c>
      <c r="L816" s="5">
        <f>4067 / 86400</f>
        <v>4.7071759259259258E-2</v>
      </c>
    </row>
    <row r="817" spans="1:1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 spans="1:1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</row>
    <row r="819" spans="1:12" s="10" customFormat="1" ht="20.100000000000001" customHeight="1" x14ac:dyDescent="0.35">
      <c r="A819" s="15" t="s">
        <v>428</v>
      </c>
      <c r="B819" s="15"/>
      <c r="C819" s="15"/>
      <c r="D819" s="15"/>
      <c r="E819" s="15"/>
      <c r="F819" s="15"/>
      <c r="G819" s="15"/>
      <c r="H819" s="15"/>
      <c r="I819" s="15"/>
      <c r="J819" s="15"/>
    </row>
    <row r="820" spans="1:1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ht="30" x14ac:dyDescent="0.25">
      <c r="A821" s="2" t="s">
        <v>6</v>
      </c>
      <c r="B821" s="2" t="s">
        <v>7</v>
      </c>
      <c r="C821" s="2" t="s">
        <v>8</v>
      </c>
      <c r="D821" s="2" t="s">
        <v>9</v>
      </c>
      <c r="E821" s="2" t="s">
        <v>10</v>
      </c>
      <c r="F821" s="2" t="s">
        <v>11</v>
      </c>
      <c r="G821" s="2" t="s">
        <v>12</v>
      </c>
      <c r="H821" s="2" t="s">
        <v>13</v>
      </c>
      <c r="I821" s="2" t="s">
        <v>14</v>
      </c>
      <c r="J821" s="2" t="s">
        <v>15</v>
      </c>
      <c r="K821" s="2" t="s">
        <v>16</v>
      </c>
      <c r="L821" s="2" t="s">
        <v>17</v>
      </c>
    </row>
    <row r="822" spans="1:12" x14ac:dyDescent="0.25">
      <c r="A822" s="3">
        <v>45697.189745370371</v>
      </c>
      <c r="B822" t="s">
        <v>84</v>
      </c>
      <c r="C822" s="3">
        <v>45697.200671296298</v>
      </c>
      <c r="D822" t="s">
        <v>128</v>
      </c>
      <c r="E822" s="4">
        <v>0.60099999999999998</v>
      </c>
      <c r="F822" s="4">
        <v>468767.174</v>
      </c>
      <c r="G822" s="4">
        <v>468767.77500000002</v>
      </c>
      <c r="H822" s="5">
        <f>739 / 86400</f>
        <v>8.5532407407407415E-3</v>
      </c>
      <c r="I822" t="s">
        <v>23</v>
      </c>
      <c r="J822" t="s">
        <v>153</v>
      </c>
      <c r="K822" s="5">
        <f>944 / 86400</f>
        <v>1.0925925925925926E-2</v>
      </c>
      <c r="L822" s="5">
        <f>16586 / 86400</f>
        <v>0.19196759259259261</v>
      </c>
    </row>
    <row r="823" spans="1:12" x14ac:dyDescent="0.25">
      <c r="A823" s="3">
        <v>45697.202893518523</v>
      </c>
      <c r="B823" t="s">
        <v>128</v>
      </c>
      <c r="C823" s="3">
        <v>45697.202974537038</v>
      </c>
      <c r="D823" t="s">
        <v>128</v>
      </c>
      <c r="E823" s="4">
        <v>0</v>
      </c>
      <c r="F823" s="4">
        <v>468767.77500000002</v>
      </c>
      <c r="G823" s="4">
        <v>468767.77500000002</v>
      </c>
      <c r="H823" s="5">
        <f>0 / 86400</f>
        <v>0</v>
      </c>
      <c r="I823" t="s">
        <v>63</v>
      </c>
      <c r="J823" t="s">
        <v>63</v>
      </c>
      <c r="K823" s="5">
        <f>6 / 86400</f>
        <v>6.9444444444444444E-5</v>
      </c>
      <c r="L823" s="5">
        <f>9 / 86400</f>
        <v>1.0416666666666667E-4</v>
      </c>
    </row>
    <row r="824" spans="1:12" x14ac:dyDescent="0.25">
      <c r="A824" s="3">
        <v>45697.203078703707</v>
      </c>
      <c r="B824" t="s">
        <v>128</v>
      </c>
      <c r="C824" s="3">
        <v>45697.42560185185</v>
      </c>
      <c r="D824" t="s">
        <v>117</v>
      </c>
      <c r="E824" s="4">
        <v>100.63200000000001</v>
      </c>
      <c r="F824" s="4">
        <v>468767.77500000002</v>
      </c>
      <c r="G824" s="4">
        <v>468868.40700000001</v>
      </c>
      <c r="H824" s="5">
        <f>6463 / 86400</f>
        <v>7.480324074074074E-2</v>
      </c>
      <c r="I824" t="s">
        <v>131</v>
      </c>
      <c r="J824" t="s">
        <v>23</v>
      </c>
      <c r="K824" s="5">
        <f>19226 / 86400</f>
        <v>0.22252314814814814</v>
      </c>
      <c r="L824" s="5">
        <f>2358 / 86400</f>
        <v>2.7291666666666665E-2</v>
      </c>
    </row>
    <row r="825" spans="1:12" x14ac:dyDescent="0.25">
      <c r="A825" s="3">
        <v>45697.452893518523</v>
      </c>
      <c r="B825" t="s">
        <v>117</v>
      </c>
      <c r="C825" s="3">
        <v>45697.459768518514</v>
      </c>
      <c r="D825" t="s">
        <v>128</v>
      </c>
      <c r="E825" s="4">
        <v>1.0669999999999999</v>
      </c>
      <c r="F825" s="4">
        <v>468868.40700000001</v>
      </c>
      <c r="G825" s="4">
        <v>468869.47399999999</v>
      </c>
      <c r="H825" s="5">
        <f>279 / 86400</f>
        <v>3.2291666666666666E-3</v>
      </c>
      <c r="I825" t="s">
        <v>137</v>
      </c>
      <c r="J825" t="s">
        <v>29</v>
      </c>
      <c r="K825" s="5">
        <f>594 / 86400</f>
        <v>6.875E-3</v>
      </c>
      <c r="L825" s="5">
        <f>43 / 86400</f>
        <v>4.9768518518518521E-4</v>
      </c>
    </row>
    <row r="826" spans="1:12" x14ac:dyDescent="0.25">
      <c r="A826" s="3">
        <v>45697.460266203707</v>
      </c>
      <c r="B826" t="s">
        <v>128</v>
      </c>
      <c r="C826" s="3">
        <v>45697.687337962961</v>
      </c>
      <c r="D826" t="s">
        <v>72</v>
      </c>
      <c r="E826" s="4">
        <v>94.013999999999996</v>
      </c>
      <c r="F826" s="4">
        <v>468869.47399999999</v>
      </c>
      <c r="G826" s="4">
        <v>468963.48800000001</v>
      </c>
      <c r="H826" s="5">
        <f>7457 / 86400</f>
        <v>8.6307870370370368E-2</v>
      </c>
      <c r="I826" t="s">
        <v>85</v>
      </c>
      <c r="J826" t="s">
        <v>71</v>
      </c>
      <c r="K826" s="5">
        <f>19618 / 86400</f>
        <v>0.2270601851851852</v>
      </c>
      <c r="L826" s="5">
        <f>1679 / 86400</f>
        <v>1.9432870370370371E-2</v>
      </c>
    </row>
    <row r="827" spans="1:12" x14ac:dyDescent="0.25">
      <c r="A827" s="3">
        <v>45697.706770833334</v>
      </c>
      <c r="B827" t="s">
        <v>72</v>
      </c>
      <c r="C827" s="3">
        <v>45697.710694444446</v>
      </c>
      <c r="D827" t="s">
        <v>84</v>
      </c>
      <c r="E827" s="4">
        <v>1.0109999999999999</v>
      </c>
      <c r="F827" s="4">
        <v>468963.48800000001</v>
      </c>
      <c r="G827" s="4">
        <v>468964.49900000001</v>
      </c>
      <c r="H827" s="5">
        <f>79 / 86400</f>
        <v>9.1435185185185185E-4</v>
      </c>
      <c r="I827" t="s">
        <v>129</v>
      </c>
      <c r="J827" t="s">
        <v>120</v>
      </c>
      <c r="K827" s="5">
        <f>339 / 86400</f>
        <v>3.9236111111111112E-3</v>
      </c>
      <c r="L827" s="5">
        <f>17434 / 86400</f>
        <v>0.20178240740740741</v>
      </c>
    </row>
    <row r="828" spans="1:12" x14ac:dyDescent="0.25">
      <c r="A828" s="3">
        <v>45697.912476851852</v>
      </c>
      <c r="B828" t="s">
        <v>84</v>
      </c>
      <c r="C828" s="3">
        <v>45697.913032407407</v>
      </c>
      <c r="D828" t="s">
        <v>84</v>
      </c>
      <c r="E828" s="4">
        <v>1.0999999999999999E-2</v>
      </c>
      <c r="F828" s="4">
        <v>468964.49900000001</v>
      </c>
      <c r="G828" s="4">
        <v>468964.51</v>
      </c>
      <c r="H828" s="5">
        <f>20 / 86400</f>
        <v>2.3148148148148149E-4</v>
      </c>
      <c r="I828" t="s">
        <v>40</v>
      </c>
      <c r="J828" t="s">
        <v>40</v>
      </c>
      <c r="K828" s="5">
        <f>48 / 86400</f>
        <v>5.5555555555555556E-4</v>
      </c>
      <c r="L828" s="5">
        <f>7513 / 86400</f>
        <v>8.6956018518518516E-2</v>
      </c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s="10" customFormat="1" ht="20.100000000000001" customHeight="1" x14ac:dyDescent="0.35">
      <c r="A831" s="15" t="s">
        <v>429</v>
      </c>
      <c r="B831" s="15"/>
      <c r="C831" s="15"/>
      <c r="D831" s="15"/>
      <c r="E831" s="15"/>
      <c r="F831" s="15"/>
      <c r="G831" s="15"/>
      <c r="H831" s="15"/>
      <c r="I831" s="15"/>
      <c r="J831" s="15"/>
    </row>
    <row r="832" spans="1:1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2" ht="30" x14ac:dyDescent="0.25">
      <c r="A833" s="2" t="s">
        <v>6</v>
      </c>
      <c r="B833" s="2" t="s">
        <v>7</v>
      </c>
      <c r="C833" s="2" t="s">
        <v>8</v>
      </c>
      <c r="D833" s="2" t="s">
        <v>9</v>
      </c>
      <c r="E833" s="2" t="s">
        <v>10</v>
      </c>
      <c r="F833" s="2" t="s">
        <v>11</v>
      </c>
      <c r="G833" s="2" t="s">
        <v>12</v>
      </c>
      <c r="H833" s="2" t="s">
        <v>13</v>
      </c>
      <c r="I833" s="2" t="s">
        <v>14</v>
      </c>
      <c r="J833" s="2" t="s">
        <v>15</v>
      </c>
      <c r="K833" s="2" t="s">
        <v>16</v>
      </c>
      <c r="L833" s="2" t="s">
        <v>17</v>
      </c>
    </row>
    <row r="834" spans="1:12" x14ac:dyDescent="0.25">
      <c r="A834" s="3">
        <v>45697.175740740742</v>
      </c>
      <c r="B834" t="s">
        <v>86</v>
      </c>
      <c r="C834" s="3">
        <v>45697.176932870367</v>
      </c>
      <c r="D834" t="s">
        <v>86</v>
      </c>
      <c r="E834" s="4">
        <v>0</v>
      </c>
      <c r="F834" s="4">
        <v>428002.34899999999</v>
      </c>
      <c r="G834" s="4">
        <v>428002.34899999999</v>
      </c>
      <c r="H834" s="5">
        <f>99 / 86400</f>
        <v>1.1458333333333333E-3</v>
      </c>
      <c r="I834" t="s">
        <v>63</v>
      </c>
      <c r="J834" t="s">
        <v>63</v>
      </c>
      <c r="K834" s="5">
        <f>103 / 86400</f>
        <v>1.1921296296296296E-3</v>
      </c>
      <c r="L834" s="5">
        <f>15395 / 86400</f>
        <v>0.17818287037037037</v>
      </c>
    </row>
    <row r="835" spans="1:12" x14ac:dyDescent="0.25">
      <c r="A835" s="3">
        <v>45697.179375</v>
      </c>
      <c r="B835" t="s">
        <v>86</v>
      </c>
      <c r="C835" s="3">
        <v>45697.201053240744</v>
      </c>
      <c r="D835" t="s">
        <v>367</v>
      </c>
      <c r="E835" s="4">
        <v>17.635999999999999</v>
      </c>
      <c r="F835" s="4">
        <v>428002.34899999999</v>
      </c>
      <c r="G835" s="4">
        <v>428019.98499999999</v>
      </c>
      <c r="H835" s="5">
        <f>839 / 86400</f>
        <v>9.7106481481481488E-3</v>
      </c>
      <c r="I835" t="s">
        <v>70</v>
      </c>
      <c r="J835" t="s">
        <v>80</v>
      </c>
      <c r="K835" s="5">
        <f>1872 / 86400</f>
        <v>2.1666666666666667E-2</v>
      </c>
      <c r="L835" s="5">
        <f>120 / 86400</f>
        <v>1.3888888888888889E-3</v>
      </c>
    </row>
    <row r="836" spans="1:12" x14ac:dyDescent="0.25">
      <c r="A836" s="3">
        <v>45697.20244212963</v>
      </c>
      <c r="B836" t="s">
        <v>367</v>
      </c>
      <c r="C836" s="3">
        <v>45697.205358796295</v>
      </c>
      <c r="D836" t="s">
        <v>367</v>
      </c>
      <c r="E836" s="4">
        <v>0.63</v>
      </c>
      <c r="F836" s="4">
        <v>428019.98499999999</v>
      </c>
      <c r="G836" s="4">
        <v>428020.61499999999</v>
      </c>
      <c r="H836" s="5">
        <f>40 / 86400</f>
        <v>4.6296296296296298E-4</v>
      </c>
      <c r="I836" t="s">
        <v>140</v>
      </c>
      <c r="J836" t="s">
        <v>52</v>
      </c>
      <c r="K836" s="5">
        <f>251 / 86400</f>
        <v>2.9050925925925928E-3</v>
      </c>
      <c r="L836" s="5">
        <f>300 / 86400</f>
        <v>3.472222222222222E-3</v>
      </c>
    </row>
    <row r="837" spans="1:12" x14ac:dyDescent="0.25">
      <c r="A837" s="3">
        <v>45697.208831018521</v>
      </c>
      <c r="B837" t="s">
        <v>367</v>
      </c>
      <c r="C837" s="3">
        <v>45697.216898148152</v>
      </c>
      <c r="D837" t="s">
        <v>368</v>
      </c>
      <c r="E837" s="4">
        <v>0.438</v>
      </c>
      <c r="F837" s="4">
        <v>428020.61499999999</v>
      </c>
      <c r="G837" s="4">
        <v>428021.05300000001</v>
      </c>
      <c r="H837" s="5">
        <f>479 / 86400</f>
        <v>5.5439814814814813E-3</v>
      </c>
      <c r="I837" t="s">
        <v>175</v>
      </c>
      <c r="J837" t="s">
        <v>153</v>
      </c>
      <c r="K837" s="5">
        <f>696 / 86400</f>
        <v>8.0555555555555554E-3</v>
      </c>
      <c r="L837" s="5">
        <f>271 / 86400</f>
        <v>3.1365740740740742E-3</v>
      </c>
    </row>
    <row r="838" spans="1:12" x14ac:dyDescent="0.25">
      <c r="A838" s="3">
        <v>45697.220034722224</v>
      </c>
      <c r="B838" t="s">
        <v>368</v>
      </c>
      <c r="C838" s="3">
        <v>45697.28638888889</v>
      </c>
      <c r="D838" t="s">
        <v>369</v>
      </c>
      <c r="E838" s="4">
        <v>78.165000000000006</v>
      </c>
      <c r="F838" s="4">
        <v>428021.05300000001</v>
      </c>
      <c r="G838" s="4">
        <v>428099.21799999999</v>
      </c>
      <c r="H838" s="5">
        <f>1179 / 86400</f>
        <v>1.3645833333333333E-2</v>
      </c>
      <c r="I838" t="s">
        <v>87</v>
      </c>
      <c r="J838" t="s">
        <v>177</v>
      </c>
      <c r="K838" s="5">
        <f>5733 / 86400</f>
        <v>6.6354166666666672E-2</v>
      </c>
      <c r="L838" s="5">
        <f>464 / 86400</f>
        <v>5.37037037037037E-3</v>
      </c>
    </row>
    <row r="839" spans="1:12" x14ac:dyDescent="0.25">
      <c r="A839" s="3">
        <v>45697.291759259257</v>
      </c>
      <c r="B839" t="s">
        <v>369</v>
      </c>
      <c r="C839" s="3">
        <v>45697.305659722224</v>
      </c>
      <c r="D839" t="s">
        <v>370</v>
      </c>
      <c r="E839" s="4">
        <v>5.56</v>
      </c>
      <c r="F839" s="4">
        <v>428099.21799999999</v>
      </c>
      <c r="G839" s="4">
        <v>428104.77799999999</v>
      </c>
      <c r="H839" s="5">
        <f>719 / 86400</f>
        <v>8.3217592592592596E-3</v>
      </c>
      <c r="I839" t="s">
        <v>56</v>
      </c>
      <c r="J839" t="s">
        <v>71</v>
      </c>
      <c r="K839" s="5">
        <f>1200 / 86400</f>
        <v>1.3888888888888888E-2</v>
      </c>
      <c r="L839" s="5">
        <f>33858 / 86400</f>
        <v>0.39187499999999997</v>
      </c>
    </row>
    <row r="840" spans="1:12" x14ac:dyDescent="0.25">
      <c r="A840" s="3">
        <v>45697.697534722218</v>
      </c>
      <c r="B840" t="s">
        <v>370</v>
      </c>
      <c r="C840" s="3">
        <v>45697.829953703702</v>
      </c>
      <c r="D840" t="s">
        <v>54</v>
      </c>
      <c r="E840" s="4">
        <v>20.143000000000001</v>
      </c>
      <c r="F840" s="4">
        <v>428104.77799999999</v>
      </c>
      <c r="G840" s="4">
        <v>428124.92099999997</v>
      </c>
      <c r="H840" s="5">
        <f>8887 / 86400</f>
        <v>0.1028587962962963</v>
      </c>
      <c r="I840" t="s">
        <v>94</v>
      </c>
      <c r="J840" t="s">
        <v>29</v>
      </c>
      <c r="K840" s="5">
        <f>11441 / 86400</f>
        <v>0.13241898148148148</v>
      </c>
      <c r="L840" s="5">
        <f>8 / 86400</f>
        <v>9.2592592592592588E-5</v>
      </c>
    </row>
    <row r="841" spans="1:12" x14ac:dyDescent="0.25">
      <c r="A841" s="3">
        <v>45697.830046296294</v>
      </c>
      <c r="B841" t="s">
        <v>54</v>
      </c>
      <c r="C841" s="3">
        <v>45697.830138888894</v>
      </c>
      <c r="D841" t="s">
        <v>54</v>
      </c>
      <c r="E841" s="4">
        <v>0</v>
      </c>
      <c r="F841" s="4">
        <v>428124.92099999997</v>
      </c>
      <c r="G841" s="4">
        <v>428124.92099999997</v>
      </c>
      <c r="H841" s="5">
        <f>5 / 86400</f>
        <v>5.7870370370370373E-5</v>
      </c>
      <c r="I841" t="s">
        <v>63</v>
      </c>
      <c r="J841" t="s">
        <v>63</v>
      </c>
      <c r="K841" s="5">
        <f>8 / 86400</f>
        <v>9.2592592592592588E-5</v>
      </c>
      <c r="L841" s="5">
        <f>1515 / 86400</f>
        <v>1.7534722222222222E-2</v>
      </c>
    </row>
    <row r="842" spans="1:12" x14ac:dyDescent="0.25">
      <c r="A842" s="3">
        <v>45697.847673611112</v>
      </c>
      <c r="B842" t="s">
        <v>54</v>
      </c>
      <c r="C842" s="3">
        <v>45697.848622685182</v>
      </c>
      <c r="D842" t="s">
        <v>54</v>
      </c>
      <c r="E842" s="4">
        <v>4.5999999999999999E-2</v>
      </c>
      <c r="F842" s="4">
        <v>428124.92099999997</v>
      </c>
      <c r="G842" s="4">
        <v>428124.967</v>
      </c>
      <c r="H842" s="5">
        <f>59 / 86400</f>
        <v>6.8287037037037036E-4</v>
      </c>
      <c r="I842" t="s">
        <v>153</v>
      </c>
      <c r="J842" t="s">
        <v>153</v>
      </c>
      <c r="K842" s="5">
        <f>82 / 86400</f>
        <v>9.4907407407407408E-4</v>
      </c>
      <c r="L842" s="5">
        <f>719 / 86400</f>
        <v>8.3217592592592596E-3</v>
      </c>
    </row>
    <row r="843" spans="1:12" x14ac:dyDescent="0.25">
      <c r="A843" s="3">
        <v>45697.856944444444</v>
      </c>
      <c r="B843" t="s">
        <v>54</v>
      </c>
      <c r="C843" s="3">
        <v>45697.857199074075</v>
      </c>
      <c r="D843" t="s">
        <v>54</v>
      </c>
      <c r="E843" s="4">
        <v>2.1000000000000001E-2</v>
      </c>
      <c r="F843" s="4">
        <v>428124.967</v>
      </c>
      <c r="G843" s="4">
        <v>428124.98800000001</v>
      </c>
      <c r="H843" s="5">
        <f>0 / 86400</f>
        <v>0</v>
      </c>
      <c r="I843" t="s">
        <v>29</v>
      </c>
      <c r="J843" t="s">
        <v>125</v>
      </c>
      <c r="K843" s="5">
        <f>22 / 86400</f>
        <v>2.5462962962962961E-4</v>
      </c>
      <c r="L843" s="5">
        <f>827 / 86400</f>
        <v>9.571759259259259E-3</v>
      </c>
    </row>
    <row r="844" spans="1:12" x14ac:dyDescent="0.25">
      <c r="A844" s="3">
        <v>45697.866770833338</v>
      </c>
      <c r="B844" t="s">
        <v>54</v>
      </c>
      <c r="C844" s="3">
        <v>45697.890231481477</v>
      </c>
      <c r="D844" t="s">
        <v>86</v>
      </c>
      <c r="E844" s="4">
        <v>14.932</v>
      </c>
      <c r="F844" s="4">
        <v>428124.98800000001</v>
      </c>
      <c r="G844" s="4">
        <v>428139.92</v>
      </c>
      <c r="H844" s="5">
        <f>238 / 86400</f>
        <v>2.7546296296296294E-3</v>
      </c>
      <c r="I844" t="s">
        <v>183</v>
      </c>
      <c r="J844" t="s">
        <v>134</v>
      </c>
      <c r="K844" s="5">
        <f>2027 / 86400</f>
        <v>2.3460648148148147E-2</v>
      </c>
      <c r="L844" s="5">
        <f>9483 / 86400</f>
        <v>0.10975694444444445</v>
      </c>
    </row>
    <row r="845" spans="1:1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s="10" customFormat="1" ht="20.100000000000001" customHeight="1" x14ac:dyDescent="0.35">
      <c r="A847" s="15" t="s">
        <v>430</v>
      </c>
      <c r="B847" s="15"/>
      <c r="C847" s="15"/>
      <c r="D847" s="15"/>
      <c r="E847" s="15"/>
      <c r="F847" s="15"/>
      <c r="G847" s="15"/>
      <c r="H847" s="15"/>
      <c r="I847" s="15"/>
      <c r="J847" s="15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ht="30" x14ac:dyDescent="0.25">
      <c r="A849" s="2" t="s">
        <v>6</v>
      </c>
      <c r="B849" s="2" t="s">
        <v>7</v>
      </c>
      <c r="C849" s="2" t="s">
        <v>8</v>
      </c>
      <c r="D849" s="2" t="s">
        <v>9</v>
      </c>
      <c r="E849" s="2" t="s">
        <v>10</v>
      </c>
      <c r="F849" s="2" t="s">
        <v>11</v>
      </c>
      <c r="G849" s="2" t="s">
        <v>12</v>
      </c>
      <c r="H849" s="2" t="s">
        <v>13</v>
      </c>
      <c r="I849" s="2" t="s">
        <v>14</v>
      </c>
      <c r="J849" s="2" t="s">
        <v>15</v>
      </c>
      <c r="K849" s="2" t="s">
        <v>16</v>
      </c>
      <c r="L849" s="2" t="s">
        <v>17</v>
      </c>
    </row>
    <row r="850" spans="1:12" x14ac:dyDescent="0.25">
      <c r="A850" s="3">
        <v>45697.187881944439</v>
      </c>
      <c r="B850" t="s">
        <v>27</v>
      </c>
      <c r="C850" s="3">
        <v>45697.379618055551</v>
      </c>
      <c r="D850" t="s">
        <v>371</v>
      </c>
      <c r="E850" s="4">
        <v>88.122</v>
      </c>
      <c r="F850" s="4">
        <v>574648.68999999994</v>
      </c>
      <c r="G850" s="4">
        <v>574736.81200000003</v>
      </c>
      <c r="H850" s="5">
        <f>3869 / 86400</f>
        <v>4.4780092592592594E-2</v>
      </c>
      <c r="I850" t="s">
        <v>88</v>
      </c>
      <c r="J850" t="s">
        <v>23</v>
      </c>
      <c r="K850" s="5">
        <f>16565 / 86400</f>
        <v>0.19172453703703704</v>
      </c>
      <c r="L850" s="5">
        <f>18668 / 86400</f>
        <v>0.21606481481481482</v>
      </c>
    </row>
    <row r="851" spans="1:12" x14ac:dyDescent="0.25">
      <c r="A851" s="3">
        <v>45697.407800925925</v>
      </c>
      <c r="B851" t="s">
        <v>371</v>
      </c>
      <c r="C851" s="3">
        <v>45697.414479166662</v>
      </c>
      <c r="D851" t="s">
        <v>330</v>
      </c>
      <c r="E851" s="4">
        <v>1.4419999999999999</v>
      </c>
      <c r="F851" s="4">
        <v>574736.81200000003</v>
      </c>
      <c r="G851" s="4">
        <v>574738.25399999996</v>
      </c>
      <c r="H851" s="5">
        <f>101 / 86400</f>
        <v>1.1689814814814816E-3</v>
      </c>
      <c r="I851" t="s">
        <v>134</v>
      </c>
      <c r="J851" t="s">
        <v>52</v>
      </c>
      <c r="K851" s="5">
        <f>577 / 86400</f>
        <v>6.6782407407407407E-3</v>
      </c>
      <c r="L851" s="5">
        <f>2829 / 86400</f>
        <v>3.2743055555555553E-2</v>
      </c>
    </row>
    <row r="852" spans="1:12" x14ac:dyDescent="0.25">
      <c r="A852" s="3">
        <v>45697.447222222225</v>
      </c>
      <c r="B852" t="s">
        <v>118</v>
      </c>
      <c r="C852" s="3">
        <v>45697.606458333335</v>
      </c>
      <c r="D852" t="s">
        <v>118</v>
      </c>
      <c r="E852" s="4">
        <v>83.572000000000003</v>
      </c>
      <c r="F852" s="4">
        <v>574738.25399999996</v>
      </c>
      <c r="G852" s="4">
        <v>574821.826</v>
      </c>
      <c r="H852" s="5">
        <f>3019 / 86400</f>
        <v>3.4942129629629629E-2</v>
      </c>
      <c r="I852" t="s">
        <v>332</v>
      </c>
      <c r="J852" t="s">
        <v>26</v>
      </c>
      <c r="K852" s="5">
        <f>13757 / 86400</f>
        <v>0.15922453703703704</v>
      </c>
      <c r="L852" s="5">
        <f>3216 / 86400</f>
        <v>3.7222222222222219E-2</v>
      </c>
    </row>
    <row r="853" spans="1:12" x14ac:dyDescent="0.25">
      <c r="A853" s="3">
        <v>45697.643680555557</v>
      </c>
      <c r="B853" t="s">
        <v>118</v>
      </c>
      <c r="C853" s="3">
        <v>45697.652037037042</v>
      </c>
      <c r="D853" t="s">
        <v>162</v>
      </c>
      <c r="E853" s="4">
        <v>4.4429999999999996</v>
      </c>
      <c r="F853" s="4">
        <v>574821.826</v>
      </c>
      <c r="G853" s="4">
        <v>574826.26899999997</v>
      </c>
      <c r="H853" s="5">
        <f>119 / 86400</f>
        <v>1.3773148148148147E-3</v>
      </c>
      <c r="I853" t="s">
        <v>91</v>
      </c>
      <c r="J853" t="s">
        <v>26</v>
      </c>
      <c r="K853" s="5">
        <f>722 / 86400</f>
        <v>8.3564814814814821E-3</v>
      </c>
      <c r="L853" s="5">
        <f>4835 / 86400</f>
        <v>5.5960648148148148E-2</v>
      </c>
    </row>
    <row r="854" spans="1:12" x14ac:dyDescent="0.25">
      <c r="A854" s="3">
        <v>45697.707997685182</v>
      </c>
      <c r="B854" t="s">
        <v>162</v>
      </c>
      <c r="C854" s="3">
        <v>45697.900729166664</v>
      </c>
      <c r="D854" t="s">
        <v>27</v>
      </c>
      <c r="E854" s="4">
        <v>72.233000000000004</v>
      </c>
      <c r="F854" s="4">
        <v>574826.26899999997</v>
      </c>
      <c r="G854" s="4">
        <v>574898.50199999998</v>
      </c>
      <c r="H854" s="5">
        <f>5599 / 86400</f>
        <v>6.4803240740740745E-2</v>
      </c>
      <c r="I854" t="s">
        <v>133</v>
      </c>
      <c r="J854" t="s">
        <v>95</v>
      </c>
      <c r="K854" s="5">
        <f>16651 / 86400</f>
        <v>0.19271990740740741</v>
      </c>
      <c r="L854" s="5">
        <f>8576 / 86400</f>
        <v>9.9259259259259255E-2</v>
      </c>
    </row>
    <row r="855" spans="1:1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</row>
    <row r="856" spans="1:1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2" s="10" customFormat="1" ht="20.100000000000001" customHeight="1" x14ac:dyDescent="0.35">
      <c r="A857" s="15" t="s">
        <v>431</v>
      </c>
      <c r="B857" s="15"/>
      <c r="C857" s="15"/>
      <c r="D857" s="15"/>
      <c r="E857" s="15"/>
      <c r="F857" s="15"/>
      <c r="G857" s="15"/>
      <c r="H857" s="15"/>
      <c r="I857" s="15"/>
      <c r="J857" s="15"/>
    </row>
    <row r="858" spans="1:1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2" ht="30" x14ac:dyDescent="0.25">
      <c r="A859" s="2" t="s">
        <v>6</v>
      </c>
      <c r="B859" s="2" t="s">
        <v>7</v>
      </c>
      <c r="C859" s="2" t="s">
        <v>8</v>
      </c>
      <c r="D859" s="2" t="s">
        <v>9</v>
      </c>
      <c r="E859" s="2" t="s">
        <v>10</v>
      </c>
      <c r="F859" s="2" t="s">
        <v>11</v>
      </c>
      <c r="G859" s="2" t="s">
        <v>12</v>
      </c>
      <c r="H859" s="2" t="s">
        <v>13</v>
      </c>
      <c r="I859" s="2" t="s">
        <v>14</v>
      </c>
      <c r="J859" s="2" t="s">
        <v>15</v>
      </c>
      <c r="K859" s="2" t="s">
        <v>16</v>
      </c>
      <c r="L859" s="2" t="s">
        <v>17</v>
      </c>
    </row>
    <row r="860" spans="1:12" x14ac:dyDescent="0.25">
      <c r="A860" s="3">
        <v>45697.071412037039</v>
      </c>
      <c r="B860" t="s">
        <v>89</v>
      </c>
      <c r="C860" s="3">
        <v>45697.072349537033</v>
      </c>
      <c r="D860" t="s">
        <v>89</v>
      </c>
      <c r="E860" s="4">
        <v>3.0000000000000001E-3</v>
      </c>
      <c r="F860" s="4">
        <v>415919.092</v>
      </c>
      <c r="G860" s="4">
        <v>415919.09499999997</v>
      </c>
      <c r="H860" s="5">
        <f>79 / 86400</f>
        <v>9.1435185185185185E-4</v>
      </c>
      <c r="I860" t="s">
        <v>63</v>
      </c>
      <c r="J860" t="s">
        <v>63</v>
      </c>
      <c r="K860" s="5">
        <f>81 / 86400</f>
        <v>9.3749999999999997E-4</v>
      </c>
      <c r="L860" s="5">
        <f>7645 / 86400</f>
        <v>8.8483796296296297E-2</v>
      </c>
    </row>
    <row r="861" spans="1:12" x14ac:dyDescent="0.25">
      <c r="A861" s="3">
        <v>45697.089421296296</v>
      </c>
      <c r="B861" t="s">
        <v>89</v>
      </c>
      <c r="C861" s="3">
        <v>45697.092268518521</v>
      </c>
      <c r="D861" t="s">
        <v>89</v>
      </c>
      <c r="E861" s="4">
        <v>3.0000000000000001E-3</v>
      </c>
      <c r="F861" s="4">
        <v>415919.09499999997</v>
      </c>
      <c r="G861" s="4">
        <v>415919.098</v>
      </c>
      <c r="H861" s="5">
        <f>239 / 86400</f>
        <v>2.7662037037037039E-3</v>
      </c>
      <c r="I861" t="s">
        <v>63</v>
      </c>
      <c r="J861" t="s">
        <v>63</v>
      </c>
      <c r="K861" s="5">
        <f>246 / 86400</f>
        <v>2.8472222222222223E-3</v>
      </c>
      <c r="L861" s="5">
        <f>8998 / 86400</f>
        <v>0.10414351851851852</v>
      </c>
    </row>
    <row r="862" spans="1:12" x14ac:dyDescent="0.25">
      <c r="A862" s="3">
        <v>45697.196412037039</v>
      </c>
      <c r="B862" t="s">
        <v>89</v>
      </c>
      <c r="C862" s="3">
        <v>45697.259733796294</v>
      </c>
      <c r="D862" t="s">
        <v>90</v>
      </c>
      <c r="E862" s="4">
        <v>20.952000000000002</v>
      </c>
      <c r="F862" s="4">
        <v>415919.098</v>
      </c>
      <c r="G862" s="4">
        <v>415940.05</v>
      </c>
      <c r="H862" s="5">
        <f>2275 / 86400</f>
        <v>2.6331018518518517E-2</v>
      </c>
      <c r="I862" t="s">
        <v>91</v>
      </c>
      <c r="J862" t="s">
        <v>123</v>
      </c>
      <c r="K862" s="5">
        <f>5471 / 86400</f>
        <v>6.3321759259259258E-2</v>
      </c>
      <c r="L862" s="5">
        <f>52808 / 86400</f>
        <v>0.61120370370370369</v>
      </c>
    </row>
    <row r="863" spans="1:12" x14ac:dyDescent="0.25">
      <c r="A863" s="3">
        <v>45697.870937500003</v>
      </c>
      <c r="B863" t="s">
        <v>90</v>
      </c>
      <c r="C863" s="3">
        <v>45697.878275462965</v>
      </c>
      <c r="D863" t="s">
        <v>90</v>
      </c>
      <c r="E863" s="4">
        <v>6.8000000000000005E-2</v>
      </c>
      <c r="F863" s="4">
        <v>415940.05</v>
      </c>
      <c r="G863" s="4">
        <v>415940.11800000002</v>
      </c>
      <c r="H863" s="5">
        <f>559 / 86400</f>
        <v>6.4699074074074077E-3</v>
      </c>
      <c r="I863" t="s">
        <v>82</v>
      </c>
      <c r="J863" t="s">
        <v>63</v>
      </c>
      <c r="K863" s="5">
        <f>633 / 86400</f>
        <v>7.3263888888888892E-3</v>
      </c>
      <c r="L863" s="5">
        <f>10516 / 86400</f>
        <v>0.12171296296296297</v>
      </c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s="10" customFormat="1" ht="20.100000000000001" customHeight="1" x14ac:dyDescent="0.35">
      <c r="A866" s="15" t="s">
        <v>432</v>
      </c>
      <c r="B866" s="15"/>
      <c r="C866" s="15"/>
      <c r="D866" s="15"/>
      <c r="E866" s="15"/>
      <c r="F866" s="15"/>
      <c r="G866" s="15"/>
      <c r="H866" s="15"/>
      <c r="I866" s="15"/>
      <c r="J866" s="15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ht="30" x14ac:dyDescent="0.25">
      <c r="A868" s="2" t="s">
        <v>6</v>
      </c>
      <c r="B868" s="2" t="s">
        <v>7</v>
      </c>
      <c r="C868" s="2" t="s">
        <v>8</v>
      </c>
      <c r="D868" s="2" t="s">
        <v>9</v>
      </c>
      <c r="E868" s="2" t="s">
        <v>10</v>
      </c>
      <c r="F868" s="2" t="s">
        <v>11</v>
      </c>
      <c r="G868" s="2" t="s">
        <v>12</v>
      </c>
      <c r="H868" s="2" t="s">
        <v>13</v>
      </c>
      <c r="I868" s="2" t="s">
        <v>14</v>
      </c>
      <c r="J868" s="2" t="s">
        <v>15</v>
      </c>
      <c r="K868" s="2" t="s">
        <v>16</v>
      </c>
      <c r="L868" s="2" t="s">
        <v>17</v>
      </c>
    </row>
    <row r="869" spans="1:12" x14ac:dyDescent="0.25">
      <c r="A869" s="3">
        <v>45697.365624999999</v>
      </c>
      <c r="B869" t="s">
        <v>93</v>
      </c>
      <c r="C869" s="3">
        <v>45697.365694444445</v>
      </c>
      <c r="D869" t="s">
        <v>93</v>
      </c>
      <c r="E869" s="4">
        <v>0</v>
      </c>
      <c r="F869" s="4">
        <v>400005.19300000003</v>
      </c>
      <c r="G869" s="4">
        <v>400005.19300000003</v>
      </c>
      <c r="H869" s="5">
        <f>0 / 86400</f>
        <v>0</v>
      </c>
      <c r="I869" t="s">
        <v>63</v>
      </c>
      <c r="J869" t="s">
        <v>63</v>
      </c>
      <c r="K869" s="5">
        <f>5 / 86400</f>
        <v>5.7870370370370373E-5</v>
      </c>
      <c r="L869" s="5">
        <f>31645 / 86400</f>
        <v>0.36626157407407406</v>
      </c>
    </row>
    <row r="870" spans="1:12" x14ac:dyDescent="0.25">
      <c r="A870" s="3">
        <v>45697.366331018522</v>
      </c>
      <c r="B870" t="s">
        <v>93</v>
      </c>
      <c r="C870" s="3">
        <v>45697.381828703699</v>
      </c>
      <c r="D870" t="s">
        <v>72</v>
      </c>
      <c r="E870" s="4">
        <v>9.07</v>
      </c>
      <c r="F870" s="4">
        <v>400005.19300000003</v>
      </c>
      <c r="G870" s="4">
        <v>400014.26299999998</v>
      </c>
      <c r="H870" s="5">
        <f>439 / 86400</f>
        <v>5.0810185185185186E-3</v>
      </c>
      <c r="I870" t="s">
        <v>151</v>
      </c>
      <c r="J870" t="s">
        <v>198</v>
      </c>
      <c r="K870" s="5">
        <f>1338 / 86400</f>
        <v>1.5486111111111112E-2</v>
      </c>
      <c r="L870" s="5">
        <f>536 / 86400</f>
        <v>6.2037037037037035E-3</v>
      </c>
    </row>
    <row r="871" spans="1:12" x14ac:dyDescent="0.25">
      <c r="A871" s="3">
        <v>45697.388032407413</v>
      </c>
      <c r="B871" t="s">
        <v>72</v>
      </c>
      <c r="C871" s="3">
        <v>45697.392789351856</v>
      </c>
      <c r="D871" t="s">
        <v>118</v>
      </c>
      <c r="E871" s="4">
        <v>1.383</v>
      </c>
      <c r="F871" s="4">
        <v>400014.26299999998</v>
      </c>
      <c r="G871" s="4">
        <v>400015.64600000001</v>
      </c>
      <c r="H871" s="5">
        <f>20 / 86400</f>
        <v>2.3148148148148149E-4</v>
      </c>
      <c r="I871" t="s">
        <v>198</v>
      </c>
      <c r="J871" t="s">
        <v>92</v>
      </c>
      <c r="K871" s="5">
        <f>410 / 86400</f>
        <v>4.7453703703703703E-3</v>
      </c>
      <c r="L871" s="5">
        <f>405 / 86400</f>
        <v>4.6874999999999998E-3</v>
      </c>
    </row>
    <row r="872" spans="1:12" x14ac:dyDescent="0.25">
      <c r="A872" s="3">
        <v>45697.397476851853</v>
      </c>
      <c r="B872" t="s">
        <v>118</v>
      </c>
      <c r="C872" s="3">
        <v>45697.4</v>
      </c>
      <c r="D872" t="s">
        <v>122</v>
      </c>
      <c r="E872" s="4">
        <v>0.71499999999999997</v>
      </c>
      <c r="F872" s="4">
        <v>400015.64600000001</v>
      </c>
      <c r="G872" s="4">
        <v>400016.36099999998</v>
      </c>
      <c r="H872" s="5">
        <f>19 / 86400</f>
        <v>2.199074074074074E-4</v>
      </c>
      <c r="I872" t="s">
        <v>23</v>
      </c>
      <c r="J872" t="s">
        <v>92</v>
      </c>
      <c r="K872" s="5">
        <f>217 / 86400</f>
        <v>2.5115740740740741E-3</v>
      </c>
      <c r="L872" s="5">
        <f>81 / 86400</f>
        <v>9.3749999999999997E-4</v>
      </c>
    </row>
    <row r="873" spans="1:12" x14ac:dyDescent="0.25">
      <c r="A873" s="3">
        <v>45697.400937500002</v>
      </c>
      <c r="B873" t="s">
        <v>122</v>
      </c>
      <c r="C873" s="3">
        <v>45697.400960648149</v>
      </c>
      <c r="D873" t="s">
        <v>122</v>
      </c>
      <c r="E873" s="4">
        <v>0</v>
      </c>
      <c r="F873" s="4">
        <v>400016.36099999998</v>
      </c>
      <c r="G873" s="4">
        <v>400016.36099999998</v>
      </c>
      <c r="H873" s="5">
        <f>0 / 86400</f>
        <v>0</v>
      </c>
      <c r="I873" t="s">
        <v>63</v>
      </c>
      <c r="J873" t="s">
        <v>63</v>
      </c>
      <c r="K873" s="5">
        <f>2 / 86400</f>
        <v>2.3148148148148147E-5</v>
      </c>
      <c r="L873" s="5">
        <f>21 / 86400</f>
        <v>2.4305555555555555E-4</v>
      </c>
    </row>
    <row r="874" spans="1:12" x14ac:dyDescent="0.25">
      <c r="A874" s="3">
        <v>45697.401203703703</v>
      </c>
      <c r="B874" t="s">
        <v>122</v>
      </c>
      <c r="C874" s="3">
        <v>45697.401226851856</v>
      </c>
      <c r="D874" t="s">
        <v>122</v>
      </c>
      <c r="E874" s="4">
        <v>0</v>
      </c>
      <c r="F874" s="4">
        <v>400016.36099999998</v>
      </c>
      <c r="G874" s="4">
        <v>400016.36099999998</v>
      </c>
      <c r="H874" s="5">
        <f>0 / 86400</f>
        <v>0</v>
      </c>
      <c r="I874" t="s">
        <v>63</v>
      </c>
      <c r="J874" t="s">
        <v>63</v>
      </c>
      <c r="K874" s="5">
        <f>2 / 86400</f>
        <v>2.3148148148148147E-5</v>
      </c>
      <c r="L874" s="5">
        <f>217 / 86400</f>
        <v>2.5115740740740741E-3</v>
      </c>
    </row>
    <row r="875" spans="1:12" x14ac:dyDescent="0.25">
      <c r="A875" s="3">
        <v>45697.403738425928</v>
      </c>
      <c r="B875" t="s">
        <v>122</v>
      </c>
      <c r="C875" s="3">
        <v>45697.404016203705</v>
      </c>
      <c r="D875" t="s">
        <v>128</v>
      </c>
      <c r="E875" s="4">
        <v>0.01</v>
      </c>
      <c r="F875" s="4">
        <v>400016.36099999998</v>
      </c>
      <c r="G875" s="4">
        <v>400016.37099999998</v>
      </c>
      <c r="H875" s="5">
        <f>0 / 86400</f>
        <v>0</v>
      </c>
      <c r="I875" t="s">
        <v>125</v>
      </c>
      <c r="J875" t="s">
        <v>153</v>
      </c>
      <c r="K875" s="5">
        <f>24 / 86400</f>
        <v>2.7777777777777778E-4</v>
      </c>
      <c r="L875" s="5">
        <f>376 / 86400</f>
        <v>4.3518518518518515E-3</v>
      </c>
    </row>
    <row r="876" spans="1:12" x14ac:dyDescent="0.25">
      <c r="A876" s="3">
        <v>45697.408368055556</v>
      </c>
      <c r="B876" t="s">
        <v>128</v>
      </c>
      <c r="C876" s="3">
        <v>45697.408530092594</v>
      </c>
      <c r="D876" t="s">
        <v>128</v>
      </c>
      <c r="E876" s="4">
        <v>4.0000000000000001E-3</v>
      </c>
      <c r="F876" s="4">
        <v>400016.37099999998</v>
      </c>
      <c r="G876" s="4">
        <v>400016.375</v>
      </c>
      <c r="H876" s="5">
        <f>0 / 86400</f>
        <v>0</v>
      </c>
      <c r="I876" t="s">
        <v>63</v>
      </c>
      <c r="J876" t="s">
        <v>40</v>
      </c>
      <c r="K876" s="5">
        <f>14 / 86400</f>
        <v>1.6203703703703703E-4</v>
      </c>
      <c r="L876" s="5">
        <f>476 / 86400</f>
        <v>5.5092592592592589E-3</v>
      </c>
    </row>
    <row r="877" spans="1:12" x14ac:dyDescent="0.25">
      <c r="A877" s="3">
        <v>45697.414039351846</v>
      </c>
      <c r="B877" t="s">
        <v>372</v>
      </c>
      <c r="C877" s="3">
        <v>45697.414201388892</v>
      </c>
      <c r="D877" t="s">
        <v>128</v>
      </c>
      <c r="E877" s="4">
        <v>6.0000000000000001E-3</v>
      </c>
      <c r="F877" s="4">
        <v>400016.375</v>
      </c>
      <c r="G877" s="4">
        <v>400016.38099999999</v>
      </c>
      <c r="H877" s="5">
        <f>0 / 86400</f>
        <v>0</v>
      </c>
      <c r="I877" t="s">
        <v>63</v>
      </c>
      <c r="J877" t="s">
        <v>153</v>
      </c>
      <c r="K877" s="5">
        <f>13 / 86400</f>
        <v>1.5046296296296297E-4</v>
      </c>
      <c r="L877" s="5">
        <f>172 / 86400</f>
        <v>1.9907407407407408E-3</v>
      </c>
    </row>
    <row r="878" spans="1:12" x14ac:dyDescent="0.25">
      <c r="A878" s="3">
        <v>45697.416192129633</v>
      </c>
      <c r="B878" t="s">
        <v>128</v>
      </c>
      <c r="C878" s="3">
        <v>45697.56627314815</v>
      </c>
      <c r="D878" t="s">
        <v>373</v>
      </c>
      <c r="E878" s="4">
        <v>50.101999999999997</v>
      </c>
      <c r="F878" s="4">
        <v>400016.38099999999</v>
      </c>
      <c r="G878" s="4">
        <v>400066.48300000001</v>
      </c>
      <c r="H878" s="5">
        <f>5879 / 86400</f>
        <v>6.8043981481481483E-2</v>
      </c>
      <c r="I878" t="s">
        <v>94</v>
      </c>
      <c r="J878" t="s">
        <v>123</v>
      </c>
      <c r="K878" s="5">
        <f>12967 / 86400</f>
        <v>0.15008101851851852</v>
      </c>
      <c r="L878" s="5">
        <f>575 / 86400</f>
        <v>6.6550925925925927E-3</v>
      </c>
    </row>
    <row r="879" spans="1:12" x14ac:dyDescent="0.25">
      <c r="A879" s="3">
        <v>45697.572928240741</v>
      </c>
      <c r="B879" t="s">
        <v>373</v>
      </c>
      <c r="C879" s="3">
        <v>45697.57309027778</v>
      </c>
      <c r="D879" t="s">
        <v>373</v>
      </c>
      <c r="E879" s="4">
        <v>3.0000000000000001E-3</v>
      </c>
      <c r="F879" s="4">
        <v>400066.48300000001</v>
      </c>
      <c r="G879" s="4">
        <v>400066.48599999998</v>
      </c>
      <c r="H879" s="5">
        <f>0 / 86400</f>
        <v>0</v>
      </c>
      <c r="I879" t="s">
        <v>63</v>
      </c>
      <c r="J879" t="s">
        <v>40</v>
      </c>
      <c r="K879" s="5">
        <f>13 / 86400</f>
        <v>1.5046296296296297E-4</v>
      </c>
      <c r="L879" s="5">
        <f>2869 / 86400</f>
        <v>3.3206018518518517E-2</v>
      </c>
    </row>
    <row r="880" spans="1:12" x14ac:dyDescent="0.25">
      <c r="A880" s="3">
        <v>45697.606296296297</v>
      </c>
      <c r="B880" t="s">
        <v>373</v>
      </c>
      <c r="C880" s="3">
        <v>45697.738796296297</v>
      </c>
      <c r="D880" t="s">
        <v>143</v>
      </c>
      <c r="E880" s="4">
        <v>51.323</v>
      </c>
      <c r="F880" s="4">
        <v>400066.48599999998</v>
      </c>
      <c r="G880" s="4">
        <v>400117.80900000001</v>
      </c>
      <c r="H880" s="5">
        <f>3999 / 86400</f>
        <v>4.628472222222222E-2</v>
      </c>
      <c r="I880" t="s">
        <v>220</v>
      </c>
      <c r="J880" t="s">
        <v>95</v>
      </c>
      <c r="K880" s="5">
        <f>11447 / 86400</f>
        <v>0.13248842592592591</v>
      </c>
      <c r="L880" s="5">
        <f>1186 / 86400</f>
        <v>1.3726851851851851E-2</v>
      </c>
    </row>
    <row r="881" spans="1:12" x14ac:dyDescent="0.25">
      <c r="A881" s="3">
        <v>45697.752523148149</v>
      </c>
      <c r="B881" t="s">
        <v>122</v>
      </c>
      <c r="C881" s="3">
        <v>45697.866493055553</v>
      </c>
      <c r="D881" t="s">
        <v>36</v>
      </c>
      <c r="E881" s="4">
        <v>43.906999999999996</v>
      </c>
      <c r="F881" s="4">
        <v>400117.80900000001</v>
      </c>
      <c r="G881" s="4">
        <v>400161.71600000001</v>
      </c>
      <c r="H881" s="5">
        <f>3441 / 86400</f>
        <v>3.982638888888889E-2</v>
      </c>
      <c r="I881" t="s">
        <v>374</v>
      </c>
      <c r="J881" t="s">
        <v>95</v>
      </c>
      <c r="K881" s="5">
        <f>9846 / 86400</f>
        <v>0.11395833333333333</v>
      </c>
      <c r="L881" s="5">
        <f>950 / 86400</f>
        <v>1.0995370370370371E-2</v>
      </c>
    </row>
    <row r="882" spans="1:12" x14ac:dyDescent="0.25">
      <c r="A882" s="3">
        <v>45697.877488425926</v>
      </c>
      <c r="B882" t="s">
        <v>36</v>
      </c>
      <c r="C882" s="3">
        <v>45697.97079861111</v>
      </c>
      <c r="D882" t="s">
        <v>375</v>
      </c>
      <c r="E882" s="4">
        <v>38.243000000000002</v>
      </c>
      <c r="F882" s="4">
        <v>400161.71600000001</v>
      </c>
      <c r="G882" s="4">
        <v>400199.95899999997</v>
      </c>
      <c r="H882" s="5">
        <f>2661 / 86400</f>
        <v>3.079861111111111E-2</v>
      </c>
      <c r="I882" t="s">
        <v>217</v>
      </c>
      <c r="J882" t="s">
        <v>71</v>
      </c>
      <c r="K882" s="5">
        <f>8062 / 86400</f>
        <v>9.331018518518519E-2</v>
      </c>
      <c r="L882" s="5">
        <f>860 / 86400</f>
        <v>9.9537037037037042E-3</v>
      </c>
    </row>
    <row r="883" spans="1:12" x14ac:dyDescent="0.25">
      <c r="A883" s="3">
        <v>45697.980752314819</v>
      </c>
      <c r="B883" t="s">
        <v>375</v>
      </c>
      <c r="C883" s="3">
        <v>45697.995983796296</v>
      </c>
      <c r="D883" t="s">
        <v>93</v>
      </c>
      <c r="E883" s="4">
        <v>9.5749999999999993</v>
      </c>
      <c r="F883" s="4">
        <v>400199.95899999997</v>
      </c>
      <c r="G883" s="4">
        <v>400209.53399999999</v>
      </c>
      <c r="H883" s="5">
        <f>179 / 86400</f>
        <v>2.0717592592592593E-3</v>
      </c>
      <c r="I883" t="s">
        <v>187</v>
      </c>
      <c r="J883" t="s">
        <v>137</v>
      </c>
      <c r="K883" s="5">
        <f>1316 / 86400</f>
        <v>1.5231481481481481E-2</v>
      </c>
      <c r="L883" s="5">
        <f>346 / 86400</f>
        <v>4.0046296296296297E-3</v>
      </c>
    </row>
    <row r="884" spans="1:1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2" s="10" customFormat="1" ht="20.100000000000001" customHeight="1" x14ac:dyDescent="0.35">
      <c r="A886" s="15" t="s">
        <v>433</v>
      </c>
      <c r="B886" s="15"/>
      <c r="C886" s="15"/>
      <c r="D886" s="15"/>
      <c r="E886" s="15"/>
      <c r="F886" s="15"/>
      <c r="G886" s="15"/>
      <c r="H886" s="15"/>
      <c r="I886" s="15"/>
      <c r="J886" s="15"/>
    </row>
    <row r="887" spans="1:1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 spans="1:12" ht="30" x14ac:dyDescent="0.25">
      <c r="A888" s="2" t="s">
        <v>6</v>
      </c>
      <c r="B888" s="2" t="s">
        <v>7</v>
      </c>
      <c r="C888" s="2" t="s">
        <v>8</v>
      </c>
      <c r="D888" s="2" t="s">
        <v>9</v>
      </c>
      <c r="E888" s="2" t="s">
        <v>10</v>
      </c>
      <c r="F888" s="2" t="s">
        <v>11</v>
      </c>
      <c r="G888" s="2" t="s">
        <v>12</v>
      </c>
      <c r="H888" s="2" t="s">
        <v>13</v>
      </c>
      <c r="I888" s="2" t="s">
        <v>14</v>
      </c>
      <c r="J888" s="2" t="s">
        <v>15</v>
      </c>
      <c r="K888" s="2" t="s">
        <v>16</v>
      </c>
      <c r="L888" s="2" t="s">
        <v>17</v>
      </c>
    </row>
    <row r="889" spans="1:12" x14ac:dyDescent="0.25">
      <c r="A889" s="3">
        <v>45697.301354166666</v>
      </c>
      <c r="B889" t="s">
        <v>96</v>
      </c>
      <c r="C889" s="3">
        <v>45697.557268518518</v>
      </c>
      <c r="D889" t="s">
        <v>72</v>
      </c>
      <c r="E889" s="4">
        <v>102.017</v>
      </c>
      <c r="F889" s="4">
        <v>545433.35900000005</v>
      </c>
      <c r="G889" s="4">
        <v>545535.37600000005</v>
      </c>
      <c r="H889" s="5">
        <f>8215 / 86400</f>
        <v>9.5081018518518523E-2</v>
      </c>
      <c r="I889" t="s">
        <v>48</v>
      </c>
      <c r="J889" t="s">
        <v>71</v>
      </c>
      <c r="K889" s="5">
        <f>22111 / 86400</f>
        <v>0.25591435185185185</v>
      </c>
      <c r="L889" s="5">
        <f>26317 / 86400</f>
        <v>0.30459490740740741</v>
      </c>
    </row>
    <row r="890" spans="1:12" x14ac:dyDescent="0.25">
      <c r="A890" s="3">
        <v>45697.56050925926</v>
      </c>
      <c r="B890" t="s">
        <v>72</v>
      </c>
      <c r="C890" s="3">
        <v>45697.563437500001</v>
      </c>
      <c r="D890" t="s">
        <v>21</v>
      </c>
      <c r="E890" s="4">
        <v>0.55500000000000005</v>
      </c>
      <c r="F890" s="4">
        <v>545535.37600000005</v>
      </c>
      <c r="G890" s="4">
        <v>545535.93099999998</v>
      </c>
      <c r="H890" s="5">
        <f>60 / 86400</f>
        <v>6.9444444444444447E-4</v>
      </c>
      <c r="I890" t="s">
        <v>81</v>
      </c>
      <c r="J890" t="s">
        <v>135</v>
      </c>
      <c r="K890" s="5">
        <f>253 / 86400</f>
        <v>2.9282407407407408E-3</v>
      </c>
      <c r="L890" s="5">
        <f>37718 / 86400</f>
        <v>0.43655092592592593</v>
      </c>
    </row>
    <row r="891" spans="1:1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</row>
    <row r="893" spans="1:12" s="10" customFormat="1" ht="20.100000000000001" customHeight="1" x14ac:dyDescent="0.35">
      <c r="A893" s="15" t="s">
        <v>434</v>
      </c>
      <c r="B893" s="15"/>
      <c r="C893" s="15"/>
      <c r="D893" s="15"/>
      <c r="E893" s="15"/>
      <c r="F893" s="15"/>
      <c r="G893" s="15"/>
      <c r="H893" s="15"/>
      <c r="I893" s="15"/>
      <c r="J893" s="15"/>
    </row>
    <row r="894" spans="1:1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</row>
    <row r="895" spans="1:12" ht="30" x14ac:dyDescent="0.25">
      <c r="A895" s="2" t="s">
        <v>6</v>
      </c>
      <c r="B895" s="2" t="s">
        <v>7</v>
      </c>
      <c r="C895" s="2" t="s">
        <v>8</v>
      </c>
      <c r="D895" s="2" t="s">
        <v>9</v>
      </c>
      <c r="E895" s="2" t="s">
        <v>10</v>
      </c>
      <c r="F895" s="2" t="s">
        <v>11</v>
      </c>
      <c r="G895" s="2" t="s">
        <v>12</v>
      </c>
      <c r="H895" s="2" t="s">
        <v>13</v>
      </c>
      <c r="I895" s="2" t="s">
        <v>14</v>
      </c>
      <c r="J895" s="2" t="s">
        <v>15</v>
      </c>
      <c r="K895" s="2" t="s">
        <v>16</v>
      </c>
      <c r="L895" s="2" t="s">
        <v>17</v>
      </c>
    </row>
    <row r="896" spans="1:12" x14ac:dyDescent="0.25">
      <c r="A896" s="3">
        <v>45697</v>
      </c>
      <c r="B896" t="s">
        <v>97</v>
      </c>
      <c r="C896" s="3">
        <v>45697.042013888888</v>
      </c>
      <c r="D896" t="s">
        <v>376</v>
      </c>
      <c r="E896" s="4">
        <v>21.201000000000001</v>
      </c>
      <c r="F896" s="4">
        <v>102349.52</v>
      </c>
      <c r="G896" s="4">
        <v>102370.72100000001</v>
      </c>
      <c r="H896" s="5">
        <f>1079 / 86400</f>
        <v>1.2488425925925925E-2</v>
      </c>
      <c r="I896" t="s">
        <v>70</v>
      </c>
      <c r="J896" t="s">
        <v>49</v>
      </c>
      <c r="K896" s="5">
        <f>3630 / 86400</f>
        <v>4.2013888888888892E-2</v>
      </c>
      <c r="L896" s="5">
        <f>12 / 86400</f>
        <v>1.3888888888888889E-4</v>
      </c>
    </row>
    <row r="897" spans="1:12" x14ac:dyDescent="0.25">
      <c r="A897" s="3">
        <v>45697.04215277778</v>
      </c>
      <c r="B897" t="s">
        <v>376</v>
      </c>
      <c r="C897" s="3">
        <v>45697.113819444443</v>
      </c>
      <c r="D897" t="s">
        <v>54</v>
      </c>
      <c r="E897" s="4">
        <v>38.985999999999997</v>
      </c>
      <c r="F897" s="4">
        <v>102370.72100000001</v>
      </c>
      <c r="G897" s="4">
        <v>102409.70699999999</v>
      </c>
      <c r="H897" s="5">
        <f>1756 / 86400</f>
        <v>2.0324074074074074E-2</v>
      </c>
      <c r="I897" t="s">
        <v>359</v>
      </c>
      <c r="J897" t="s">
        <v>140</v>
      </c>
      <c r="K897" s="5">
        <f>6192 / 86400</f>
        <v>7.166666666666667E-2</v>
      </c>
      <c r="L897" s="5">
        <f>329 / 86400</f>
        <v>3.8078703703703703E-3</v>
      </c>
    </row>
    <row r="898" spans="1:12" x14ac:dyDescent="0.25">
      <c r="A898" s="3">
        <v>45697.117627314816</v>
      </c>
      <c r="B898" t="s">
        <v>54</v>
      </c>
      <c r="C898" s="3">
        <v>45697.128935185188</v>
      </c>
      <c r="D898" t="s">
        <v>361</v>
      </c>
      <c r="E898" s="4">
        <v>12.8</v>
      </c>
      <c r="F898" s="4">
        <v>102409.70699999999</v>
      </c>
      <c r="G898" s="4">
        <v>102422.507</v>
      </c>
      <c r="H898" s="5">
        <f>0 / 86400</f>
        <v>0</v>
      </c>
      <c r="I898" t="s">
        <v>215</v>
      </c>
      <c r="J898" t="s">
        <v>256</v>
      </c>
      <c r="K898" s="5">
        <f>977 / 86400</f>
        <v>1.1307870370370371E-2</v>
      </c>
      <c r="L898" s="5">
        <f>518 / 86400</f>
        <v>5.9953703703703705E-3</v>
      </c>
    </row>
    <row r="899" spans="1:12" x14ac:dyDescent="0.25">
      <c r="A899" s="3">
        <v>45697.134930555556</v>
      </c>
      <c r="B899" t="s">
        <v>361</v>
      </c>
      <c r="C899" s="3">
        <v>45697.140023148153</v>
      </c>
      <c r="D899" t="s">
        <v>86</v>
      </c>
      <c r="E899" s="4">
        <v>3.948</v>
      </c>
      <c r="F899" s="4">
        <v>102422.507</v>
      </c>
      <c r="G899" s="4">
        <v>102426.455</v>
      </c>
      <c r="H899" s="5">
        <f>77 / 86400</f>
        <v>8.9120370370370373E-4</v>
      </c>
      <c r="I899" t="s">
        <v>248</v>
      </c>
      <c r="J899" t="s">
        <v>179</v>
      </c>
      <c r="K899" s="5">
        <f>440 / 86400</f>
        <v>5.092592592592593E-3</v>
      </c>
      <c r="L899" s="5">
        <f>405 / 86400</f>
        <v>4.6874999999999998E-3</v>
      </c>
    </row>
    <row r="900" spans="1:12" x14ac:dyDescent="0.25">
      <c r="A900" s="3">
        <v>45697.14471064815</v>
      </c>
      <c r="B900" t="s">
        <v>86</v>
      </c>
      <c r="C900" s="3">
        <v>45697.145057870366</v>
      </c>
      <c r="D900" t="s">
        <v>86</v>
      </c>
      <c r="E900" s="4">
        <v>7.2999999999999995E-2</v>
      </c>
      <c r="F900" s="4">
        <v>102426.455</v>
      </c>
      <c r="G900" s="4">
        <v>102426.52800000001</v>
      </c>
      <c r="H900" s="5">
        <f>0 / 86400</f>
        <v>0</v>
      </c>
      <c r="I900" t="s">
        <v>123</v>
      </c>
      <c r="J900" t="s">
        <v>52</v>
      </c>
      <c r="K900" s="5">
        <f>30 / 86400</f>
        <v>3.4722222222222224E-4</v>
      </c>
      <c r="L900" s="5">
        <f>524 / 86400</f>
        <v>6.0648148148148145E-3</v>
      </c>
    </row>
    <row r="901" spans="1:12" x14ac:dyDescent="0.25">
      <c r="A901" s="3">
        <v>45697.151122685187</v>
      </c>
      <c r="B901" t="s">
        <v>86</v>
      </c>
      <c r="C901" s="3">
        <v>45697.152141203704</v>
      </c>
      <c r="D901" t="s">
        <v>86</v>
      </c>
      <c r="E901" s="4">
        <v>8.5999999999999993E-2</v>
      </c>
      <c r="F901" s="4">
        <v>102426.52800000001</v>
      </c>
      <c r="G901" s="4">
        <v>102426.614</v>
      </c>
      <c r="H901" s="5">
        <f>20 / 86400</f>
        <v>2.3148148148148149E-4</v>
      </c>
      <c r="I901" t="s">
        <v>147</v>
      </c>
      <c r="J901" t="s">
        <v>191</v>
      </c>
      <c r="K901" s="5">
        <f>88 / 86400</f>
        <v>1.0185185185185184E-3</v>
      </c>
      <c r="L901" s="5">
        <f>17951 / 86400</f>
        <v>0.20776620370370372</v>
      </c>
    </row>
    <row r="902" spans="1:12" x14ac:dyDescent="0.25">
      <c r="A902" s="3">
        <v>45697.359907407408</v>
      </c>
      <c r="B902" t="s">
        <v>86</v>
      </c>
      <c r="C902" s="3">
        <v>45697.724293981482</v>
      </c>
      <c r="D902" t="s">
        <v>58</v>
      </c>
      <c r="E902" s="4">
        <v>181.22200000000001</v>
      </c>
      <c r="F902" s="4">
        <v>102426.614</v>
      </c>
      <c r="G902" s="4">
        <v>102607.836</v>
      </c>
      <c r="H902" s="5">
        <f>10960 / 86400</f>
        <v>0.12685185185185185</v>
      </c>
      <c r="I902" t="s">
        <v>31</v>
      </c>
      <c r="J902" t="s">
        <v>49</v>
      </c>
      <c r="K902" s="5">
        <f>31483 / 86400</f>
        <v>0.3643865740740741</v>
      </c>
      <c r="L902" s="5">
        <f>319 / 86400</f>
        <v>3.6921296296296298E-3</v>
      </c>
    </row>
    <row r="903" spans="1:12" x14ac:dyDescent="0.25">
      <c r="A903" s="3">
        <v>45697.727986111116</v>
      </c>
      <c r="B903" t="s">
        <v>58</v>
      </c>
      <c r="C903" s="3">
        <v>45697.911990740744</v>
      </c>
      <c r="D903" t="s">
        <v>103</v>
      </c>
      <c r="E903" s="4">
        <v>100.066</v>
      </c>
      <c r="F903" s="4">
        <v>102607.836</v>
      </c>
      <c r="G903" s="4">
        <v>102707.902</v>
      </c>
      <c r="H903" s="5">
        <f>4358 / 86400</f>
        <v>5.0439814814814812E-2</v>
      </c>
      <c r="I903" t="s">
        <v>31</v>
      </c>
      <c r="J903" t="s">
        <v>140</v>
      </c>
      <c r="K903" s="5">
        <f>15898 / 86400</f>
        <v>0.18400462962962963</v>
      </c>
      <c r="L903" s="5">
        <f>246 / 86400</f>
        <v>2.8472222222222223E-3</v>
      </c>
    </row>
    <row r="904" spans="1:12" x14ac:dyDescent="0.25">
      <c r="A904" s="3">
        <v>45697.914837962962</v>
      </c>
      <c r="B904" t="s">
        <v>103</v>
      </c>
      <c r="C904" s="3">
        <v>45697.975995370369</v>
      </c>
      <c r="D904" t="s">
        <v>272</v>
      </c>
      <c r="E904" s="4">
        <v>35.289000000000001</v>
      </c>
      <c r="F904" s="4">
        <v>102707.902</v>
      </c>
      <c r="G904" s="4">
        <v>102743.19100000001</v>
      </c>
      <c r="H904" s="5">
        <f>1777 / 86400</f>
        <v>2.056712962962963E-2</v>
      </c>
      <c r="I904" t="s">
        <v>65</v>
      </c>
      <c r="J904" t="s">
        <v>198</v>
      </c>
      <c r="K904" s="5">
        <f>5284 / 86400</f>
        <v>6.115740740740741E-2</v>
      </c>
      <c r="L904" s="5">
        <f>476 / 86400</f>
        <v>5.5092592592592589E-3</v>
      </c>
    </row>
    <row r="905" spans="1:12" x14ac:dyDescent="0.25">
      <c r="A905" s="3">
        <v>45697.981504629628</v>
      </c>
      <c r="B905" t="s">
        <v>272</v>
      </c>
      <c r="C905" s="3">
        <v>45697.988796296297</v>
      </c>
      <c r="D905" t="s">
        <v>142</v>
      </c>
      <c r="E905" s="4">
        <v>0.54800000000000004</v>
      </c>
      <c r="F905" s="4">
        <v>102743.19100000001</v>
      </c>
      <c r="G905" s="4">
        <v>102743.739</v>
      </c>
      <c r="H905" s="5">
        <f>557 / 86400</f>
        <v>6.4467592592592588E-3</v>
      </c>
      <c r="I905" t="s">
        <v>209</v>
      </c>
      <c r="J905" t="s">
        <v>125</v>
      </c>
      <c r="K905" s="5">
        <f>630 / 86400</f>
        <v>7.2916666666666668E-3</v>
      </c>
      <c r="L905" s="5">
        <f>4 / 86400</f>
        <v>4.6296296296296294E-5</v>
      </c>
    </row>
    <row r="906" spans="1:12" x14ac:dyDescent="0.25">
      <c r="A906" s="3">
        <v>45697.988842592589</v>
      </c>
      <c r="B906" t="s">
        <v>142</v>
      </c>
      <c r="C906" s="3">
        <v>45697.99998842593</v>
      </c>
      <c r="D906" t="s">
        <v>98</v>
      </c>
      <c r="E906" s="4">
        <v>1.35</v>
      </c>
      <c r="F906" s="4">
        <v>102743.739</v>
      </c>
      <c r="G906" s="4">
        <v>102745.08900000001</v>
      </c>
      <c r="H906" s="5">
        <f>786 / 86400</f>
        <v>9.0972222222222218E-3</v>
      </c>
      <c r="I906" t="s">
        <v>207</v>
      </c>
      <c r="J906" t="s">
        <v>82</v>
      </c>
      <c r="K906" s="5">
        <f>963 / 86400</f>
        <v>1.1145833333333334E-2</v>
      </c>
      <c r="L906" s="5">
        <f>0 / 86400</f>
        <v>0</v>
      </c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</row>
    <row r="909" spans="1:12" s="10" customFormat="1" ht="20.100000000000001" customHeight="1" x14ac:dyDescent="0.35">
      <c r="A909" s="15" t="s">
        <v>435</v>
      </c>
      <c r="B909" s="15"/>
      <c r="C909" s="15"/>
      <c r="D909" s="15"/>
      <c r="E909" s="15"/>
      <c r="F909" s="15"/>
      <c r="G909" s="15"/>
      <c r="H909" s="15"/>
      <c r="I909" s="15"/>
      <c r="J909" s="15"/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ht="30" x14ac:dyDescent="0.25">
      <c r="A911" s="2" t="s">
        <v>6</v>
      </c>
      <c r="B911" s="2" t="s">
        <v>7</v>
      </c>
      <c r="C911" s="2" t="s">
        <v>8</v>
      </c>
      <c r="D911" s="2" t="s">
        <v>9</v>
      </c>
      <c r="E911" s="2" t="s">
        <v>10</v>
      </c>
      <c r="F911" s="2" t="s">
        <v>11</v>
      </c>
      <c r="G911" s="2" t="s">
        <v>12</v>
      </c>
      <c r="H911" s="2" t="s">
        <v>13</v>
      </c>
      <c r="I911" s="2" t="s">
        <v>14</v>
      </c>
      <c r="J911" s="2" t="s">
        <v>15</v>
      </c>
      <c r="K911" s="2" t="s">
        <v>16</v>
      </c>
      <c r="L911" s="2" t="s">
        <v>17</v>
      </c>
    </row>
    <row r="912" spans="1:12" x14ac:dyDescent="0.25">
      <c r="A912" s="3">
        <v>45697.054305555561</v>
      </c>
      <c r="B912" t="s">
        <v>27</v>
      </c>
      <c r="C912" s="3">
        <v>45697.058032407411</v>
      </c>
      <c r="D912" t="s">
        <v>27</v>
      </c>
      <c r="E912" s="4">
        <v>0</v>
      </c>
      <c r="F912" s="4">
        <v>53601.339</v>
      </c>
      <c r="G912" s="4">
        <v>53601.339</v>
      </c>
      <c r="H912" s="5">
        <f>317 / 86400</f>
        <v>3.6689814814814814E-3</v>
      </c>
      <c r="I912" t="s">
        <v>63</v>
      </c>
      <c r="J912" t="s">
        <v>63</v>
      </c>
      <c r="K912" s="5">
        <f>322 / 86400</f>
        <v>3.7268518518518519E-3</v>
      </c>
      <c r="L912" s="5">
        <f>8304 / 86400</f>
        <v>9.6111111111111105E-2</v>
      </c>
    </row>
    <row r="913" spans="1:12" x14ac:dyDescent="0.25">
      <c r="A913" s="3">
        <v>45697.09983796296</v>
      </c>
      <c r="B913" t="s">
        <v>27</v>
      </c>
      <c r="C913" s="3">
        <v>45697.104097222225</v>
      </c>
      <c r="D913" t="s">
        <v>27</v>
      </c>
      <c r="E913" s="4">
        <v>0.28699999999999998</v>
      </c>
      <c r="F913" s="4">
        <v>53601.339</v>
      </c>
      <c r="G913" s="4">
        <v>53601.625999999997</v>
      </c>
      <c r="H913" s="5">
        <f>157 / 86400</f>
        <v>1.8171296296296297E-3</v>
      </c>
      <c r="I913" t="s">
        <v>120</v>
      </c>
      <c r="J913" t="s">
        <v>125</v>
      </c>
      <c r="K913" s="5">
        <f>368 / 86400</f>
        <v>4.2592592592592595E-3</v>
      </c>
      <c r="L913" s="5">
        <f>24650 / 86400</f>
        <v>0.28530092592592593</v>
      </c>
    </row>
    <row r="914" spans="1:12" x14ac:dyDescent="0.25">
      <c r="A914" s="3">
        <v>45697.389398148152</v>
      </c>
      <c r="B914" t="s">
        <v>27</v>
      </c>
      <c r="C914" s="3">
        <v>45697.397418981476</v>
      </c>
      <c r="D914" t="s">
        <v>27</v>
      </c>
      <c r="E914" s="4">
        <v>2.169</v>
      </c>
      <c r="F914" s="4">
        <v>53601.625999999997</v>
      </c>
      <c r="G914" s="4">
        <v>53603.794999999998</v>
      </c>
      <c r="H914" s="5">
        <f>78 / 86400</f>
        <v>9.0277777777777774E-4</v>
      </c>
      <c r="I914" t="s">
        <v>173</v>
      </c>
      <c r="J914" t="s">
        <v>120</v>
      </c>
      <c r="K914" s="5">
        <f>693 / 86400</f>
        <v>8.0208333333333329E-3</v>
      </c>
      <c r="L914" s="5">
        <f>1638 / 86400</f>
        <v>1.8958333333333334E-2</v>
      </c>
    </row>
    <row r="915" spans="1:12" x14ac:dyDescent="0.25">
      <c r="A915" s="3">
        <v>45697.416377314818</v>
      </c>
      <c r="B915" t="s">
        <v>27</v>
      </c>
      <c r="C915" s="3">
        <v>45697.417037037041</v>
      </c>
      <c r="D915" t="s">
        <v>27</v>
      </c>
      <c r="E915" s="4">
        <v>7.5999999999999998E-2</v>
      </c>
      <c r="F915" s="4">
        <v>53603.794999999998</v>
      </c>
      <c r="G915" s="4">
        <v>53603.870999999999</v>
      </c>
      <c r="H915" s="5">
        <f>20 / 86400</f>
        <v>2.3148148148148149E-4</v>
      </c>
      <c r="I915" t="s">
        <v>52</v>
      </c>
      <c r="J915" t="s">
        <v>82</v>
      </c>
      <c r="K915" s="5">
        <f>57 / 86400</f>
        <v>6.5972222222222224E-4</v>
      </c>
      <c r="L915" s="5">
        <f>3610 / 86400</f>
        <v>4.1782407407407407E-2</v>
      </c>
    </row>
    <row r="916" spans="1:12" x14ac:dyDescent="0.25">
      <c r="A916" s="3">
        <v>45697.458819444444</v>
      </c>
      <c r="B916" t="s">
        <v>27</v>
      </c>
      <c r="C916" s="3">
        <v>45697.479907407411</v>
      </c>
      <c r="D916" t="s">
        <v>27</v>
      </c>
      <c r="E916" s="4">
        <v>3.08</v>
      </c>
      <c r="F916" s="4">
        <v>53603.870999999999</v>
      </c>
      <c r="G916" s="4">
        <v>53606.951000000001</v>
      </c>
      <c r="H916" s="5">
        <f>938 / 86400</f>
        <v>1.0856481481481481E-2</v>
      </c>
      <c r="I916" t="s">
        <v>179</v>
      </c>
      <c r="J916" t="s">
        <v>29</v>
      </c>
      <c r="K916" s="5">
        <f>1822 / 86400</f>
        <v>2.1087962962962965E-2</v>
      </c>
      <c r="L916" s="5">
        <f>8952 / 86400</f>
        <v>0.10361111111111111</v>
      </c>
    </row>
    <row r="917" spans="1:12" x14ac:dyDescent="0.25">
      <c r="A917" s="3">
        <v>45697.583518518513</v>
      </c>
      <c r="B917" t="s">
        <v>27</v>
      </c>
      <c r="C917" s="3">
        <v>45697.625405092593</v>
      </c>
      <c r="D917" t="s">
        <v>136</v>
      </c>
      <c r="E917" s="4">
        <v>21.893999999999998</v>
      </c>
      <c r="F917" s="4">
        <v>53606.951000000001</v>
      </c>
      <c r="G917" s="4">
        <v>53628.845000000001</v>
      </c>
      <c r="H917" s="5">
        <f>797 / 86400</f>
        <v>9.2245370370370363E-3</v>
      </c>
      <c r="I917" t="s">
        <v>158</v>
      </c>
      <c r="J917" t="s">
        <v>26</v>
      </c>
      <c r="K917" s="5">
        <f>3619 / 86400</f>
        <v>4.1886574074074076E-2</v>
      </c>
      <c r="L917" s="5">
        <f>665 / 86400</f>
        <v>7.6967592592592591E-3</v>
      </c>
    </row>
    <row r="918" spans="1:12" x14ac:dyDescent="0.25">
      <c r="A918" s="3">
        <v>45697.633101851854</v>
      </c>
      <c r="B918" t="s">
        <v>136</v>
      </c>
      <c r="C918" s="3">
        <v>45697.705879629633</v>
      </c>
      <c r="D918" t="s">
        <v>275</v>
      </c>
      <c r="E918" s="4">
        <v>35.116</v>
      </c>
      <c r="F918" s="4">
        <v>53628.845000000001</v>
      </c>
      <c r="G918" s="4">
        <v>53663.961000000003</v>
      </c>
      <c r="H918" s="5">
        <f>2217 / 86400</f>
        <v>2.5659722222222223E-2</v>
      </c>
      <c r="I918" t="s">
        <v>48</v>
      </c>
      <c r="J918" t="s">
        <v>28</v>
      </c>
      <c r="K918" s="5">
        <f>6288 / 86400</f>
        <v>7.2777777777777775E-2</v>
      </c>
      <c r="L918" s="5">
        <f>47 / 86400</f>
        <v>5.4398148148148144E-4</v>
      </c>
    </row>
    <row r="919" spans="1:12" x14ac:dyDescent="0.25">
      <c r="A919" s="3">
        <v>45697.706423611111</v>
      </c>
      <c r="B919" t="s">
        <v>275</v>
      </c>
      <c r="C919" s="3">
        <v>45697.804247685184</v>
      </c>
      <c r="D919" t="s">
        <v>272</v>
      </c>
      <c r="E919" s="4">
        <v>51.81</v>
      </c>
      <c r="F919" s="4">
        <v>53663.961000000003</v>
      </c>
      <c r="G919" s="4">
        <v>53715.771000000001</v>
      </c>
      <c r="H919" s="5">
        <f>2442 / 86400</f>
        <v>2.826388888888889E-2</v>
      </c>
      <c r="I919" t="s">
        <v>332</v>
      </c>
      <c r="J919" t="s">
        <v>26</v>
      </c>
      <c r="K919" s="5">
        <f>8452 / 86400</f>
        <v>9.7824074074074077E-2</v>
      </c>
      <c r="L919" s="5">
        <f>489 / 86400</f>
        <v>5.6597222222222222E-3</v>
      </c>
    </row>
    <row r="920" spans="1:12" x14ac:dyDescent="0.25">
      <c r="A920" s="3">
        <v>45697.809907407413</v>
      </c>
      <c r="B920" t="s">
        <v>272</v>
      </c>
      <c r="C920" s="3">
        <v>45697.853414351848</v>
      </c>
      <c r="D920" t="s">
        <v>303</v>
      </c>
      <c r="E920" s="4">
        <v>15.817</v>
      </c>
      <c r="F920" s="4">
        <v>53715.771000000001</v>
      </c>
      <c r="G920" s="4">
        <v>53731.588000000003</v>
      </c>
      <c r="H920" s="5">
        <f>1580 / 86400</f>
        <v>1.8287037037037036E-2</v>
      </c>
      <c r="I920" t="s">
        <v>37</v>
      </c>
      <c r="J920" t="s">
        <v>175</v>
      </c>
      <c r="K920" s="5">
        <f>3759 / 86400</f>
        <v>4.3506944444444445E-2</v>
      </c>
      <c r="L920" s="5">
        <f>24 / 86400</f>
        <v>2.7777777777777778E-4</v>
      </c>
    </row>
    <row r="921" spans="1:12" x14ac:dyDescent="0.25">
      <c r="A921" s="3">
        <v>45697.853692129633</v>
      </c>
      <c r="B921" t="s">
        <v>186</v>
      </c>
      <c r="C921" s="3">
        <v>45697.867951388893</v>
      </c>
      <c r="D921" t="s">
        <v>261</v>
      </c>
      <c r="E921" s="4">
        <v>4.0979999999999999</v>
      </c>
      <c r="F921" s="4">
        <v>53731.589</v>
      </c>
      <c r="G921" s="4">
        <v>53735.686999999998</v>
      </c>
      <c r="H921" s="5">
        <f>440 / 86400</f>
        <v>5.092592592592593E-3</v>
      </c>
      <c r="I921" t="s">
        <v>151</v>
      </c>
      <c r="J921" t="s">
        <v>92</v>
      </c>
      <c r="K921" s="5">
        <f>1232 / 86400</f>
        <v>1.425925925925926E-2</v>
      </c>
      <c r="L921" s="5">
        <f>191 / 86400</f>
        <v>2.2106481481481482E-3</v>
      </c>
    </row>
    <row r="922" spans="1:12" x14ac:dyDescent="0.25">
      <c r="A922" s="3">
        <v>45697.870162037041</v>
      </c>
      <c r="B922" t="s">
        <v>261</v>
      </c>
      <c r="C922" s="3">
        <v>45697.877685185187</v>
      </c>
      <c r="D922" t="s">
        <v>27</v>
      </c>
      <c r="E922" s="4">
        <v>2.246</v>
      </c>
      <c r="F922" s="4">
        <v>53735.686999999998</v>
      </c>
      <c r="G922" s="4">
        <v>53737.932999999997</v>
      </c>
      <c r="H922" s="5">
        <f>98 / 86400</f>
        <v>1.1342592592592593E-3</v>
      </c>
      <c r="I922" t="s">
        <v>80</v>
      </c>
      <c r="J922" t="s">
        <v>92</v>
      </c>
      <c r="K922" s="5">
        <f>650 / 86400</f>
        <v>7.5231481481481477E-3</v>
      </c>
      <c r="L922" s="5">
        <f>9143 / 86400</f>
        <v>0.10582175925925925</v>
      </c>
    </row>
    <row r="923" spans="1:12" x14ac:dyDescent="0.25">
      <c r="A923" s="3">
        <v>45697.983506944445</v>
      </c>
      <c r="B923" t="s">
        <v>27</v>
      </c>
      <c r="C923" s="3">
        <v>45697.98501157407</v>
      </c>
      <c r="D923" t="s">
        <v>27</v>
      </c>
      <c r="E923" s="4">
        <v>0</v>
      </c>
      <c r="F923" s="4">
        <v>53737.932999999997</v>
      </c>
      <c r="G923" s="4">
        <v>53737.932999999997</v>
      </c>
      <c r="H923" s="5">
        <f>117 / 86400</f>
        <v>1.3541666666666667E-3</v>
      </c>
      <c r="I923" t="s">
        <v>63</v>
      </c>
      <c r="J923" t="s">
        <v>63</v>
      </c>
      <c r="K923" s="5">
        <f>130 / 86400</f>
        <v>1.5046296296296296E-3</v>
      </c>
      <c r="L923" s="5">
        <f>1294 / 86400</f>
        <v>1.4976851851851852E-2</v>
      </c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</row>
    <row r="926" spans="1:12" s="10" customFormat="1" ht="20.100000000000001" customHeight="1" x14ac:dyDescent="0.35">
      <c r="A926" s="15" t="s">
        <v>436</v>
      </c>
      <c r="B926" s="15"/>
      <c r="C926" s="15"/>
      <c r="D926" s="15"/>
      <c r="E926" s="15"/>
      <c r="F926" s="15"/>
      <c r="G926" s="15"/>
      <c r="H926" s="15"/>
      <c r="I926" s="15"/>
      <c r="J926" s="15"/>
    </row>
    <row r="927" spans="1:1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 spans="1:12" ht="30" x14ac:dyDescent="0.25">
      <c r="A928" s="2" t="s">
        <v>6</v>
      </c>
      <c r="B928" s="2" t="s">
        <v>7</v>
      </c>
      <c r="C928" s="2" t="s">
        <v>8</v>
      </c>
      <c r="D928" s="2" t="s">
        <v>9</v>
      </c>
      <c r="E928" s="2" t="s">
        <v>10</v>
      </c>
      <c r="F928" s="2" t="s">
        <v>11</v>
      </c>
      <c r="G928" s="2" t="s">
        <v>12</v>
      </c>
      <c r="H928" s="2" t="s">
        <v>13</v>
      </c>
      <c r="I928" s="2" t="s">
        <v>14</v>
      </c>
      <c r="J928" s="2" t="s">
        <v>15</v>
      </c>
      <c r="K928" s="2" t="s">
        <v>16</v>
      </c>
      <c r="L928" s="2" t="s">
        <v>17</v>
      </c>
    </row>
    <row r="929" spans="1:12" x14ac:dyDescent="0.25">
      <c r="A929" s="3">
        <v>45697.311736111107</v>
      </c>
      <c r="B929" t="s">
        <v>99</v>
      </c>
      <c r="C929" s="3">
        <v>45697.313576388886</v>
      </c>
      <c r="D929" t="s">
        <v>99</v>
      </c>
      <c r="E929" s="4">
        <v>0</v>
      </c>
      <c r="F929" s="4">
        <v>45605.777999999998</v>
      </c>
      <c r="G929" s="4">
        <v>45605.777999999998</v>
      </c>
      <c r="H929" s="5">
        <f>140 / 86400</f>
        <v>1.6203703703703703E-3</v>
      </c>
      <c r="I929" t="s">
        <v>63</v>
      </c>
      <c r="J929" t="s">
        <v>63</v>
      </c>
      <c r="K929" s="5">
        <f>159 / 86400</f>
        <v>1.8402777777777777E-3</v>
      </c>
      <c r="L929" s="5">
        <f>86240 / 86400</f>
        <v>0.99814814814814812</v>
      </c>
    </row>
    <row r="930" spans="1:1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2" s="10" customFormat="1" ht="20.100000000000001" customHeight="1" x14ac:dyDescent="0.35">
      <c r="A932" s="15" t="s">
        <v>437</v>
      </c>
      <c r="B932" s="15"/>
      <c r="C932" s="15"/>
      <c r="D932" s="15"/>
      <c r="E932" s="15"/>
      <c r="F932" s="15"/>
      <c r="G932" s="15"/>
      <c r="H932" s="15"/>
      <c r="I932" s="15"/>
      <c r="J932" s="15"/>
    </row>
    <row r="933" spans="1:1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</row>
    <row r="934" spans="1:12" ht="30" x14ac:dyDescent="0.25">
      <c r="A934" s="2" t="s">
        <v>6</v>
      </c>
      <c r="B934" s="2" t="s">
        <v>7</v>
      </c>
      <c r="C934" s="2" t="s">
        <v>8</v>
      </c>
      <c r="D934" s="2" t="s">
        <v>9</v>
      </c>
      <c r="E934" s="2" t="s">
        <v>10</v>
      </c>
      <c r="F934" s="2" t="s">
        <v>11</v>
      </c>
      <c r="G934" s="2" t="s">
        <v>12</v>
      </c>
      <c r="H934" s="2" t="s">
        <v>13</v>
      </c>
      <c r="I934" s="2" t="s">
        <v>14</v>
      </c>
      <c r="J934" s="2" t="s">
        <v>15</v>
      </c>
      <c r="K934" s="2" t="s">
        <v>16</v>
      </c>
      <c r="L934" s="2" t="s">
        <v>17</v>
      </c>
    </row>
    <row r="935" spans="1:12" x14ac:dyDescent="0.25">
      <c r="A935" s="3">
        <v>45697.276828703703</v>
      </c>
      <c r="B935" t="s">
        <v>100</v>
      </c>
      <c r="C935" s="3">
        <v>45697.290925925925</v>
      </c>
      <c r="D935" t="s">
        <v>377</v>
      </c>
      <c r="E935" s="4">
        <v>3.9E-2</v>
      </c>
      <c r="F935" s="4">
        <v>77801.752999999997</v>
      </c>
      <c r="G935" s="4">
        <v>77801.792000000001</v>
      </c>
      <c r="H935" s="5">
        <f>1177 / 86400</f>
        <v>1.3622685185185186E-2</v>
      </c>
      <c r="I935" t="s">
        <v>29</v>
      </c>
      <c r="J935" t="s">
        <v>63</v>
      </c>
      <c r="K935" s="5">
        <f>1218 / 86400</f>
        <v>1.4097222222222223E-2</v>
      </c>
      <c r="L935" s="5">
        <f>25548 / 86400</f>
        <v>0.29569444444444443</v>
      </c>
    </row>
    <row r="936" spans="1:12" x14ac:dyDescent="0.25">
      <c r="A936" s="3">
        <v>45697.309791666667</v>
      </c>
      <c r="B936" t="s">
        <v>377</v>
      </c>
      <c r="C936" s="3">
        <v>45697.519930555558</v>
      </c>
      <c r="D936" t="s">
        <v>41</v>
      </c>
      <c r="E936" s="4">
        <v>98.814999999999998</v>
      </c>
      <c r="F936" s="4">
        <v>77801.792000000001</v>
      </c>
      <c r="G936" s="4">
        <v>77900.607000000004</v>
      </c>
      <c r="H936" s="5">
        <f>5495 / 86400</f>
        <v>6.3599537037037038E-2</v>
      </c>
      <c r="I936" t="s">
        <v>31</v>
      </c>
      <c r="J936" t="s">
        <v>28</v>
      </c>
      <c r="K936" s="5">
        <f>18156 / 86400</f>
        <v>0.21013888888888888</v>
      </c>
      <c r="L936" s="5">
        <f>3849 / 86400</f>
        <v>4.4548611111111108E-2</v>
      </c>
    </row>
    <row r="937" spans="1:12" x14ac:dyDescent="0.25">
      <c r="A937" s="3">
        <v>45697.564479166671</v>
      </c>
      <c r="B937" t="s">
        <v>41</v>
      </c>
      <c r="C937" s="3">
        <v>45697.748449074075</v>
      </c>
      <c r="D937" t="s">
        <v>58</v>
      </c>
      <c r="E937" s="4">
        <v>97.242000000000004</v>
      </c>
      <c r="F937" s="4">
        <v>77900.607000000004</v>
      </c>
      <c r="G937" s="4">
        <v>77997.849000000002</v>
      </c>
      <c r="H937" s="5">
        <f>4487 / 86400</f>
        <v>5.1932870370370372E-2</v>
      </c>
      <c r="I937" t="s">
        <v>19</v>
      </c>
      <c r="J937" t="s">
        <v>26</v>
      </c>
      <c r="K937" s="5">
        <f>15895 / 86400</f>
        <v>0.1839699074074074</v>
      </c>
      <c r="L937" s="5">
        <f>526 / 86400</f>
        <v>6.0879629629629626E-3</v>
      </c>
    </row>
    <row r="938" spans="1:12" x14ac:dyDescent="0.25">
      <c r="A938" s="3">
        <v>45697.754537037035</v>
      </c>
      <c r="B938" t="s">
        <v>58</v>
      </c>
      <c r="C938" s="3">
        <v>45697.763738425929</v>
      </c>
      <c r="D938" t="s">
        <v>100</v>
      </c>
      <c r="E938" s="4">
        <v>0.92500000000000004</v>
      </c>
      <c r="F938" s="4">
        <v>77997.849000000002</v>
      </c>
      <c r="G938" s="4">
        <v>77998.774000000005</v>
      </c>
      <c r="H938" s="5">
        <f>578 / 86400</f>
        <v>6.6898148148148151E-3</v>
      </c>
      <c r="I938" t="s">
        <v>189</v>
      </c>
      <c r="J938" t="s">
        <v>191</v>
      </c>
      <c r="K938" s="5">
        <f>795 / 86400</f>
        <v>9.2013888888888892E-3</v>
      </c>
      <c r="L938" s="5">
        <f>20412 / 86400</f>
        <v>0.23624999999999999</v>
      </c>
    </row>
    <row r="939" spans="1:1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s="10" customFormat="1" ht="20.100000000000001" customHeight="1" x14ac:dyDescent="0.35">
      <c r="A941" s="15" t="s">
        <v>438</v>
      </c>
      <c r="B941" s="15"/>
      <c r="C941" s="15"/>
      <c r="D941" s="15"/>
      <c r="E941" s="15"/>
      <c r="F941" s="15"/>
      <c r="G941" s="15"/>
      <c r="H941" s="15"/>
      <c r="I941" s="15"/>
      <c r="J941" s="15"/>
    </row>
    <row r="942" spans="1:1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 spans="1:12" ht="30" x14ac:dyDescent="0.25">
      <c r="A943" s="2" t="s">
        <v>6</v>
      </c>
      <c r="B943" s="2" t="s">
        <v>7</v>
      </c>
      <c r="C943" s="2" t="s">
        <v>8</v>
      </c>
      <c r="D943" s="2" t="s">
        <v>9</v>
      </c>
      <c r="E943" s="2" t="s">
        <v>10</v>
      </c>
      <c r="F943" s="2" t="s">
        <v>11</v>
      </c>
      <c r="G943" s="2" t="s">
        <v>12</v>
      </c>
      <c r="H943" s="2" t="s">
        <v>13</v>
      </c>
      <c r="I943" s="2" t="s">
        <v>14</v>
      </c>
      <c r="J943" s="2" t="s">
        <v>15</v>
      </c>
      <c r="K943" s="2" t="s">
        <v>16</v>
      </c>
      <c r="L943" s="2" t="s">
        <v>17</v>
      </c>
    </row>
    <row r="944" spans="1:12" x14ac:dyDescent="0.25">
      <c r="A944" s="3">
        <v>45697</v>
      </c>
      <c r="B944" t="s">
        <v>97</v>
      </c>
      <c r="C944" s="3">
        <v>45697.027268518519</v>
      </c>
      <c r="D944" t="s">
        <v>54</v>
      </c>
      <c r="E944" s="4">
        <v>18.529</v>
      </c>
      <c r="F944" s="4">
        <v>38998.904000000002</v>
      </c>
      <c r="G944" s="4">
        <v>39017.432999999997</v>
      </c>
      <c r="H944" s="5">
        <f>419 / 86400</f>
        <v>4.8495370370370368E-3</v>
      </c>
      <c r="I944" t="s">
        <v>332</v>
      </c>
      <c r="J944" t="s">
        <v>189</v>
      </c>
      <c r="K944" s="5">
        <f>2356 / 86400</f>
        <v>2.7268518518518518E-2</v>
      </c>
      <c r="L944" s="5">
        <f>1031 / 86400</f>
        <v>1.193287037037037E-2</v>
      </c>
    </row>
    <row r="945" spans="1:12" x14ac:dyDescent="0.25">
      <c r="A945" s="3">
        <v>45697.039201388892</v>
      </c>
      <c r="B945" t="s">
        <v>54</v>
      </c>
      <c r="C945" s="3">
        <v>45697.044502314813</v>
      </c>
      <c r="D945" t="s">
        <v>378</v>
      </c>
      <c r="E945" s="4">
        <v>1.25</v>
      </c>
      <c r="F945" s="4">
        <v>39017.432999999997</v>
      </c>
      <c r="G945" s="4">
        <v>39018.682999999997</v>
      </c>
      <c r="H945" s="5">
        <f>180 / 86400</f>
        <v>2.0833333333333333E-3</v>
      </c>
      <c r="I945" t="s">
        <v>152</v>
      </c>
      <c r="J945" t="s">
        <v>33</v>
      </c>
      <c r="K945" s="5">
        <f>458 / 86400</f>
        <v>5.3009259259259259E-3</v>
      </c>
      <c r="L945" s="5">
        <f>57 / 86400</f>
        <v>6.5972222222222224E-4</v>
      </c>
    </row>
    <row r="946" spans="1:12" x14ac:dyDescent="0.25">
      <c r="A946" s="3">
        <v>45697.045162037037</v>
      </c>
      <c r="B946" t="s">
        <v>378</v>
      </c>
      <c r="C946" s="3">
        <v>45697.045300925922</v>
      </c>
      <c r="D946" t="s">
        <v>378</v>
      </c>
      <c r="E946" s="4">
        <v>0</v>
      </c>
      <c r="F946" s="4">
        <v>39018.682999999997</v>
      </c>
      <c r="G946" s="4">
        <v>39018.682999999997</v>
      </c>
      <c r="H946" s="5">
        <f>1 / 86400</f>
        <v>1.1574074074074073E-5</v>
      </c>
      <c r="I946" t="s">
        <v>63</v>
      </c>
      <c r="J946" t="s">
        <v>63</v>
      </c>
      <c r="K946" s="5">
        <f>12 / 86400</f>
        <v>1.3888888888888889E-4</v>
      </c>
      <c r="L946" s="5">
        <f>19509 / 86400</f>
        <v>0.2257986111111111</v>
      </c>
    </row>
    <row r="947" spans="1:12" x14ac:dyDescent="0.25">
      <c r="A947" s="3">
        <v>45697.271099537036</v>
      </c>
      <c r="B947" t="s">
        <v>378</v>
      </c>
      <c r="C947" s="3">
        <v>45697.412673611107</v>
      </c>
      <c r="D947" t="s">
        <v>58</v>
      </c>
      <c r="E947" s="4">
        <v>73.662000000000006</v>
      </c>
      <c r="F947" s="4">
        <v>39018.682999999997</v>
      </c>
      <c r="G947" s="4">
        <v>39092.345000000001</v>
      </c>
      <c r="H947" s="5">
        <f>3299 / 86400</f>
        <v>3.8182870370370367E-2</v>
      </c>
      <c r="I947" t="s">
        <v>61</v>
      </c>
      <c r="J947" t="s">
        <v>26</v>
      </c>
      <c r="K947" s="5">
        <f>12232 / 86400</f>
        <v>0.14157407407407407</v>
      </c>
      <c r="L947" s="5">
        <f>450 / 86400</f>
        <v>5.208333333333333E-3</v>
      </c>
    </row>
    <row r="948" spans="1:12" x14ac:dyDescent="0.25">
      <c r="A948" s="3">
        <v>45697.41788194445</v>
      </c>
      <c r="B948" t="s">
        <v>157</v>
      </c>
      <c r="C948" s="3">
        <v>45697.425069444449</v>
      </c>
      <c r="D948" t="s">
        <v>41</v>
      </c>
      <c r="E948" s="4">
        <v>1.2709999999999999</v>
      </c>
      <c r="F948" s="4">
        <v>39092.345000000001</v>
      </c>
      <c r="G948" s="4">
        <v>39093.616000000002</v>
      </c>
      <c r="H948" s="5">
        <f>300 / 86400</f>
        <v>3.472222222222222E-3</v>
      </c>
      <c r="I948" t="s">
        <v>180</v>
      </c>
      <c r="J948" t="s">
        <v>39</v>
      </c>
      <c r="K948" s="5">
        <f>621 / 86400</f>
        <v>7.1875000000000003E-3</v>
      </c>
      <c r="L948" s="5">
        <f>1552 / 86400</f>
        <v>1.7962962962962962E-2</v>
      </c>
    </row>
    <row r="949" spans="1:12" x14ac:dyDescent="0.25">
      <c r="A949" s="3">
        <v>45697.443032407406</v>
      </c>
      <c r="B949" t="s">
        <v>41</v>
      </c>
      <c r="C949" s="3">
        <v>45697.447731481487</v>
      </c>
      <c r="D949" t="s">
        <v>118</v>
      </c>
      <c r="E949" s="4">
        <v>1.3320000000000001</v>
      </c>
      <c r="F949" s="4">
        <v>39093.616000000002</v>
      </c>
      <c r="G949" s="4">
        <v>39094.947999999997</v>
      </c>
      <c r="H949" s="5">
        <f>29 / 86400</f>
        <v>3.3564814814814812E-4</v>
      </c>
      <c r="I949" t="s">
        <v>189</v>
      </c>
      <c r="J949" t="s">
        <v>92</v>
      </c>
      <c r="K949" s="5">
        <f>406 / 86400</f>
        <v>4.6990740740740743E-3</v>
      </c>
      <c r="L949" s="5">
        <f>3223 / 86400</f>
        <v>3.7303240740740741E-2</v>
      </c>
    </row>
    <row r="950" spans="1:12" x14ac:dyDescent="0.25">
      <c r="A950" s="3">
        <v>45697.485034722224</v>
      </c>
      <c r="B950" t="s">
        <v>118</v>
      </c>
      <c r="C950" s="3">
        <v>45697.674884259264</v>
      </c>
      <c r="D950" t="s">
        <v>72</v>
      </c>
      <c r="E950" s="4">
        <v>99.790999999999997</v>
      </c>
      <c r="F950" s="4">
        <v>39094.947999999997</v>
      </c>
      <c r="G950" s="4">
        <v>39194.739000000001</v>
      </c>
      <c r="H950" s="5">
        <f>4531 / 86400</f>
        <v>5.244212962962963E-2</v>
      </c>
      <c r="I950" t="s">
        <v>332</v>
      </c>
      <c r="J950" t="s">
        <v>26</v>
      </c>
      <c r="K950" s="5">
        <f>16403 / 86400</f>
        <v>0.18984953703703702</v>
      </c>
      <c r="L950" s="5">
        <f>407 / 86400</f>
        <v>4.7106481481481478E-3</v>
      </c>
    </row>
    <row r="951" spans="1:12" x14ac:dyDescent="0.25">
      <c r="A951" s="3">
        <v>45697.679594907408</v>
      </c>
      <c r="B951" t="s">
        <v>72</v>
      </c>
      <c r="C951" s="3">
        <v>45697.990347222221</v>
      </c>
      <c r="D951" t="s">
        <v>101</v>
      </c>
      <c r="E951" s="4">
        <v>167.90100000000001</v>
      </c>
      <c r="F951" s="4">
        <v>39194.739000000001</v>
      </c>
      <c r="G951" s="4">
        <v>39362.639999999999</v>
      </c>
      <c r="H951" s="5">
        <f>7443 / 86400</f>
        <v>8.6145833333333338E-2</v>
      </c>
      <c r="I951" t="s">
        <v>31</v>
      </c>
      <c r="J951" t="s">
        <v>140</v>
      </c>
      <c r="K951" s="5">
        <f>26849 / 86400</f>
        <v>0.3107523148148148</v>
      </c>
      <c r="L951" s="5">
        <f>833 / 86400</f>
        <v>9.6412037037037039E-3</v>
      </c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</row>
    <row r="954" spans="1:12" s="10" customFormat="1" ht="20.100000000000001" customHeight="1" x14ac:dyDescent="0.35">
      <c r="A954" s="15" t="s">
        <v>439</v>
      </c>
      <c r="B954" s="15"/>
      <c r="C954" s="15"/>
      <c r="D954" s="15"/>
      <c r="E954" s="15"/>
      <c r="F954" s="15"/>
      <c r="G954" s="15"/>
      <c r="H954" s="15"/>
      <c r="I954" s="15"/>
      <c r="J954" s="15"/>
    </row>
    <row r="955" spans="1:1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</row>
    <row r="956" spans="1:12" ht="30" x14ac:dyDescent="0.25">
      <c r="A956" s="2" t="s">
        <v>6</v>
      </c>
      <c r="B956" s="2" t="s">
        <v>7</v>
      </c>
      <c r="C956" s="2" t="s">
        <v>8</v>
      </c>
      <c r="D956" s="2" t="s">
        <v>9</v>
      </c>
      <c r="E956" s="2" t="s">
        <v>10</v>
      </c>
      <c r="F956" s="2" t="s">
        <v>11</v>
      </c>
      <c r="G956" s="2" t="s">
        <v>12</v>
      </c>
      <c r="H956" s="2" t="s">
        <v>13</v>
      </c>
      <c r="I956" s="2" t="s">
        <v>14</v>
      </c>
      <c r="J956" s="2" t="s">
        <v>15</v>
      </c>
      <c r="K956" s="2" t="s">
        <v>16</v>
      </c>
      <c r="L956" s="2" t="s">
        <v>17</v>
      </c>
    </row>
    <row r="957" spans="1:12" x14ac:dyDescent="0.25">
      <c r="A957" s="3">
        <v>45697.863136574073</v>
      </c>
      <c r="B957" t="s">
        <v>83</v>
      </c>
      <c r="C957" s="3">
        <v>45697.866643518515</v>
      </c>
      <c r="D957" t="s">
        <v>83</v>
      </c>
      <c r="E957" s="4">
        <v>0</v>
      </c>
      <c r="F957" s="4">
        <v>521937.02399999998</v>
      </c>
      <c r="G957" s="4">
        <v>521937.02399999998</v>
      </c>
      <c r="H957" s="5">
        <f>300 / 86400</f>
        <v>3.472222222222222E-3</v>
      </c>
      <c r="I957" t="s">
        <v>63</v>
      </c>
      <c r="J957" t="s">
        <v>63</v>
      </c>
      <c r="K957" s="5">
        <f>303 / 86400</f>
        <v>3.5069444444444445E-3</v>
      </c>
      <c r="L957" s="5">
        <f>86096 / 86400</f>
        <v>0.99648148148148152</v>
      </c>
    </row>
    <row r="958" spans="1:1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</row>
    <row r="959" spans="1:1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</row>
    <row r="960" spans="1:12" s="10" customFormat="1" ht="20.100000000000001" customHeight="1" x14ac:dyDescent="0.35">
      <c r="A960" s="15" t="s">
        <v>440</v>
      </c>
      <c r="B960" s="15"/>
      <c r="C960" s="15"/>
      <c r="D960" s="15"/>
      <c r="E960" s="15"/>
      <c r="F960" s="15"/>
      <c r="G960" s="15"/>
      <c r="H960" s="15"/>
      <c r="I960" s="15"/>
      <c r="J960" s="15"/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ht="30" x14ac:dyDescent="0.25">
      <c r="A962" s="2" t="s">
        <v>6</v>
      </c>
      <c r="B962" s="2" t="s">
        <v>7</v>
      </c>
      <c r="C962" s="2" t="s">
        <v>8</v>
      </c>
      <c r="D962" s="2" t="s">
        <v>9</v>
      </c>
      <c r="E962" s="2" t="s">
        <v>10</v>
      </c>
      <c r="F962" s="2" t="s">
        <v>11</v>
      </c>
      <c r="G962" s="2" t="s">
        <v>12</v>
      </c>
      <c r="H962" s="2" t="s">
        <v>13</v>
      </c>
      <c r="I962" s="2" t="s">
        <v>14</v>
      </c>
      <c r="J962" s="2" t="s">
        <v>15</v>
      </c>
      <c r="K962" s="2" t="s">
        <v>16</v>
      </c>
      <c r="L962" s="2" t="s">
        <v>17</v>
      </c>
    </row>
    <row r="963" spans="1:12" x14ac:dyDescent="0.25">
      <c r="A963" s="3">
        <v>45697.26258101852</v>
      </c>
      <c r="B963" t="s">
        <v>86</v>
      </c>
      <c r="C963" s="3">
        <v>45697.271828703699</v>
      </c>
      <c r="D963" t="s">
        <v>118</v>
      </c>
      <c r="E963" s="4">
        <v>2.09</v>
      </c>
      <c r="F963" s="4">
        <v>22194.940999999999</v>
      </c>
      <c r="G963" s="4">
        <v>22197.030999999999</v>
      </c>
      <c r="H963" s="5">
        <f>259 / 86400</f>
        <v>2.9976851851851853E-3</v>
      </c>
      <c r="I963" t="s">
        <v>184</v>
      </c>
      <c r="J963" t="s">
        <v>52</v>
      </c>
      <c r="K963" s="5">
        <f>798 / 86400</f>
        <v>9.2361111111111116E-3</v>
      </c>
      <c r="L963" s="5">
        <f>22821 / 86400</f>
        <v>0.26413194444444443</v>
      </c>
    </row>
    <row r="964" spans="1:12" x14ac:dyDescent="0.25">
      <c r="A964" s="3">
        <v>45697.273379629631</v>
      </c>
      <c r="B964" t="s">
        <v>118</v>
      </c>
      <c r="C964" s="3">
        <v>45697.276539351849</v>
      </c>
      <c r="D964" t="s">
        <v>127</v>
      </c>
      <c r="E964" s="4">
        <v>1.2370000000000001</v>
      </c>
      <c r="F964" s="4">
        <v>22197.030999999999</v>
      </c>
      <c r="G964" s="4">
        <v>22198.268</v>
      </c>
      <c r="H964" s="5">
        <f>0 / 86400</f>
        <v>0</v>
      </c>
      <c r="I964" t="s">
        <v>137</v>
      </c>
      <c r="J964" t="s">
        <v>95</v>
      </c>
      <c r="K964" s="5">
        <f>272 / 86400</f>
        <v>3.1481481481481482E-3</v>
      </c>
      <c r="L964" s="5">
        <f>2322 / 86400</f>
        <v>2.6875E-2</v>
      </c>
    </row>
    <row r="965" spans="1:12" x14ac:dyDescent="0.25">
      <c r="A965" s="3">
        <v>45697.303414351853</v>
      </c>
      <c r="B965" t="s">
        <v>127</v>
      </c>
      <c r="C965" s="3">
        <v>45697.401956018519</v>
      </c>
      <c r="D965" t="s">
        <v>324</v>
      </c>
      <c r="E965" s="4">
        <v>49.825000000000003</v>
      </c>
      <c r="F965" s="4">
        <v>22198.268</v>
      </c>
      <c r="G965" s="4">
        <v>22248.093000000001</v>
      </c>
      <c r="H965" s="5">
        <f>2299 / 86400</f>
        <v>2.6608796296296297E-2</v>
      </c>
      <c r="I965" t="s">
        <v>37</v>
      </c>
      <c r="J965" t="s">
        <v>49</v>
      </c>
      <c r="K965" s="5">
        <f>8514 / 86400</f>
        <v>9.8541666666666666E-2</v>
      </c>
      <c r="L965" s="5">
        <f>647 / 86400</f>
        <v>7.4884259259259262E-3</v>
      </c>
    </row>
    <row r="966" spans="1:12" x14ac:dyDescent="0.25">
      <c r="A966" s="3">
        <v>45697.409444444449</v>
      </c>
      <c r="B966" t="s">
        <v>324</v>
      </c>
      <c r="C966" s="3">
        <v>45697.537083333329</v>
      </c>
      <c r="D966" t="s">
        <v>117</v>
      </c>
      <c r="E966" s="4">
        <v>50.62</v>
      </c>
      <c r="F966" s="4">
        <v>22248.093000000001</v>
      </c>
      <c r="G966" s="4">
        <v>22298.713</v>
      </c>
      <c r="H966" s="5">
        <f>3278 / 86400</f>
        <v>3.7939814814814815E-2</v>
      </c>
      <c r="I966" t="s">
        <v>59</v>
      </c>
      <c r="J966" t="s">
        <v>71</v>
      </c>
      <c r="K966" s="5">
        <f>11028 / 86400</f>
        <v>0.12763888888888889</v>
      </c>
      <c r="L966" s="5">
        <f>52 / 86400</f>
        <v>6.018518518518519E-4</v>
      </c>
    </row>
    <row r="967" spans="1:12" x14ac:dyDescent="0.25">
      <c r="A967" s="3">
        <v>45697.537685185191</v>
      </c>
      <c r="B967" t="s">
        <v>117</v>
      </c>
      <c r="C967" s="3">
        <v>45697.539409722223</v>
      </c>
      <c r="D967" t="s">
        <v>41</v>
      </c>
      <c r="E967" s="4">
        <v>0.22700000000000001</v>
      </c>
      <c r="F967" s="4">
        <v>22298.713</v>
      </c>
      <c r="G967" s="4">
        <v>22298.94</v>
      </c>
      <c r="H967" s="5">
        <f>20 / 86400</f>
        <v>2.3148148148148149E-4</v>
      </c>
      <c r="I967" t="s">
        <v>120</v>
      </c>
      <c r="J967" t="s">
        <v>29</v>
      </c>
      <c r="K967" s="5">
        <f>148 / 86400</f>
        <v>1.712962962962963E-3</v>
      </c>
      <c r="L967" s="5">
        <f>1881 / 86400</f>
        <v>2.1770833333333333E-2</v>
      </c>
    </row>
    <row r="968" spans="1:12" x14ac:dyDescent="0.25">
      <c r="A968" s="3">
        <v>45697.561180555553</v>
      </c>
      <c r="B968" t="s">
        <v>41</v>
      </c>
      <c r="C968" s="3">
        <v>45697.783530092594</v>
      </c>
      <c r="D968" t="s">
        <v>379</v>
      </c>
      <c r="E968" s="4">
        <v>96.578999999999994</v>
      </c>
      <c r="F968" s="4">
        <v>22298.94</v>
      </c>
      <c r="G968" s="4">
        <v>22395.519</v>
      </c>
      <c r="H968" s="5">
        <f>5378 / 86400</f>
        <v>6.2245370370370368E-2</v>
      </c>
      <c r="I968" t="s">
        <v>88</v>
      </c>
      <c r="J968" t="s">
        <v>20</v>
      </c>
      <c r="K968" s="5">
        <f>19211 / 86400</f>
        <v>0.22234953703703703</v>
      </c>
      <c r="L968" s="5">
        <f>484 / 86400</f>
        <v>5.6018518518518518E-3</v>
      </c>
    </row>
    <row r="969" spans="1:12" x14ac:dyDescent="0.25">
      <c r="A969" s="3">
        <v>45697.789131944446</v>
      </c>
      <c r="B969" t="s">
        <v>379</v>
      </c>
      <c r="C969" s="3">
        <v>45697.790763888886</v>
      </c>
      <c r="D969" t="s">
        <v>72</v>
      </c>
      <c r="E969" s="4">
        <v>0.72199999999999998</v>
      </c>
      <c r="F969" s="4">
        <v>22395.519</v>
      </c>
      <c r="G969" s="4">
        <v>22396.241000000002</v>
      </c>
      <c r="H969" s="5">
        <f>0 / 86400</f>
        <v>0</v>
      </c>
      <c r="I969" t="s">
        <v>129</v>
      </c>
      <c r="J969" t="s">
        <v>20</v>
      </c>
      <c r="K969" s="5">
        <f>141 / 86400</f>
        <v>1.6319444444444445E-3</v>
      </c>
      <c r="L969" s="5">
        <f>220 / 86400</f>
        <v>2.5462962962962965E-3</v>
      </c>
    </row>
    <row r="970" spans="1:12" x14ac:dyDescent="0.25">
      <c r="A970" s="3">
        <v>45697.793310185181</v>
      </c>
      <c r="B970" t="s">
        <v>72</v>
      </c>
      <c r="C970" s="3">
        <v>45697.795648148152</v>
      </c>
      <c r="D970" t="s">
        <v>86</v>
      </c>
      <c r="E970" s="4">
        <v>0.70399999999999996</v>
      </c>
      <c r="F970" s="4">
        <v>22396.241000000002</v>
      </c>
      <c r="G970" s="4">
        <v>22396.945</v>
      </c>
      <c r="H970" s="5">
        <f>60 / 86400</f>
        <v>6.9444444444444447E-4</v>
      </c>
      <c r="I970" t="s">
        <v>119</v>
      </c>
      <c r="J970" t="s">
        <v>147</v>
      </c>
      <c r="K970" s="5">
        <f>201 / 86400</f>
        <v>2.3263888888888887E-3</v>
      </c>
      <c r="L970" s="5">
        <f>655 / 86400</f>
        <v>7.5810185185185182E-3</v>
      </c>
    </row>
    <row r="971" spans="1:12" x14ac:dyDescent="0.25">
      <c r="A971" s="3">
        <v>45697.803229166668</v>
      </c>
      <c r="B971" t="s">
        <v>86</v>
      </c>
      <c r="C971" s="3">
        <v>45697.804039351853</v>
      </c>
      <c r="D971" t="s">
        <v>86</v>
      </c>
      <c r="E971" s="4">
        <v>6.8000000000000005E-2</v>
      </c>
      <c r="F971" s="4">
        <v>22396.945</v>
      </c>
      <c r="G971" s="4">
        <v>22397.012999999999</v>
      </c>
      <c r="H971" s="5">
        <f>20 / 86400</f>
        <v>2.3148148148148149E-4</v>
      </c>
      <c r="I971" t="s">
        <v>39</v>
      </c>
      <c r="J971" t="s">
        <v>191</v>
      </c>
      <c r="K971" s="5">
        <f>69 / 86400</f>
        <v>7.9861111111111116E-4</v>
      </c>
      <c r="L971" s="5">
        <f>16930 / 86400</f>
        <v>0.19594907407407408</v>
      </c>
    </row>
    <row r="972" spans="1:1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s="10" customFormat="1" ht="20.100000000000001" customHeight="1" x14ac:dyDescent="0.35">
      <c r="A974" s="15" t="s">
        <v>441</v>
      </c>
      <c r="B974" s="15"/>
      <c r="C974" s="15"/>
      <c r="D974" s="15"/>
      <c r="E974" s="15"/>
      <c r="F974" s="15"/>
      <c r="G974" s="15"/>
      <c r="H974" s="15"/>
      <c r="I974" s="15"/>
      <c r="J974" s="15"/>
    </row>
    <row r="975" spans="1:1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</row>
    <row r="976" spans="1:12" ht="30" x14ac:dyDescent="0.25">
      <c r="A976" s="2" t="s">
        <v>6</v>
      </c>
      <c r="B976" s="2" t="s">
        <v>7</v>
      </c>
      <c r="C976" s="2" t="s">
        <v>8</v>
      </c>
      <c r="D976" s="2" t="s">
        <v>9</v>
      </c>
      <c r="E976" s="2" t="s">
        <v>10</v>
      </c>
      <c r="F976" s="2" t="s">
        <v>11</v>
      </c>
      <c r="G976" s="2" t="s">
        <v>12</v>
      </c>
      <c r="H976" s="2" t="s">
        <v>13</v>
      </c>
      <c r="I976" s="2" t="s">
        <v>14</v>
      </c>
      <c r="J976" s="2" t="s">
        <v>15</v>
      </c>
      <c r="K976" s="2" t="s">
        <v>16</v>
      </c>
      <c r="L976" s="2" t="s">
        <v>17</v>
      </c>
    </row>
    <row r="977" spans="1:12" x14ac:dyDescent="0.25">
      <c r="A977" s="3">
        <v>45697.276458333334</v>
      </c>
      <c r="B977" t="s">
        <v>18</v>
      </c>
      <c r="C977" s="3">
        <v>45697.276574074072</v>
      </c>
      <c r="D977" t="s">
        <v>18</v>
      </c>
      <c r="E977" s="4">
        <v>0</v>
      </c>
      <c r="F977" s="4">
        <v>4686.6559999999999</v>
      </c>
      <c r="G977" s="4">
        <v>4686.6559999999999</v>
      </c>
      <c r="H977" s="5">
        <f>0 / 86400</f>
        <v>0</v>
      </c>
      <c r="I977" t="s">
        <v>63</v>
      </c>
      <c r="J977" t="s">
        <v>63</v>
      </c>
      <c r="K977" s="5">
        <f>10 / 86400</f>
        <v>1.1574074074074075E-4</v>
      </c>
      <c r="L977" s="5">
        <f>23889 / 86400</f>
        <v>0.27649305555555553</v>
      </c>
    </row>
    <row r="978" spans="1:12" x14ac:dyDescent="0.25">
      <c r="A978" s="3">
        <v>45697.276608796295</v>
      </c>
      <c r="B978" t="s">
        <v>18</v>
      </c>
      <c r="C978" s="3">
        <v>45697.276759259257</v>
      </c>
      <c r="D978" t="s">
        <v>18</v>
      </c>
      <c r="E978" s="4">
        <v>0</v>
      </c>
      <c r="F978" s="4">
        <v>4686.6559999999999</v>
      </c>
      <c r="G978" s="4">
        <v>4686.6559999999999</v>
      </c>
      <c r="H978" s="5">
        <f>6 / 86400</f>
        <v>6.9444444444444444E-5</v>
      </c>
      <c r="I978" t="s">
        <v>63</v>
      </c>
      <c r="J978" t="s">
        <v>63</v>
      </c>
      <c r="K978" s="5">
        <f>13 / 86400</f>
        <v>1.5046296296296297E-4</v>
      </c>
      <c r="L978" s="5">
        <f>17 / 86400</f>
        <v>1.9675925925925926E-4</v>
      </c>
    </row>
    <row r="979" spans="1:12" x14ac:dyDescent="0.25">
      <c r="A979" s="3">
        <v>45697.276956018519</v>
      </c>
      <c r="B979" t="s">
        <v>18</v>
      </c>
      <c r="C979" s="3">
        <v>45697.276967592596</v>
      </c>
      <c r="D979" t="s">
        <v>18</v>
      </c>
      <c r="E979" s="4">
        <v>0</v>
      </c>
      <c r="F979" s="4">
        <v>4686.6559999999999</v>
      </c>
      <c r="G979" s="4">
        <v>4686.6559999999999</v>
      </c>
      <c r="H979" s="5">
        <f>0 / 86400</f>
        <v>0</v>
      </c>
      <c r="I979" t="s">
        <v>63</v>
      </c>
      <c r="J979" t="s">
        <v>63</v>
      </c>
      <c r="K979" s="5">
        <f>1 / 86400</f>
        <v>1.1574074074074073E-5</v>
      </c>
      <c r="L979" s="5">
        <f>18 / 86400</f>
        <v>2.0833333333333335E-4</v>
      </c>
    </row>
    <row r="980" spans="1:12" x14ac:dyDescent="0.25">
      <c r="A980" s="3">
        <v>45697.277175925927</v>
      </c>
      <c r="B980" t="s">
        <v>18</v>
      </c>
      <c r="C980" s="3">
        <v>45697.277303240742</v>
      </c>
      <c r="D980" t="s">
        <v>18</v>
      </c>
      <c r="E980" s="4">
        <v>0</v>
      </c>
      <c r="F980" s="4">
        <v>4686.6559999999999</v>
      </c>
      <c r="G980" s="4">
        <v>4686.6559999999999</v>
      </c>
      <c r="H980" s="5">
        <f>0 / 86400</f>
        <v>0</v>
      </c>
      <c r="I980" t="s">
        <v>63</v>
      </c>
      <c r="J980" t="s">
        <v>63</v>
      </c>
      <c r="K980" s="5">
        <f>11 / 86400</f>
        <v>1.273148148148148E-4</v>
      </c>
      <c r="L980" s="5">
        <f>2 / 86400</f>
        <v>2.3148148148148147E-5</v>
      </c>
    </row>
    <row r="981" spans="1:12" x14ac:dyDescent="0.25">
      <c r="A981" s="3">
        <v>45697.277326388888</v>
      </c>
      <c r="B981" t="s">
        <v>18</v>
      </c>
      <c r="C981" s="3">
        <v>45697.277650462958</v>
      </c>
      <c r="D981" t="s">
        <v>18</v>
      </c>
      <c r="E981" s="4">
        <v>0</v>
      </c>
      <c r="F981" s="4">
        <v>4686.6559999999999</v>
      </c>
      <c r="G981" s="4">
        <v>4686.6559999999999</v>
      </c>
      <c r="H981" s="5">
        <f>7 / 86400</f>
        <v>8.1018518518518516E-5</v>
      </c>
      <c r="I981" t="s">
        <v>63</v>
      </c>
      <c r="J981" t="s">
        <v>63</v>
      </c>
      <c r="K981" s="5">
        <f>28 / 86400</f>
        <v>3.2407407407407406E-4</v>
      </c>
      <c r="L981" s="5">
        <f>1 / 86400</f>
        <v>1.1574074074074073E-5</v>
      </c>
    </row>
    <row r="982" spans="1:12" x14ac:dyDescent="0.25">
      <c r="A982" s="3">
        <v>45697.277662037042</v>
      </c>
      <c r="B982" t="s">
        <v>18</v>
      </c>
      <c r="C982" s="3">
        <v>45697.277777777781</v>
      </c>
      <c r="D982" t="s">
        <v>18</v>
      </c>
      <c r="E982" s="4">
        <v>0</v>
      </c>
      <c r="F982" s="4">
        <v>4686.6559999999999</v>
      </c>
      <c r="G982" s="4">
        <v>4686.6559999999999</v>
      </c>
      <c r="H982" s="5">
        <f>0 / 86400</f>
        <v>0</v>
      </c>
      <c r="I982" t="s">
        <v>63</v>
      </c>
      <c r="J982" t="s">
        <v>63</v>
      </c>
      <c r="K982" s="5">
        <f>9 / 86400</f>
        <v>1.0416666666666667E-4</v>
      </c>
      <c r="L982" s="5">
        <f>1 / 86400</f>
        <v>1.1574074074074073E-5</v>
      </c>
    </row>
    <row r="983" spans="1:12" x14ac:dyDescent="0.25">
      <c r="A983" s="3">
        <v>45697.277789351851</v>
      </c>
      <c r="B983" t="s">
        <v>18</v>
      </c>
      <c r="C983" s="3">
        <v>45697.277870370366</v>
      </c>
      <c r="D983" t="s">
        <v>18</v>
      </c>
      <c r="E983" s="4">
        <v>0</v>
      </c>
      <c r="F983" s="4">
        <v>4686.6559999999999</v>
      </c>
      <c r="G983" s="4">
        <v>4686.6559999999999</v>
      </c>
      <c r="H983" s="5">
        <f>0 / 86400</f>
        <v>0</v>
      </c>
      <c r="I983" t="s">
        <v>63</v>
      </c>
      <c r="J983" t="s">
        <v>63</v>
      </c>
      <c r="K983" s="5">
        <f>7 / 86400</f>
        <v>8.1018518518518516E-5</v>
      </c>
      <c r="L983" s="5">
        <f>1 / 86400</f>
        <v>1.1574074074074073E-5</v>
      </c>
    </row>
    <row r="984" spans="1:12" x14ac:dyDescent="0.25">
      <c r="A984" s="3">
        <v>45697.277881944443</v>
      </c>
      <c r="B984" t="s">
        <v>18</v>
      </c>
      <c r="C984" s="3">
        <v>45697.278009259258</v>
      </c>
      <c r="D984" t="s">
        <v>18</v>
      </c>
      <c r="E984" s="4">
        <v>0</v>
      </c>
      <c r="F984" s="4">
        <v>4686.6559999999999</v>
      </c>
      <c r="G984" s="4">
        <v>4686.6559999999999</v>
      </c>
      <c r="H984" s="5">
        <f>0 / 86400</f>
        <v>0</v>
      </c>
      <c r="I984" t="s">
        <v>63</v>
      </c>
      <c r="J984" t="s">
        <v>63</v>
      </c>
      <c r="K984" s="5">
        <f>10 / 86400</f>
        <v>1.1574074074074075E-4</v>
      </c>
      <c r="L984" s="5">
        <f>3 / 86400</f>
        <v>3.4722222222222222E-5</v>
      </c>
    </row>
    <row r="985" spans="1:12" x14ac:dyDescent="0.25">
      <c r="A985" s="3">
        <v>45697.278043981481</v>
      </c>
      <c r="B985" t="s">
        <v>18</v>
      </c>
      <c r="C985" s="3">
        <v>45697.278182870374</v>
      </c>
      <c r="D985" t="s">
        <v>18</v>
      </c>
      <c r="E985" s="4">
        <v>0</v>
      </c>
      <c r="F985" s="4">
        <v>4686.6559999999999</v>
      </c>
      <c r="G985" s="4">
        <v>4686.6559999999999</v>
      </c>
      <c r="H985" s="5">
        <f>6 / 86400</f>
        <v>6.9444444444444444E-5</v>
      </c>
      <c r="I985" t="s">
        <v>63</v>
      </c>
      <c r="J985" t="s">
        <v>63</v>
      </c>
      <c r="K985" s="5">
        <f>12 / 86400</f>
        <v>1.3888888888888889E-4</v>
      </c>
      <c r="L985" s="5">
        <f>12 / 86400</f>
        <v>1.3888888888888889E-4</v>
      </c>
    </row>
    <row r="986" spans="1:12" x14ac:dyDescent="0.25">
      <c r="A986" s="3">
        <v>45697.278321759259</v>
      </c>
      <c r="B986" t="s">
        <v>18</v>
      </c>
      <c r="C986" s="3">
        <v>45697.290300925924</v>
      </c>
      <c r="D986" t="s">
        <v>142</v>
      </c>
      <c r="E986" s="4">
        <v>6.3929999999999998</v>
      </c>
      <c r="F986" s="4">
        <v>4686.6559999999999</v>
      </c>
      <c r="G986" s="4">
        <v>4693.049</v>
      </c>
      <c r="H986" s="5">
        <f>322 / 86400</f>
        <v>3.7268518518518519E-3</v>
      </c>
      <c r="I986" t="s">
        <v>359</v>
      </c>
      <c r="J986" t="s">
        <v>26</v>
      </c>
      <c r="K986" s="5">
        <f>1035 / 86400</f>
        <v>1.1979166666666667E-2</v>
      </c>
      <c r="L986" s="5">
        <f>67 / 86400</f>
        <v>7.7546296296296293E-4</v>
      </c>
    </row>
    <row r="987" spans="1:12" x14ac:dyDescent="0.25">
      <c r="A987" s="3">
        <v>45697.291076388894</v>
      </c>
      <c r="B987" t="s">
        <v>142</v>
      </c>
      <c r="C987" s="3">
        <v>45697.364699074074</v>
      </c>
      <c r="D987" t="s">
        <v>43</v>
      </c>
      <c r="E987" s="4">
        <v>40.249000000000002</v>
      </c>
      <c r="F987" s="4">
        <v>4693.049</v>
      </c>
      <c r="G987" s="4">
        <v>4733.2979999999998</v>
      </c>
      <c r="H987" s="5">
        <f>1679 / 86400</f>
        <v>1.9432870370370371E-2</v>
      </c>
      <c r="I987" t="s">
        <v>131</v>
      </c>
      <c r="J987" t="s">
        <v>140</v>
      </c>
      <c r="K987" s="5">
        <f>6360 / 86400</f>
        <v>7.3611111111111113E-2</v>
      </c>
      <c r="L987" s="5">
        <f>1901 / 86400</f>
        <v>2.2002314814814815E-2</v>
      </c>
    </row>
    <row r="988" spans="1:12" x14ac:dyDescent="0.25">
      <c r="A988" s="3">
        <v>45697.386701388888</v>
      </c>
      <c r="B988" t="s">
        <v>43</v>
      </c>
      <c r="C988" s="3">
        <v>45697.391273148147</v>
      </c>
      <c r="D988" t="s">
        <v>118</v>
      </c>
      <c r="E988" s="4">
        <v>1.139</v>
      </c>
      <c r="F988" s="4">
        <v>4733.2979999999998</v>
      </c>
      <c r="G988" s="4">
        <v>4734.4369999999999</v>
      </c>
      <c r="H988" s="5">
        <f>59 / 86400</f>
        <v>6.8287037037037036E-4</v>
      </c>
      <c r="I988" t="s">
        <v>28</v>
      </c>
      <c r="J988" t="s">
        <v>33</v>
      </c>
      <c r="K988" s="5">
        <f>395 / 86400</f>
        <v>4.5717592592592589E-3</v>
      </c>
      <c r="L988" s="5">
        <f>2312 / 86400</f>
        <v>2.675925925925926E-2</v>
      </c>
    </row>
    <row r="989" spans="1:12" x14ac:dyDescent="0.25">
      <c r="A989" s="3">
        <v>45697.418032407411</v>
      </c>
      <c r="B989" t="s">
        <v>118</v>
      </c>
      <c r="C989" s="3">
        <v>45697.496388888889</v>
      </c>
      <c r="D989" t="s">
        <v>278</v>
      </c>
      <c r="E989" s="4">
        <v>42.984999999999999</v>
      </c>
      <c r="F989" s="4">
        <v>4734.4369999999999</v>
      </c>
      <c r="G989" s="4">
        <v>4777.4219999999996</v>
      </c>
      <c r="H989" s="5">
        <f>1899 / 86400</f>
        <v>2.1979166666666668E-2</v>
      </c>
      <c r="I989" t="s">
        <v>19</v>
      </c>
      <c r="J989" t="s">
        <v>140</v>
      </c>
      <c r="K989" s="5">
        <f>6769 / 86400</f>
        <v>7.8344907407407405E-2</v>
      </c>
      <c r="L989" s="5">
        <f>72 / 86400</f>
        <v>8.3333333333333339E-4</v>
      </c>
    </row>
    <row r="990" spans="1:12" x14ac:dyDescent="0.25">
      <c r="A990" s="3">
        <v>45697.49722222222</v>
      </c>
      <c r="B990" t="s">
        <v>278</v>
      </c>
      <c r="C990" s="3">
        <v>45697.504571759258</v>
      </c>
      <c r="D990" t="s">
        <v>254</v>
      </c>
      <c r="E990" s="4">
        <v>4.5090000000000003</v>
      </c>
      <c r="F990" s="4">
        <v>4777.4219999999996</v>
      </c>
      <c r="G990" s="4">
        <v>4781.9309999999996</v>
      </c>
      <c r="H990" s="5">
        <f>159 / 86400</f>
        <v>1.8402777777777777E-3</v>
      </c>
      <c r="I990" t="s">
        <v>77</v>
      </c>
      <c r="J990" t="s">
        <v>137</v>
      </c>
      <c r="K990" s="5">
        <f>634 / 86400</f>
        <v>7.3379629629629628E-3</v>
      </c>
      <c r="L990" s="5">
        <f>404 / 86400</f>
        <v>4.6759259259259263E-3</v>
      </c>
    </row>
    <row r="991" spans="1:12" x14ac:dyDescent="0.25">
      <c r="A991" s="3">
        <v>45697.509247685186</v>
      </c>
      <c r="B991" t="s">
        <v>254</v>
      </c>
      <c r="C991" s="3">
        <v>45697.58222222222</v>
      </c>
      <c r="D991" t="s">
        <v>72</v>
      </c>
      <c r="E991" s="4">
        <v>39.293999999999997</v>
      </c>
      <c r="F991" s="4">
        <v>4781.9309999999996</v>
      </c>
      <c r="G991" s="4">
        <v>4821.2250000000004</v>
      </c>
      <c r="H991" s="5">
        <f>1660 / 86400</f>
        <v>1.9212962962962963E-2</v>
      </c>
      <c r="I991" t="s">
        <v>158</v>
      </c>
      <c r="J991" t="s">
        <v>26</v>
      </c>
      <c r="K991" s="5">
        <f>6305 / 86400</f>
        <v>7.2974537037037032E-2</v>
      </c>
      <c r="L991" s="5">
        <f>217 / 86400</f>
        <v>2.5115740740740741E-3</v>
      </c>
    </row>
    <row r="992" spans="1:12" x14ac:dyDescent="0.25">
      <c r="A992" s="3">
        <v>45697.584733796291</v>
      </c>
      <c r="B992" t="s">
        <v>72</v>
      </c>
      <c r="C992" s="3">
        <v>45697.585231481484</v>
      </c>
      <c r="D992" t="s">
        <v>72</v>
      </c>
      <c r="E992" s="4">
        <v>0.02</v>
      </c>
      <c r="F992" s="4">
        <v>4821.2250000000004</v>
      </c>
      <c r="G992" s="4">
        <v>4821.2449999999999</v>
      </c>
      <c r="H992" s="5">
        <f>0 / 86400</f>
        <v>0</v>
      </c>
      <c r="I992" t="s">
        <v>29</v>
      </c>
      <c r="J992" t="s">
        <v>153</v>
      </c>
      <c r="K992" s="5">
        <f>43 / 86400</f>
        <v>4.9768518518518521E-4</v>
      </c>
      <c r="L992" s="5">
        <f>961 / 86400</f>
        <v>1.1122685185185185E-2</v>
      </c>
    </row>
    <row r="993" spans="1:12" x14ac:dyDescent="0.25">
      <c r="A993" s="3">
        <v>45697.596354166672</v>
      </c>
      <c r="B993" t="s">
        <v>72</v>
      </c>
      <c r="C993" s="3">
        <v>45697.597349537042</v>
      </c>
      <c r="D993" t="s">
        <v>127</v>
      </c>
      <c r="E993" s="4">
        <v>5.6000000000000001E-2</v>
      </c>
      <c r="F993" s="4">
        <v>4821.2449999999999</v>
      </c>
      <c r="G993" s="4">
        <v>4821.3010000000004</v>
      </c>
      <c r="H993" s="5">
        <f>39 / 86400</f>
        <v>4.5138888888888887E-4</v>
      </c>
      <c r="I993" t="s">
        <v>52</v>
      </c>
      <c r="J993" t="s">
        <v>153</v>
      </c>
      <c r="K993" s="5">
        <f>86 / 86400</f>
        <v>9.9537037037037042E-4</v>
      </c>
      <c r="L993" s="5">
        <f>705 / 86400</f>
        <v>8.1597222222222227E-3</v>
      </c>
    </row>
    <row r="994" spans="1:12" x14ac:dyDescent="0.25">
      <c r="A994" s="3">
        <v>45697.605509259258</v>
      </c>
      <c r="B994" t="s">
        <v>127</v>
      </c>
      <c r="C994" s="3">
        <v>45697.690671296295</v>
      </c>
      <c r="D994" t="s">
        <v>142</v>
      </c>
      <c r="E994" s="4">
        <v>38.292999999999999</v>
      </c>
      <c r="F994" s="4">
        <v>4821.3010000000004</v>
      </c>
      <c r="G994" s="4">
        <v>4859.5940000000001</v>
      </c>
      <c r="H994" s="5">
        <f>2979 / 86400</f>
        <v>3.4479166666666665E-2</v>
      </c>
      <c r="I994" t="s">
        <v>158</v>
      </c>
      <c r="J994" t="s">
        <v>23</v>
      </c>
      <c r="K994" s="5">
        <f>7357 / 86400</f>
        <v>8.5150462962962969E-2</v>
      </c>
      <c r="L994" s="5">
        <f>131 / 86400</f>
        <v>1.5162037037037036E-3</v>
      </c>
    </row>
    <row r="995" spans="1:12" x14ac:dyDescent="0.25">
      <c r="A995" s="3">
        <v>45697.692187499997</v>
      </c>
      <c r="B995" t="s">
        <v>335</v>
      </c>
      <c r="C995" s="3">
        <v>45697.812893518523</v>
      </c>
      <c r="D995" t="s">
        <v>380</v>
      </c>
      <c r="E995" s="4">
        <v>60.942999999999998</v>
      </c>
      <c r="F995" s="4">
        <v>4859.5940000000001</v>
      </c>
      <c r="G995" s="4">
        <v>4920.5370000000003</v>
      </c>
      <c r="H995" s="5">
        <f>3338 / 86400</f>
        <v>3.8634259259259257E-2</v>
      </c>
      <c r="I995" t="s">
        <v>133</v>
      </c>
      <c r="J995" t="s">
        <v>49</v>
      </c>
      <c r="K995" s="5">
        <f>10428 / 86400</f>
        <v>0.12069444444444444</v>
      </c>
      <c r="L995" s="5">
        <f>255 / 86400</f>
        <v>2.9513888888888888E-3</v>
      </c>
    </row>
    <row r="996" spans="1:12" x14ac:dyDescent="0.25">
      <c r="A996" s="3">
        <v>45697.815844907411</v>
      </c>
      <c r="B996" t="s">
        <v>380</v>
      </c>
      <c r="C996" s="3">
        <v>45697.821469907409</v>
      </c>
      <c r="D996" t="s">
        <v>381</v>
      </c>
      <c r="E996" s="4">
        <v>1.661</v>
      </c>
      <c r="F996" s="4">
        <v>4920.5370000000003</v>
      </c>
      <c r="G996" s="4">
        <v>4922.1980000000003</v>
      </c>
      <c r="H996" s="5">
        <f>179 / 86400</f>
        <v>2.0717592592592593E-3</v>
      </c>
      <c r="I996" t="s">
        <v>218</v>
      </c>
      <c r="J996" t="s">
        <v>92</v>
      </c>
      <c r="K996" s="5">
        <f>486 / 86400</f>
        <v>5.6249999999999998E-3</v>
      </c>
      <c r="L996" s="5">
        <f>369 / 86400</f>
        <v>4.2708333333333331E-3</v>
      </c>
    </row>
    <row r="997" spans="1:12" x14ac:dyDescent="0.25">
      <c r="A997" s="3">
        <v>45697.825740740736</v>
      </c>
      <c r="B997" t="s">
        <v>381</v>
      </c>
      <c r="C997" s="3">
        <v>45697.832731481481</v>
      </c>
      <c r="D997" t="s">
        <v>102</v>
      </c>
      <c r="E997" s="4">
        <v>1.1240000000000001</v>
      </c>
      <c r="F997" s="4">
        <v>4922.1980000000003</v>
      </c>
      <c r="G997" s="4">
        <v>4923.3220000000001</v>
      </c>
      <c r="H997" s="5">
        <f>212 / 86400</f>
        <v>2.4537037037037036E-3</v>
      </c>
      <c r="I997" t="s">
        <v>71</v>
      </c>
      <c r="J997" t="s">
        <v>39</v>
      </c>
      <c r="K997" s="5">
        <f>604 / 86400</f>
        <v>6.9907407407407409E-3</v>
      </c>
      <c r="L997" s="5">
        <f>14451 / 86400</f>
        <v>0.16725694444444444</v>
      </c>
    </row>
    <row r="998" spans="1:1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2" s="10" customFormat="1" ht="20.100000000000001" customHeight="1" x14ac:dyDescent="0.35">
      <c r="A1000" s="15" t="s">
        <v>442</v>
      </c>
      <c r="B1000" s="15"/>
      <c r="C1000" s="15"/>
      <c r="D1000" s="15"/>
      <c r="E1000" s="15"/>
      <c r="F1000" s="15"/>
      <c r="G1000" s="15"/>
      <c r="H1000" s="15"/>
      <c r="I1000" s="15"/>
      <c r="J1000" s="15"/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ht="30" x14ac:dyDescent="0.25">
      <c r="A1002" s="2" t="s">
        <v>6</v>
      </c>
      <c r="B1002" s="2" t="s">
        <v>7</v>
      </c>
      <c r="C1002" s="2" t="s">
        <v>8</v>
      </c>
      <c r="D1002" s="2" t="s">
        <v>9</v>
      </c>
      <c r="E1002" s="2" t="s">
        <v>10</v>
      </c>
      <c r="F1002" s="2" t="s">
        <v>11</v>
      </c>
      <c r="G1002" s="2" t="s">
        <v>12</v>
      </c>
      <c r="H1002" s="2" t="s">
        <v>13</v>
      </c>
      <c r="I1002" s="2" t="s">
        <v>14</v>
      </c>
      <c r="J1002" s="2" t="s">
        <v>15</v>
      </c>
      <c r="K1002" s="2" t="s">
        <v>16</v>
      </c>
      <c r="L1002" s="2" t="s">
        <v>17</v>
      </c>
    </row>
    <row r="1003" spans="1:12" x14ac:dyDescent="0.25">
      <c r="A1003" s="3">
        <v>45697.007199074069</v>
      </c>
      <c r="B1003" t="s">
        <v>103</v>
      </c>
      <c r="C1003" s="3">
        <v>45697.008275462962</v>
      </c>
      <c r="D1003" t="s">
        <v>103</v>
      </c>
      <c r="E1003" s="4">
        <v>1E-3</v>
      </c>
      <c r="F1003" s="4">
        <v>407378.43599999999</v>
      </c>
      <c r="G1003" s="4">
        <v>407378.43699999998</v>
      </c>
      <c r="H1003" s="5">
        <f>79 / 86400</f>
        <v>9.1435185185185185E-4</v>
      </c>
      <c r="I1003" t="s">
        <v>63</v>
      </c>
      <c r="J1003" t="s">
        <v>63</v>
      </c>
      <c r="K1003" s="5">
        <f>92 / 86400</f>
        <v>1.0648148148148149E-3</v>
      </c>
      <c r="L1003" s="5">
        <f>729 / 86400</f>
        <v>8.4375000000000006E-3</v>
      </c>
    </row>
    <row r="1004" spans="1:12" x14ac:dyDescent="0.25">
      <c r="A1004" s="3">
        <v>45697.009513888886</v>
      </c>
      <c r="B1004" t="s">
        <v>103</v>
      </c>
      <c r="C1004" s="3">
        <v>45697.009629629625</v>
      </c>
      <c r="D1004" t="s">
        <v>103</v>
      </c>
      <c r="E1004" s="4">
        <v>5.0000000000000001E-3</v>
      </c>
      <c r="F1004" s="4">
        <v>407378.43699999998</v>
      </c>
      <c r="G1004" s="4">
        <v>407378.44199999998</v>
      </c>
      <c r="H1004" s="5">
        <f t="shared" ref="H1004:H1012" si="10">0 / 86400</f>
        <v>0</v>
      </c>
      <c r="I1004" t="s">
        <v>63</v>
      </c>
      <c r="J1004" t="s">
        <v>153</v>
      </c>
      <c r="K1004" s="5">
        <f>10 / 86400</f>
        <v>1.1574074074074075E-4</v>
      </c>
      <c r="L1004" s="5">
        <f>1205 / 86400</f>
        <v>1.3946759259259259E-2</v>
      </c>
    </row>
    <row r="1005" spans="1:12" x14ac:dyDescent="0.25">
      <c r="A1005" s="3">
        <v>45697.023576388892</v>
      </c>
      <c r="B1005" t="s">
        <v>103</v>
      </c>
      <c r="C1005" s="3">
        <v>45697.02380787037</v>
      </c>
      <c r="D1005" t="s">
        <v>103</v>
      </c>
      <c r="E1005" s="4">
        <v>2E-3</v>
      </c>
      <c r="F1005" s="4">
        <v>407378.44199999998</v>
      </c>
      <c r="G1005" s="4">
        <v>407378.44400000002</v>
      </c>
      <c r="H1005" s="5">
        <f t="shared" si="10"/>
        <v>0</v>
      </c>
      <c r="I1005" t="s">
        <v>63</v>
      </c>
      <c r="J1005" t="s">
        <v>63</v>
      </c>
      <c r="K1005" s="5">
        <f>19 / 86400</f>
        <v>2.199074074074074E-4</v>
      </c>
      <c r="L1005" s="5">
        <f>269 / 86400</f>
        <v>3.1134259259259257E-3</v>
      </c>
    </row>
    <row r="1006" spans="1:12" x14ac:dyDescent="0.25">
      <c r="A1006" s="3">
        <v>45697.026921296296</v>
      </c>
      <c r="B1006" t="s">
        <v>103</v>
      </c>
      <c r="C1006" s="3">
        <v>45697.027060185181</v>
      </c>
      <c r="D1006" t="s">
        <v>103</v>
      </c>
      <c r="E1006" s="4">
        <v>8.0000000000000002E-3</v>
      </c>
      <c r="F1006" s="4">
        <v>407378.44400000002</v>
      </c>
      <c r="G1006" s="4">
        <v>407378.45199999999</v>
      </c>
      <c r="H1006" s="5">
        <f t="shared" si="10"/>
        <v>0</v>
      </c>
      <c r="I1006" t="s">
        <v>63</v>
      </c>
      <c r="J1006" t="s">
        <v>153</v>
      </c>
      <c r="K1006" s="5">
        <f>12 / 86400</f>
        <v>1.3888888888888889E-4</v>
      </c>
      <c r="L1006" s="5">
        <f>689 / 86400</f>
        <v>7.9745370370370369E-3</v>
      </c>
    </row>
    <row r="1007" spans="1:12" x14ac:dyDescent="0.25">
      <c r="A1007" s="3">
        <v>45697.035034722227</v>
      </c>
      <c r="B1007" t="s">
        <v>346</v>
      </c>
      <c r="C1007" s="3">
        <v>45697.035150462965</v>
      </c>
      <c r="D1007" t="s">
        <v>103</v>
      </c>
      <c r="E1007" s="4">
        <v>8.9999999999999993E-3</v>
      </c>
      <c r="F1007" s="4">
        <v>407378.45199999999</v>
      </c>
      <c r="G1007" s="4">
        <v>407378.46100000001</v>
      </c>
      <c r="H1007" s="5">
        <f t="shared" si="10"/>
        <v>0</v>
      </c>
      <c r="I1007" t="s">
        <v>63</v>
      </c>
      <c r="J1007" t="s">
        <v>125</v>
      </c>
      <c r="K1007" s="5">
        <f>10 / 86400</f>
        <v>1.1574074074074075E-4</v>
      </c>
      <c r="L1007" s="5">
        <f>278 / 86400</f>
        <v>3.2175925925925926E-3</v>
      </c>
    </row>
    <row r="1008" spans="1:12" x14ac:dyDescent="0.25">
      <c r="A1008" s="3">
        <v>45697.038368055553</v>
      </c>
      <c r="B1008" t="s">
        <v>103</v>
      </c>
      <c r="C1008" s="3">
        <v>45697.038483796292</v>
      </c>
      <c r="D1008" t="s">
        <v>103</v>
      </c>
      <c r="E1008" s="4">
        <v>5.0000000000000001E-3</v>
      </c>
      <c r="F1008" s="4">
        <v>407378.46100000001</v>
      </c>
      <c r="G1008" s="4">
        <v>407378.46600000001</v>
      </c>
      <c r="H1008" s="5">
        <f t="shared" si="10"/>
        <v>0</v>
      </c>
      <c r="I1008" t="s">
        <v>63</v>
      </c>
      <c r="J1008" t="s">
        <v>153</v>
      </c>
      <c r="K1008" s="5">
        <f>10 / 86400</f>
        <v>1.1574074074074075E-4</v>
      </c>
      <c r="L1008" s="5">
        <f>897 / 86400</f>
        <v>1.0381944444444444E-2</v>
      </c>
    </row>
    <row r="1009" spans="1:12" x14ac:dyDescent="0.25">
      <c r="A1009" s="3">
        <v>45697.04886574074</v>
      </c>
      <c r="B1009" t="s">
        <v>103</v>
      </c>
      <c r="C1009" s="3">
        <v>45697.049062499995</v>
      </c>
      <c r="D1009" t="s">
        <v>103</v>
      </c>
      <c r="E1009" s="4">
        <v>3.0000000000000001E-3</v>
      </c>
      <c r="F1009" s="4">
        <v>407378.46600000001</v>
      </c>
      <c r="G1009" s="4">
        <v>407378.46899999998</v>
      </c>
      <c r="H1009" s="5">
        <f t="shared" si="10"/>
        <v>0</v>
      </c>
      <c r="I1009" t="s">
        <v>63</v>
      </c>
      <c r="J1009" t="s">
        <v>40</v>
      </c>
      <c r="K1009" s="5">
        <f>17 / 86400</f>
        <v>1.9675925925925926E-4</v>
      </c>
      <c r="L1009" s="5">
        <f>80 / 86400</f>
        <v>9.2592592592592596E-4</v>
      </c>
    </row>
    <row r="1010" spans="1:12" x14ac:dyDescent="0.25">
      <c r="A1010" s="3">
        <v>45697.049988425926</v>
      </c>
      <c r="B1010" t="s">
        <v>103</v>
      </c>
      <c r="C1010" s="3">
        <v>45697.050127314811</v>
      </c>
      <c r="D1010" t="s">
        <v>103</v>
      </c>
      <c r="E1010" s="4">
        <v>8.9999999999999993E-3</v>
      </c>
      <c r="F1010" s="4">
        <v>407378.46899999998</v>
      </c>
      <c r="G1010" s="4">
        <v>407378.478</v>
      </c>
      <c r="H1010" s="5">
        <f t="shared" si="10"/>
        <v>0</v>
      </c>
      <c r="I1010" t="s">
        <v>82</v>
      </c>
      <c r="J1010" t="s">
        <v>125</v>
      </c>
      <c r="K1010" s="5">
        <f>12 / 86400</f>
        <v>1.3888888888888889E-4</v>
      </c>
      <c r="L1010" s="5">
        <f>461 / 86400</f>
        <v>5.3356481481481484E-3</v>
      </c>
    </row>
    <row r="1011" spans="1:12" x14ac:dyDescent="0.25">
      <c r="A1011" s="3">
        <v>45697.055462962962</v>
      </c>
      <c r="B1011" t="s">
        <v>103</v>
      </c>
      <c r="C1011" s="3">
        <v>45697.055636574078</v>
      </c>
      <c r="D1011" t="s">
        <v>103</v>
      </c>
      <c r="E1011" s="4">
        <v>3.0000000000000001E-3</v>
      </c>
      <c r="F1011" s="4">
        <v>407378.478</v>
      </c>
      <c r="G1011" s="4">
        <v>407378.48100000003</v>
      </c>
      <c r="H1011" s="5">
        <f t="shared" si="10"/>
        <v>0</v>
      </c>
      <c r="I1011" t="s">
        <v>63</v>
      </c>
      <c r="J1011" t="s">
        <v>40</v>
      </c>
      <c r="K1011" s="5">
        <f>15 / 86400</f>
        <v>1.7361111111111112E-4</v>
      </c>
      <c r="L1011" s="5">
        <f>20 / 86400</f>
        <v>2.3148148148148149E-4</v>
      </c>
    </row>
    <row r="1012" spans="1:12" x14ac:dyDescent="0.25">
      <c r="A1012" s="3">
        <v>45697.055868055555</v>
      </c>
      <c r="B1012" t="s">
        <v>103</v>
      </c>
      <c r="C1012" s="3">
        <v>45697.055949074071</v>
      </c>
      <c r="D1012" t="s">
        <v>103</v>
      </c>
      <c r="E1012" s="4">
        <v>1E-3</v>
      </c>
      <c r="F1012" s="4">
        <v>407378.48100000003</v>
      </c>
      <c r="G1012" s="4">
        <v>407378.48200000002</v>
      </c>
      <c r="H1012" s="5">
        <f t="shared" si="10"/>
        <v>0</v>
      </c>
      <c r="I1012" t="s">
        <v>63</v>
      </c>
      <c r="J1012" t="s">
        <v>40</v>
      </c>
      <c r="K1012" s="5">
        <f>7 / 86400</f>
        <v>8.1018518518518516E-5</v>
      </c>
      <c r="L1012" s="5">
        <f>642 / 86400</f>
        <v>7.4305555555555557E-3</v>
      </c>
    </row>
    <row r="1013" spans="1:12" x14ac:dyDescent="0.25">
      <c r="A1013" s="3">
        <v>45697.063379629632</v>
      </c>
      <c r="B1013" t="s">
        <v>103</v>
      </c>
      <c r="C1013" s="3">
        <v>45697.064884259264</v>
      </c>
      <c r="D1013" t="s">
        <v>103</v>
      </c>
      <c r="E1013" s="4">
        <v>1E-3</v>
      </c>
      <c r="F1013" s="4">
        <v>407378.48200000002</v>
      </c>
      <c r="G1013" s="4">
        <v>407378.48300000001</v>
      </c>
      <c r="H1013" s="5">
        <f>119 / 86400</f>
        <v>1.3773148148148147E-3</v>
      </c>
      <c r="I1013" t="s">
        <v>63</v>
      </c>
      <c r="J1013" t="s">
        <v>63</v>
      </c>
      <c r="K1013" s="5">
        <f>129 / 86400</f>
        <v>1.4930555555555556E-3</v>
      </c>
      <c r="L1013" s="5">
        <f>209 / 86400</f>
        <v>2.4189814814814816E-3</v>
      </c>
    </row>
    <row r="1014" spans="1:12" x14ac:dyDescent="0.25">
      <c r="A1014" s="3">
        <v>45697.067303240736</v>
      </c>
      <c r="B1014" t="s">
        <v>103</v>
      </c>
      <c r="C1014" s="3">
        <v>45697.068865740745</v>
      </c>
      <c r="D1014" t="s">
        <v>74</v>
      </c>
      <c r="E1014" s="4">
        <v>8.0000000000000002E-3</v>
      </c>
      <c r="F1014" s="4">
        <v>407378.48300000001</v>
      </c>
      <c r="G1014" s="4">
        <v>407378.49099999998</v>
      </c>
      <c r="H1014" s="5">
        <f>119 / 86400</f>
        <v>1.3773148148148147E-3</v>
      </c>
      <c r="I1014" t="s">
        <v>63</v>
      </c>
      <c r="J1014" t="s">
        <v>63</v>
      </c>
      <c r="K1014" s="5">
        <f>134 / 86400</f>
        <v>1.5509259259259259E-3</v>
      </c>
      <c r="L1014" s="5">
        <f>349 / 86400</f>
        <v>4.0393518518518521E-3</v>
      </c>
    </row>
    <row r="1015" spans="1:12" x14ac:dyDescent="0.25">
      <c r="A1015" s="3">
        <v>45697.072905092587</v>
      </c>
      <c r="B1015" t="s">
        <v>103</v>
      </c>
      <c r="C1015" s="3">
        <v>45697.074675925927</v>
      </c>
      <c r="D1015" t="s">
        <v>103</v>
      </c>
      <c r="E1015" s="4">
        <v>0</v>
      </c>
      <c r="F1015" s="4">
        <v>407378.49099999998</v>
      </c>
      <c r="G1015" s="4">
        <v>407378.49099999998</v>
      </c>
      <c r="H1015" s="5">
        <f>139 / 86400</f>
        <v>1.6087962962962963E-3</v>
      </c>
      <c r="I1015" t="s">
        <v>63</v>
      </c>
      <c r="J1015" t="s">
        <v>63</v>
      </c>
      <c r="K1015" s="5">
        <f>152 / 86400</f>
        <v>1.7592592592592592E-3</v>
      </c>
      <c r="L1015" s="5">
        <f>364 / 86400</f>
        <v>4.2129629629629626E-3</v>
      </c>
    </row>
    <row r="1016" spans="1:12" x14ac:dyDescent="0.25">
      <c r="A1016" s="3">
        <v>45697.078888888893</v>
      </c>
      <c r="B1016" t="s">
        <v>74</v>
      </c>
      <c r="C1016" s="3">
        <v>45697.082395833335</v>
      </c>
      <c r="D1016" t="s">
        <v>74</v>
      </c>
      <c r="E1016" s="4">
        <v>0.05</v>
      </c>
      <c r="F1016" s="4">
        <v>407378.49099999998</v>
      </c>
      <c r="G1016" s="4">
        <v>407378.54100000003</v>
      </c>
      <c r="H1016" s="5">
        <f>259 / 86400</f>
        <v>2.9976851851851853E-3</v>
      </c>
      <c r="I1016" t="s">
        <v>123</v>
      </c>
      <c r="J1016" t="s">
        <v>40</v>
      </c>
      <c r="K1016" s="5">
        <f>302 / 86400</f>
        <v>3.4953703703703705E-3</v>
      </c>
      <c r="L1016" s="5">
        <f>515 / 86400</f>
        <v>5.9606481481481481E-3</v>
      </c>
    </row>
    <row r="1017" spans="1:12" x14ac:dyDescent="0.25">
      <c r="A1017" s="3">
        <v>45697.088356481487</v>
      </c>
      <c r="B1017" t="s">
        <v>103</v>
      </c>
      <c r="C1017" s="3">
        <v>45697.160995370374</v>
      </c>
      <c r="D1017" t="s">
        <v>121</v>
      </c>
      <c r="E1017" s="4">
        <v>45.593000000000004</v>
      </c>
      <c r="F1017" s="4">
        <v>407378.54100000003</v>
      </c>
      <c r="G1017" s="4">
        <v>407424.13400000002</v>
      </c>
      <c r="H1017" s="5">
        <f>1279 / 86400</f>
        <v>1.480324074074074E-2</v>
      </c>
      <c r="I1017" t="s">
        <v>65</v>
      </c>
      <c r="J1017" t="s">
        <v>137</v>
      </c>
      <c r="K1017" s="5">
        <f>6275 / 86400</f>
        <v>7.2627314814814811E-2</v>
      </c>
      <c r="L1017" s="5">
        <f>74 / 86400</f>
        <v>8.564814814814815E-4</v>
      </c>
    </row>
    <row r="1018" spans="1:12" x14ac:dyDescent="0.25">
      <c r="A1018" s="3">
        <v>45697.161851851852</v>
      </c>
      <c r="B1018" t="s">
        <v>382</v>
      </c>
      <c r="C1018" s="3">
        <v>45697.165138888886</v>
      </c>
      <c r="D1018" t="s">
        <v>132</v>
      </c>
      <c r="E1018" s="4">
        <v>8.7999999999999995E-2</v>
      </c>
      <c r="F1018" s="4">
        <v>407424.13400000002</v>
      </c>
      <c r="G1018" s="4">
        <v>407424.22200000001</v>
      </c>
      <c r="H1018" s="5">
        <f>240 / 86400</f>
        <v>2.7777777777777779E-3</v>
      </c>
      <c r="I1018" t="s">
        <v>135</v>
      </c>
      <c r="J1018" t="s">
        <v>40</v>
      </c>
      <c r="K1018" s="5">
        <f>283 / 86400</f>
        <v>3.2754629629629631E-3</v>
      </c>
      <c r="L1018" s="5">
        <f>855 / 86400</f>
        <v>9.8958333333333329E-3</v>
      </c>
    </row>
    <row r="1019" spans="1:12" x14ac:dyDescent="0.25">
      <c r="A1019" s="3">
        <v>45697.175034722226</v>
      </c>
      <c r="B1019" t="s">
        <v>383</v>
      </c>
      <c r="C1019" s="3">
        <v>45697.176377314812</v>
      </c>
      <c r="D1019" t="s">
        <v>383</v>
      </c>
      <c r="E1019" s="4">
        <v>2.3E-2</v>
      </c>
      <c r="F1019" s="4">
        <v>407424.22200000001</v>
      </c>
      <c r="G1019" s="4">
        <v>407424.245</v>
      </c>
      <c r="H1019" s="5">
        <f>80 / 86400</f>
        <v>9.2592592592592596E-4</v>
      </c>
      <c r="I1019" t="s">
        <v>33</v>
      </c>
      <c r="J1019" t="s">
        <v>40</v>
      </c>
      <c r="K1019" s="5">
        <f>115 / 86400</f>
        <v>1.3310185185185185E-3</v>
      </c>
      <c r="L1019" s="5">
        <f>629 / 86400</f>
        <v>7.2800925925925923E-3</v>
      </c>
    </row>
    <row r="1020" spans="1:12" x14ac:dyDescent="0.25">
      <c r="A1020" s="3">
        <v>45697.183657407411</v>
      </c>
      <c r="B1020" t="s">
        <v>126</v>
      </c>
      <c r="C1020" s="3">
        <v>45697.277662037042</v>
      </c>
      <c r="D1020" t="s">
        <v>118</v>
      </c>
      <c r="E1020" s="4">
        <v>53.621000000000002</v>
      </c>
      <c r="F1020" s="4">
        <v>407424.245</v>
      </c>
      <c r="G1020" s="4">
        <v>407477.86599999998</v>
      </c>
      <c r="H1020" s="5">
        <f>2179 / 86400</f>
        <v>2.5219907407407406E-2</v>
      </c>
      <c r="I1020" t="s">
        <v>19</v>
      </c>
      <c r="J1020" t="s">
        <v>198</v>
      </c>
      <c r="K1020" s="5">
        <f>8121 / 86400</f>
        <v>9.3993055555555552E-2</v>
      </c>
      <c r="L1020" s="5">
        <f>1244 / 86400</f>
        <v>1.4398148148148148E-2</v>
      </c>
    </row>
    <row r="1021" spans="1:12" x14ac:dyDescent="0.25">
      <c r="A1021" s="3">
        <v>45697.29206018518</v>
      </c>
      <c r="B1021" t="s">
        <v>118</v>
      </c>
      <c r="C1021" s="3">
        <v>45697.302361111113</v>
      </c>
      <c r="D1021" t="s">
        <v>136</v>
      </c>
      <c r="E1021" s="4">
        <v>4.8029999999999999</v>
      </c>
      <c r="F1021" s="4">
        <v>407477.86599999998</v>
      </c>
      <c r="G1021" s="4">
        <v>407482.66899999999</v>
      </c>
      <c r="H1021" s="5">
        <f>279 / 86400</f>
        <v>3.2291666666666666E-3</v>
      </c>
      <c r="I1021" t="s">
        <v>204</v>
      </c>
      <c r="J1021" t="s">
        <v>23</v>
      </c>
      <c r="K1021" s="5">
        <f>890 / 86400</f>
        <v>1.0300925925925925E-2</v>
      </c>
      <c r="L1021" s="5">
        <f>99 / 86400</f>
        <v>1.1458333333333333E-3</v>
      </c>
    </row>
    <row r="1022" spans="1:12" x14ac:dyDescent="0.25">
      <c r="A1022" s="3">
        <v>45697.303506944445</v>
      </c>
      <c r="B1022" t="s">
        <v>136</v>
      </c>
      <c r="C1022" s="3">
        <v>45697.308749999997</v>
      </c>
      <c r="D1022" t="s">
        <v>384</v>
      </c>
      <c r="E1022" s="4">
        <v>1.87</v>
      </c>
      <c r="F1022" s="4">
        <v>407482.66899999999</v>
      </c>
      <c r="G1022" s="4">
        <v>407484.53899999999</v>
      </c>
      <c r="H1022" s="5">
        <f>40 / 86400</f>
        <v>4.6296296296296298E-4</v>
      </c>
      <c r="I1022" t="s">
        <v>137</v>
      </c>
      <c r="J1022" t="s">
        <v>175</v>
      </c>
      <c r="K1022" s="5">
        <f>453 / 86400</f>
        <v>5.2430555555555555E-3</v>
      </c>
      <c r="L1022" s="5">
        <f>2 / 86400</f>
        <v>2.3148148148148147E-5</v>
      </c>
    </row>
    <row r="1023" spans="1:12" x14ac:dyDescent="0.25">
      <c r="A1023" s="3">
        <v>45697.30877314815</v>
      </c>
      <c r="B1023" t="s">
        <v>384</v>
      </c>
      <c r="C1023" s="3">
        <v>45697.313263888893</v>
      </c>
      <c r="D1023" t="s">
        <v>41</v>
      </c>
      <c r="E1023" s="4">
        <v>2.5539999999999998</v>
      </c>
      <c r="F1023" s="4">
        <v>407484.53899999999</v>
      </c>
      <c r="G1023" s="4">
        <v>407487.09299999999</v>
      </c>
      <c r="H1023" s="5">
        <f>0 / 86400</f>
        <v>0</v>
      </c>
      <c r="I1023" t="s">
        <v>80</v>
      </c>
      <c r="J1023" t="s">
        <v>198</v>
      </c>
      <c r="K1023" s="5">
        <f>388 / 86400</f>
        <v>4.4907407407407405E-3</v>
      </c>
      <c r="L1023" s="5">
        <f>9626 / 86400</f>
        <v>0.11141203703703703</v>
      </c>
    </row>
    <row r="1024" spans="1:12" x14ac:dyDescent="0.25">
      <c r="A1024" s="3">
        <v>45697.424675925926</v>
      </c>
      <c r="B1024" t="s">
        <v>41</v>
      </c>
      <c r="C1024" s="3">
        <v>45697.42586805555</v>
      </c>
      <c r="D1024" t="s">
        <v>41</v>
      </c>
      <c r="E1024" s="4">
        <v>5.6000000000000001E-2</v>
      </c>
      <c r="F1024" s="4">
        <v>407487.09299999999</v>
      </c>
      <c r="G1024" s="4">
        <v>407487.14899999998</v>
      </c>
      <c r="H1024" s="5">
        <f>39 / 86400</f>
        <v>4.5138888888888887E-4</v>
      </c>
      <c r="I1024" t="s">
        <v>135</v>
      </c>
      <c r="J1024" t="s">
        <v>153</v>
      </c>
      <c r="K1024" s="5">
        <f>102 / 86400</f>
        <v>1.1805555555555556E-3</v>
      </c>
      <c r="L1024" s="5">
        <f>3953 / 86400</f>
        <v>4.5752314814814815E-2</v>
      </c>
    </row>
    <row r="1025" spans="1:12" x14ac:dyDescent="0.25">
      <c r="A1025" s="3">
        <v>45697.471620370372</v>
      </c>
      <c r="B1025" t="s">
        <v>41</v>
      </c>
      <c r="C1025" s="3">
        <v>45697.585150462968</v>
      </c>
      <c r="D1025" t="s">
        <v>385</v>
      </c>
      <c r="E1025" s="4">
        <v>50.951000000000001</v>
      </c>
      <c r="F1025" s="4">
        <v>407487.14899999998</v>
      </c>
      <c r="G1025" s="4">
        <v>407538.1</v>
      </c>
      <c r="H1025" s="5">
        <f>3086 / 86400</f>
        <v>3.5717592592592592E-2</v>
      </c>
      <c r="I1025" t="s">
        <v>88</v>
      </c>
      <c r="J1025" t="s">
        <v>23</v>
      </c>
      <c r="K1025" s="5">
        <f>9809 / 86400</f>
        <v>0.1135300925925926</v>
      </c>
      <c r="L1025" s="5">
        <f>13 / 86400</f>
        <v>1.5046296296296297E-4</v>
      </c>
    </row>
    <row r="1026" spans="1:12" x14ac:dyDescent="0.25">
      <c r="A1026" s="3">
        <v>45697.58530092593</v>
      </c>
      <c r="B1026" t="s">
        <v>385</v>
      </c>
      <c r="C1026" s="3">
        <v>45697.648043981477</v>
      </c>
      <c r="D1026" t="s">
        <v>148</v>
      </c>
      <c r="E1026" s="4">
        <v>34.823999999999998</v>
      </c>
      <c r="F1026" s="4">
        <v>407538.1</v>
      </c>
      <c r="G1026" s="4">
        <v>407572.924</v>
      </c>
      <c r="H1026" s="5">
        <f>1279 / 86400</f>
        <v>1.480324074074074E-2</v>
      </c>
      <c r="I1026" t="s">
        <v>51</v>
      </c>
      <c r="J1026" t="s">
        <v>140</v>
      </c>
      <c r="K1026" s="5">
        <f>5420 / 86400</f>
        <v>6.2731481481481485E-2</v>
      </c>
      <c r="L1026" s="5">
        <f>845 / 86400</f>
        <v>9.780092592592592E-3</v>
      </c>
    </row>
    <row r="1027" spans="1:12" x14ac:dyDescent="0.25">
      <c r="A1027" s="3">
        <v>45697.657824074078</v>
      </c>
      <c r="B1027" t="s">
        <v>148</v>
      </c>
      <c r="C1027" s="3">
        <v>45697.675092592588</v>
      </c>
      <c r="D1027" t="s">
        <v>27</v>
      </c>
      <c r="E1027" s="4">
        <v>6.9630000000000001</v>
      </c>
      <c r="F1027" s="4">
        <v>407572.924</v>
      </c>
      <c r="G1027" s="4">
        <v>407579.88699999999</v>
      </c>
      <c r="H1027" s="5">
        <f>520 / 86400</f>
        <v>6.0185185185185185E-3</v>
      </c>
      <c r="I1027" t="s">
        <v>37</v>
      </c>
      <c r="J1027" t="s">
        <v>71</v>
      </c>
      <c r="K1027" s="5">
        <f>1491 / 86400</f>
        <v>1.7256944444444443E-2</v>
      </c>
      <c r="L1027" s="5">
        <f>3 / 86400</f>
        <v>3.4722222222222222E-5</v>
      </c>
    </row>
    <row r="1028" spans="1:12" x14ac:dyDescent="0.25">
      <c r="A1028" s="3">
        <v>45697.675127314811</v>
      </c>
      <c r="B1028" t="s">
        <v>27</v>
      </c>
      <c r="C1028" s="3">
        <v>45697.675138888888</v>
      </c>
      <c r="D1028" t="s">
        <v>27</v>
      </c>
      <c r="E1028" s="4">
        <v>0</v>
      </c>
      <c r="F1028" s="4">
        <v>407579.88699999999</v>
      </c>
      <c r="G1028" s="4">
        <v>407579.88699999999</v>
      </c>
      <c r="H1028" s="5">
        <f>0 / 86400</f>
        <v>0</v>
      </c>
      <c r="I1028" t="s">
        <v>63</v>
      </c>
      <c r="J1028" t="s">
        <v>63</v>
      </c>
      <c r="K1028" s="5">
        <f>1 / 86400</f>
        <v>1.1574074074074073E-5</v>
      </c>
      <c r="L1028" s="5">
        <f>11895 / 86400</f>
        <v>0.13767361111111112</v>
      </c>
    </row>
    <row r="1029" spans="1:12" x14ac:dyDescent="0.25">
      <c r="A1029" s="3">
        <v>45697.8128125</v>
      </c>
      <c r="B1029" t="s">
        <v>27</v>
      </c>
      <c r="C1029" s="3">
        <v>45697.828090277777</v>
      </c>
      <c r="D1029" t="s">
        <v>101</v>
      </c>
      <c r="E1029" s="4">
        <v>6.3289999999999997</v>
      </c>
      <c r="F1029" s="4">
        <v>407579.88699999999</v>
      </c>
      <c r="G1029" s="4">
        <v>407586.21600000001</v>
      </c>
      <c r="H1029" s="5">
        <f>239 / 86400</f>
        <v>2.7662037037037039E-3</v>
      </c>
      <c r="I1029" t="s">
        <v>76</v>
      </c>
      <c r="J1029" t="s">
        <v>71</v>
      </c>
      <c r="K1029" s="5">
        <f>1319 / 86400</f>
        <v>1.5266203703703704E-2</v>
      </c>
      <c r="L1029" s="5">
        <f>6366 / 86400</f>
        <v>7.3680555555555555E-2</v>
      </c>
    </row>
    <row r="1030" spans="1:12" x14ac:dyDescent="0.25">
      <c r="A1030" s="3">
        <v>45697.901770833334</v>
      </c>
      <c r="B1030" t="s">
        <v>101</v>
      </c>
      <c r="C1030" s="3">
        <v>45697.91300925926</v>
      </c>
      <c r="D1030" t="s">
        <v>317</v>
      </c>
      <c r="E1030" s="4">
        <v>9.0990000000000002</v>
      </c>
      <c r="F1030" s="4">
        <v>407586.21600000001</v>
      </c>
      <c r="G1030" s="4">
        <v>407595.315</v>
      </c>
      <c r="H1030" s="5">
        <f>120 / 86400</f>
        <v>1.3888888888888889E-3</v>
      </c>
      <c r="I1030" t="s">
        <v>141</v>
      </c>
      <c r="J1030" t="s">
        <v>80</v>
      </c>
      <c r="K1030" s="5">
        <f>970 / 86400</f>
        <v>1.1226851851851852E-2</v>
      </c>
      <c r="L1030" s="5">
        <f>199 / 86400</f>
        <v>2.3032407407407407E-3</v>
      </c>
    </row>
    <row r="1031" spans="1:12" x14ac:dyDescent="0.25">
      <c r="A1031" s="3">
        <v>45697.915312500001</v>
      </c>
      <c r="B1031" t="s">
        <v>317</v>
      </c>
      <c r="C1031" s="3">
        <v>45697.990347222221</v>
      </c>
      <c r="D1031" t="s">
        <v>104</v>
      </c>
      <c r="E1031" s="4">
        <v>36.308999999999997</v>
      </c>
      <c r="F1031" s="4">
        <v>407595.315</v>
      </c>
      <c r="G1031" s="4">
        <v>407631.62400000001</v>
      </c>
      <c r="H1031" s="5">
        <f>2101 / 86400</f>
        <v>2.431712962962963E-2</v>
      </c>
      <c r="I1031" t="s">
        <v>31</v>
      </c>
      <c r="J1031" t="s">
        <v>28</v>
      </c>
      <c r="K1031" s="5">
        <f>6483 / 86400</f>
        <v>7.5034722222222225E-2</v>
      </c>
      <c r="L1031" s="5">
        <f>833 / 86400</f>
        <v>9.6412037037037039E-3</v>
      </c>
    </row>
    <row r="1032" spans="1:1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</row>
    <row r="1034" spans="1:12" s="10" customFormat="1" ht="20.100000000000001" customHeight="1" x14ac:dyDescent="0.35">
      <c r="A1034" s="15" t="s">
        <v>443</v>
      </c>
      <c r="B1034" s="15"/>
      <c r="C1034" s="15"/>
      <c r="D1034" s="15"/>
      <c r="E1034" s="15"/>
      <c r="F1034" s="15"/>
      <c r="G1034" s="15"/>
      <c r="H1034" s="15"/>
      <c r="I1034" s="15"/>
      <c r="J1034" s="15"/>
    </row>
    <row r="1035" spans="1:12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</row>
    <row r="1036" spans="1:12" ht="30" x14ac:dyDescent="0.25">
      <c r="A1036" s="2" t="s">
        <v>6</v>
      </c>
      <c r="B1036" s="2" t="s">
        <v>7</v>
      </c>
      <c r="C1036" s="2" t="s">
        <v>8</v>
      </c>
      <c r="D1036" s="2" t="s">
        <v>9</v>
      </c>
      <c r="E1036" s="2" t="s">
        <v>10</v>
      </c>
      <c r="F1036" s="2" t="s">
        <v>11</v>
      </c>
      <c r="G1036" s="2" t="s">
        <v>12</v>
      </c>
      <c r="H1036" s="2" t="s">
        <v>13</v>
      </c>
      <c r="I1036" s="2" t="s">
        <v>14</v>
      </c>
      <c r="J1036" s="2" t="s">
        <v>15</v>
      </c>
      <c r="K1036" s="2" t="s">
        <v>16</v>
      </c>
      <c r="L1036" s="2" t="s">
        <v>17</v>
      </c>
    </row>
    <row r="1037" spans="1:12" x14ac:dyDescent="0.25">
      <c r="A1037" s="3">
        <v>45697.242592592593</v>
      </c>
      <c r="B1037" t="s">
        <v>79</v>
      </c>
      <c r="C1037" s="3">
        <v>45697.472048611111</v>
      </c>
      <c r="D1037" t="s">
        <v>379</v>
      </c>
      <c r="E1037" s="4">
        <v>94.373000000000005</v>
      </c>
      <c r="F1037" s="4">
        <v>548841.32200000004</v>
      </c>
      <c r="G1037" s="4">
        <v>548935.69499999995</v>
      </c>
      <c r="H1037" s="5">
        <f>5960 / 86400</f>
        <v>6.8981481481481477E-2</v>
      </c>
      <c r="I1037" t="s">
        <v>158</v>
      </c>
      <c r="J1037" t="s">
        <v>71</v>
      </c>
      <c r="K1037" s="5">
        <f>19825 / 86400</f>
        <v>0.22945601851851852</v>
      </c>
      <c r="L1037" s="5">
        <f>21267 / 86400</f>
        <v>0.24614583333333334</v>
      </c>
    </row>
    <row r="1038" spans="1:12" x14ac:dyDescent="0.25">
      <c r="A1038" s="3">
        <v>45697.475601851853</v>
      </c>
      <c r="B1038" t="s">
        <v>379</v>
      </c>
      <c r="C1038" s="3">
        <v>45697.480729166666</v>
      </c>
      <c r="D1038" t="s">
        <v>122</v>
      </c>
      <c r="E1038" s="4">
        <v>1.143</v>
      </c>
      <c r="F1038" s="4">
        <v>548935.69499999995</v>
      </c>
      <c r="G1038" s="4">
        <v>548936.83799999999</v>
      </c>
      <c r="H1038" s="5">
        <f>79 / 86400</f>
        <v>9.1435185185185185E-4</v>
      </c>
      <c r="I1038" t="s">
        <v>81</v>
      </c>
      <c r="J1038" t="s">
        <v>52</v>
      </c>
      <c r="K1038" s="5">
        <f>443 / 86400</f>
        <v>5.1273148148148146E-3</v>
      </c>
      <c r="L1038" s="5">
        <f>2828 / 86400</f>
        <v>3.2731481481481479E-2</v>
      </c>
    </row>
    <row r="1039" spans="1:12" x14ac:dyDescent="0.25">
      <c r="A1039" s="3">
        <v>45697.513460648144</v>
      </c>
      <c r="B1039" t="s">
        <v>122</v>
      </c>
      <c r="C1039" s="3">
        <v>45697.99998842593</v>
      </c>
      <c r="D1039" t="s">
        <v>105</v>
      </c>
      <c r="E1039" s="4">
        <v>224.03899999999999</v>
      </c>
      <c r="F1039" s="4">
        <v>548936.83799999999</v>
      </c>
      <c r="G1039" s="4">
        <v>549160.87699999998</v>
      </c>
      <c r="H1039" s="5">
        <f>13158 / 86400</f>
        <v>0.15229166666666666</v>
      </c>
      <c r="I1039" t="s">
        <v>88</v>
      </c>
      <c r="J1039" t="s">
        <v>23</v>
      </c>
      <c r="K1039" s="5">
        <f>42036 / 86400</f>
        <v>0.48652777777777778</v>
      </c>
      <c r="L1039" s="5">
        <f>0 / 86400</f>
        <v>0</v>
      </c>
    </row>
    <row r="1040" spans="1:1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</row>
    <row r="1041" spans="1:12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s="10" customFormat="1" ht="20.100000000000001" customHeight="1" x14ac:dyDescent="0.35">
      <c r="A1042" s="15" t="s">
        <v>444</v>
      </c>
      <c r="B1042" s="15"/>
      <c r="C1042" s="15"/>
      <c r="D1042" s="15"/>
      <c r="E1042" s="15"/>
      <c r="F1042" s="15"/>
      <c r="G1042" s="15"/>
      <c r="H1042" s="15"/>
      <c r="I1042" s="15"/>
      <c r="J1042" s="15"/>
    </row>
    <row r="1043" spans="1:12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</row>
    <row r="1044" spans="1:12" ht="30" x14ac:dyDescent="0.25">
      <c r="A1044" s="2" t="s">
        <v>6</v>
      </c>
      <c r="B1044" s="2" t="s">
        <v>7</v>
      </c>
      <c r="C1044" s="2" t="s">
        <v>8</v>
      </c>
      <c r="D1044" s="2" t="s">
        <v>9</v>
      </c>
      <c r="E1044" s="2" t="s">
        <v>10</v>
      </c>
      <c r="F1044" s="2" t="s">
        <v>11</v>
      </c>
      <c r="G1044" s="2" t="s">
        <v>12</v>
      </c>
      <c r="H1044" s="2" t="s">
        <v>13</v>
      </c>
      <c r="I1044" s="2" t="s">
        <v>14</v>
      </c>
      <c r="J1044" s="2" t="s">
        <v>15</v>
      </c>
      <c r="K1044" s="2" t="s">
        <v>16</v>
      </c>
      <c r="L1044" s="2" t="s">
        <v>17</v>
      </c>
    </row>
    <row r="1045" spans="1:12" x14ac:dyDescent="0.25">
      <c r="A1045" s="3">
        <v>45697.47756944444</v>
      </c>
      <c r="B1045" t="s">
        <v>106</v>
      </c>
      <c r="C1045" s="3">
        <v>45697.482673611114</v>
      </c>
      <c r="D1045" t="s">
        <v>260</v>
      </c>
      <c r="E1045" s="4">
        <v>2.1949999999999998</v>
      </c>
      <c r="F1045" s="4">
        <v>48257.11</v>
      </c>
      <c r="G1045" s="4">
        <v>48259.305</v>
      </c>
      <c r="H1045" s="5">
        <f>199 / 86400</f>
        <v>2.3032407407407407E-3</v>
      </c>
      <c r="I1045" t="s">
        <v>71</v>
      </c>
      <c r="J1045" t="s">
        <v>20</v>
      </c>
      <c r="K1045" s="5">
        <f>440 / 86400</f>
        <v>5.092592592592593E-3</v>
      </c>
      <c r="L1045" s="5">
        <f>41655 / 86400</f>
        <v>0.48211805555555554</v>
      </c>
    </row>
    <row r="1046" spans="1:12" x14ac:dyDescent="0.25">
      <c r="A1046" s="3">
        <v>45697.487222222218</v>
      </c>
      <c r="B1046" t="s">
        <v>260</v>
      </c>
      <c r="C1046" s="3">
        <v>45697.532488425924</v>
      </c>
      <c r="D1046" t="s">
        <v>122</v>
      </c>
      <c r="E1046" s="4">
        <v>121.3</v>
      </c>
      <c r="F1046" s="4">
        <v>48259.305</v>
      </c>
      <c r="G1046" s="4">
        <v>48380.605000000003</v>
      </c>
      <c r="H1046" s="5">
        <f>739 / 86400</f>
        <v>8.5532407407407415E-3</v>
      </c>
      <c r="I1046" t="s">
        <v>56</v>
      </c>
      <c r="J1046" t="s">
        <v>386</v>
      </c>
      <c r="K1046" s="5">
        <f>3911 / 86400</f>
        <v>4.5266203703703704E-2</v>
      </c>
      <c r="L1046" s="5">
        <f>1846 / 86400</f>
        <v>2.1365740740740741E-2</v>
      </c>
    </row>
    <row r="1047" spans="1:12" x14ac:dyDescent="0.25">
      <c r="A1047" s="3">
        <v>45697.553854166668</v>
      </c>
      <c r="B1047" t="s">
        <v>122</v>
      </c>
      <c r="C1047" s="3">
        <v>45697.555034722223</v>
      </c>
      <c r="D1047" t="s">
        <v>128</v>
      </c>
      <c r="E1047" s="4">
        <v>0.76500000000000001</v>
      </c>
      <c r="F1047" s="4">
        <v>48380.605000000003</v>
      </c>
      <c r="G1047" s="4">
        <v>48381.37</v>
      </c>
      <c r="H1047" s="5">
        <f>40 / 86400</f>
        <v>4.6296296296296298E-4</v>
      </c>
      <c r="I1047" t="s">
        <v>95</v>
      </c>
      <c r="J1047" t="s">
        <v>134</v>
      </c>
      <c r="K1047" s="5">
        <f>102 / 86400</f>
        <v>1.1805555555555556E-3</v>
      </c>
      <c r="L1047" s="5">
        <f>439 / 86400</f>
        <v>5.0810185185185186E-3</v>
      </c>
    </row>
    <row r="1048" spans="1:12" x14ac:dyDescent="0.25">
      <c r="A1048" s="3">
        <v>45697.560115740736</v>
      </c>
      <c r="B1048" t="s">
        <v>128</v>
      </c>
      <c r="C1048" s="3">
        <v>45697.560902777783</v>
      </c>
      <c r="D1048" t="s">
        <v>128</v>
      </c>
      <c r="E1048" s="4">
        <v>2.500000000745058E-2</v>
      </c>
      <c r="F1048" s="4">
        <v>48381.37</v>
      </c>
      <c r="G1048" s="4">
        <v>48381.395000000004</v>
      </c>
      <c r="H1048" s="5">
        <f>41 / 86400</f>
        <v>4.7453703703703704E-4</v>
      </c>
      <c r="I1048" t="s">
        <v>40</v>
      </c>
      <c r="J1048" t="s">
        <v>40</v>
      </c>
      <c r="K1048" s="5">
        <f>68 / 86400</f>
        <v>7.8703703703703705E-4</v>
      </c>
      <c r="L1048" s="5">
        <f>205 / 86400</f>
        <v>2.3726851851851851E-3</v>
      </c>
    </row>
    <row r="1049" spans="1:12" x14ac:dyDescent="0.25">
      <c r="A1049" s="3">
        <v>45697.563275462962</v>
      </c>
      <c r="B1049" t="s">
        <v>128</v>
      </c>
      <c r="C1049" s="3">
        <v>45697.563298611116</v>
      </c>
      <c r="D1049" t="s">
        <v>128</v>
      </c>
      <c r="E1049" s="4">
        <v>0</v>
      </c>
      <c r="F1049" s="4">
        <v>48381.395000000004</v>
      </c>
      <c r="G1049" s="4">
        <v>48381.395000000004</v>
      </c>
      <c r="H1049" s="5">
        <f>0 / 86400</f>
        <v>0</v>
      </c>
      <c r="I1049" t="s">
        <v>63</v>
      </c>
      <c r="J1049" t="s">
        <v>63</v>
      </c>
      <c r="K1049" s="5">
        <f>2 / 86400</f>
        <v>2.3148148148148147E-5</v>
      </c>
      <c r="L1049" s="5">
        <f>1 / 86400</f>
        <v>1.1574074074074073E-5</v>
      </c>
    </row>
    <row r="1050" spans="1:12" x14ac:dyDescent="0.25">
      <c r="A1050" s="3">
        <v>45697.563310185185</v>
      </c>
      <c r="B1050" t="s">
        <v>128</v>
      </c>
      <c r="C1050" s="3">
        <v>45697.768379629633</v>
      </c>
      <c r="D1050" t="s">
        <v>122</v>
      </c>
      <c r="E1050" s="4">
        <v>532.18999999999255</v>
      </c>
      <c r="F1050" s="4">
        <v>48381.395000000004</v>
      </c>
      <c r="G1050" s="4">
        <v>48913.584999999999</v>
      </c>
      <c r="H1050" s="5">
        <f>4896 / 86400</f>
        <v>5.6666666666666664E-2</v>
      </c>
      <c r="I1050" t="s">
        <v>387</v>
      </c>
      <c r="J1050" t="s">
        <v>388</v>
      </c>
      <c r="K1050" s="5">
        <f>17718 / 86400</f>
        <v>0.20506944444444444</v>
      </c>
      <c r="L1050" s="5">
        <f>313 / 86400</f>
        <v>3.6226851851851854E-3</v>
      </c>
    </row>
    <row r="1051" spans="1:12" x14ac:dyDescent="0.25">
      <c r="A1051" s="3">
        <v>45697.772002314814</v>
      </c>
      <c r="B1051" t="s">
        <v>122</v>
      </c>
      <c r="C1051" s="3">
        <v>45697.776122685187</v>
      </c>
      <c r="D1051" t="s">
        <v>122</v>
      </c>
      <c r="E1051" s="4">
        <v>0</v>
      </c>
      <c r="F1051" s="4">
        <v>48913.584999999999</v>
      </c>
      <c r="G1051" s="4">
        <v>48913.584999999999</v>
      </c>
      <c r="H1051" s="5">
        <f>339 / 86400</f>
        <v>3.9236111111111112E-3</v>
      </c>
      <c r="I1051" t="s">
        <v>63</v>
      </c>
      <c r="J1051" t="s">
        <v>63</v>
      </c>
      <c r="K1051" s="5">
        <f>356 / 86400</f>
        <v>4.1203703703703706E-3</v>
      </c>
      <c r="L1051" s="5">
        <f>98 / 86400</f>
        <v>1.1342592592592593E-3</v>
      </c>
    </row>
    <row r="1052" spans="1:12" x14ac:dyDescent="0.25">
      <c r="A1052" s="3">
        <v>45697.77725694445</v>
      </c>
      <c r="B1052" t="s">
        <v>122</v>
      </c>
      <c r="C1052" s="3">
        <v>45697.781006944446</v>
      </c>
      <c r="D1052" t="s">
        <v>128</v>
      </c>
      <c r="E1052" s="4">
        <v>0.2</v>
      </c>
      <c r="F1052" s="4">
        <v>48913.584999999999</v>
      </c>
      <c r="G1052" s="4">
        <v>48913.785000000003</v>
      </c>
      <c r="H1052" s="5">
        <f>260 / 86400</f>
        <v>3.0092592592592593E-3</v>
      </c>
      <c r="I1052" t="s">
        <v>29</v>
      </c>
      <c r="J1052" t="s">
        <v>153</v>
      </c>
      <c r="K1052" s="5">
        <f>323 / 86400</f>
        <v>3.7384259259259259E-3</v>
      </c>
      <c r="L1052" s="5">
        <f>154 / 86400</f>
        <v>1.7824074074074075E-3</v>
      </c>
    </row>
    <row r="1053" spans="1:12" x14ac:dyDescent="0.25">
      <c r="A1053" s="3">
        <v>45697.782789351855</v>
      </c>
      <c r="B1053" t="s">
        <v>128</v>
      </c>
      <c r="C1053" s="3">
        <v>45697.99998842593</v>
      </c>
      <c r="D1053" t="s">
        <v>107</v>
      </c>
      <c r="E1053" s="4">
        <v>576.60500000000002</v>
      </c>
      <c r="F1053" s="4">
        <v>48913.785000000003</v>
      </c>
      <c r="G1053" s="4">
        <v>49490.39</v>
      </c>
      <c r="H1053" s="5">
        <f>5618 / 86400</f>
        <v>6.5023148148148149E-2</v>
      </c>
      <c r="I1053" t="s">
        <v>87</v>
      </c>
      <c r="J1053" t="s">
        <v>389</v>
      </c>
      <c r="K1053" s="5">
        <f>18766 / 86400</f>
        <v>0.21719907407407407</v>
      </c>
      <c r="L1053" s="5">
        <f>0 / 86400</f>
        <v>0</v>
      </c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2" s="10" customFormat="1" ht="20.100000000000001" customHeight="1" x14ac:dyDescent="0.35">
      <c r="A1056" s="15" t="s">
        <v>445</v>
      </c>
      <c r="B1056" s="15"/>
      <c r="C1056" s="15"/>
      <c r="D1056" s="15"/>
      <c r="E1056" s="15"/>
      <c r="F1056" s="15"/>
      <c r="G1056" s="15"/>
      <c r="H1056" s="15"/>
      <c r="I1056" s="15"/>
      <c r="J1056" s="15"/>
    </row>
    <row r="1057" spans="1:1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</row>
    <row r="1058" spans="1:12" ht="30" x14ac:dyDescent="0.25">
      <c r="A1058" s="2" t="s">
        <v>6</v>
      </c>
      <c r="B1058" s="2" t="s">
        <v>7</v>
      </c>
      <c r="C1058" s="2" t="s">
        <v>8</v>
      </c>
      <c r="D1058" s="2" t="s">
        <v>9</v>
      </c>
      <c r="E1058" s="2" t="s">
        <v>10</v>
      </c>
      <c r="F1058" s="2" t="s">
        <v>11</v>
      </c>
      <c r="G1058" s="2" t="s">
        <v>12</v>
      </c>
      <c r="H1058" s="2" t="s">
        <v>13</v>
      </c>
      <c r="I1058" s="2" t="s">
        <v>14</v>
      </c>
      <c r="J1058" s="2" t="s">
        <v>15</v>
      </c>
      <c r="K1058" s="2" t="s">
        <v>16</v>
      </c>
      <c r="L1058" s="2" t="s">
        <v>17</v>
      </c>
    </row>
    <row r="1059" spans="1:12" x14ac:dyDescent="0.25">
      <c r="A1059" s="3">
        <v>45697</v>
      </c>
      <c r="B1059" t="s">
        <v>109</v>
      </c>
      <c r="C1059" s="3">
        <v>45697.001226851848</v>
      </c>
      <c r="D1059" t="s">
        <v>390</v>
      </c>
      <c r="E1059" s="4">
        <v>0.46600000000000003</v>
      </c>
      <c r="F1059" s="4">
        <v>58313.889000000003</v>
      </c>
      <c r="G1059" s="4">
        <v>58314.355000000003</v>
      </c>
      <c r="H1059" s="5">
        <f>20 / 86400</f>
        <v>2.3148148148148149E-4</v>
      </c>
      <c r="I1059" t="s">
        <v>199</v>
      </c>
      <c r="J1059" t="s">
        <v>95</v>
      </c>
      <c r="K1059" s="5">
        <f>106 / 86400</f>
        <v>1.2268518518518518E-3</v>
      </c>
      <c r="L1059" s="5">
        <f>56 / 86400</f>
        <v>6.4814814814814813E-4</v>
      </c>
    </row>
    <row r="1060" spans="1:12" x14ac:dyDescent="0.25">
      <c r="A1060" s="3">
        <v>45697.001875000002</v>
      </c>
      <c r="B1060" t="s">
        <v>390</v>
      </c>
      <c r="C1060" s="3">
        <v>45697.015925925924</v>
      </c>
      <c r="D1060" t="s">
        <v>391</v>
      </c>
      <c r="E1060" s="4">
        <v>7.6550000000000002</v>
      </c>
      <c r="F1060" s="4">
        <v>58314.355000000003</v>
      </c>
      <c r="G1060" s="4">
        <v>58322.01</v>
      </c>
      <c r="H1060" s="5">
        <f>162 / 86400</f>
        <v>1.8749999999999999E-3</v>
      </c>
      <c r="I1060" t="s">
        <v>151</v>
      </c>
      <c r="J1060" t="s">
        <v>140</v>
      </c>
      <c r="K1060" s="5">
        <f>1214 / 86400</f>
        <v>1.4050925925925927E-2</v>
      </c>
      <c r="L1060" s="5">
        <f>143 / 86400</f>
        <v>1.6550925925925926E-3</v>
      </c>
    </row>
    <row r="1061" spans="1:12" x14ac:dyDescent="0.25">
      <c r="A1061" s="3">
        <v>45697.017581018517</v>
      </c>
      <c r="B1061" t="s">
        <v>391</v>
      </c>
      <c r="C1061" s="3">
        <v>45697.017592592594</v>
      </c>
      <c r="D1061" t="s">
        <v>391</v>
      </c>
      <c r="E1061" s="4">
        <v>0</v>
      </c>
      <c r="F1061" s="4">
        <v>58322.01</v>
      </c>
      <c r="G1061" s="4">
        <v>58322.01</v>
      </c>
      <c r="H1061" s="5">
        <f>0 / 86400</f>
        <v>0</v>
      </c>
      <c r="I1061" t="s">
        <v>63</v>
      </c>
      <c r="J1061" t="s">
        <v>63</v>
      </c>
      <c r="K1061" s="5">
        <f>0 / 86400</f>
        <v>0</v>
      </c>
      <c r="L1061" s="5">
        <f>192 / 86400</f>
        <v>2.2222222222222222E-3</v>
      </c>
    </row>
    <row r="1062" spans="1:12" x14ac:dyDescent="0.25">
      <c r="A1062" s="3">
        <v>45697.019814814819</v>
      </c>
      <c r="B1062" t="s">
        <v>391</v>
      </c>
      <c r="C1062" s="3">
        <v>45697.02171296296</v>
      </c>
      <c r="D1062" t="s">
        <v>391</v>
      </c>
      <c r="E1062" s="4">
        <v>0.182</v>
      </c>
      <c r="F1062" s="4">
        <v>58322.01</v>
      </c>
      <c r="G1062" s="4">
        <v>58322.192000000003</v>
      </c>
      <c r="H1062" s="5">
        <f>100 / 86400</f>
        <v>1.1574074074074073E-3</v>
      </c>
      <c r="I1062" t="s">
        <v>95</v>
      </c>
      <c r="J1062" t="s">
        <v>191</v>
      </c>
      <c r="K1062" s="5">
        <f>163 / 86400</f>
        <v>1.8865740740740742E-3</v>
      </c>
      <c r="L1062" s="5">
        <f>413 / 86400</f>
        <v>4.7800925925925927E-3</v>
      </c>
    </row>
    <row r="1063" spans="1:12" x14ac:dyDescent="0.25">
      <c r="A1063" s="3">
        <v>45697.026493055557</v>
      </c>
      <c r="B1063" t="s">
        <v>391</v>
      </c>
      <c r="C1063" s="3">
        <v>45697.026712962965</v>
      </c>
      <c r="D1063" t="s">
        <v>392</v>
      </c>
      <c r="E1063" s="4">
        <v>2.4E-2</v>
      </c>
      <c r="F1063" s="4">
        <v>58322.192000000003</v>
      </c>
      <c r="G1063" s="4">
        <v>58322.216</v>
      </c>
      <c r="H1063" s="5">
        <f>0 / 86400</f>
        <v>0</v>
      </c>
      <c r="I1063" t="s">
        <v>135</v>
      </c>
      <c r="J1063" t="s">
        <v>82</v>
      </c>
      <c r="K1063" s="5">
        <f>18 / 86400</f>
        <v>2.0833333333333335E-4</v>
      </c>
      <c r="L1063" s="5">
        <f>18 / 86400</f>
        <v>2.0833333333333335E-4</v>
      </c>
    </row>
    <row r="1064" spans="1:12" x14ac:dyDescent="0.25">
      <c r="A1064" s="3">
        <v>45697.026921296296</v>
      </c>
      <c r="B1064" t="s">
        <v>392</v>
      </c>
      <c r="C1064" s="3">
        <v>45697.141215277778</v>
      </c>
      <c r="D1064" t="s">
        <v>329</v>
      </c>
      <c r="E1064" s="4">
        <v>56.99</v>
      </c>
      <c r="F1064" s="4">
        <v>58322.216</v>
      </c>
      <c r="G1064" s="4">
        <v>58379.205999999998</v>
      </c>
      <c r="H1064" s="5">
        <f>3540 / 86400</f>
        <v>4.0972222222222222E-2</v>
      </c>
      <c r="I1064" t="s">
        <v>76</v>
      </c>
      <c r="J1064" t="s">
        <v>49</v>
      </c>
      <c r="K1064" s="5">
        <f>9874 / 86400</f>
        <v>0.1142824074074074</v>
      </c>
      <c r="L1064" s="5">
        <f>639 / 86400</f>
        <v>7.3958333333333333E-3</v>
      </c>
    </row>
    <row r="1065" spans="1:12" x14ac:dyDescent="0.25">
      <c r="A1065" s="3">
        <v>45697.148611111115</v>
      </c>
      <c r="B1065" t="s">
        <v>329</v>
      </c>
      <c r="C1065" s="3">
        <v>45697.151747685188</v>
      </c>
      <c r="D1065" t="s">
        <v>393</v>
      </c>
      <c r="E1065" s="4">
        <v>0.26300000000000001</v>
      </c>
      <c r="F1065" s="4">
        <v>58379.205999999998</v>
      </c>
      <c r="G1065" s="4">
        <v>58379.468999999997</v>
      </c>
      <c r="H1065" s="5">
        <f>180 / 86400</f>
        <v>2.0833333333333333E-3</v>
      </c>
      <c r="I1065" t="s">
        <v>71</v>
      </c>
      <c r="J1065" t="s">
        <v>191</v>
      </c>
      <c r="K1065" s="5">
        <f>270 / 86400</f>
        <v>3.1250000000000002E-3</v>
      </c>
      <c r="L1065" s="5">
        <f>173 / 86400</f>
        <v>2.0023148148148148E-3</v>
      </c>
    </row>
    <row r="1066" spans="1:12" x14ac:dyDescent="0.25">
      <c r="A1066" s="3">
        <v>45697.153749999998</v>
      </c>
      <c r="B1066" t="s">
        <v>393</v>
      </c>
      <c r="C1066" s="3">
        <v>45697.154502314814</v>
      </c>
      <c r="D1066" t="s">
        <v>393</v>
      </c>
      <c r="E1066" s="4">
        <v>1.7000000000000001E-2</v>
      </c>
      <c r="F1066" s="4">
        <v>58379.468999999997</v>
      </c>
      <c r="G1066" s="4">
        <v>58379.485999999997</v>
      </c>
      <c r="H1066" s="5">
        <f>40 / 86400</f>
        <v>4.6296296296296298E-4</v>
      </c>
      <c r="I1066" t="s">
        <v>82</v>
      </c>
      <c r="J1066" t="s">
        <v>40</v>
      </c>
      <c r="K1066" s="5">
        <f>65 / 86400</f>
        <v>7.5231481481481482E-4</v>
      </c>
      <c r="L1066" s="5">
        <f>129 / 86400</f>
        <v>1.4930555555555556E-3</v>
      </c>
    </row>
    <row r="1067" spans="1:12" x14ac:dyDescent="0.25">
      <c r="A1067" s="3">
        <v>45697.155995370369</v>
      </c>
      <c r="B1067" t="s">
        <v>393</v>
      </c>
      <c r="C1067" s="3">
        <v>45697.157002314816</v>
      </c>
      <c r="D1067" t="s">
        <v>393</v>
      </c>
      <c r="E1067" s="4">
        <v>3.7999999999999999E-2</v>
      </c>
      <c r="F1067" s="4">
        <v>58379.485999999997</v>
      </c>
      <c r="G1067" s="4">
        <v>58379.523999999998</v>
      </c>
      <c r="H1067" s="5">
        <f>39 / 86400</f>
        <v>4.5138888888888887E-4</v>
      </c>
      <c r="I1067" t="s">
        <v>39</v>
      </c>
      <c r="J1067" t="s">
        <v>153</v>
      </c>
      <c r="K1067" s="5">
        <f>87 / 86400</f>
        <v>1.0069444444444444E-3</v>
      </c>
      <c r="L1067" s="5">
        <f>23097 / 86400</f>
        <v>0.26732638888888888</v>
      </c>
    </row>
    <row r="1068" spans="1:12" x14ac:dyDescent="0.25">
      <c r="A1068" s="3">
        <v>45697.424328703702</v>
      </c>
      <c r="B1068" t="s">
        <v>393</v>
      </c>
      <c r="C1068" s="3">
        <v>45697.435729166667</v>
      </c>
      <c r="D1068" t="s">
        <v>84</v>
      </c>
      <c r="E1068" s="4">
        <v>4.2430000000000003</v>
      </c>
      <c r="F1068" s="4">
        <v>58379.523999999998</v>
      </c>
      <c r="G1068" s="4">
        <v>58383.767</v>
      </c>
      <c r="H1068" s="5">
        <f>260 / 86400</f>
        <v>3.0092592592592593E-3</v>
      </c>
      <c r="I1068" t="s">
        <v>256</v>
      </c>
      <c r="J1068" t="s">
        <v>95</v>
      </c>
      <c r="K1068" s="5">
        <f>985 / 86400</f>
        <v>1.1400462962962963E-2</v>
      </c>
      <c r="L1068" s="5">
        <f>6269 / 86400</f>
        <v>7.255787037037037E-2</v>
      </c>
    </row>
    <row r="1069" spans="1:12" x14ac:dyDescent="0.25">
      <c r="A1069" s="3">
        <v>45697.506273148145</v>
      </c>
      <c r="B1069" t="s">
        <v>84</v>
      </c>
      <c r="C1069" s="3">
        <v>45697.507893518516</v>
      </c>
      <c r="D1069" t="s">
        <v>41</v>
      </c>
      <c r="E1069" s="4">
        <v>4.2999999999999997E-2</v>
      </c>
      <c r="F1069" s="4">
        <v>58383.767</v>
      </c>
      <c r="G1069" s="4">
        <v>58383.81</v>
      </c>
      <c r="H1069" s="5">
        <f>119 / 86400</f>
        <v>1.3773148148148147E-3</v>
      </c>
      <c r="I1069" t="s">
        <v>63</v>
      </c>
      <c r="J1069" t="s">
        <v>40</v>
      </c>
      <c r="K1069" s="5">
        <f>139 / 86400</f>
        <v>1.6087962962962963E-3</v>
      </c>
      <c r="L1069" s="5">
        <f>0 / 86400</f>
        <v>0</v>
      </c>
    </row>
    <row r="1070" spans="1:12" x14ac:dyDescent="0.25">
      <c r="A1070" s="3">
        <v>45697.508287037039</v>
      </c>
      <c r="B1070" t="s">
        <v>41</v>
      </c>
      <c r="C1070" s="3">
        <v>45697.510624999995</v>
      </c>
      <c r="D1070" t="s">
        <v>127</v>
      </c>
      <c r="E1070" s="4">
        <v>0.96299999999999997</v>
      </c>
      <c r="F1070" s="4">
        <v>58383.81</v>
      </c>
      <c r="G1070" s="4">
        <v>58384.773000000001</v>
      </c>
      <c r="H1070" s="5">
        <f>20 / 86400</f>
        <v>2.3148148148148149E-4</v>
      </c>
      <c r="I1070" t="s">
        <v>129</v>
      </c>
      <c r="J1070" t="s">
        <v>71</v>
      </c>
      <c r="K1070" s="5">
        <f>201 / 86400</f>
        <v>2.3263888888888887E-3</v>
      </c>
      <c r="L1070" s="5">
        <f>1789 / 86400</f>
        <v>2.0706018518518519E-2</v>
      </c>
    </row>
    <row r="1071" spans="1:12" x14ac:dyDescent="0.25">
      <c r="A1071" s="3">
        <v>45697.531331018516</v>
      </c>
      <c r="B1071" t="s">
        <v>127</v>
      </c>
      <c r="C1071" s="3">
        <v>45697.532395833332</v>
      </c>
      <c r="D1071" t="s">
        <v>393</v>
      </c>
      <c r="E1071" s="4">
        <v>0.17100000000000001</v>
      </c>
      <c r="F1071" s="4">
        <v>58384.773000000001</v>
      </c>
      <c r="G1071" s="4">
        <v>58384.944000000003</v>
      </c>
      <c r="H1071" s="5">
        <f>0 / 86400</f>
        <v>0</v>
      </c>
      <c r="I1071" t="s">
        <v>33</v>
      </c>
      <c r="J1071" t="s">
        <v>39</v>
      </c>
      <c r="K1071" s="5">
        <f>91 / 86400</f>
        <v>1.0532407407407407E-3</v>
      </c>
      <c r="L1071" s="5">
        <f>38 / 86400</f>
        <v>4.3981481481481481E-4</v>
      </c>
    </row>
    <row r="1072" spans="1:12" x14ac:dyDescent="0.25">
      <c r="A1072" s="3">
        <v>45697.532835648148</v>
      </c>
      <c r="B1072" t="s">
        <v>393</v>
      </c>
      <c r="C1072" s="3">
        <v>45697.533495370371</v>
      </c>
      <c r="D1072" t="s">
        <v>393</v>
      </c>
      <c r="E1072" s="4">
        <v>4.1000000000000002E-2</v>
      </c>
      <c r="F1072" s="4">
        <v>58384.944000000003</v>
      </c>
      <c r="G1072" s="4">
        <v>58384.985000000001</v>
      </c>
      <c r="H1072" s="5">
        <f>0 / 86400</f>
        <v>0</v>
      </c>
      <c r="I1072" t="s">
        <v>39</v>
      </c>
      <c r="J1072" t="s">
        <v>125</v>
      </c>
      <c r="K1072" s="5">
        <f>56 / 86400</f>
        <v>6.4814814814814813E-4</v>
      </c>
      <c r="L1072" s="5">
        <f>4210 / 86400</f>
        <v>4.8726851851851855E-2</v>
      </c>
    </row>
    <row r="1073" spans="1:12" x14ac:dyDescent="0.25">
      <c r="A1073" s="3">
        <v>45697.58222222222</v>
      </c>
      <c r="B1073" t="s">
        <v>393</v>
      </c>
      <c r="C1073" s="3">
        <v>45697.584016203706</v>
      </c>
      <c r="D1073" t="s">
        <v>127</v>
      </c>
      <c r="E1073" s="4">
        <v>0.27200000000000002</v>
      </c>
      <c r="F1073" s="4">
        <v>58384.985000000001</v>
      </c>
      <c r="G1073" s="4">
        <v>58385.256999999998</v>
      </c>
      <c r="H1073" s="5">
        <f>40 / 86400</f>
        <v>4.6296296296296298E-4</v>
      </c>
      <c r="I1073" t="s">
        <v>20</v>
      </c>
      <c r="J1073" t="s">
        <v>29</v>
      </c>
      <c r="K1073" s="5">
        <f>155 / 86400</f>
        <v>1.7939814814814815E-3</v>
      </c>
      <c r="L1073" s="5">
        <f>8231 / 86400</f>
        <v>9.52662037037037E-2</v>
      </c>
    </row>
    <row r="1074" spans="1:12" x14ac:dyDescent="0.25">
      <c r="A1074" s="3">
        <v>45697.679282407407</v>
      </c>
      <c r="B1074" t="s">
        <v>72</v>
      </c>
      <c r="C1074" s="3">
        <v>45697.691712962958</v>
      </c>
      <c r="D1074" t="s">
        <v>103</v>
      </c>
      <c r="E1074" s="4">
        <v>4.9080000000000004</v>
      </c>
      <c r="F1074" s="4">
        <v>58385.256999999998</v>
      </c>
      <c r="G1074" s="4">
        <v>58390.165000000001</v>
      </c>
      <c r="H1074" s="5">
        <f>260 / 86400</f>
        <v>3.0092592592592593E-3</v>
      </c>
      <c r="I1074" t="s">
        <v>180</v>
      </c>
      <c r="J1074" t="s">
        <v>95</v>
      </c>
      <c r="K1074" s="5">
        <f>1074 / 86400</f>
        <v>1.2430555555555556E-2</v>
      </c>
      <c r="L1074" s="5">
        <f>37 / 86400</f>
        <v>4.2824074074074075E-4</v>
      </c>
    </row>
    <row r="1075" spans="1:12" x14ac:dyDescent="0.25">
      <c r="A1075" s="3">
        <v>45697.692141203705</v>
      </c>
      <c r="B1075" t="s">
        <v>103</v>
      </c>
      <c r="C1075" s="3">
        <v>45697.764756944445</v>
      </c>
      <c r="D1075" t="s">
        <v>142</v>
      </c>
      <c r="E1075" s="4">
        <v>35.256999999999998</v>
      </c>
      <c r="F1075" s="4">
        <v>58390.165000000001</v>
      </c>
      <c r="G1075" s="4">
        <v>58425.421999999999</v>
      </c>
      <c r="H1075" s="5">
        <f>2340 / 86400</f>
        <v>2.7083333333333334E-2</v>
      </c>
      <c r="I1075" t="s">
        <v>25</v>
      </c>
      <c r="J1075" t="s">
        <v>28</v>
      </c>
      <c r="K1075" s="5">
        <f>6274 / 86400</f>
        <v>7.2615740740740745E-2</v>
      </c>
      <c r="L1075" s="5">
        <f>42 / 86400</f>
        <v>4.861111111111111E-4</v>
      </c>
    </row>
    <row r="1076" spans="1:12" x14ac:dyDescent="0.25">
      <c r="A1076" s="3">
        <v>45697.765243055561</v>
      </c>
      <c r="B1076" t="s">
        <v>142</v>
      </c>
      <c r="C1076" s="3">
        <v>45697.765324074076</v>
      </c>
      <c r="D1076" t="s">
        <v>309</v>
      </c>
      <c r="E1076" s="4">
        <v>0</v>
      </c>
      <c r="F1076" s="4">
        <v>58425.421999999999</v>
      </c>
      <c r="G1076" s="4">
        <v>58425.421999999999</v>
      </c>
      <c r="H1076" s="5">
        <f>0 / 86400</f>
        <v>0</v>
      </c>
      <c r="I1076" t="s">
        <v>63</v>
      </c>
      <c r="J1076" t="s">
        <v>63</v>
      </c>
      <c r="K1076" s="5">
        <f>7 / 86400</f>
        <v>8.1018518518518516E-5</v>
      </c>
      <c r="L1076" s="5">
        <f>36 / 86400</f>
        <v>4.1666666666666669E-4</v>
      </c>
    </row>
    <row r="1077" spans="1:12" x14ac:dyDescent="0.25">
      <c r="A1077" s="3">
        <v>45697.765740740739</v>
      </c>
      <c r="B1077" t="s">
        <v>309</v>
      </c>
      <c r="C1077" s="3">
        <v>45697.765879629631</v>
      </c>
      <c r="D1077" t="s">
        <v>142</v>
      </c>
      <c r="E1077" s="4">
        <v>0</v>
      </c>
      <c r="F1077" s="4">
        <v>58425.421999999999</v>
      </c>
      <c r="G1077" s="4">
        <v>58425.421999999999</v>
      </c>
      <c r="H1077" s="5">
        <f>0 / 86400</f>
        <v>0</v>
      </c>
      <c r="I1077" t="s">
        <v>63</v>
      </c>
      <c r="J1077" t="s">
        <v>63</v>
      </c>
      <c r="K1077" s="5">
        <f>12 / 86400</f>
        <v>1.3888888888888889E-4</v>
      </c>
      <c r="L1077" s="5">
        <f>388 / 86400</f>
        <v>4.4907407407407405E-3</v>
      </c>
    </row>
    <row r="1078" spans="1:12" x14ac:dyDescent="0.25">
      <c r="A1078" s="3">
        <v>45697.770370370374</v>
      </c>
      <c r="B1078" t="s">
        <v>309</v>
      </c>
      <c r="C1078" s="3">
        <v>45697.771678240737</v>
      </c>
      <c r="D1078" t="s">
        <v>142</v>
      </c>
      <c r="E1078" s="4">
        <v>0.02</v>
      </c>
      <c r="F1078" s="4">
        <v>58425.421999999999</v>
      </c>
      <c r="G1078" s="4">
        <v>58425.442000000003</v>
      </c>
      <c r="H1078" s="5">
        <f>39 / 86400</f>
        <v>4.5138888888888887E-4</v>
      </c>
      <c r="I1078" t="s">
        <v>153</v>
      </c>
      <c r="J1078" t="s">
        <v>40</v>
      </c>
      <c r="K1078" s="5">
        <f>112 / 86400</f>
        <v>1.2962962962962963E-3</v>
      </c>
      <c r="L1078" s="5">
        <f>21 / 86400</f>
        <v>2.4305555555555555E-4</v>
      </c>
    </row>
    <row r="1079" spans="1:12" x14ac:dyDescent="0.25">
      <c r="A1079" s="3">
        <v>45697.771921296298</v>
      </c>
      <c r="B1079" t="s">
        <v>142</v>
      </c>
      <c r="C1079" s="3">
        <v>45697.772048611107</v>
      </c>
      <c r="D1079" t="s">
        <v>142</v>
      </c>
      <c r="E1079" s="4">
        <v>7.0000000000000001E-3</v>
      </c>
      <c r="F1079" s="4">
        <v>58425.442999999999</v>
      </c>
      <c r="G1079" s="4">
        <v>58425.45</v>
      </c>
      <c r="H1079" s="5">
        <f>0 / 86400</f>
        <v>0</v>
      </c>
      <c r="I1079" t="s">
        <v>153</v>
      </c>
      <c r="J1079" t="s">
        <v>153</v>
      </c>
      <c r="K1079" s="5">
        <f>11 / 86400</f>
        <v>1.273148148148148E-4</v>
      </c>
      <c r="L1079" s="5">
        <f>115 / 86400</f>
        <v>1.3310185185185185E-3</v>
      </c>
    </row>
    <row r="1080" spans="1:12" x14ac:dyDescent="0.25">
      <c r="A1080" s="3">
        <v>45697.773379629631</v>
      </c>
      <c r="B1080" t="s">
        <v>142</v>
      </c>
      <c r="C1080" s="3">
        <v>45697.773518518516</v>
      </c>
      <c r="D1080" t="s">
        <v>36</v>
      </c>
      <c r="E1080" s="4">
        <v>3.0000000000000001E-3</v>
      </c>
      <c r="F1080" s="4">
        <v>58425.45</v>
      </c>
      <c r="G1080" s="4">
        <v>58425.453000000001</v>
      </c>
      <c r="H1080" s="5">
        <f>0 / 86400</f>
        <v>0</v>
      </c>
      <c r="I1080" t="s">
        <v>63</v>
      </c>
      <c r="J1080" t="s">
        <v>40</v>
      </c>
      <c r="K1080" s="5">
        <f>11 / 86400</f>
        <v>1.273148148148148E-4</v>
      </c>
      <c r="L1080" s="5">
        <f>150 / 86400</f>
        <v>1.736111111111111E-3</v>
      </c>
    </row>
    <row r="1081" spans="1:12" x14ac:dyDescent="0.25">
      <c r="A1081" s="3">
        <v>45697.775254629625</v>
      </c>
      <c r="B1081" t="s">
        <v>142</v>
      </c>
      <c r="C1081" s="3">
        <v>45697.858981481477</v>
      </c>
      <c r="D1081" t="s">
        <v>103</v>
      </c>
      <c r="E1081" s="4">
        <v>38.204999999999998</v>
      </c>
      <c r="F1081" s="4">
        <v>58425.453000000001</v>
      </c>
      <c r="G1081" s="4">
        <v>58463.658000000003</v>
      </c>
      <c r="H1081" s="5">
        <f>2440 / 86400</f>
        <v>2.824074074074074E-2</v>
      </c>
      <c r="I1081" t="s">
        <v>94</v>
      </c>
      <c r="J1081" t="s">
        <v>23</v>
      </c>
      <c r="K1081" s="5">
        <f>7234 / 86400</f>
        <v>8.3726851851851858E-2</v>
      </c>
      <c r="L1081" s="5">
        <f>367 / 86400</f>
        <v>4.2476851851851851E-3</v>
      </c>
    </row>
    <row r="1082" spans="1:12" x14ac:dyDescent="0.25">
      <c r="A1082" s="3">
        <v>45697.863229166665</v>
      </c>
      <c r="B1082" t="s">
        <v>103</v>
      </c>
      <c r="C1082" s="3">
        <v>45697.976643518516</v>
      </c>
      <c r="D1082" t="s">
        <v>142</v>
      </c>
      <c r="E1082" s="4">
        <v>52.262</v>
      </c>
      <c r="F1082" s="4">
        <v>58463.658000000003</v>
      </c>
      <c r="G1082" s="4">
        <v>58515.92</v>
      </c>
      <c r="H1082" s="5">
        <f>3281 / 86400</f>
        <v>3.7974537037037036E-2</v>
      </c>
      <c r="I1082" t="s">
        <v>88</v>
      </c>
      <c r="J1082" t="s">
        <v>23</v>
      </c>
      <c r="K1082" s="5">
        <f>9799 / 86400</f>
        <v>0.11341435185185185</v>
      </c>
      <c r="L1082" s="5">
        <f>32 / 86400</f>
        <v>3.7037037037037035E-4</v>
      </c>
    </row>
    <row r="1083" spans="1:12" x14ac:dyDescent="0.25">
      <c r="A1083" s="3">
        <v>45697.977013888885</v>
      </c>
      <c r="B1083" t="s">
        <v>142</v>
      </c>
      <c r="C1083" s="3">
        <v>45697.979201388887</v>
      </c>
      <c r="D1083" t="s">
        <v>36</v>
      </c>
      <c r="E1083" s="4">
        <v>7.0000000000000001E-3</v>
      </c>
      <c r="F1083" s="4">
        <v>58515.92</v>
      </c>
      <c r="G1083" s="4">
        <v>58515.927000000003</v>
      </c>
      <c r="H1083" s="5">
        <f>179 / 86400</f>
        <v>2.0717592592592593E-3</v>
      </c>
      <c r="I1083" t="s">
        <v>63</v>
      </c>
      <c r="J1083" t="s">
        <v>63</v>
      </c>
      <c r="K1083" s="5">
        <f>188 / 86400</f>
        <v>2.1759259259259258E-3</v>
      </c>
      <c r="L1083" s="5">
        <f>19 / 86400</f>
        <v>2.199074074074074E-4</v>
      </c>
    </row>
    <row r="1084" spans="1:12" x14ac:dyDescent="0.25">
      <c r="A1084" s="3">
        <v>45697.979421296295</v>
      </c>
      <c r="B1084" t="s">
        <v>36</v>
      </c>
      <c r="C1084" s="3">
        <v>45697.99998842593</v>
      </c>
      <c r="D1084" t="s">
        <v>110</v>
      </c>
      <c r="E1084" s="4">
        <v>7.8310000000000004</v>
      </c>
      <c r="F1084" s="4">
        <v>58515.927000000003</v>
      </c>
      <c r="G1084" s="4">
        <v>58523.758000000002</v>
      </c>
      <c r="H1084" s="5">
        <f>639 / 86400</f>
        <v>7.3958333333333333E-3</v>
      </c>
      <c r="I1084" t="s">
        <v>155</v>
      </c>
      <c r="J1084" t="s">
        <v>95</v>
      </c>
      <c r="K1084" s="5">
        <f>1777 / 86400</f>
        <v>2.056712962962963E-2</v>
      </c>
      <c r="L1084" s="5">
        <f>0 / 86400</f>
        <v>0</v>
      </c>
    </row>
    <row r="1085" spans="1:12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</row>
    <row r="1086" spans="1:1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2" s="10" customFormat="1" ht="20.100000000000001" customHeight="1" x14ac:dyDescent="0.35">
      <c r="A1087" s="15" t="s">
        <v>446</v>
      </c>
      <c r="B1087" s="15"/>
      <c r="C1087" s="15"/>
      <c r="D1087" s="15"/>
      <c r="E1087" s="15"/>
      <c r="F1087" s="15"/>
      <c r="G1087" s="15"/>
      <c r="H1087" s="15"/>
      <c r="I1087" s="15"/>
      <c r="J1087" s="15"/>
    </row>
    <row r="1088" spans="1:12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</row>
    <row r="1089" spans="1:12" ht="30" x14ac:dyDescent="0.25">
      <c r="A1089" s="2" t="s">
        <v>6</v>
      </c>
      <c r="B1089" s="2" t="s">
        <v>7</v>
      </c>
      <c r="C1089" s="2" t="s">
        <v>8</v>
      </c>
      <c r="D1089" s="2" t="s">
        <v>9</v>
      </c>
      <c r="E1089" s="2" t="s">
        <v>10</v>
      </c>
      <c r="F1089" s="2" t="s">
        <v>11</v>
      </c>
      <c r="G1089" s="2" t="s">
        <v>12</v>
      </c>
      <c r="H1089" s="2" t="s">
        <v>13</v>
      </c>
      <c r="I1089" s="2" t="s">
        <v>14</v>
      </c>
      <c r="J1089" s="2" t="s">
        <v>15</v>
      </c>
      <c r="K1089" s="2" t="s">
        <v>16</v>
      </c>
      <c r="L1089" s="2" t="s">
        <v>17</v>
      </c>
    </row>
    <row r="1090" spans="1:12" x14ac:dyDescent="0.25">
      <c r="A1090" s="3">
        <v>45697</v>
      </c>
      <c r="B1090" t="s">
        <v>111</v>
      </c>
      <c r="C1090" s="3">
        <v>45697.026863425926</v>
      </c>
      <c r="D1090" t="s">
        <v>394</v>
      </c>
      <c r="E1090" s="4">
        <v>16.172000000000001</v>
      </c>
      <c r="F1090" s="4">
        <v>61255.527999999998</v>
      </c>
      <c r="G1090" s="4">
        <v>61271.7</v>
      </c>
      <c r="H1090" s="5">
        <f>520 / 86400</f>
        <v>6.0185185185185185E-3</v>
      </c>
      <c r="I1090" t="s">
        <v>146</v>
      </c>
      <c r="J1090" t="s">
        <v>81</v>
      </c>
      <c r="K1090" s="5">
        <f>2321 / 86400</f>
        <v>2.6863425925925926E-2</v>
      </c>
      <c r="L1090" s="5">
        <f>144 / 86400</f>
        <v>1.6666666666666668E-3</v>
      </c>
    </row>
    <row r="1091" spans="1:12" x14ac:dyDescent="0.25">
      <c r="A1091" s="3">
        <v>45697.02853009259</v>
      </c>
      <c r="B1091" t="s">
        <v>394</v>
      </c>
      <c r="C1091" s="3">
        <v>45697.03392361111</v>
      </c>
      <c r="D1091" t="s">
        <v>361</v>
      </c>
      <c r="E1091" s="4">
        <v>1.0429999999999999</v>
      </c>
      <c r="F1091" s="4">
        <v>61271.7</v>
      </c>
      <c r="G1091" s="4">
        <v>61272.743000000002</v>
      </c>
      <c r="H1091" s="5">
        <f>260 / 86400</f>
        <v>3.0092592592592593E-3</v>
      </c>
      <c r="I1091" t="s">
        <v>152</v>
      </c>
      <c r="J1091" t="s">
        <v>135</v>
      </c>
      <c r="K1091" s="5">
        <f>465 / 86400</f>
        <v>5.3819444444444444E-3</v>
      </c>
      <c r="L1091" s="5">
        <f>579 / 86400</f>
        <v>6.7013888888888887E-3</v>
      </c>
    </row>
    <row r="1092" spans="1:12" x14ac:dyDescent="0.25">
      <c r="A1092" s="3">
        <v>45697.040625000001</v>
      </c>
      <c r="B1092" t="s">
        <v>361</v>
      </c>
      <c r="C1092" s="3">
        <v>45697.049953703703</v>
      </c>
      <c r="D1092" t="s">
        <v>96</v>
      </c>
      <c r="E1092" s="4">
        <v>4.25</v>
      </c>
      <c r="F1092" s="4">
        <v>61272.743000000002</v>
      </c>
      <c r="G1092" s="4">
        <v>61276.993000000002</v>
      </c>
      <c r="H1092" s="5">
        <f>159 / 86400</f>
        <v>1.8402777777777777E-3</v>
      </c>
      <c r="I1092" t="s">
        <v>217</v>
      </c>
      <c r="J1092" t="s">
        <v>23</v>
      </c>
      <c r="K1092" s="5">
        <f>805 / 86400</f>
        <v>9.3171296296296301E-3</v>
      </c>
      <c r="L1092" s="5">
        <f>668 / 86400</f>
        <v>7.7314814814814815E-3</v>
      </c>
    </row>
    <row r="1093" spans="1:12" x14ac:dyDescent="0.25">
      <c r="A1093" s="3">
        <v>45697.05768518518</v>
      </c>
      <c r="B1093" t="s">
        <v>96</v>
      </c>
      <c r="C1093" s="3">
        <v>45697.063113425931</v>
      </c>
      <c r="D1093" t="s">
        <v>84</v>
      </c>
      <c r="E1093" s="4">
        <v>1.6240000000000001</v>
      </c>
      <c r="F1093" s="4">
        <v>61276.993000000002</v>
      </c>
      <c r="G1093" s="4">
        <v>61278.616999999998</v>
      </c>
      <c r="H1093" s="5">
        <f>179 / 86400</f>
        <v>2.0717592592592593E-3</v>
      </c>
      <c r="I1093" t="s">
        <v>209</v>
      </c>
      <c r="J1093" t="s">
        <v>92</v>
      </c>
      <c r="K1093" s="5">
        <f>469 / 86400</f>
        <v>5.4282407407407404E-3</v>
      </c>
      <c r="L1093" s="5">
        <f>7565 / 86400</f>
        <v>8.7557870370370369E-2</v>
      </c>
    </row>
    <row r="1094" spans="1:12" x14ac:dyDescent="0.25">
      <c r="A1094" s="3">
        <v>45697.150671296295</v>
      </c>
      <c r="B1094" t="s">
        <v>84</v>
      </c>
      <c r="C1094" s="3">
        <v>45697.1559375</v>
      </c>
      <c r="D1094" t="s">
        <v>128</v>
      </c>
      <c r="E1094" s="4">
        <v>0.47699999999999998</v>
      </c>
      <c r="F1094" s="4">
        <v>61278.616999999998</v>
      </c>
      <c r="G1094" s="4">
        <v>61279.093999999997</v>
      </c>
      <c r="H1094" s="5">
        <f>319 / 86400</f>
        <v>3.6921296296296298E-3</v>
      </c>
      <c r="I1094" t="s">
        <v>23</v>
      </c>
      <c r="J1094" t="s">
        <v>191</v>
      </c>
      <c r="K1094" s="5">
        <f>455 / 86400</f>
        <v>5.2662037037037035E-3</v>
      </c>
      <c r="L1094" s="5">
        <f>8 / 86400</f>
        <v>9.2592592592592588E-5</v>
      </c>
    </row>
    <row r="1095" spans="1:12" x14ac:dyDescent="0.25">
      <c r="A1095" s="3">
        <v>45697.156030092592</v>
      </c>
      <c r="B1095" t="s">
        <v>128</v>
      </c>
      <c r="C1095" s="3">
        <v>45697.473958333328</v>
      </c>
      <c r="D1095" t="s">
        <v>41</v>
      </c>
      <c r="E1095" s="4">
        <v>174.22900000000001</v>
      </c>
      <c r="F1095" s="4">
        <v>61279.093999999997</v>
      </c>
      <c r="G1095" s="4">
        <v>61453.322999999997</v>
      </c>
      <c r="H1095" s="5">
        <f>7331 / 86400</f>
        <v>8.4849537037037043E-2</v>
      </c>
      <c r="I1095" t="s">
        <v>65</v>
      </c>
      <c r="J1095" t="s">
        <v>140</v>
      </c>
      <c r="K1095" s="5">
        <f>27469 / 86400</f>
        <v>0.31792824074074072</v>
      </c>
      <c r="L1095" s="5">
        <f>320 / 86400</f>
        <v>3.7037037037037038E-3</v>
      </c>
    </row>
    <row r="1096" spans="1:12" x14ac:dyDescent="0.25">
      <c r="A1096" s="3">
        <v>45697.477662037039</v>
      </c>
      <c r="B1096" t="s">
        <v>41</v>
      </c>
      <c r="C1096" s="3">
        <v>45697.47824074074</v>
      </c>
      <c r="D1096" t="s">
        <v>84</v>
      </c>
      <c r="E1096" s="4">
        <v>3.3000000000000002E-2</v>
      </c>
      <c r="F1096" s="4">
        <v>61453.322999999997</v>
      </c>
      <c r="G1096" s="4">
        <v>61453.356</v>
      </c>
      <c r="H1096" s="5">
        <f>20 / 86400</f>
        <v>2.3148148148148149E-4</v>
      </c>
      <c r="I1096" t="s">
        <v>125</v>
      </c>
      <c r="J1096" t="s">
        <v>153</v>
      </c>
      <c r="K1096" s="5">
        <f>50 / 86400</f>
        <v>5.7870370370370367E-4</v>
      </c>
      <c r="L1096" s="5">
        <f>1898 / 86400</f>
        <v>2.1967592592592594E-2</v>
      </c>
    </row>
    <row r="1097" spans="1:12" x14ac:dyDescent="0.25">
      <c r="A1097" s="3">
        <v>45697.500208333338</v>
      </c>
      <c r="B1097" t="s">
        <v>84</v>
      </c>
      <c r="C1097" s="3">
        <v>45697.500451388885</v>
      </c>
      <c r="D1097" t="s">
        <v>84</v>
      </c>
      <c r="E1097" s="4">
        <v>3.0000000000000001E-3</v>
      </c>
      <c r="F1097" s="4">
        <v>61453.356</v>
      </c>
      <c r="G1097" s="4">
        <v>61453.358999999997</v>
      </c>
      <c r="H1097" s="5">
        <f>19 / 86400</f>
        <v>2.199074074074074E-4</v>
      </c>
      <c r="I1097" t="s">
        <v>63</v>
      </c>
      <c r="J1097" t="s">
        <v>40</v>
      </c>
      <c r="K1097" s="5">
        <f>21 / 86400</f>
        <v>2.4305555555555555E-4</v>
      </c>
      <c r="L1097" s="5">
        <f>1289 / 86400</f>
        <v>1.4918981481481481E-2</v>
      </c>
    </row>
    <row r="1098" spans="1:12" x14ac:dyDescent="0.25">
      <c r="A1098" s="3">
        <v>45697.515370370369</v>
      </c>
      <c r="B1098" t="s">
        <v>84</v>
      </c>
      <c r="C1098" s="3">
        <v>45697.516273148147</v>
      </c>
      <c r="D1098" t="s">
        <v>84</v>
      </c>
      <c r="E1098" s="4">
        <v>3.5999999999999997E-2</v>
      </c>
      <c r="F1098" s="4">
        <v>61453.358999999997</v>
      </c>
      <c r="G1098" s="4">
        <v>61453.394999999997</v>
      </c>
      <c r="H1098" s="5">
        <f>40 / 86400</f>
        <v>4.6296296296296298E-4</v>
      </c>
      <c r="I1098" t="s">
        <v>82</v>
      </c>
      <c r="J1098" t="s">
        <v>153</v>
      </c>
      <c r="K1098" s="5">
        <f>78 / 86400</f>
        <v>9.0277777777777774E-4</v>
      </c>
      <c r="L1098" s="5">
        <f>7774 / 86400</f>
        <v>8.997685185185185E-2</v>
      </c>
    </row>
    <row r="1099" spans="1:12" x14ac:dyDescent="0.25">
      <c r="A1099" s="3">
        <v>45697.606249999997</v>
      </c>
      <c r="B1099" t="s">
        <v>84</v>
      </c>
      <c r="C1099" s="3">
        <v>45697.612025462964</v>
      </c>
      <c r="D1099" t="s">
        <v>127</v>
      </c>
      <c r="E1099" s="4">
        <v>0.61</v>
      </c>
      <c r="F1099" s="4">
        <v>61453.394999999997</v>
      </c>
      <c r="G1099" s="4">
        <v>61454.004999999997</v>
      </c>
      <c r="H1099" s="5">
        <f>339 / 86400</f>
        <v>3.9236111111111112E-3</v>
      </c>
      <c r="I1099" t="s">
        <v>181</v>
      </c>
      <c r="J1099" t="s">
        <v>191</v>
      </c>
      <c r="K1099" s="5">
        <f>498 / 86400</f>
        <v>5.7638888888888887E-3</v>
      </c>
      <c r="L1099" s="5">
        <f>443 / 86400</f>
        <v>5.1273148148148146E-3</v>
      </c>
    </row>
    <row r="1100" spans="1:12" x14ac:dyDescent="0.25">
      <c r="A1100" s="3">
        <v>45697.617152777777</v>
      </c>
      <c r="B1100" t="s">
        <v>127</v>
      </c>
      <c r="C1100" s="3">
        <v>45697.940949074073</v>
      </c>
      <c r="D1100" t="s">
        <v>96</v>
      </c>
      <c r="E1100" s="4">
        <v>154.304</v>
      </c>
      <c r="F1100" s="4">
        <v>61454.004999999997</v>
      </c>
      <c r="G1100" s="4">
        <v>61608.309000000001</v>
      </c>
      <c r="H1100" s="5">
        <f>9102 / 86400</f>
        <v>0.10534722222222222</v>
      </c>
      <c r="I1100" t="s">
        <v>25</v>
      </c>
      <c r="J1100" t="s">
        <v>28</v>
      </c>
      <c r="K1100" s="5">
        <f>27976 / 86400</f>
        <v>0.3237962962962963</v>
      </c>
      <c r="L1100" s="5">
        <f>901 / 86400</f>
        <v>1.0428240740740741E-2</v>
      </c>
    </row>
    <row r="1101" spans="1:12" x14ac:dyDescent="0.25">
      <c r="A1101" s="3">
        <v>45697.951377314814</v>
      </c>
      <c r="B1101" t="s">
        <v>96</v>
      </c>
      <c r="C1101" s="3">
        <v>45697.95711805555</v>
      </c>
      <c r="D1101" t="s">
        <v>84</v>
      </c>
      <c r="E1101" s="4">
        <v>1.601</v>
      </c>
      <c r="F1101" s="4">
        <v>61608.309000000001</v>
      </c>
      <c r="G1101" s="4">
        <v>61609.91</v>
      </c>
      <c r="H1101" s="5">
        <f>160 / 86400</f>
        <v>1.8518518518518519E-3</v>
      </c>
      <c r="I1101" t="s">
        <v>194</v>
      </c>
      <c r="J1101" t="s">
        <v>92</v>
      </c>
      <c r="K1101" s="5">
        <f>495 / 86400</f>
        <v>5.7291666666666663E-3</v>
      </c>
      <c r="L1101" s="5">
        <f>3328 / 86400</f>
        <v>3.8518518518518521E-2</v>
      </c>
    </row>
    <row r="1102" spans="1:12" x14ac:dyDescent="0.25">
      <c r="A1102" s="3">
        <v>45697.995636574073</v>
      </c>
      <c r="B1102" t="s">
        <v>84</v>
      </c>
      <c r="C1102" s="3">
        <v>45697.99998842593</v>
      </c>
      <c r="D1102" t="s">
        <v>41</v>
      </c>
      <c r="E1102" s="4">
        <v>0.05</v>
      </c>
      <c r="F1102" s="4">
        <v>61609.91</v>
      </c>
      <c r="G1102" s="4">
        <v>61609.96</v>
      </c>
      <c r="H1102" s="5">
        <f>299 / 86400</f>
        <v>3.460648148148148E-3</v>
      </c>
      <c r="I1102" t="s">
        <v>82</v>
      </c>
      <c r="J1102" t="s">
        <v>63</v>
      </c>
      <c r="K1102" s="5">
        <f>376 / 86400</f>
        <v>4.3518518518518515E-3</v>
      </c>
      <c r="L1102" s="5">
        <f>0 / 86400</f>
        <v>0</v>
      </c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</row>
    <row r="1105" spans="1:12" s="10" customFormat="1" ht="20.100000000000001" customHeight="1" x14ac:dyDescent="0.35">
      <c r="A1105" s="15" t="s">
        <v>447</v>
      </c>
      <c r="B1105" s="15"/>
      <c r="C1105" s="15"/>
      <c r="D1105" s="15"/>
      <c r="E1105" s="15"/>
      <c r="F1105" s="15"/>
      <c r="G1105" s="15"/>
      <c r="H1105" s="15"/>
      <c r="I1105" s="15"/>
      <c r="J1105" s="15"/>
    </row>
    <row r="1106" spans="1:1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2" ht="30" x14ac:dyDescent="0.25">
      <c r="A1107" s="2" t="s">
        <v>6</v>
      </c>
      <c r="B1107" s="2" t="s">
        <v>7</v>
      </c>
      <c r="C1107" s="2" t="s">
        <v>8</v>
      </c>
      <c r="D1107" s="2" t="s">
        <v>9</v>
      </c>
      <c r="E1107" s="2" t="s">
        <v>10</v>
      </c>
      <c r="F1107" s="2" t="s">
        <v>11</v>
      </c>
      <c r="G1107" s="2" t="s">
        <v>12</v>
      </c>
      <c r="H1107" s="2" t="s">
        <v>13</v>
      </c>
      <c r="I1107" s="2" t="s">
        <v>14</v>
      </c>
      <c r="J1107" s="2" t="s">
        <v>15</v>
      </c>
      <c r="K1107" s="2" t="s">
        <v>16</v>
      </c>
      <c r="L1107" s="2" t="s">
        <v>17</v>
      </c>
    </row>
    <row r="1108" spans="1:12" x14ac:dyDescent="0.25">
      <c r="A1108" s="3">
        <v>45697</v>
      </c>
      <c r="B1108" t="s">
        <v>112</v>
      </c>
      <c r="C1108" s="3">
        <v>45697.0934375</v>
      </c>
      <c r="D1108" t="s">
        <v>41</v>
      </c>
      <c r="E1108" s="4">
        <v>38.738999999999997</v>
      </c>
      <c r="F1108" s="4">
        <v>290929.51299999998</v>
      </c>
      <c r="G1108" s="4">
        <v>290968.25199999998</v>
      </c>
      <c r="H1108" s="5">
        <f>3460 / 86400</f>
        <v>4.0046296296296295E-2</v>
      </c>
      <c r="I1108" t="s">
        <v>37</v>
      </c>
      <c r="J1108" t="s">
        <v>71</v>
      </c>
      <c r="K1108" s="5">
        <f>8073 / 86400</f>
        <v>9.3437500000000007E-2</v>
      </c>
      <c r="L1108" s="5">
        <f>21821 / 86400</f>
        <v>0.25255787037037036</v>
      </c>
    </row>
    <row r="1109" spans="1:12" x14ac:dyDescent="0.25">
      <c r="A1109" s="3">
        <v>45697.345995370371</v>
      </c>
      <c r="B1109" t="s">
        <v>41</v>
      </c>
      <c r="C1109" s="3">
        <v>45697.351030092592</v>
      </c>
      <c r="D1109" t="s">
        <v>41</v>
      </c>
      <c r="E1109" s="4">
        <v>7.1999999999999995E-2</v>
      </c>
      <c r="F1109" s="4">
        <v>290968.25199999998</v>
      </c>
      <c r="G1109" s="4">
        <v>290968.32400000002</v>
      </c>
      <c r="H1109" s="5">
        <f>339 / 86400</f>
        <v>3.9236111111111112E-3</v>
      </c>
      <c r="I1109" t="s">
        <v>39</v>
      </c>
      <c r="J1109" t="s">
        <v>40</v>
      </c>
      <c r="K1109" s="5">
        <f>435 / 86400</f>
        <v>5.0347222222222225E-3</v>
      </c>
      <c r="L1109" s="5">
        <f>16297 / 86400</f>
        <v>0.18862268518518518</v>
      </c>
    </row>
    <row r="1110" spans="1:12" x14ac:dyDescent="0.25">
      <c r="A1110" s="3">
        <v>45697.539652777778</v>
      </c>
      <c r="B1110" t="s">
        <v>41</v>
      </c>
      <c r="C1110" s="3">
        <v>45697.99998842593</v>
      </c>
      <c r="D1110" t="s">
        <v>113</v>
      </c>
      <c r="E1110" s="4">
        <v>188.904</v>
      </c>
      <c r="F1110" s="4">
        <v>290968.32400000002</v>
      </c>
      <c r="G1110" s="4">
        <v>291157.228</v>
      </c>
      <c r="H1110" s="5">
        <f>15061 / 86400</f>
        <v>0.17431712962962964</v>
      </c>
      <c r="I1110" t="s">
        <v>31</v>
      </c>
      <c r="J1110" t="s">
        <v>71</v>
      </c>
      <c r="K1110" s="5">
        <f>39773 / 86400</f>
        <v>0.46033564814814815</v>
      </c>
      <c r="L1110" s="5">
        <f>0 / 86400</f>
        <v>0</v>
      </c>
    </row>
    <row r="1111" spans="1:1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</row>
    <row r="1112" spans="1:12" x14ac:dyDescent="0.25">
      <c r="A1112" s="12" t="s">
        <v>115</v>
      </c>
      <c r="B1112" s="12"/>
      <c r="C1112" s="12"/>
      <c r="D1112" s="12"/>
      <c r="E1112" s="12"/>
      <c r="F1112" s="12"/>
      <c r="G1112" s="12"/>
      <c r="H1112" s="12"/>
      <c r="I1112" s="12"/>
      <c r="J1112" s="12"/>
    </row>
  </sheetData>
  <mergeCells count="222">
    <mergeCell ref="A1088:J1088"/>
    <mergeCell ref="A1103:J1103"/>
    <mergeCell ref="A1104:J1104"/>
    <mergeCell ref="A1105:J1105"/>
    <mergeCell ref="A1106:J1106"/>
    <mergeCell ref="A1111:J1111"/>
    <mergeCell ref="A1112:J1112"/>
    <mergeCell ref="A1042:J1042"/>
    <mergeCell ref="A1043:J1043"/>
    <mergeCell ref="A1054:J1054"/>
    <mergeCell ref="A1055:J1055"/>
    <mergeCell ref="A1056:J1056"/>
    <mergeCell ref="A1057:J1057"/>
    <mergeCell ref="A1085:J1085"/>
    <mergeCell ref="A1086:J1086"/>
    <mergeCell ref="A1087:J1087"/>
    <mergeCell ref="A999:J999"/>
    <mergeCell ref="A1000:J1000"/>
    <mergeCell ref="A1001:J1001"/>
    <mergeCell ref="A1032:J1032"/>
    <mergeCell ref="A1033:J1033"/>
    <mergeCell ref="A1034:J1034"/>
    <mergeCell ref="A1035:J1035"/>
    <mergeCell ref="A1040:J1040"/>
    <mergeCell ref="A1041:J1041"/>
    <mergeCell ref="A958:J958"/>
    <mergeCell ref="A959:J959"/>
    <mergeCell ref="A960:J960"/>
    <mergeCell ref="A961:J961"/>
    <mergeCell ref="A972:J972"/>
    <mergeCell ref="A973:J973"/>
    <mergeCell ref="A974:J974"/>
    <mergeCell ref="A975:J975"/>
    <mergeCell ref="A998:J998"/>
    <mergeCell ref="A933:J933"/>
    <mergeCell ref="A939:J939"/>
    <mergeCell ref="A940:J940"/>
    <mergeCell ref="A941:J941"/>
    <mergeCell ref="A942:J942"/>
    <mergeCell ref="A952:J952"/>
    <mergeCell ref="A953:J953"/>
    <mergeCell ref="A954:J954"/>
    <mergeCell ref="A955:J955"/>
    <mergeCell ref="A909:J909"/>
    <mergeCell ref="A910:J910"/>
    <mergeCell ref="A924:J924"/>
    <mergeCell ref="A925:J925"/>
    <mergeCell ref="A926:J926"/>
    <mergeCell ref="A927:J927"/>
    <mergeCell ref="A930:J930"/>
    <mergeCell ref="A931:J931"/>
    <mergeCell ref="A932:J932"/>
    <mergeCell ref="A885:J885"/>
    <mergeCell ref="A886:J886"/>
    <mergeCell ref="A887:J887"/>
    <mergeCell ref="A891:J891"/>
    <mergeCell ref="A892:J892"/>
    <mergeCell ref="A893:J893"/>
    <mergeCell ref="A894:J894"/>
    <mergeCell ref="A907:J907"/>
    <mergeCell ref="A908:J908"/>
    <mergeCell ref="A855:J855"/>
    <mergeCell ref="A856:J856"/>
    <mergeCell ref="A857:J857"/>
    <mergeCell ref="A858:J858"/>
    <mergeCell ref="A864:J864"/>
    <mergeCell ref="A865:J865"/>
    <mergeCell ref="A866:J866"/>
    <mergeCell ref="A867:J867"/>
    <mergeCell ref="A884:J884"/>
    <mergeCell ref="A820:J820"/>
    <mergeCell ref="A829:J829"/>
    <mergeCell ref="A830:J830"/>
    <mergeCell ref="A831:J831"/>
    <mergeCell ref="A832:J832"/>
    <mergeCell ref="A845:J845"/>
    <mergeCell ref="A846:J846"/>
    <mergeCell ref="A847:J847"/>
    <mergeCell ref="A848:J848"/>
    <mergeCell ref="A803:J803"/>
    <mergeCell ref="A804:J804"/>
    <mergeCell ref="A809:J809"/>
    <mergeCell ref="A810:J810"/>
    <mergeCell ref="A811:J811"/>
    <mergeCell ref="A812:J812"/>
    <mergeCell ref="A817:J817"/>
    <mergeCell ref="A818:J818"/>
    <mergeCell ref="A819:J819"/>
    <mergeCell ref="A771:J771"/>
    <mergeCell ref="A772:J772"/>
    <mergeCell ref="A773:J773"/>
    <mergeCell ref="A786:J786"/>
    <mergeCell ref="A787:J787"/>
    <mergeCell ref="A788:J788"/>
    <mergeCell ref="A789:J789"/>
    <mergeCell ref="A801:J801"/>
    <mergeCell ref="A802:J802"/>
    <mergeCell ref="A726:J726"/>
    <mergeCell ref="A727:J727"/>
    <mergeCell ref="A728:J728"/>
    <mergeCell ref="A729:J729"/>
    <mergeCell ref="A758:J758"/>
    <mergeCell ref="A759:J759"/>
    <mergeCell ref="A760:J760"/>
    <mergeCell ref="A761:J761"/>
    <mergeCell ref="A770:J770"/>
    <mergeCell ref="A669:J669"/>
    <mergeCell ref="A687:J687"/>
    <mergeCell ref="A688:J688"/>
    <mergeCell ref="A689:J689"/>
    <mergeCell ref="A690:J690"/>
    <mergeCell ref="A712:J712"/>
    <mergeCell ref="A713:J713"/>
    <mergeCell ref="A714:J714"/>
    <mergeCell ref="A715:J715"/>
    <mergeCell ref="A633:J633"/>
    <mergeCell ref="A634:J634"/>
    <mergeCell ref="A655:J655"/>
    <mergeCell ref="A656:J656"/>
    <mergeCell ref="A657:J657"/>
    <mergeCell ref="A658:J658"/>
    <mergeCell ref="A666:J666"/>
    <mergeCell ref="A667:J667"/>
    <mergeCell ref="A668:J668"/>
    <mergeCell ref="A617:J617"/>
    <mergeCell ref="A618:J618"/>
    <mergeCell ref="A619:J619"/>
    <mergeCell ref="A622:J622"/>
    <mergeCell ref="A623:J623"/>
    <mergeCell ref="A624:J624"/>
    <mergeCell ref="A625:J625"/>
    <mergeCell ref="A631:J631"/>
    <mergeCell ref="A632:J632"/>
    <mergeCell ref="A595:J595"/>
    <mergeCell ref="A596:J596"/>
    <mergeCell ref="A597:J597"/>
    <mergeCell ref="A598:J598"/>
    <mergeCell ref="A604:J604"/>
    <mergeCell ref="A605:J605"/>
    <mergeCell ref="A606:J606"/>
    <mergeCell ref="A607:J607"/>
    <mergeCell ref="A616:J616"/>
    <mergeCell ref="A570:J570"/>
    <mergeCell ref="A573:J573"/>
    <mergeCell ref="A574:J574"/>
    <mergeCell ref="A575:J575"/>
    <mergeCell ref="A576:J576"/>
    <mergeCell ref="A587:J587"/>
    <mergeCell ref="A588:J588"/>
    <mergeCell ref="A589:J589"/>
    <mergeCell ref="A590:J590"/>
    <mergeCell ref="A533:J533"/>
    <mergeCell ref="A534:J534"/>
    <mergeCell ref="A551:J551"/>
    <mergeCell ref="A552:J552"/>
    <mergeCell ref="A553:J553"/>
    <mergeCell ref="A554:J554"/>
    <mergeCell ref="A567:J567"/>
    <mergeCell ref="A568:J568"/>
    <mergeCell ref="A569:J569"/>
    <mergeCell ref="A504:J504"/>
    <mergeCell ref="A505:J505"/>
    <mergeCell ref="A506:J506"/>
    <mergeCell ref="A519:J519"/>
    <mergeCell ref="A520:J520"/>
    <mergeCell ref="A521:J521"/>
    <mergeCell ref="A522:J522"/>
    <mergeCell ref="A531:J531"/>
    <mergeCell ref="A532:J532"/>
    <mergeCell ref="A474:J474"/>
    <mergeCell ref="A475:J475"/>
    <mergeCell ref="A476:J476"/>
    <mergeCell ref="A477:J477"/>
    <mergeCell ref="A485:J485"/>
    <mergeCell ref="A486:J486"/>
    <mergeCell ref="A487:J487"/>
    <mergeCell ref="A488:J488"/>
    <mergeCell ref="A503:J503"/>
    <mergeCell ref="A142:J142"/>
    <mergeCell ref="A156:J156"/>
    <mergeCell ref="A157:J157"/>
    <mergeCell ref="A158:J158"/>
    <mergeCell ref="A159:J159"/>
    <mergeCell ref="A467:J467"/>
    <mergeCell ref="A468:J468"/>
    <mergeCell ref="A469:J469"/>
    <mergeCell ref="A470:J470"/>
    <mergeCell ref="A116:J116"/>
    <mergeCell ref="A117:J117"/>
    <mergeCell ref="A131:J131"/>
    <mergeCell ref="A132:J132"/>
    <mergeCell ref="A133:J133"/>
    <mergeCell ref="A134:J134"/>
    <mergeCell ref="A139:J139"/>
    <mergeCell ref="A140:J140"/>
    <mergeCell ref="A141:J141"/>
    <mergeCell ref="A95:J95"/>
    <mergeCell ref="A96:J96"/>
    <mergeCell ref="A97:J97"/>
    <mergeCell ref="A107:J107"/>
    <mergeCell ref="A108:J108"/>
    <mergeCell ref="A109:J109"/>
    <mergeCell ref="A110:J110"/>
    <mergeCell ref="A114:J114"/>
    <mergeCell ref="A115:J115"/>
    <mergeCell ref="A64:J64"/>
    <mergeCell ref="A65:J65"/>
    <mergeCell ref="A66:J66"/>
    <mergeCell ref="A67:J67"/>
    <mergeCell ref="A76:J76"/>
    <mergeCell ref="A77:J77"/>
    <mergeCell ref="A78:J78"/>
    <mergeCell ref="A79:J79"/>
    <mergeCell ref="A94:J94"/>
    <mergeCell ref="A1:J1"/>
    <mergeCell ref="A2:J2"/>
    <mergeCell ref="A3:J3"/>
    <mergeCell ref="A4:J4"/>
    <mergeCell ref="A5:J5"/>
    <mergeCell ref="A6:J6"/>
    <mergeCell ref="A62:J62"/>
    <mergeCell ref="A63:J63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2025-09-22T19:52:15Z</dcterms:created>
  <dcterms:modified xsi:type="dcterms:W3CDTF">2025-09-23T05:28:33Z</dcterms:modified>
</cp:coreProperties>
</file>