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72474C43-86D4-40AF-A3E0-A8753ED2225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980" i="1" l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3" i="1"/>
  <c r="K713" i="1"/>
  <c r="H713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2" i="1"/>
  <c r="K582" i="1"/>
  <c r="H582" i="1"/>
  <c r="L581" i="1"/>
  <c r="K581" i="1"/>
  <c r="H581" i="1"/>
  <c r="L580" i="1"/>
  <c r="K580" i="1"/>
  <c r="H580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77" i="1"/>
  <c r="K477" i="1"/>
  <c r="H477" i="1"/>
  <c r="L476" i="1"/>
  <c r="K476" i="1"/>
  <c r="H476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1" i="1"/>
  <c r="K251" i="1"/>
  <c r="H251" i="1"/>
  <c r="L250" i="1"/>
  <c r="K250" i="1"/>
  <c r="H250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0" i="1"/>
  <c r="K230" i="1"/>
  <c r="H230" i="1"/>
  <c r="L229" i="1"/>
  <c r="K229" i="1"/>
  <c r="H229" i="1"/>
  <c r="L228" i="1"/>
  <c r="K228" i="1"/>
  <c r="H228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<sst xmlns="http://schemas.openxmlformats.org/spreadsheetml/2006/main" count="3549" uniqueCount="344">
  <si>
    <t>Informe de trayectos</t>
  </si>
  <si>
    <t>Periodo: 15 de febrero de 2025 0:00 - 15 de febrero de 2025 23:59</t>
  </si>
  <si>
    <t>Informe generado</t>
  </si>
  <si>
    <t>a: 22 de septiembre de 2025 14:18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</si>
  <si>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</si>
  <si>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</si>
  <si>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</si>
  <si>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</si>
  <si>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</si>
  <si>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</si>
  <si>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</si>
  <si>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</si>
  <si>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</si>
  <si>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</si>
  <si>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</si>
  <si>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</si>
  <si>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</si>
  <si>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</si>
  <si>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</si>
  <si>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80 km/h</t>
  </si>
  <si>
    <t>18 km/h</t>
  </si>
  <si>
    <t>Avenida Lima Norte, Santa Eulalia, Lima Metropolitana, Lima, 15468, Perú</t>
  </si>
  <si>
    <t>95 km/h</t>
  </si>
  <si>
    <t>20 km/h</t>
  </si>
  <si>
    <t>Avenida Los Incas, Ate, Lima Metropolitana, Lima, 15483, Perú</t>
  </si>
  <si>
    <t>81 km/h</t>
  </si>
  <si>
    <t>19 km/h</t>
  </si>
  <si>
    <t>Ate, Lima Metropolitana, Lima, 15483, Perú</t>
  </si>
  <si>
    <t>71 km/h</t>
  </si>
  <si>
    <t>15 km/h</t>
  </si>
  <si>
    <t>Calle Manantiales de Vida, Ate, Lima Metropolitana, Lima, 15487, Perú</t>
  </si>
  <si>
    <t>83 km/h</t>
  </si>
  <si>
    <t>77 km/h</t>
  </si>
  <si>
    <t>17 km/h</t>
  </si>
  <si>
    <t>91 km/h</t>
  </si>
  <si>
    <t>70 km/h</t>
  </si>
  <si>
    <t>16 km/h</t>
  </si>
  <si>
    <t>Carretera Central, Chaclacayo, Lima Metropolitana, Lima, 15476, Perú</t>
  </si>
  <si>
    <t>73 km/h</t>
  </si>
  <si>
    <t>Avenida Las Retamas, Ricardo Palma, Huarochirí, Lima, 15468, Perú</t>
  </si>
  <si>
    <t>Calle los Alamos, Chosica, Lima Metropolitana, Lima, 15468, Perú</t>
  </si>
  <si>
    <t>78 km/h</t>
  </si>
  <si>
    <t>Calle Las Gardenias, Ricardo Palma, Huarochirí, Lima, 15468, Perú</t>
  </si>
  <si>
    <t>1 km/h</t>
  </si>
  <si>
    <t>0 km/h</t>
  </si>
  <si>
    <t>Capitan Gamarra, Ricardo Palma, Huarochirí, Lima, 15468, Perú, (Ruta4507nueva era 23-10-23)</t>
  </si>
  <si>
    <t>Avenida José Santos Chocano, Ricardo Palma, Huarochirí, Lima, 15468, Perú</t>
  </si>
  <si>
    <t>87 km/h</t>
  </si>
  <si>
    <t>Calle A, Chosica, Lima Metropolitana, Lima, 15468, Perú</t>
  </si>
  <si>
    <t>88 km/h</t>
  </si>
  <si>
    <t>Avenida José Carlos Mariátegui, Ricardo Palma, Huarochirí, Lima, 15468, Perú</t>
  </si>
  <si>
    <t>Carretera Central, 200, Chaclacayo, Lima Metropolitana, Lima, 15476, Perú</t>
  </si>
  <si>
    <t>132 km/h</t>
  </si>
  <si>
    <t>Avenida Micaela Bastidas, 382, Santa Eulalia, Huarochirí, Lima, 15468, Perú</t>
  </si>
  <si>
    <t>Avenida José Carlos Mariátegui, Ate, Lima Metropolitana, Lima, 15487, Perú</t>
  </si>
  <si>
    <t>Calle Cerro de Pasco, Ate, Lima Metropolitana, Lima, 15498, Perú</t>
  </si>
  <si>
    <t>28 km/h</t>
  </si>
  <si>
    <t>6 km/h</t>
  </si>
  <si>
    <t>76 km/h</t>
  </si>
  <si>
    <t>43 km/h</t>
  </si>
  <si>
    <t>7 km/h</t>
  </si>
  <si>
    <t>79 km/h</t>
  </si>
  <si>
    <t>Calle 1, Ate, Lima Metropolitana, Lima, 15483, Perú</t>
  </si>
  <si>
    <t>89 km/h</t>
  </si>
  <si>
    <t>Avenida Circunvalación, 200, San Luis, Lima Metropolitana, Lima, 15019, Perú</t>
  </si>
  <si>
    <t>Avenida Almirante Miguel Grau, La Victoria, Lima Metropolitana, Lima, 15001, Perú, (Ruta4507nueva era 23-10-23)</t>
  </si>
  <si>
    <t>64 km/h</t>
  </si>
  <si>
    <t>Calle Nueva Los Alamos, Santa Eulalia, Huarochirí, Lima, 15468, Perú</t>
  </si>
  <si>
    <t>Calle Leoncio Prado, Santa Eulalia, Huarochirí, Lima, 15468, Perú</t>
  </si>
  <si>
    <t>40 km/h</t>
  </si>
  <si>
    <t>Calle Estocolmo, Ate, Lima Metropolitana, Lima, 15498, Perú</t>
  </si>
  <si>
    <t>Carretera Central, Ate, Lima Metropolitana, Lima, 15487, Perú, (Ruta4507nueva era 23-10-23)</t>
  </si>
  <si>
    <t>Calle Las Tunas, Santa Anita, Lima Metropolitana, Lima, 15007, Perú</t>
  </si>
  <si>
    <t>74 km/h</t>
  </si>
  <si>
    <t>Avenida Malecón Manco Cápac, Chaclacayo, Lima Metropolitana, Lima, 15472, Perú</t>
  </si>
  <si>
    <t>Calle Los Topacios, Lurigancho, Lima Metropolitana, Lima, 15472, Perú</t>
  </si>
  <si>
    <t>30 km/h</t>
  </si>
  <si>
    <t>12 km/h</t>
  </si>
  <si>
    <t>Avenida Nicolás de Ayllón, Ate, Lima Metropolitana, Lima, 15487, Perú, (Ruta4507nueva era 23-10-23)</t>
  </si>
  <si>
    <t>Carretera Panamericana Sur, Bujama, Cañete, Lima, Perú</t>
  </si>
  <si>
    <t>23 km/h</t>
  </si>
  <si>
    <t>Avenida Alfonso Cobián, Chaclacayo, Lima Metropolitana, Lima, 15476, Perú</t>
  </si>
  <si>
    <t>98 km/h</t>
  </si>
  <si>
    <t>Calle 11, Santa Anita, Lima Metropolitana, Lima, 15009, Perú</t>
  </si>
  <si>
    <t>Avenida Simón Bolívar, Santa Eulalia, Huarochirí, Lima, 15468, Perú</t>
  </si>
  <si>
    <t>72 km/h</t>
  </si>
  <si>
    <t>Carretera Central, Ate, Lima Metropolitana, Lima, 15474, Perú</t>
  </si>
  <si>
    <t>Ate, Lima Metropolitana, Lima, 15474, Perú</t>
  </si>
  <si>
    <t>14 km/h</t>
  </si>
  <si>
    <t>Calle Los Álamos, Ate, Lima Metropolitana, Lima, 15483, Perú</t>
  </si>
  <si>
    <t>92 km/h</t>
  </si>
  <si>
    <t>Avenida José Carlos Mariátegui, Ate, Lima Metropolitana, Lima, 15483, Perú</t>
  </si>
  <si>
    <t>Santa Eulalia, Huarochirí, Lima, 15468, Perú</t>
  </si>
  <si>
    <t>Avenida Lima Norte, Santa Eulalia, Lima Metropolitana, Lima, 15468, Perú, (Ruta4507nueva era 23-10-23)</t>
  </si>
  <si>
    <t>Ate, Lima Metropolitana, Lima, 15487, Perú</t>
  </si>
  <si>
    <t>Calle 20 de Enero, Santa Eulalia, Huarochirí, Lima, 15468, Perú</t>
  </si>
  <si>
    <t>Corcona, Huarochirí, Lima, Perú</t>
  </si>
  <si>
    <t>Lurigancho, Lima Metropolitana, Lima, 15468, Perú</t>
  </si>
  <si>
    <t>82 km/h</t>
  </si>
  <si>
    <t>Avenida Lima Norte, Chosica, Lima Metropolitana, Lima, 15468, Perú</t>
  </si>
  <si>
    <t>Los Huancas, Ate, Lima Metropolitana, Lima, 15483, Perú</t>
  </si>
  <si>
    <t>55 km/h</t>
  </si>
  <si>
    <t>11 km/h</t>
  </si>
  <si>
    <t>Avenida Colectora, Chosica, Lima Metropolitana, Lima, 15468, Perú</t>
  </si>
  <si>
    <t>Calle 3, Chosica, Lima Metropolitana, Lima, 15468, Perú</t>
  </si>
  <si>
    <t>Avenida Micaela Bastidas, 561, Santa Eulalia, Huarochirí, Lima, 15468, Perú</t>
  </si>
  <si>
    <t>Avenida Minería, Santa Anita, Lima Metropolitana, Lima, 15008, Perú, (RUTA DESVIO TEM.  4507)</t>
  </si>
  <si>
    <t>84 km/h</t>
  </si>
  <si>
    <t>Avenida Malecón Manco Cápac, Chaclacayo, Lima Metropolitana, Lima, 15472, Perú, (Ruta4507nueva era 23-10-23)</t>
  </si>
  <si>
    <t>Micaela Bastidas, Ate, Lima Metropolitana, Lima, 15498, Perú</t>
  </si>
  <si>
    <t>Carretera Central, Ate, Lima Metropolitana, Lima, 15474, Perú, (Ruta4507nueva era 23-10-23)</t>
  </si>
  <si>
    <t>86 km/h</t>
  </si>
  <si>
    <t>Avenida Los Cipreses, Santa Anita, Lima Metropolitana, Lima, 15002, Perú, (RUTA DESVIO TEM.  4507)</t>
  </si>
  <si>
    <t>Avenida Huancaray, Santa Anita, Lima Metropolitana, Lima, 15009, Perú, (RUTA DESVIO TEM.  4507)</t>
  </si>
  <si>
    <t>75 km/h</t>
  </si>
  <si>
    <t>Vía Expresa Almirante Miguel Grau, La Victoria, Lima Metropolitana, Lima, 15001, Perú, (Ruta4507nueva era 23-10-23)</t>
  </si>
  <si>
    <t>Avenida Paseo de la República, Lima, Lima Metropolitana, Lima, 15083, Perú, (Ruta4507nueva era 23-10-23)</t>
  </si>
  <si>
    <t>90 km/h</t>
  </si>
  <si>
    <t>Avenida Lima Norte, 246, Chosica, Lima Metropolitana, Lima, 15468, Perú, (Ruta4507nueva era 23-10-23)</t>
  </si>
  <si>
    <t>Avenida Lima Sur, Chosica, Lima Metropolitana, Lima, 15468, Perú</t>
  </si>
  <si>
    <t>104 km/h</t>
  </si>
  <si>
    <t>97 km/h</t>
  </si>
  <si>
    <t>13 km/h</t>
  </si>
  <si>
    <t>Totales:</t>
  </si>
  <si>
    <t/>
  </si>
  <si>
    <t>* Los datos de combustible se calculan de acuerdo con el consumo medio de combustible del vehículo especificado en su configuración</t>
  </si>
  <si>
    <t>Jose Carlos Mariátegui, Ricardo Palma, Lima Metropolitana, Lima, 15468, Perú, (PARADERO RICARDO PALMA)</t>
  </si>
  <si>
    <t>24 km/h</t>
  </si>
  <si>
    <t>Jose Carlos Mariátegui, Chosica, Lima Metropolitana, Lima, 15468, Perú, (PARADERO RICARDO PALMA)</t>
  </si>
  <si>
    <t>Avenida 5 de Setiembre, Ricardo Palma, Huarochirí, Lima, 15468, Perú, (Exceso de Velocidad)</t>
  </si>
  <si>
    <t>10 km/h</t>
  </si>
  <si>
    <t>Avenida José Carlos Mariátegui, Ricardo Palma, Huarochirí, Lima, 15468, Perú, (Ruta4507nueva era 23-10-23)</t>
  </si>
  <si>
    <t>Ricardo Palma, Huarochirí, Lima, 15468, Perú, (Ruta4507nueva era 23-10-23)</t>
  </si>
  <si>
    <t>Ricardo Palma, Huarochirí, Lima, 15468, Perú, (CURVA RICARDO PALMA, Ruta4507nueva era 23-10-23)</t>
  </si>
  <si>
    <t>5 km/h</t>
  </si>
  <si>
    <t>2 km/h</t>
  </si>
  <si>
    <t>Avenida Lima Norte, 599, Chosica, Lima Metropolitana, Lima, 15468, Perú, (Ruta4507nueva era 23-10-23)</t>
  </si>
  <si>
    <t>36 km/h</t>
  </si>
  <si>
    <t>8 km/h</t>
  </si>
  <si>
    <t>3 km/h</t>
  </si>
  <si>
    <t>Calle Berlín, Ate, Lima Metropolitana, Lima, 15498, Perú, (RUTA DESVIO TEM.  4507)</t>
  </si>
  <si>
    <t>27 km/h</t>
  </si>
  <si>
    <t>Avenida Nicolás de Ayllón, Ate, Lima Metropolitana, Lima, 15008, Perú, (Ruta4507nueva era 23-10-23)</t>
  </si>
  <si>
    <t>85 km/h</t>
  </si>
  <si>
    <t>Avenida Simón Bolívar, Santa Eulalia, Huarochirí, Lima, 15468, Perú, (Ruta4507nueva era 23-10-23)</t>
  </si>
  <si>
    <t>22 km/h</t>
  </si>
  <si>
    <t>Chosica, Lima Metropolitana, Lima, 15468, Perú</t>
  </si>
  <si>
    <t>52 km/h</t>
  </si>
  <si>
    <t>25 km/h</t>
  </si>
  <si>
    <t>Simón Bolívar, Ricardo Palma, Huarochirí, Lima, 15468, Perú</t>
  </si>
  <si>
    <t>9 km/h</t>
  </si>
  <si>
    <t>Avenida José Carlos Mariátegui, Ate, Lima Metropolitana, Lima, 15474, Perú, (Horacio Zeballos)</t>
  </si>
  <si>
    <t>34 km/h</t>
  </si>
  <si>
    <t>Avenida Almirante Miguel Grau, 300, La Victoria, Lima Metropolitana, Lima, 15001, Perú, (Ruta4507nueva era 23-10-23)</t>
  </si>
  <si>
    <t>4 km/h</t>
  </si>
  <si>
    <t>33 km/h</t>
  </si>
  <si>
    <t>Avenida Iquitos, Lima, Lima Metropolitana, Lima, 15001, Perú, (Ruta4507nueva era 23-10-23)</t>
  </si>
  <si>
    <t>Jirón Tacna, Chosica, Lima Metropolitana, Lima, 15468, Perú, (Ruta4507nueva era 23-10-23)</t>
  </si>
  <si>
    <t>68 km/h</t>
  </si>
  <si>
    <t>Avenida José Carlos Mariátegui, Ate, Lima Metropolitana, Lima, 15474, Perú</t>
  </si>
  <si>
    <t>35 km/h</t>
  </si>
  <si>
    <t>61 km/h</t>
  </si>
  <si>
    <t>Pasaje Gould, Lima, Lima Metropolitana, Lima, 15082, Perú</t>
  </si>
  <si>
    <t>Avenida José Carlos Mariátegui, Ricardo Palma, Huarochirí, Lima, 15468, Perú, (CURVA RICARDO PALMA, Ruta4507nueva era 23-10-23)</t>
  </si>
  <si>
    <t>63 km/h</t>
  </si>
  <si>
    <t>Jirón Sánchez Pinillos, Breña, Lima Metropolitana, Lima, 15082, Perú</t>
  </si>
  <si>
    <t>Jirón Sánchez Pinillos, Lima, Lima Metropolitana, Lima, 15082, Perú</t>
  </si>
  <si>
    <t>29 km/h</t>
  </si>
  <si>
    <t>Avenida De Las Torres, San Luis, Lima Metropolitana, Lima, 15022, Perú</t>
  </si>
  <si>
    <t>Carretera Central, Ate, Lima Metropolitana, Lima, 15487, Perú, (S06 SANTA CLARA)</t>
  </si>
  <si>
    <t>54 km/h</t>
  </si>
  <si>
    <t>Marcos Puente Llanos, Ate, Lima Metropolitana, Lima, 15498, Perú</t>
  </si>
  <si>
    <t>Avenida San Martín, 2124, San José de Palle, Huarochirí, Lima, 15500, Perú</t>
  </si>
  <si>
    <t>66 km/h</t>
  </si>
  <si>
    <t>41 km/h</t>
  </si>
  <si>
    <t>26 km/h</t>
  </si>
  <si>
    <t>37 km/h</t>
  </si>
  <si>
    <t>Avenida Andrés Avelino Cáceres, Ate, Lima Metropolitana, Lima, 15483, Perú</t>
  </si>
  <si>
    <t>Avenida Metropolitana, Ate, Lima Metropolitana, Lima, 15498, Perú, (RUTA DESVIO TEM.  4507)</t>
  </si>
  <si>
    <t>Víctor Raúl Haya de la Torre, Ate, Lima Metropolitana, Lima, 15498, Perú</t>
  </si>
  <si>
    <t>42 km/h</t>
  </si>
  <si>
    <t>Calle 2, Ate, Lima Metropolitana, Lima, 15487, Perú</t>
  </si>
  <si>
    <t>Calle 5, Chaclacayo, Lima Metropolitana, Lima, 15474, Perú</t>
  </si>
  <si>
    <t>Chaclacayo, Lima Metropolitana, Lima, 15474, Perú, (Ruta4507nueva era 23-10-23)</t>
  </si>
  <si>
    <t>62 km/h</t>
  </si>
  <si>
    <t>Carretera Central, Ate, Lima Metropolitana, Lima, 15474, Perú, (Horacio Zeballos, Ruta4507nueva era 23-10-23)</t>
  </si>
  <si>
    <t>50 km/h</t>
  </si>
  <si>
    <t>Carretera Central, Ate, Lima Metropolitana, Lima, 15483, Perú, (Ruta4507nueva era 23-10-23)</t>
  </si>
  <si>
    <t>Avenida Colectora, Ate, Lima Metropolitana, Lima, 15483, Perú</t>
  </si>
  <si>
    <t>Avenida Gloria Grande, Ate, Lima Metropolitana, Lima, 15483, Perú</t>
  </si>
  <si>
    <t>Calle A, Ate, Lima Metropolitana, Lima, 15483, Perú</t>
  </si>
  <si>
    <t>Carretera Central, Chaclacayo, Lima Metropolitana, Lima, 15476, Perú, (Ruta4507nueva era 23-10-23)</t>
  </si>
  <si>
    <t>Avenida Unión, Chaclacayo, Lima Metropolitana, Lima, 15476, Perú, (Ruta4507nueva era 23-10-23)</t>
  </si>
  <si>
    <t>Calle Digoberto Ojeda, Ricardo Palma, Huarochirí, Lima, 15468, Perú</t>
  </si>
  <si>
    <t>Jirón Cornelio Borda, Breña, Lima Metropolitana, Lima, 15082, Perú</t>
  </si>
  <si>
    <t>Jirón Cornelio Borda, Breña, Lima Metropolitana, Lima, 15082, Perú, (Ruta4507nueva era 23-10-23)</t>
  </si>
  <si>
    <t>45 km/h</t>
  </si>
  <si>
    <t>31 km/h</t>
  </si>
  <si>
    <t>Jirón Tacna, 430, Chosica, Lima Metropolitana, Lima, 15468, Perú</t>
  </si>
  <si>
    <t>Jirón Huarochirí, 643, Lima, Lima Metropolitana, Lima, 15082, Perú</t>
  </si>
  <si>
    <t>Jirón Coronel Miguel Baquero, Lima, Lima Metropolitana, Lima, 15082, Perú</t>
  </si>
  <si>
    <t>Abraham Valdelomar, Ricardo Palma, Huarochirí, Lima, 15468, Perú</t>
  </si>
  <si>
    <t>21 km/h</t>
  </si>
  <si>
    <t>Carretera Central, Ricardo Palma, Huarochirí, Lima, 15468, Perú</t>
  </si>
  <si>
    <t>Calle Junín, Ate, Lima Metropolitana, Lima, 15487, Perú</t>
  </si>
  <si>
    <t>Avenida Río Perene, Ate, Lima Metropolitana, Lima, 15498, Perú</t>
  </si>
  <si>
    <t>Vista Alegre, Ate, Lima Metropolitana, Lima, 15498, Perú</t>
  </si>
  <si>
    <t>Calle Beta, 234, Ate, Lima Metropolitana, Lima, 15498, Perú</t>
  </si>
  <si>
    <t>Jirón Sánchez Pinillos, Lima, Lima Metropolitana, Lima, 15082, Perú, (Ruta4507nueva era 23-10-23)</t>
  </si>
  <si>
    <t>Nivel 1, Lima, Lima Metropolitana, Lima, 15011, Perú</t>
  </si>
  <si>
    <t>Jirón Junín, Lima, Lima Metropolitana, Lima, 15003, Perú</t>
  </si>
  <si>
    <t>60 km/h</t>
  </si>
  <si>
    <t>Avenida 15 de Julio, Ate, Lima Metropolitana, Lima, 15483, Perú</t>
  </si>
  <si>
    <t>Avenida 15 de Julio, Lote 4, Ate, Lima Metropolitana, Lima, 15483, Perú</t>
  </si>
  <si>
    <t>Avenida Nicolás de Ayllón, Santa Anita, Lima Metropolitana, Lima, 15498, Perú, (Ruta4507nueva era 23-10-23)</t>
  </si>
  <si>
    <t>69 km/h</t>
  </si>
  <si>
    <t>49 km/h</t>
  </si>
  <si>
    <t>Carretera Central, Ate, Lima Metropolitana, Lima, 15483, Perú</t>
  </si>
  <si>
    <t>53 km/h</t>
  </si>
  <si>
    <t>Avenida La Paz, G2, Santa Eulalia, Huarochirí, Lima, 15500, Perú</t>
  </si>
  <si>
    <t>Avenida Óscar Raimundo Benavides, 150, Lima, Lima Metropolitana, Lima, 15082, Perú, (Ruta4507nueva era 23-10-23)</t>
  </si>
  <si>
    <t>Avenida Óscar Raimundo Benavides, 150, Lima, Lima Metropolitana, Lima, 15082, Perú</t>
  </si>
  <si>
    <t>Avenida Nicolás de Ayllón, 4770, Ate, Lima Metropolitana, Lima, 15498, Perú</t>
  </si>
  <si>
    <t>Avenida Nicolás Ayllón, Chaclacayo, Lima Metropolitana, Lima, 15472, Perú</t>
  </si>
  <si>
    <t>Avenida Nicolás Ayllón, Chaclacayo, Lima Metropolitana, Lima, 15472, Perú, (Ruta4507nueva era 23-10-23)</t>
  </si>
  <si>
    <t>Calle Alhelíes, Chaclacayo, Lima Metropolitana, Lima, 15476, Perú</t>
  </si>
  <si>
    <t>47 km/h</t>
  </si>
  <si>
    <t>Alameda E, Chaclacayo, Lima Metropolitana, Lima, 15476, Perú</t>
  </si>
  <si>
    <t>Avenida Nicolás de Ayllón, Ate, Lima Metropolitana, Lima, 15498, Perú, (Ruta4507nueva era 23-10-23)</t>
  </si>
  <si>
    <t>67 km/h</t>
  </si>
  <si>
    <t>Calle Las Palmeras, Chaclacayo, Lima Metropolitana, Lima, 15472, Perú</t>
  </si>
  <si>
    <t>Avenida Integración, Chaclacayo, Lima Metropolitana, Lima, 15476, Perú</t>
  </si>
  <si>
    <t>Chaclacayo, Lima Metropolitana, Lima, 15476, Perú</t>
  </si>
  <si>
    <t>Avenida Almirante Miguel Grau, Lima, Lima Metropolitana, Lima, 15011, Perú</t>
  </si>
  <si>
    <t>Avenida Almirante Miguel Grau, Lima, Lima Metropolitana, Lima, 15003, Perú</t>
  </si>
  <si>
    <t>Avenida Nicolás de Ayllón, Ate, Lima Metropolitana, Lima, 15002, Perú, (Ruta4507nueva era 23-10-23, RUTA DESVIO TEM.  4507)</t>
  </si>
  <si>
    <t>Avenida Nicolás de Ayllón, Ate, Lima Metropolitana, Lima, 15002, Perú, (Ruta4507nueva era 23-10-23)</t>
  </si>
  <si>
    <t>Jirón Tacna, Chosica, Lima Metropolitana, Lima, 15468, Perú</t>
  </si>
  <si>
    <t>Carretera Central, Chaclacayo, Lima Metropolitana, Lima, 15474, Perú, (Ruta4507nueva era 23-10-23)</t>
  </si>
  <si>
    <t>Carretera Central, Chaclacayo, Lima Metropolitana, Lima, 15474, Perú, (S07ÑAÑA, Ruta4507nueva era 23-10-23)</t>
  </si>
  <si>
    <t>Ciclovía Colonial, Lima, Lima Metropolitana, Lima, 15082, Perú, (Ruta4507nueva era 23-10-23)</t>
  </si>
  <si>
    <t>Avenida Óscar Raimundo Benavides, 153, Lima, Lima Metropolitana, Lima, 15082, Perú</t>
  </si>
  <si>
    <t>65 km/h</t>
  </si>
  <si>
    <t>Calle Córdova, Ricardo Palma, Huarochirí, Lima, 15468, Perú, (Ruta4507nueva era 23-10-23)</t>
  </si>
  <si>
    <t>Avenida 5 de Setiembre, Ricardo Palma, Huarochirí, Lima, 15468, Perú</t>
  </si>
  <si>
    <t>Avenida Almirante Miguel Grau, 113, Lima, Lima Metropolitana, Lima, 15001, Perú, (Ruta4507nueva era 23-10-23)</t>
  </si>
  <si>
    <t>Avenida Almirante Miguel Grau, Lima, Lima Metropolitana, Lima, 15001, Perú, (Ruta4507nueva era 23-10-23)</t>
  </si>
  <si>
    <t>38 km/h</t>
  </si>
  <si>
    <t>Inca Garcilaso de la Vega, Lima, Lima Metropolitana, Lima, 15019, Perú</t>
  </si>
  <si>
    <t>Avenida Inca Garcilazo de la Vega, Lima, Lima Metropolitana, Lima, 15004, Perú</t>
  </si>
  <si>
    <t>Calle Angel Cepollini, San Luis, Lima Metropolitana, Lima, 15019, Perú</t>
  </si>
  <si>
    <t>Jirón Los Próceres, Santa Eulalia, Huarochirí, Lima, 15468, Perú, (Ruta4507nueva era 23-10-23)</t>
  </si>
  <si>
    <t>Avenida Nicolas de Pierola, Ate, Lima Metropolitana, Lima, 15487, Perú</t>
  </si>
  <si>
    <t>56 km/h</t>
  </si>
  <si>
    <t>Prolongación Javier Prado Este, Ate, Lima Metropolitana, Lima, 15498, Perú</t>
  </si>
  <si>
    <t>Avenida San Martín, Santa Eulalia, Huarochirí, Lima, 15468, Perú</t>
  </si>
  <si>
    <t>Avenida Lima Norte, Santa Eulalia, Huarochirí, Lima, 15468, Perú</t>
  </si>
  <si>
    <t>32 km/h</t>
  </si>
  <si>
    <t>Prolongación Avenida San Pablo, Lima, Lima Metropolitana, Lima, 15011, Perú</t>
  </si>
  <si>
    <t>Jirón Zorritos, Lima, Lima Metropolitana, Lima, 15082, Perú</t>
  </si>
  <si>
    <t>Jirón Zorritos, Breña, Lima Metropolitana, Lima, 15082, Perú</t>
  </si>
  <si>
    <t>Jirón Callao, Chosica, Lima Metropolitana, Lima, 15468, Perú</t>
  </si>
  <si>
    <t>59 km/h</t>
  </si>
  <si>
    <t>51 km/h</t>
  </si>
  <si>
    <t>Ricardo Palma, Huarochirí, Lima, 15468, Perú</t>
  </si>
  <si>
    <t>Avenida Lima Norte, Santa Eulalia, Huarochirí, Lima, 15468, Perú, (Ruta4507nueva era 23-10-23)</t>
  </si>
  <si>
    <t>39 km/h</t>
  </si>
  <si>
    <t>Víctor Raúl Haya de la Torre, Ate, Lima Metropolitana, Lima, 15498, Perú, (Ruta4507nueva era 23-10-23)</t>
  </si>
  <si>
    <t>Jirón Cornelio Borda, Lima, Lima Metropolitana, Lima, 15082, Perú</t>
  </si>
  <si>
    <t>46 km/h</t>
  </si>
  <si>
    <t>Carretera Central, Lurigancho, Lima Metropolitana, Lima, 15483, Perú</t>
  </si>
  <si>
    <t>Avenida 22 de Julio, Santa Anita, Lima Metropolitana, Lima, 15009, Perú</t>
  </si>
  <si>
    <t>101 km/h</t>
  </si>
  <si>
    <t>Avenida Lima Sur, Chosica, Lima Metropolitana, Lima, 15468, Perú, (Ruta4507nueva era 23-10-23)</t>
  </si>
  <si>
    <t>Avenida Lima Sur, 824, Chosica, Lima Metropolitana, Lima, 15468, Perú, (Ruta4507nueva era 23-10-23)</t>
  </si>
  <si>
    <t>Jirón Los Próceres, Santa Eulalia, Huarochirí, Lima, 15468, Perú</t>
  </si>
  <si>
    <t>Calle Ollanta, Ate, Lima Metropolitana, Lima, 15019, Perú</t>
  </si>
  <si>
    <t>Calle Ollanta, San Luis, Lima Metropolitana, Lima, 15019, Perú</t>
  </si>
  <si>
    <t>Avenida Nicolás Ayllón, 137, Lima, Lima Metropolitana, Lima, 15011, Perú, (Ruta4507nueva era 23-10-23)</t>
  </si>
  <si>
    <t>Avenida Circunvalación, La Victoria, Lima Metropolitana, Lima, 15019, Perú</t>
  </si>
  <si>
    <t>Carretera Central, Ate, Lima Metropolitana, Lima, 15487, Perú, (S06 SANTA CLARA, Ruta4507nueva era 23-10-23)</t>
  </si>
  <si>
    <t>Avenida Nicolás Ayllón, Chaclacayo, Lima Metropolitana, Lima, 15464, Perú, (Ruta4507nueva era 23-10-23)</t>
  </si>
  <si>
    <t>Avenida 9 de Diciembre, 150, Lima, Lima Metropolitana, Lima, 15083, Perú, (Ruta4507nueva era 23-10-23)</t>
  </si>
  <si>
    <t>94 km/h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</si>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</sst>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982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284</v>
      </c>
      <c r="B8" s="3">
        <v>45703.232361111106</v>
      </c>
      <c r="C8" t="s">
        <v>18</v>
      </c>
      <c r="D8" s="3">
        <v>45703.877905092595</v>
      </c>
      <c r="E8" t="s">
        <v>18</v>
      </c>
      <c r="F8" s="4">
        <v>215.19</v>
      </c>
      <c r="G8" s="4">
        <v>514396.88400000002</v>
      </c>
      <c r="H8" s="4">
        <v>514612.07400000002</v>
      </c>
      <c r="I8" s="5">
        <f>13175 / 86400</f>
        <v>0.15248842592592593</v>
      </c>
      <c r="J8" t="s">
        <v>19</v>
      </c>
      <c r="K8" t="s">
        <v>20</v>
      </c>
      <c r="L8" s="5">
        <f>43743 / 86400</f>
        <v>0.50628472222222221</v>
      </c>
      <c r="M8" s="5">
        <f>42651 / 86400</f>
        <v>0.49364583333333334</v>
      </c>
    </row>
    <row r="9" spans="1:13" x14ac:dyDescent="0.25">
      <c r="A9" t="s">
        <v>285</v>
      </c>
      <c r="B9" s="3">
        <v>45703.18167824074</v>
      </c>
      <c r="C9" t="s">
        <v>21</v>
      </c>
      <c r="D9" s="3">
        <v>45703.806574074071</v>
      </c>
      <c r="E9" t="s">
        <v>21</v>
      </c>
      <c r="F9" s="4">
        <v>197.208</v>
      </c>
      <c r="G9" s="4">
        <v>19725.137999999999</v>
      </c>
      <c r="H9" s="4">
        <v>19922.346000000001</v>
      </c>
      <c r="I9" s="5">
        <f>9940 / 86400</f>
        <v>0.1150462962962963</v>
      </c>
      <c r="J9" t="s">
        <v>22</v>
      </c>
      <c r="K9" t="s">
        <v>23</v>
      </c>
      <c r="L9" s="5">
        <f>36396 / 86400</f>
        <v>0.42125000000000001</v>
      </c>
      <c r="M9" s="5">
        <f>50001 / 86400</f>
        <v>0.57871527777777776</v>
      </c>
    </row>
    <row r="10" spans="1:13" x14ac:dyDescent="0.25">
      <c r="A10" t="s">
        <v>286</v>
      </c>
      <c r="B10" s="3">
        <v>45703.271157407406</v>
      </c>
      <c r="C10" t="s">
        <v>24</v>
      </c>
      <c r="D10" s="3">
        <v>45703.841527777782</v>
      </c>
      <c r="E10" t="s">
        <v>24</v>
      </c>
      <c r="F10" s="4">
        <v>197.89000000000001</v>
      </c>
      <c r="G10" s="4">
        <v>328871.89</v>
      </c>
      <c r="H10" s="4">
        <v>329069.78000000003</v>
      </c>
      <c r="I10" s="5">
        <f>11188 / 86400</f>
        <v>0.12949074074074074</v>
      </c>
      <c r="J10" t="s">
        <v>25</v>
      </c>
      <c r="K10" t="s">
        <v>26</v>
      </c>
      <c r="L10" s="5">
        <f>38044 / 86400</f>
        <v>0.44032407407407409</v>
      </c>
      <c r="M10" s="5">
        <f>48347 / 86400</f>
        <v>0.55957175925925928</v>
      </c>
    </row>
    <row r="11" spans="1:13" x14ac:dyDescent="0.25">
      <c r="A11" t="s">
        <v>287</v>
      </c>
      <c r="B11" s="3">
        <v>45703.310416666667</v>
      </c>
      <c r="C11" t="s">
        <v>27</v>
      </c>
      <c r="D11" s="3">
        <v>45703.923136574071</v>
      </c>
      <c r="E11" t="s">
        <v>27</v>
      </c>
      <c r="F11" s="4">
        <v>158.096</v>
      </c>
      <c r="G11" s="4">
        <v>20828.306</v>
      </c>
      <c r="H11" s="4">
        <v>20986.401999999998</v>
      </c>
      <c r="I11" s="5">
        <f>14282 / 86400</f>
        <v>0.16530092592592593</v>
      </c>
      <c r="J11" t="s">
        <v>28</v>
      </c>
      <c r="K11" t="s">
        <v>29</v>
      </c>
      <c r="L11" s="5">
        <f>39066 / 86400</f>
        <v>0.45215277777777779</v>
      </c>
      <c r="M11" s="5">
        <f>47327 / 86400</f>
        <v>0.54776620370370366</v>
      </c>
    </row>
    <row r="12" spans="1:13" x14ac:dyDescent="0.25">
      <c r="A12" t="s">
        <v>288</v>
      </c>
      <c r="B12" s="3">
        <v>45703.247187500005</v>
      </c>
      <c r="C12" t="s">
        <v>30</v>
      </c>
      <c r="D12" s="3">
        <v>45703.933078703703</v>
      </c>
      <c r="E12" t="s">
        <v>30</v>
      </c>
      <c r="F12" s="4">
        <v>244.42699999999999</v>
      </c>
      <c r="G12" s="4">
        <v>513695.51500000001</v>
      </c>
      <c r="H12" s="4">
        <v>513939.94199999998</v>
      </c>
      <c r="I12" s="5">
        <f>14331 / 86400</f>
        <v>0.16586805555555556</v>
      </c>
      <c r="J12" t="s">
        <v>31</v>
      </c>
      <c r="K12" t="s">
        <v>20</v>
      </c>
      <c r="L12" s="5">
        <f>47970 / 86400</f>
        <v>0.5552083333333333</v>
      </c>
      <c r="M12" s="5">
        <f>38426 / 86400</f>
        <v>0.44474537037037037</v>
      </c>
    </row>
    <row r="13" spans="1:13" x14ac:dyDescent="0.25">
      <c r="A13" t="s">
        <v>289</v>
      </c>
      <c r="B13" s="3">
        <v>45703.235763888893</v>
      </c>
      <c r="C13" t="s">
        <v>27</v>
      </c>
      <c r="D13" s="3">
        <v>45703.843981481477</v>
      </c>
      <c r="E13" t="s">
        <v>27</v>
      </c>
      <c r="F13" s="4">
        <v>211.803</v>
      </c>
      <c r="G13" s="4">
        <v>92736.672999999995</v>
      </c>
      <c r="H13" s="4">
        <v>92948.475999999995</v>
      </c>
      <c r="I13" s="5">
        <f>10996 / 86400</f>
        <v>0.12726851851851853</v>
      </c>
      <c r="J13" t="s">
        <v>32</v>
      </c>
      <c r="K13" t="s">
        <v>33</v>
      </c>
      <c r="L13" s="5">
        <f>44738 / 86400</f>
        <v>0.51780092592592597</v>
      </c>
      <c r="M13" s="5">
        <f>41656 / 86400</f>
        <v>0.48212962962962963</v>
      </c>
    </row>
    <row r="14" spans="1:13" x14ac:dyDescent="0.25">
      <c r="A14" t="s">
        <v>290</v>
      </c>
      <c r="B14" s="3">
        <v>45703.227719907409</v>
      </c>
      <c r="C14" t="s">
        <v>18</v>
      </c>
      <c r="D14" s="3">
        <v>45703.886157407411</v>
      </c>
      <c r="E14" t="s">
        <v>18</v>
      </c>
      <c r="F14" s="4">
        <v>258.959</v>
      </c>
      <c r="G14" s="4">
        <v>138397.25599999999</v>
      </c>
      <c r="H14" s="4">
        <v>138656.215</v>
      </c>
      <c r="I14" s="5">
        <f>16265 / 86400</f>
        <v>0.1882523148148148</v>
      </c>
      <c r="J14" t="s">
        <v>34</v>
      </c>
      <c r="K14" t="s">
        <v>20</v>
      </c>
      <c r="L14" s="5">
        <f>51151 / 86400</f>
        <v>0.59202546296296299</v>
      </c>
      <c r="M14" s="5">
        <f>35243 / 86400</f>
        <v>0.40790509259259261</v>
      </c>
    </row>
    <row r="15" spans="1:13" x14ac:dyDescent="0.25">
      <c r="A15" t="s">
        <v>291</v>
      </c>
      <c r="B15" s="3">
        <v>45703.529699074075</v>
      </c>
      <c r="C15" t="s">
        <v>27</v>
      </c>
      <c r="D15" s="3">
        <v>45703.787581018521</v>
      </c>
      <c r="E15" t="s">
        <v>27</v>
      </c>
      <c r="F15" s="4">
        <v>11.112791457891465</v>
      </c>
      <c r="G15" s="4">
        <v>348274.70961513172</v>
      </c>
      <c r="H15" s="4">
        <v>348286.47883056925</v>
      </c>
      <c r="I15" s="5">
        <f>0 / 86400</f>
        <v>0</v>
      </c>
      <c r="J15" t="s">
        <v>35</v>
      </c>
      <c r="K15" t="s">
        <v>36</v>
      </c>
      <c r="L15" s="5">
        <f>2449 / 86400</f>
        <v>2.8344907407407409E-2</v>
      </c>
      <c r="M15" s="5">
        <f>83950 / 86400</f>
        <v>0.97164351851851849</v>
      </c>
    </row>
    <row r="16" spans="1:13" x14ac:dyDescent="0.25">
      <c r="A16" t="s">
        <v>292</v>
      </c>
      <c r="B16" s="3">
        <v>45703.166666666672</v>
      </c>
      <c r="C16" t="s">
        <v>37</v>
      </c>
      <c r="D16" s="3">
        <v>45703.624537037038</v>
      </c>
      <c r="E16" t="s">
        <v>37</v>
      </c>
      <c r="F16" s="4">
        <v>165.75299999999999</v>
      </c>
      <c r="G16" s="4">
        <v>484358.94900000002</v>
      </c>
      <c r="H16" s="4">
        <v>484524.70199999999</v>
      </c>
      <c r="I16" s="5">
        <f>11676 / 86400</f>
        <v>0.13513888888888889</v>
      </c>
      <c r="J16" t="s">
        <v>38</v>
      </c>
      <c r="K16" t="s">
        <v>33</v>
      </c>
      <c r="L16" s="5">
        <f>35622 / 86400</f>
        <v>0.41229166666666667</v>
      </c>
      <c r="M16" s="5">
        <f>50777 / 86400</f>
        <v>0.58769675925925924</v>
      </c>
    </row>
    <row r="17" spans="1:13" x14ac:dyDescent="0.25">
      <c r="A17" t="s">
        <v>293</v>
      </c>
      <c r="B17" s="3">
        <v>45703.275821759264</v>
      </c>
      <c r="C17" t="s">
        <v>39</v>
      </c>
      <c r="D17" s="3">
        <v>45703.864444444444</v>
      </c>
      <c r="E17" t="s">
        <v>40</v>
      </c>
      <c r="F17" s="4">
        <v>201.76500000000001</v>
      </c>
      <c r="G17" s="4">
        <v>508537.70299999998</v>
      </c>
      <c r="H17" s="4">
        <v>508739.46799999999</v>
      </c>
      <c r="I17" s="5">
        <f>15772 / 86400</f>
        <v>0.18254629629629629</v>
      </c>
      <c r="J17" t="s">
        <v>41</v>
      </c>
      <c r="K17" t="s">
        <v>36</v>
      </c>
      <c r="L17" s="5">
        <f>46491 / 86400</f>
        <v>0.53809027777777774</v>
      </c>
      <c r="M17" s="5">
        <f>39906 / 86400</f>
        <v>0.46187499999999998</v>
      </c>
    </row>
    <row r="18" spans="1:13" x14ac:dyDescent="0.25">
      <c r="A18" t="s">
        <v>294</v>
      </c>
      <c r="B18" s="3">
        <v>45703.346180555556</v>
      </c>
      <c r="C18" t="s">
        <v>42</v>
      </c>
      <c r="D18" s="3">
        <v>45703.660254629634</v>
      </c>
      <c r="E18" t="s">
        <v>42</v>
      </c>
      <c r="F18" s="4">
        <v>1.2999999999999999E-2</v>
      </c>
      <c r="G18" s="4">
        <v>408074.95600000001</v>
      </c>
      <c r="H18" s="4">
        <v>408074.96899999998</v>
      </c>
      <c r="I18" s="5">
        <f>200 / 86400</f>
        <v>2.3148148148148147E-3</v>
      </c>
      <c r="J18" t="s">
        <v>43</v>
      </c>
      <c r="K18" t="s">
        <v>44</v>
      </c>
      <c r="L18" s="5">
        <f>243 / 86400</f>
        <v>2.8124999999999999E-3</v>
      </c>
      <c r="M18" s="5">
        <f>86155 / 86400</f>
        <v>0.99716435185185182</v>
      </c>
    </row>
    <row r="19" spans="1:13" x14ac:dyDescent="0.25">
      <c r="A19" t="s">
        <v>295</v>
      </c>
      <c r="B19" s="3">
        <v>45703.278958333336</v>
      </c>
      <c r="C19" t="s">
        <v>45</v>
      </c>
      <c r="D19" s="3">
        <v>45703.897118055553</v>
      </c>
      <c r="E19" t="s">
        <v>46</v>
      </c>
      <c r="F19" s="4">
        <v>199.52300000000002</v>
      </c>
      <c r="G19" s="4">
        <v>437705.114</v>
      </c>
      <c r="H19" s="4">
        <v>437904.63699999999</v>
      </c>
      <c r="I19" s="5">
        <f>15057 / 86400</f>
        <v>0.17427083333333335</v>
      </c>
      <c r="J19" t="s">
        <v>47</v>
      </c>
      <c r="K19" t="s">
        <v>33</v>
      </c>
      <c r="L19" s="5">
        <f>42633 / 86400</f>
        <v>0.49343749999999997</v>
      </c>
      <c r="M19" s="5">
        <f>43762 / 86400</f>
        <v>0.50650462962962961</v>
      </c>
    </row>
    <row r="20" spans="1:13" x14ac:dyDescent="0.25">
      <c r="A20" t="s">
        <v>296</v>
      </c>
      <c r="B20" s="3">
        <v>45703.13354166667</v>
      </c>
      <c r="C20" t="s">
        <v>21</v>
      </c>
      <c r="D20" s="3">
        <v>45703.873356481483</v>
      </c>
      <c r="E20" t="s">
        <v>48</v>
      </c>
      <c r="F20" s="4">
        <v>308.40800000000002</v>
      </c>
      <c r="G20" s="4">
        <v>54589.991000000002</v>
      </c>
      <c r="H20" s="4">
        <v>54898.398999999998</v>
      </c>
      <c r="I20" s="5">
        <f>17156 / 86400</f>
        <v>0.19856481481481481</v>
      </c>
      <c r="J20" t="s">
        <v>49</v>
      </c>
      <c r="K20" t="s">
        <v>26</v>
      </c>
      <c r="L20" s="5">
        <f>58308 / 86400</f>
        <v>0.67486111111111113</v>
      </c>
      <c r="M20" s="5">
        <f>28088 / 86400</f>
        <v>0.3250925925925926</v>
      </c>
    </row>
    <row r="21" spans="1:13" x14ac:dyDescent="0.25">
      <c r="A21" t="s">
        <v>297</v>
      </c>
      <c r="B21" s="3">
        <v>45703.25744212963</v>
      </c>
      <c r="C21" t="s">
        <v>50</v>
      </c>
      <c r="D21" s="3">
        <v>45703.875706018516</v>
      </c>
      <c r="E21" t="s">
        <v>50</v>
      </c>
      <c r="F21" s="4">
        <v>212.35499999999999</v>
      </c>
      <c r="G21" s="4">
        <v>216508.79699999999</v>
      </c>
      <c r="H21" s="4">
        <v>216721.152</v>
      </c>
      <c r="I21" s="5">
        <f>15998 / 86400</f>
        <v>0.18516203703703704</v>
      </c>
      <c r="J21" t="s">
        <v>25</v>
      </c>
      <c r="K21" t="s">
        <v>36</v>
      </c>
      <c r="L21" s="5">
        <f>47178 / 86400</f>
        <v>0.54604166666666665</v>
      </c>
      <c r="M21" s="5">
        <f>39215 / 86400</f>
        <v>0.4538773148148148</v>
      </c>
    </row>
    <row r="22" spans="1:13" x14ac:dyDescent="0.25">
      <c r="A22" t="s">
        <v>298</v>
      </c>
      <c r="B22" s="3">
        <v>45703.269016203703</v>
      </c>
      <c r="C22" t="s">
        <v>51</v>
      </c>
      <c r="D22" s="3">
        <v>45703.875914351855</v>
      </c>
      <c r="E22" t="s">
        <v>51</v>
      </c>
      <c r="F22" s="4">
        <v>170.0900000001192</v>
      </c>
      <c r="G22" s="4">
        <v>525542.54799999995</v>
      </c>
      <c r="H22" s="4">
        <v>525712.63800000004</v>
      </c>
      <c r="I22" s="5">
        <f>12792 / 86400</f>
        <v>0.14805555555555555</v>
      </c>
      <c r="J22" t="s">
        <v>52</v>
      </c>
      <c r="K22" t="s">
        <v>36</v>
      </c>
      <c r="L22" s="5">
        <f>38609 / 86400</f>
        <v>0.44686342592592593</v>
      </c>
      <c r="M22" s="5">
        <f>47782 / 86400</f>
        <v>0.55303240740740744</v>
      </c>
    </row>
    <row r="23" spans="1:13" x14ac:dyDescent="0.25">
      <c r="A23" t="s">
        <v>299</v>
      </c>
      <c r="B23" s="3">
        <v>45703.257847222223</v>
      </c>
      <c r="C23" t="s">
        <v>53</v>
      </c>
      <c r="D23" s="3">
        <v>45703.882326388892</v>
      </c>
      <c r="E23" t="s">
        <v>54</v>
      </c>
      <c r="F23" s="4">
        <v>233.29</v>
      </c>
      <c r="G23" s="4">
        <v>345095.44400000002</v>
      </c>
      <c r="H23" s="4">
        <v>345328.734</v>
      </c>
      <c r="I23" s="5">
        <f>14355 / 86400</f>
        <v>0.16614583333333333</v>
      </c>
      <c r="J23" t="s">
        <v>47</v>
      </c>
      <c r="K23" t="s">
        <v>20</v>
      </c>
      <c r="L23" s="5">
        <f>46132 / 86400</f>
        <v>0.53393518518518523</v>
      </c>
      <c r="M23" s="5">
        <f>40262 / 86400</f>
        <v>0.46599537037037037</v>
      </c>
    </row>
    <row r="24" spans="1:13" x14ac:dyDescent="0.25">
      <c r="A24" t="s">
        <v>300</v>
      </c>
      <c r="B24" s="3">
        <v>45703.393009259264</v>
      </c>
      <c r="C24" t="s">
        <v>55</v>
      </c>
      <c r="D24" s="3">
        <v>45703.789942129632</v>
      </c>
      <c r="E24" t="s">
        <v>55</v>
      </c>
      <c r="F24" s="4">
        <v>6.02</v>
      </c>
      <c r="G24" s="4">
        <v>426297.685</v>
      </c>
      <c r="H24" s="4">
        <v>426303.70500000002</v>
      </c>
      <c r="I24" s="5">
        <f>1673 / 86400</f>
        <v>1.9363425925925926E-2</v>
      </c>
      <c r="J24" t="s">
        <v>56</v>
      </c>
      <c r="K24" t="s">
        <v>57</v>
      </c>
      <c r="L24" s="5">
        <f>3478 / 86400</f>
        <v>4.0254629629629626E-2</v>
      </c>
      <c r="M24" s="5">
        <f>82918 / 86400</f>
        <v>0.95969907407407407</v>
      </c>
    </row>
    <row r="25" spans="1:13" x14ac:dyDescent="0.25">
      <c r="A25" t="s">
        <v>301</v>
      </c>
      <c r="B25" s="3">
        <v>45703.228449074071</v>
      </c>
      <c r="C25" t="s">
        <v>27</v>
      </c>
      <c r="D25" s="3">
        <v>45703.725023148145</v>
      </c>
      <c r="E25" t="s">
        <v>27</v>
      </c>
      <c r="F25" s="4">
        <v>172.96199999999999</v>
      </c>
      <c r="G25" s="4">
        <v>13003.519</v>
      </c>
      <c r="H25" s="4">
        <v>13176.481</v>
      </c>
      <c r="I25" s="5">
        <f>16315 / 86400</f>
        <v>0.18883101851851852</v>
      </c>
      <c r="J25" t="s">
        <v>58</v>
      </c>
      <c r="K25" t="s">
        <v>36</v>
      </c>
      <c r="L25" s="5">
        <f>39751 / 86400</f>
        <v>0.46008101851851851</v>
      </c>
      <c r="M25" s="5">
        <f>46642 / 86400</f>
        <v>0.53983796296296294</v>
      </c>
    </row>
    <row r="26" spans="1:13" x14ac:dyDescent="0.25">
      <c r="A26" t="s">
        <v>302</v>
      </c>
      <c r="B26" s="3">
        <v>45703.228912037041</v>
      </c>
      <c r="C26" t="s">
        <v>27</v>
      </c>
      <c r="D26" s="3">
        <v>45703.789016203707</v>
      </c>
      <c r="E26" t="s">
        <v>27</v>
      </c>
      <c r="F26" s="4">
        <v>7.617</v>
      </c>
      <c r="G26" s="4">
        <v>5961.9319999999998</v>
      </c>
      <c r="H26" s="4">
        <v>5969.549</v>
      </c>
      <c r="I26" s="5">
        <f>1834 / 86400</f>
        <v>2.1226851851851851E-2</v>
      </c>
      <c r="J26" t="s">
        <v>59</v>
      </c>
      <c r="K26" t="s">
        <v>60</v>
      </c>
      <c r="L26" s="5">
        <f>3756 / 86400</f>
        <v>4.3472222222222225E-2</v>
      </c>
      <c r="M26" s="5">
        <f>82640 / 86400</f>
        <v>0.95648148148148149</v>
      </c>
    </row>
    <row r="27" spans="1:13" x14ac:dyDescent="0.25">
      <c r="A27" t="s">
        <v>303</v>
      </c>
      <c r="B27" s="3">
        <v>45703.211377314816</v>
      </c>
      <c r="C27" t="s">
        <v>37</v>
      </c>
      <c r="D27" s="3">
        <v>45703.849537037036</v>
      </c>
      <c r="E27" t="s">
        <v>37</v>
      </c>
      <c r="F27" s="4">
        <v>212.28299999999999</v>
      </c>
      <c r="G27" s="4">
        <v>387169.40600000002</v>
      </c>
      <c r="H27" s="4">
        <v>387381.68900000001</v>
      </c>
      <c r="I27" s="5">
        <f>13156 / 86400</f>
        <v>0.15226851851851853</v>
      </c>
      <c r="J27" t="s">
        <v>61</v>
      </c>
      <c r="K27" t="s">
        <v>20</v>
      </c>
      <c r="L27" s="5">
        <f>42285 / 86400</f>
        <v>0.48940972222222223</v>
      </c>
      <c r="M27" s="5">
        <f>44108 / 86400</f>
        <v>0.51050925925925927</v>
      </c>
    </row>
    <row r="28" spans="1:13" x14ac:dyDescent="0.25">
      <c r="A28" t="s">
        <v>304</v>
      </c>
      <c r="B28" s="3">
        <v>45703.146770833337</v>
      </c>
      <c r="C28" t="s">
        <v>62</v>
      </c>
      <c r="D28" s="3">
        <v>45703.888796296298</v>
      </c>
      <c r="E28" t="s">
        <v>62</v>
      </c>
      <c r="F28" s="4">
        <v>257.89999999999998</v>
      </c>
      <c r="G28" s="4">
        <v>523568.76199999999</v>
      </c>
      <c r="H28" s="4">
        <v>523826.66200000001</v>
      </c>
      <c r="I28" s="5">
        <f>12342 / 86400</f>
        <v>0.14284722222222221</v>
      </c>
      <c r="J28" t="s">
        <v>63</v>
      </c>
      <c r="K28" t="s">
        <v>26</v>
      </c>
      <c r="L28" s="5">
        <f>47911 / 86400</f>
        <v>0.55452546296296301</v>
      </c>
      <c r="M28" s="5">
        <f>38484 / 86400</f>
        <v>0.44541666666666668</v>
      </c>
    </row>
    <row r="29" spans="1:13" x14ac:dyDescent="0.25">
      <c r="A29" t="s">
        <v>305</v>
      </c>
      <c r="B29" s="3">
        <v>45703</v>
      </c>
      <c r="C29" t="s">
        <v>64</v>
      </c>
      <c r="D29" s="3">
        <v>45703.99998842593</v>
      </c>
      <c r="E29" t="s">
        <v>65</v>
      </c>
      <c r="F29" s="4">
        <v>194.99199999999999</v>
      </c>
      <c r="G29" s="4">
        <v>412119.451</v>
      </c>
      <c r="H29" s="4">
        <v>412314.44300000003</v>
      </c>
      <c r="I29" s="5">
        <f>10862 / 86400</f>
        <v>0.1257175925925926</v>
      </c>
      <c r="J29" t="s">
        <v>66</v>
      </c>
      <c r="K29" t="s">
        <v>33</v>
      </c>
      <c r="L29" s="5">
        <f>40168 / 86400</f>
        <v>0.46490740740740738</v>
      </c>
      <c r="M29" s="5">
        <f>46230 / 86400</f>
        <v>0.53506944444444449</v>
      </c>
    </row>
    <row r="30" spans="1:13" x14ac:dyDescent="0.25">
      <c r="A30" t="s">
        <v>306</v>
      </c>
      <c r="B30" s="3">
        <v>45703.320474537039</v>
      </c>
      <c r="C30" t="s">
        <v>67</v>
      </c>
      <c r="D30" s="3">
        <v>45703.710324074069</v>
      </c>
      <c r="E30" t="s">
        <v>68</v>
      </c>
      <c r="F30" s="4">
        <v>1.994</v>
      </c>
      <c r="G30" s="4">
        <v>403146.984</v>
      </c>
      <c r="H30" s="4">
        <v>403148.978</v>
      </c>
      <c r="I30" s="5">
        <f>489 / 86400</f>
        <v>5.6597222222222222E-3</v>
      </c>
      <c r="J30" t="s">
        <v>69</v>
      </c>
      <c r="K30" t="s">
        <v>57</v>
      </c>
      <c r="L30" s="5">
        <f>1171 / 86400</f>
        <v>1.3553240740740741E-2</v>
      </c>
      <c r="M30" s="5">
        <f>85222 / 86400</f>
        <v>0.98636574074074079</v>
      </c>
    </row>
    <row r="31" spans="1:13" x14ac:dyDescent="0.25">
      <c r="A31" t="s">
        <v>307</v>
      </c>
      <c r="B31" s="3">
        <v>45703.278240740736</v>
      </c>
      <c r="C31" t="s">
        <v>70</v>
      </c>
      <c r="D31" s="3">
        <v>45703.835613425923</v>
      </c>
      <c r="E31" t="s">
        <v>71</v>
      </c>
      <c r="F31" s="4">
        <v>187.33099999999999</v>
      </c>
      <c r="G31" s="4">
        <v>407624.58899999998</v>
      </c>
      <c r="H31" s="4">
        <v>407811.92</v>
      </c>
      <c r="I31" s="5">
        <f>11577 / 86400</f>
        <v>0.13399305555555555</v>
      </c>
      <c r="J31" t="s">
        <v>31</v>
      </c>
      <c r="K31" t="s">
        <v>20</v>
      </c>
      <c r="L31" s="5">
        <f>37076 / 86400</f>
        <v>0.42912037037037037</v>
      </c>
      <c r="M31" s="5">
        <f>49315 / 86400</f>
        <v>0.570775462962963</v>
      </c>
    </row>
    <row r="32" spans="1:13" x14ac:dyDescent="0.25">
      <c r="A32" t="s">
        <v>308</v>
      </c>
      <c r="B32" s="3">
        <v>45703.303726851853</v>
      </c>
      <c r="C32" t="s">
        <v>72</v>
      </c>
      <c r="D32" s="3">
        <v>45703.436111111107</v>
      </c>
      <c r="E32" t="s">
        <v>72</v>
      </c>
      <c r="F32" s="4">
        <v>57.929999999999993</v>
      </c>
      <c r="G32" s="4">
        <v>348362.11499999999</v>
      </c>
      <c r="H32" s="4">
        <v>348420.04499999998</v>
      </c>
      <c r="I32" s="5">
        <f>2177 / 86400</f>
        <v>2.5196759259259259E-2</v>
      </c>
      <c r="J32" t="s">
        <v>73</v>
      </c>
      <c r="K32" t="s">
        <v>23</v>
      </c>
      <c r="L32" s="5">
        <f>10636 / 86400</f>
        <v>0.12310185185185185</v>
      </c>
      <c r="M32" s="5">
        <f>75763 / 86400</f>
        <v>0.87688657407407411</v>
      </c>
    </row>
    <row r="33" spans="1:13" x14ac:dyDescent="0.25">
      <c r="A33" t="s">
        <v>309</v>
      </c>
      <c r="B33" s="3">
        <v>45703</v>
      </c>
      <c r="C33" t="s">
        <v>74</v>
      </c>
      <c r="D33" s="3">
        <v>45703.781643518523</v>
      </c>
      <c r="E33" t="s">
        <v>75</v>
      </c>
      <c r="F33" s="4">
        <v>1.8129999999999999</v>
      </c>
      <c r="G33" s="4">
        <v>41468.625999999997</v>
      </c>
      <c r="H33" s="4">
        <v>41470.438999999998</v>
      </c>
      <c r="I33" s="5">
        <f>79 / 86400</f>
        <v>9.1435185185185185E-4</v>
      </c>
      <c r="J33" t="s">
        <v>76</v>
      </c>
      <c r="K33" t="s">
        <v>77</v>
      </c>
      <c r="L33" s="5">
        <f>532 / 86400</f>
        <v>6.1574074074074074E-3</v>
      </c>
      <c r="M33" s="5">
        <f>85866 / 86400</f>
        <v>0.99381944444444448</v>
      </c>
    </row>
    <row r="34" spans="1:13" x14ac:dyDescent="0.25">
      <c r="A34" t="s">
        <v>310</v>
      </c>
      <c r="B34" s="3">
        <v>45703</v>
      </c>
      <c r="C34" t="s">
        <v>78</v>
      </c>
      <c r="D34" s="3">
        <v>45703.99998842593</v>
      </c>
      <c r="E34" t="s">
        <v>79</v>
      </c>
      <c r="F34" s="4">
        <v>279.351</v>
      </c>
      <c r="G34" s="4">
        <v>46819.459000000003</v>
      </c>
      <c r="H34" s="4">
        <v>47098.813999999998</v>
      </c>
      <c r="I34" s="5">
        <f>13912 / 86400</f>
        <v>0.16101851851851851</v>
      </c>
      <c r="J34" t="s">
        <v>22</v>
      </c>
      <c r="K34" t="s">
        <v>80</v>
      </c>
      <c r="L34" s="5">
        <f>42885 / 86400</f>
        <v>0.49635416666666665</v>
      </c>
      <c r="M34" s="5">
        <f>43507 / 86400</f>
        <v>0.5035532407407407</v>
      </c>
    </row>
    <row r="35" spans="1:13" x14ac:dyDescent="0.25">
      <c r="A35" t="s">
        <v>311</v>
      </c>
      <c r="B35" s="3">
        <v>45703.236828703702</v>
      </c>
      <c r="C35" t="s">
        <v>81</v>
      </c>
      <c r="D35" s="3">
        <v>45703.99998842593</v>
      </c>
      <c r="E35" t="s">
        <v>74</v>
      </c>
      <c r="F35" s="4">
        <v>262.67799999994037</v>
      </c>
      <c r="G35" s="4">
        <v>528380.15300000005</v>
      </c>
      <c r="H35" s="4">
        <v>528642.83100000001</v>
      </c>
      <c r="I35" s="5">
        <f>21174 / 86400</f>
        <v>0.24506944444444445</v>
      </c>
      <c r="J35" t="s">
        <v>82</v>
      </c>
      <c r="K35" t="s">
        <v>33</v>
      </c>
      <c r="L35" s="5">
        <f>55015 / 86400</f>
        <v>0.63674768518518521</v>
      </c>
      <c r="M35" s="5">
        <f>31378 / 86400</f>
        <v>0.3631712962962963</v>
      </c>
    </row>
    <row r="36" spans="1:13" x14ac:dyDescent="0.25">
      <c r="A36" t="s">
        <v>312</v>
      </c>
      <c r="B36" s="3">
        <v>45703.217430555553</v>
      </c>
      <c r="C36" t="s">
        <v>37</v>
      </c>
      <c r="D36" s="3">
        <v>45703.848217592589</v>
      </c>
      <c r="E36" t="s">
        <v>27</v>
      </c>
      <c r="F36" s="4">
        <v>200.78700000000001</v>
      </c>
      <c r="G36" s="4">
        <v>568366.67599999998</v>
      </c>
      <c r="H36" s="4">
        <v>568567.46299999999</v>
      </c>
      <c r="I36" s="5">
        <f>17321 / 86400</f>
        <v>0.20047453703703705</v>
      </c>
      <c r="J36" t="s">
        <v>38</v>
      </c>
      <c r="K36" t="s">
        <v>29</v>
      </c>
      <c r="L36" s="5">
        <f>47196 / 86400</f>
        <v>0.54625000000000001</v>
      </c>
      <c r="M36" s="5">
        <f>39202 / 86400</f>
        <v>0.45372685185185185</v>
      </c>
    </row>
    <row r="37" spans="1:13" x14ac:dyDescent="0.25">
      <c r="A37" t="s">
        <v>313</v>
      </c>
      <c r="B37" s="3">
        <v>45703.254270833335</v>
      </c>
      <c r="C37" t="s">
        <v>83</v>
      </c>
      <c r="D37" s="3">
        <v>45703.80395833333</v>
      </c>
      <c r="E37" t="s">
        <v>71</v>
      </c>
      <c r="F37" s="4">
        <v>165.124</v>
      </c>
      <c r="G37" s="4">
        <v>435715.05300000001</v>
      </c>
      <c r="H37" s="4">
        <v>435880.17700000003</v>
      </c>
      <c r="I37" s="5">
        <f>10135 / 86400</f>
        <v>0.11730324074074074</v>
      </c>
      <c r="J37" t="s">
        <v>32</v>
      </c>
      <c r="K37" t="s">
        <v>33</v>
      </c>
      <c r="L37" s="5">
        <f>34197 / 86400</f>
        <v>0.39579861111111109</v>
      </c>
      <c r="M37" s="5">
        <f>52199 / 86400</f>
        <v>0.60415509259259259</v>
      </c>
    </row>
    <row r="38" spans="1:13" x14ac:dyDescent="0.25">
      <c r="A38" t="s">
        <v>314</v>
      </c>
      <c r="B38" s="3">
        <v>45703.245196759264</v>
      </c>
      <c r="C38" t="s">
        <v>50</v>
      </c>
      <c r="D38" s="3">
        <v>45703.836851851855</v>
      </c>
      <c r="E38" t="s">
        <v>84</v>
      </c>
      <c r="F38" s="4">
        <v>206.70500000000001</v>
      </c>
      <c r="G38" s="4">
        <v>515827.64500000002</v>
      </c>
      <c r="H38" s="4">
        <v>516034.625</v>
      </c>
      <c r="I38" s="5">
        <f>16250 / 86400</f>
        <v>0.18807870370370369</v>
      </c>
      <c r="J38" t="s">
        <v>85</v>
      </c>
      <c r="K38" t="s">
        <v>36</v>
      </c>
      <c r="L38" s="5">
        <f>46097 / 86400</f>
        <v>0.53353009259259254</v>
      </c>
      <c r="M38" s="5">
        <f>40302 / 86400</f>
        <v>0.46645833333333331</v>
      </c>
    </row>
    <row r="39" spans="1:13" x14ac:dyDescent="0.25">
      <c r="A39" t="s">
        <v>315</v>
      </c>
      <c r="B39" s="3">
        <v>45703.239259259259</v>
      </c>
      <c r="C39" t="s">
        <v>86</v>
      </c>
      <c r="D39" s="3">
        <v>45703.828645833331</v>
      </c>
      <c r="E39" t="s">
        <v>87</v>
      </c>
      <c r="F39" s="4">
        <v>203.39600000000002</v>
      </c>
      <c r="G39" s="4">
        <v>505675.88799999998</v>
      </c>
      <c r="H39" s="4">
        <v>505879.28399999999</v>
      </c>
      <c r="I39" s="5">
        <f>22687 / 86400</f>
        <v>0.26258101851851851</v>
      </c>
      <c r="J39" t="s">
        <v>32</v>
      </c>
      <c r="K39" t="s">
        <v>88</v>
      </c>
      <c r="L39" s="5">
        <f>50855 / 86400</f>
        <v>0.58859953703703705</v>
      </c>
      <c r="M39" s="5">
        <f>35542 / 86400</f>
        <v>0.41136574074074073</v>
      </c>
    </row>
    <row r="40" spans="1:13" x14ac:dyDescent="0.25">
      <c r="A40" t="s">
        <v>316</v>
      </c>
      <c r="B40" s="3">
        <v>45703.217638888891</v>
      </c>
      <c r="C40" t="s">
        <v>89</v>
      </c>
      <c r="D40" s="3">
        <v>45703.784895833334</v>
      </c>
      <c r="E40" t="s">
        <v>89</v>
      </c>
      <c r="F40" s="4">
        <v>209.09100000000001</v>
      </c>
      <c r="G40" s="4">
        <v>411244.13699999999</v>
      </c>
      <c r="H40" s="4">
        <v>411453.228</v>
      </c>
      <c r="I40" s="5">
        <f>14456 / 86400</f>
        <v>0.16731481481481481</v>
      </c>
      <c r="J40" t="s">
        <v>28</v>
      </c>
      <c r="K40" t="s">
        <v>33</v>
      </c>
      <c r="L40" s="5">
        <f>43956 / 86400</f>
        <v>0.50875000000000004</v>
      </c>
      <c r="M40" s="5">
        <f>42439 / 86400</f>
        <v>0.4911921296296296</v>
      </c>
    </row>
    <row r="41" spans="1:13" x14ac:dyDescent="0.25">
      <c r="A41" t="s">
        <v>317</v>
      </c>
      <c r="B41" s="3">
        <v>45703.151597222226</v>
      </c>
      <c r="C41" t="s">
        <v>27</v>
      </c>
      <c r="D41" s="3">
        <v>45703.817002314812</v>
      </c>
      <c r="E41" t="s">
        <v>27</v>
      </c>
      <c r="F41" s="4">
        <v>178.238</v>
      </c>
      <c r="G41" s="4">
        <v>442211.429</v>
      </c>
      <c r="H41" s="4">
        <v>442389.66700000002</v>
      </c>
      <c r="I41" s="5">
        <f>10979 / 86400</f>
        <v>0.12707175925925926</v>
      </c>
      <c r="J41" t="s">
        <v>32</v>
      </c>
      <c r="K41" t="s">
        <v>33</v>
      </c>
      <c r="L41" s="5">
        <f>38244 / 86400</f>
        <v>0.44263888888888892</v>
      </c>
      <c r="M41" s="5">
        <f>48148 / 86400</f>
        <v>0.55726851851851855</v>
      </c>
    </row>
    <row r="42" spans="1:13" x14ac:dyDescent="0.25">
      <c r="A42" t="s">
        <v>318</v>
      </c>
      <c r="B42" s="3">
        <v>45703</v>
      </c>
      <c r="C42" t="s">
        <v>78</v>
      </c>
      <c r="D42" s="3">
        <v>45703.671076388884</v>
      </c>
      <c r="E42" t="s">
        <v>87</v>
      </c>
      <c r="F42" s="4">
        <v>31.292999999999999</v>
      </c>
      <c r="G42" s="4">
        <v>414429.32799999998</v>
      </c>
      <c r="H42" s="4">
        <v>414460.62099999998</v>
      </c>
      <c r="I42" s="5">
        <f>3030 / 86400</f>
        <v>3.5069444444444445E-2</v>
      </c>
      <c r="J42" t="s">
        <v>41</v>
      </c>
      <c r="K42" t="s">
        <v>77</v>
      </c>
      <c r="L42" s="5">
        <f>9030 / 86400</f>
        <v>0.10451388888888889</v>
      </c>
      <c r="M42" s="5">
        <f>77363 / 86400</f>
        <v>0.8954050925925926</v>
      </c>
    </row>
    <row r="43" spans="1:13" x14ac:dyDescent="0.25">
      <c r="A43" t="s">
        <v>319</v>
      </c>
      <c r="B43" s="3">
        <v>45703.17597222222</v>
      </c>
      <c r="C43" t="s">
        <v>27</v>
      </c>
      <c r="D43" s="3">
        <v>45703.99998842593</v>
      </c>
      <c r="E43" t="s">
        <v>24</v>
      </c>
      <c r="F43" s="4">
        <v>310.80700000000002</v>
      </c>
      <c r="G43" s="4">
        <v>328278.76500000001</v>
      </c>
      <c r="H43" s="4">
        <v>328589.57199999999</v>
      </c>
      <c r="I43" s="5">
        <f>16799 / 86400</f>
        <v>0.19443287037037038</v>
      </c>
      <c r="J43" t="s">
        <v>90</v>
      </c>
      <c r="K43" t="s">
        <v>26</v>
      </c>
      <c r="L43" s="5">
        <f>59831 / 86400</f>
        <v>0.69248842592592597</v>
      </c>
      <c r="M43" s="5">
        <f>26567 / 86400</f>
        <v>0.3074884259259259</v>
      </c>
    </row>
    <row r="44" spans="1:13" x14ac:dyDescent="0.25">
      <c r="A44" t="s">
        <v>320</v>
      </c>
      <c r="B44" s="3">
        <v>45703</v>
      </c>
      <c r="C44" t="s">
        <v>91</v>
      </c>
      <c r="D44" s="3">
        <v>45703.921747685185</v>
      </c>
      <c r="E44" t="s">
        <v>27</v>
      </c>
      <c r="F44" s="4">
        <v>226.32500000000002</v>
      </c>
      <c r="G44" s="4">
        <v>360469.54800000001</v>
      </c>
      <c r="H44" s="4">
        <v>360695.87300000002</v>
      </c>
      <c r="I44" s="5">
        <f>16830 / 86400</f>
        <v>0.19479166666666667</v>
      </c>
      <c r="J44" t="s">
        <v>31</v>
      </c>
      <c r="K44" t="s">
        <v>36</v>
      </c>
      <c r="L44" s="5">
        <f>49648 / 86400</f>
        <v>0.5746296296296296</v>
      </c>
      <c r="M44" s="5">
        <f>36746 / 86400</f>
        <v>0.42530092592592594</v>
      </c>
    </row>
    <row r="45" spans="1:13" x14ac:dyDescent="0.25">
      <c r="A45" t="s">
        <v>321</v>
      </c>
      <c r="B45" s="3">
        <v>45703.275393518517</v>
      </c>
      <c r="C45" t="s">
        <v>92</v>
      </c>
      <c r="D45" s="3">
        <v>45703.930092592593</v>
      </c>
      <c r="E45" t="s">
        <v>92</v>
      </c>
      <c r="F45" s="4">
        <v>202.51399999999998</v>
      </c>
      <c r="G45" s="4">
        <v>81714.667000000001</v>
      </c>
      <c r="H45" s="4">
        <v>81917.180999999997</v>
      </c>
      <c r="I45" s="5">
        <f>13375 / 86400</f>
        <v>0.15480324074074073</v>
      </c>
      <c r="J45" t="s">
        <v>31</v>
      </c>
      <c r="K45" t="s">
        <v>20</v>
      </c>
      <c r="L45" s="5">
        <f>40931 / 86400</f>
        <v>0.47373842592592591</v>
      </c>
      <c r="M45" s="5">
        <f>45466 / 86400</f>
        <v>0.52622685185185181</v>
      </c>
    </row>
    <row r="46" spans="1:13" x14ac:dyDescent="0.25">
      <c r="A46" t="s">
        <v>322</v>
      </c>
      <c r="B46" s="3">
        <v>45703</v>
      </c>
      <c r="C46" t="s">
        <v>86</v>
      </c>
      <c r="D46" s="3">
        <v>45703.99998842593</v>
      </c>
      <c r="E46" t="s">
        <v>93</v>
      </c>
      <c r="F46" s="4">
        <v>221.69499999999999</v>
      </c>
      <c r="G46" s="4">
        <v>470071.761</v>
      </c>
      <c r="H46" s="4">
        <v>470293.45600000001</v>
      </c>
      <c r="I46" s="5">
        <f>18455 / 86400</f>
        <v>0.21359953703703705</v>
      </c>
      <c r="J46" t="s">
        <v>19</v>
      </c>
      <c r="K46" t="s">
        <v>36</v>
      </c>
      <c r="L46" s="5">
        <f>49794 / 86400</f>
        <v>0.5763194444444445</v>
      </c>
      <c r="M46" s="5">
        <f>36604 / 86400</f>
        <v>0.42365740740740743</v>
      </c>
    </row>
    <row r="47" spans="1:13" x14ac:dyDescent="0.25">
      <c r="A47" t="s">
        <v>323</v>
      </c>
      <c r="B47" s="3">
        <v>45703.28833333333</v>
      </c>
      <c r="C47" t="s">
        <v>78</v>
      </c>
      <c r="D47" s="3">
        <v>45703.996840277774</v>
      </c>
      <c r="E47" t="s">
        <v>78</v>
      </c>
      <c r="F47" s="4">
        <v>0</v>
      </c>
      <c r="G47" s="4">
        <v>428213.33600000001</v>
      </c>
      <c r="H47" s="4">
        <v>428213.33600000001</v>
      </c>
      <c r="I47" s="5">
        <f>12984 / 86400</f>
        <v>0.15027777777777779</v>
      </c>
      <c r="J47" t="s">
        <v>44</v>
      </c>
      <c r="K47" t="s">
        <v>44</v>
      </c>
      <c r="L47" s="5">
        <f>13047 / 86400</f>
        <v>0.15100694444444446</v>
      </c>
      <c r="M47" s="5">
        <f>73348 / 86400</f>
        <v>0.84893518518518518</v>
      </c>
    </row>
    <row r="48" spans="1:13" x14ac:dyDescent="0.25">
      <c r="A48" t="s">
        <v>324</v>
      </c>
      <c r="B48" s="3">
        <v>45703.199837962966</v>
      </c>
      <c r="C48" t="s">
        <v>27</v>
      </c>
      <c r="D48" s="3">
        <v>45703.820833333331</v>
      </c>
      <c r="E48" t="s">
        <v>27</v>
      </c>
      <c r="F48" s="4">
        <v>216.71700000000001</v>
      </c>
      <c r="G48" s="4">
        <v>575778.49100000004</v>
      </c>
      <c r="H48" s="4">
        <v>575995.20799999998</v>
      </c>
      <c r="I48" s="5">
        <f>14773 / 86400</f>
        <v>0.17098379629629629</v>
      </c>
      <c r="J48" t="s">
        <v>41</v>
      </c>
      <c r="K48" t="s">
        <v>36</v>
      </c>
      <c r="L48" s="5">
        <f>48749 / 86400</f>
        <v>0.56422453703703701</v>
      </c>
      <c r="M48" s="5">
        <f>37647 / 86400</f>
        <v>0.43572916666666667</v>
      </c>
    </row>
    <row r="49" spans="1:13" x14ac:dyDescent="0.25">
      <c r="A49" t="s">
        <v>325</v>
      </c>
      <c r="B49" s="3">
        <v>45703.149745370371</v>
      </c>
      <c r="C49" t="s">
        <v>94</v>
      </c>
      <c r="D49" s="3">
        <v>45703.494768518518</v>
      </c>
      <c r="E49" t="s">
        <v>94</v>
      </c>
      <c r="F49" s="4">
        <v>147.09100000000001</v>
      </c>
      <c r="G49" s="4">
        <v>416773.484</v>
      </c>
      <c r="H49" s="4">
        <v>416920.57500000001</v>
      </c>
      <c r="I49" s="5">
        <f>8938 / 86400</f>
        <v>0.10344907407407407</v>
      </c>
      <c r="J49" t="s">
        <v>41</v>
      </c>
      <c r="K49" t="s">
        <v>20</v>
      </c>
      <c r="L49" s="5">
        <f>29810 / 86400</f>
        <v>0.34502314814814816</v>
      </c>
      <c r="M49" s="5">
        <f>56589 / 86400</f>
        <v>0.6549652777777778</v>
      </c>
    </row>
    <row r="50" spans="1:13" x14ac:dyDescent="0.25">
      <c r="A50" t="s">
        <v>326</v>
      </c>
      <c r="B50" s="3">
        <v>45703.019502314812</v>
      </c>
      <c r="C50" t="s">
        <v>95</v>
      </c>
      <c r="D50" s="3">
        <v>45703.960856481484</v>
      </c>
      <c r="E50" t="s">
        <v>96</v>
      </c>
      <c r="F50" s="4">
        <v>199.10599999999999</v>
      </c>
      <c r="G50" s="4">
        <v>400856.60600000003</v>
      </c>
      <c r="H50" s="4">
        <v>401055.712</v>
      </c>
      <c r="I50" s="5">
        <f>18555 / 86400</f>
        <v>0.21475694444444443</v>
      </c>
      <c r="J50" t="s">
        <v>28</v>
      </c>
      <c r="K50" t="s">
        <v>29</v>
      </c>
      <c r="L50" s="5">
        <f>48728 / 86400</f>
        <v>0.56398148148148153</v>
      </c>
      <c r="M50" s="5">
        <f>37665 / 86400</f>
        <v>0.43593749999999998</v>
      </c>
    </row>
    <row r="51" spans="1:13" x14ac:dyDescent="0.25">
      <c r="A51" t="s">
        <v>327</v>
      </c>
      <c r="B51" s="3">
        <v>45703.29760416667</v>
      </c>
      <c r="C51" t="s">
        <v>27</v>
      </c>
      <c r="D51" s="3">
        <v>45703.441608796296</v>
      </c>
      <c r="E51" t="s">
        <v>27</v>
      </c>
      <c r="F51" s="4">
        <v>49.406999999999996</v>
      </c>
      <c r="G51" s="4">
        <v>382844.375</v>
      </c>
      <c r="H51" s="4">
        <v>382893.78200000001</v>
      </c>
      <c r="I51" s="5">
        <f>1555 / 86400</f>
        <v>1.7997685185185186E-2</v>
      </c>
      <c r="J51" t="s">
        <v>19</v>
      </c>
      <c r="K51" t="s">
        <v>80</v>
      </c>
      <c r="L51" s="5">
        <f>7845 / 86400</f>
        <v>9.0798611111111108E-2</v>
      </c>
      <c r="M51" s="5">
        <f>78550 / 86400</f>
        <v>0.90914351851851849</v>
      </c>
    </row>
    <row r="52" spans="1:13" x14ac:dyDescent="0.25">
      <c r="A52" t="s">
        <v>328</v>
      </c>
      <c r="B52" s="3">
        <v>45703.297546296293</v>
      </c>
      <c r="C52" t="s">
        <v>97</v>
      </c>
      <c r="D52" s="3">
        <v>45703.776990740742</v>
      </c>
      <c r="E52" t="s">
        <v>21</v>
      </c>
      <c r="F52" s="4">
        <v>174.00199999999998</v>
      </c>
      <c r="G52" s="4">
        <v>546521.65</v>
      </c>
      <c r="H52" s="4">
        <v>546695.652</v>
      </c>
      <c r="I52" s="5">
        <f>10420 / 86400</f>
        <v>0.12060185185185185</v>
      </c>
      <c r="J52" t="s">
        <v>98</v>
      </c>
      <c r="K52" t="s">
        <v>20</v>
      </c>
      <c r="L52" s="5">
        <f>34983 / 86400</f>
        <v>0.40489583333333334</v>
      </c>
      <c r="M52" s="5">
        <f>51413 / 86400</f>
        <v>0.59505787037037039</v>
      </c>
    </row>
    <row r="53" spans="1:13" x14ac:dyDescent="0.25">
      <c r="A53" t="s">
        <v>329</v>
      </c>
      <c r="B53" s="3">
        <v>45703.351956018523</v>
      </c>
      <c r="C53" t="s">
        <v>99</v>
      </c>
      <c r="D53" s="3">
        <v>45703.99998842593</v>
      </c>
      <c r="E53" t="s">
        <v>71</v>
      </c>
      <c r="F53" s="4">
        <v>218.422</v>
      </c>
      <c r="G53" s="4">
        <v>104200.09600000001</v>
      </c>
      <c r="H53" s="4">
        <v>104418.518</v>
      </c>
      <c r="I53" s="5">
        <f>16344 / 86400</f>
        <v>0.18916666666666668</v>
      </c>
      <c r="J53" t="s">
        <v>34</v>
      </c>
      <c r="K53" t="s">
        <v>20</v>
      </c>
      <c r="L53" s="5">
        <f>44234 / 86400</f>
        <v>0.51196759259259261</v>
      </c>
      <c r="M53" s="5">
        <f>42165 / 86400</f>
        <v>0.48802083333333335</v>
      </c>
    </row>
    <row r="54" spans="1:13" x14ac:dyDescent="0.25">
      <c r="A54" t="s">
        <v>330</v>
      </c>
      <c r="B54" s="3">
        <v>45703.2893287037</v>
      </c>
      <c r="C54" t="s">
        <v>100</v>
      </c>
      <c r="D54" s="3">
        <v>45703.825370370367</v>
      </c>
      <c r="E54" t="s">
        <v>54</v>
      </c>
      <c r="F54" s="4">
        <v>9.3420000000000005</v>
      </c>
      <c r="G54" s="4">
        <v>54553.150999999998</v>
      </c>
      <c r="H54" s="4">
        <v>54562.493000000002</v>
      </c>
      <c r="I54" s="5">
        <f>1492 / 86400</f>
        <v>1.726851851851852E-2</v>
      </c>
      <c r="J54" t="s">
        <v>101</v>
      </c>
      <c r="K54" t="s">
        <v>102</v>
      </c>
      <c r="L54" s="5">
        <f>3146 / 86400</f>
        <v>3.6412037037037034E-2</v>
      </c>
      <c r="M54" s="5">
        <f>83253 / 86400</f>
        <v>0.96357638888888886</v>
      </c>
    </row>
    <row r="55" spans="1:13" x14ac:dyDescent="0.25">
      <c r="A55" t="s">
        <v>331</v>
      </c>
      <c r="B55" s="3">
        <v>45703.238819444443</v>
      </c>
      <c r="C55" t="s">
        <v>103</v>
      </c>
      <c r="D55" s="3">
        <v>45703.706597222219</v>
      </c>
      <c r="E55" t="s">
        <v>104</v>
      </c>
      <c r="F55" s="4">
        <v>182.83399999999997</v>
      </c>
      <c r="G55" s="4">
        <v>46260.444000000003</v>
      </c>
      <c r="H55" s="4">
        <v>46443.277999999998</v>
      </c>
      <c r="I55" s="5">
        <f>12759 / 86400</f>
        <v>0.1476736111111111</v>
      </c>
      <c r="J55" t="s">
        <v>49</v>
      </c>
      <c r="K55" t="s">
        <v>20</v>
      </c>
      <c r="L55" s="5">
        <f>36987 / 86400</f>
        <v>0.42809027777777775</v>
      </c>
      <c r="M55" s="5">
        <f>49412 / 86400</f>
        <v>0.5718981481481481</v>
      </c>
    </row>
    <row r="56" spans="1:13" x14ac:dyDescent="0.25">
      <c r="A56" t="s">
        <v>332</v>
      </c>
      <c r="B56" s="3">
        <v>45703.170127314814</v>
      </c>
      <c r="C56" t="s">
        <v>105</v>
      </c>
      <c r="D56" s="3">
        <v>45703.805601851855</v>
      </c>
      <c r="E56" t="s">
        <v>105</v>
      </c>
      <c r="F56" s="4">
        <v>293.91500000000002</v>
      </c>
      <c r="G56" s="4">
        <v>79285.149999999994</v>
      </c>
      <c r="H56" s="4">
        <v>79579.065000000002</v>
      </c>
      <c r="I56" s="5">
        <f>13926 / 86400</f>
        <v>0.16118055555555555</v>
      </c>
      <c r="J56" t="s">
        <v>61</v>
      </c>
      <c r="K56" t="s">
        <v>23</v>
      </c>
      <c r="L56" s="5">
        <f>51999 / 86400</f>
        <v>0.60184027777777782</v>
      </c>
      <c r="M56" s="5">
        <f>34400 / 86400</f>
        <v>0.39814814814814814</v>
      </c>
    </row>
    <row r="57" spans="1:13" x14ac:dyDescent="0.25">
      <c r="A57" t="s">
        <v>333</v>
      </c>
      <c r="B57" s="3">
        <v>45703</v>
      </c>
      <c r="C57" t="s">
        <v>106</v>
      </c>
      <c r="D57" s="3">
        <v>45703.99998842593</v>
      </c>
      <c r="E57" t="s">
        <v>78</v>
      </c>
      <c r="F57" s="4">
        <v>367.54199999999997</v>
      </c>
      <c r="G57" s="4">
        <v>40857.108</v>
      </c>
      <c r="H57" s="4">
        <v>41224.65</v>
      </c>
      <c r="I57" s="5">
        <f>20330 / 86400</f>
        <v>0.23530092592592591</v>
      </c>
      <c r="J57" t="s">
        <v>107</v>
      </c>
      <c r="K57" t="s">
        <v>26</v>
      </c>
      <c r="L57" s="5">
        <f>69633 / 86400</f>
        <v>0.80593749999999997</v>
      </c>
      <c r="M57" s="5">
        <f>16766 / 86400</f>
        <v>0.19405092592592593</v>
      </c>
    </row>
    <row r="58" spans="1:13" x14ac:dyDescent="0.25">
      <c r="A58" t="s">
        <v>334</v>
      </c>
      <c r="B58" s="3">
        <v>45703.001111111109</v>
      </c>
      <c r="C58" t="s">
        <v>108</v>
      </c>
      <c r="D58" s="3">
        <v>45703.938356481478</v>
      </c>
      <c r="E58" t="s">
        <v>109</v>
      </c>
      <c r="F58" s="4">
        <v>222.89400000000001</v>
      </c>
      <c r="G58" s="4">
        <v>192506.264</v>
      </c>
      <c r="H58" s="4">
        <v>192729.158</v>
      </c>
      <c r="I58" s="5">
        <f>14077 / 86400</f>
        <v>0.16292824074074075</v>
      </c>
      <c r="J58" t="s">
        <v>19</v>
      </c>
      <c r="K58" t="s">
        <v>33</v>
      </c>
      <c r="L58" s="5">
        <f>46780 / 86400</f>
        <v>0.54143518518518519</v>
      </c>
      <c r="M58" s="5">
        <f>39613 / 86400</f>
        <v>0.45848379629629632</v>
      </c>
    </row>
    <row r="59" spans="1:13" x14ac:dyDescent="0.25">
      <c r="A59" t="s">
        <v>335</v>
      </c>
      <c r="B59" s="3">
        <v>45703</v>
      </c>
      <c r="C59" t="s">
        <v>110</v>
      </c>
      <c r="D59" s="3">
        <v>45703.990300925929</v>
      </c>
      <c r="E59" t="s">
        <v>92</v>
      </c>
      <c r="F59" s="4">
        <v>316.98900000000003</v>
      </c>
      <c r="G59" s="4">
        <v>523311.69199999998</v>
      </c>
      <c r="H59" s="4">
        <v>523628.68099999998</v>
      </c>
      <c r="I59" s="5">
        <f>21308 / 86400</f>
        <v>0.24662037037037038</v>
      </c>
      <c r="J59" t="s">
        <v>107</v>
      </c>
      <c r="K59" t="s">
        <v>33</v>
      </c>
      <c r="L59" s="5">
        <f>65645 / 86400</f>
        <v>0.7597800925925926</v>
      </c>
      <c r="M59" s="5">
        <f>20751 / 86400</f>
        <v>0.2401736111111111</v>
      </c>
    </row>
    <row r="60" spans="1:13" x14ac:dyDescent="0.25">
      <c r="A60" t="s">
        <v>336</v>
      </c>
      <c r="B60" s="3">
        <v>45703.267118055555</v>
      </c>
      <c r="C60" t="s">
        <v>99</v>
      </c>
      <c r="D60" s="3">
        <v>45703.783657407403</v>
      </c>
      <c r="E60" t="s">
        <v>99</v>
      </c>
      <c r="F60" s="4">
        <v>184.5</v>
      </c>
      <c r="G60" s="4">
        <v>23224.491000000002</v>
      </c>
      <c r="H60" s="4">
        <v>23408.991000000002</v>
      </c>
      <c r="I60" s="5">
        <f>11776 / 86400</f>
        <v>0.1362962962962963</v>
      </c>
      <c r="J60" t="s">
        <v>111</v>
      </c>
      <c r="K60" t="s">
        <v>33</v>
      </c>
      <c r="L60" s="5">
        <f>39702 / 86400</f>
        <v>0.45951388888888889</v>
      </c>
      <c r="M60" s="5">
        <f>46693 / 86400</f>
        <v>0.5404282407407407</v>
      </c>
    </row>
    <row r="61" spans="1:13" x14ac:dyDescent="0.25">
      <c r="A61" t="s">
        <v>337</v>
      </c>
      <c r="B61" s="3">
        <v>45703.215636574074</v>
      </c>
      <c r="C61" t="s">
        <v>37</v>
      </c>
      <c r="D61" s="3">
        <v>45703.744004629625</v>
      </c>
      <c r="E61" t="s">
        <v>37</v>
      </c>
      <c r="F61" s="4">
        <v>187.33799999999999</v>
      </c>
      <c r="G61" s="4">
        <v>64358.131000000001</v>
      </c>
      <c r="H61" s="4">
        <v>64545.468999999997</v>
      </c>
      <c r="I61" s="5">
        <f>14959 / 86400</f>
        <v>0.17313657407407407</v>
      </c>
      <c r="J61" t="s">
        <v>32</v>
      </c>
      <c r="K61" t="s">
        <v>33</v>
      </c>
      <c r="L61" s="5">
        <f>40795 / 86400</f>
        <v>0.47216435185185185</v>
      </c>
      <c r="M61" s="5">
        <f>45600 / 86400</f>
        <v>0.52777777777777779</v>
      </c>
    </row>
    <row r="62" spans="1:13" x14ac:dyDescent="0.25">
      <c r="A62" t="s">
        <v>338</v>
      </c>
      <c r="B62" s="3">
        <v>45703</v>
      </c>
      <c r="C62" t="s">
        <v>112</v>
      </c>
      <c r="D62" s="3">
        <v>45703.948865740742</v>
      </c>
      <c r="E62" t="s">
        <v>27</v>
      </c>
      <c r="F62" s="4">
        <v>231.62599999999998</v>
      </c>
      <c r="G62" s="4">
        <v>408388.99800000002</v>
      </c>
      <c r="H62" s="4">
        <v>408620.625</v>
      </c>
      <c r="I62" s="5">
        <f>13090 / 86400</f>
        <v>0.15150462962962963</v>
      </c>
      <c r="J62" t="s">
        <v>107</v>
      </c>
      <c r="K62" t="s">
        <v>26</v>
      </c>
      <c r="L62" s="5">
        <f>43769 / 86400</f>
        <v>0.5065856481481481</v>
      </c>
      <c r="M62" s="5">
        <f>42625 / 86400</f>
        <v>0.49334490740740738</v>
      </c>
    </row>
    <row r="63" spans="1:13" x14ac:dyDescent="0.25">
      <c r="A63" t="s">
        <v>339</v>
      </c>
      <c r="B63" s="3">
        <v>45703</v>
      </c>
      <c r="C63" t="s">
        <v>113</v>
      </c>
      <c r="D63" s="3">
        <v>45703.981712962966</v>
      </c>
      <c r="E63" t="s">
        <v>87</v>
      </c>
      <c r="F63" s="4">
        <v>265.66499999999996</v>
      </c>
      <c r="G63" s="4">
        <v>550615.04299999995</v>
      </c>
      <c r="H63" s="4">
        <v>550880.70799999998</v>
      </c>
      <c r="I63" s="5">
        <f>20195 / 86400</f>
        <v>0.23373842592592592</v>
      </c>
      <c r="J63" t="s">
        <v>25</v>
      </c>
      <c r="K63" t="s">
        <v>36</v>
      </c>
      <c r="L63" s="5">
        <f>57966 / 86400</f>
        <v>0.67090277777777774</v>
      </c>
      <c r="M63" s="5">
        <f>28430 / 86400</f>
        <v>0.32905092592592594</v>
      </c>
    </row>
    <row r="64" spans="1:13" x14ac:dyDescent="0.25">
      <c r="A64" t="s">
        <v>340</v>
      </c>
      <c r="B64" s="3">
        <v>45703.357592592598</v>
      </c>
      <c r="C64" t="s">
        <v>27</v>
      </c>
      <c r="D64" s="3">
        <v>45703.99998842593</v>
      </c>
      <c r="E64" t="s">
        <v>110</v>
      </c>
      <c r="F64" s="4">
        <v>986.59500000000003</v>
      </c>
      <c r="G64" s="4">
        <v>53962.53</v>
      </c>
      <c r="H64" s="4">
        <v>54949.125</v>
      </c>
      <c r="I64" s="5">
        <f>12879 / 86400</f>
        <v>0.14906249999999999</v>
      </c>
      <c r="J64" t="s">
        <v>114</v>
      </c>
      <c r="K64" t="s">
        <v>111</v>
      </c>
      <c r="L64" s="5">
        <f>41254 / 86400</f>
        <v>0.47747685185185185</v>
      </c>
      <c r="M64" s="5">
        <f>45134 / 86400</f>
        <v>0.52238425925925924</v>
      </c>
    </row>
    <row r="65" spans="1:13" x14ac:dyDescent="0.25">
      <c r="A65" t="s">
        <v>341</v>
      </c>
      <c r="B65" s="3">
        <v>45703</v>
      </c>
      <c r="C65" t="s">
        <v>115</v>
      </c>
      <c r="D65" s="3">
        <v>45703.999074074076</v>
      </c>
      <c r="E65" t="s">
        <v>116</v>
      </c>
      <c r="F65" s="4">
        <v>364.17700000000002</v>
      </c>
      <c r="G65" s="4">
        <v>59794.928</v>
      </c>
      <c r="H65" s="4">
        <v>60159.105000000003</v>
      </c>
      <c r="I65" s="5">
        <f>20314 / 86400</f>
        <v>0.23511574074074074</v>
      </c>
      <c r="J65" t="s">
        <v>117</v>
      </c>
      <c r="K65" t="s">
        <v>26</v>
      </c>
      <c r="L65" s="5">
        <f>67810 / 86400</f>
        <v>0.78483796296296293</v>
      </c>
      <c r="M65" s="5">
        <f>18579 / 86400</f>
        <v>0.21503472222222222</v>
      </c>
    </row>
    <row r="66" spans="1:13" x14ac:dyDescent="0.25">
      <c r="A66" t="s">
        <v>342</v>
      </c>
      <c r="B66" s="3">
        <v>45703</v>
      </c>
      <c r="C66" t="s">
        <v>118</v>
      </c>
      <c r="D66" s="3">
        <v>45703.99998842593</v>
      </c>
      <c r="E66" t="s">
        <v>119</v>
      </c>
      <c r="F66" s="4">
        <v>360.33100000000002</v>
      </c>
      <c r="G66" s="4">
        <v>63596.078000000001</v>
      </c>
      <c r="H66" s="4">
        <v>63956.409</v>
      </c>
      <c r="I66" s="5">
        <f>23814 / 86400</f>
        <v>0.27562500000000001</v>
      </c>
      <c r="J66" t="s">
        <v>120</v>
      </c>
      <c r="K66" t="s">
        <v>20</v>
      </c>
      <c r="L66" s="5">
        <f>70384 / 86400</f>
        <v>0.81462962962962959</v>
      </c>
      <c r="M66" s="5">
        <f>16010 / 86400</f>
        <v>0.18530092592592592</v>
      </c>
    </row>
    <row r="67" spans="1:13" x14ac:dyDescent="0.25">
      <c r="A67" t="s">
        <v>343</v>
      </c>
      <c r="B67" s="3">
        <v>45703</v>
      </c>
      <c r="C67" t="s">
        <v>116</v>
      </c>
      <c r="D67" s="3">
        <v>45703.99998842593</v>
      </c>
      <c r="E67" t="s">
        <v>116</v>
      </c>
      <c r="F67" s="4">
        <v>249.12699999999998</v>
      </c>
      <c r="G67" s="4">
        <v>291963.63699999999</v>
      </c>
      <c r="H67" s="4">
        <v>292212.76400000002</v>
      </c>
      <c r="I67" s="5">
        <f>36830 / 86400</f>
        <v>0.42627314814814815</v>
      </c>
      <c r="J67" t="s">
        <v>121</v>
      </c>
      <c r="K67" t="s">
        <v>122</v>
      </c>
      <c r="L67" s="5">
        <f>69521 / 86400</f>
        <v>0.80464120370370373</v>
      </c>
      <c r="M67" s="5">
        <f>16878 / 86400</f>
        <v>0.19534722222222223</v>
      </c>
    </row>
    <row r="68" spans="1:13" x14ac:dyDescent="0.25">
      <c r="A68" s="6" t="s">
        <v>123</v>
      </c>
      <c r="B68" s="6" t="s">
        <v>124</v>
      </c>
      <c r="C68" s="6" t="s">
        <v>124</v>
      </c>
      <c r="D68" s="6" t="s">
        <v>124</v>
      </c>
      <c r="E68" s="6" t="s">
        <v>124</v>
      </c>
      <c r="F68" s="7">
        <v>12012.348791457951</v>
      </c>
      <c r="G68" s="6" t="s">
        <v>124</v>
      </c>
      <c r="H68" s="6" t="s">
        <v>124</v>
      </c>
      <c r="I68" s="8">
        <f>780408 / 86400</f>
        <v>9.0325000000000006</v>
      </c>
      <c r="J68" s="6" t="s">
        <v>124</v>
      </c>
      <c r="K68" s="6" t="s">
        <v>124</v>
      </c>
      <c r="L68" s="8">
        <f>2346003 / 86400</f>
        <v>27.1528125</v>
      </c>
      <c r="M68" s="8">
        <f>2837720 / 86400</f>
        <v>32.843981481481478</v>
      </c>
    </row>
    <row r="69" spans="1:1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3" s="9" customFormat="1" x14ac:dyDescent="0.25">
      <c r="A70" s="14" t="s">
        <v>125</v>
      </c>
      <c r="B70" s="14"/>
      <c r="C70" s="14"/>
      <c r="D70" s="14"/>
      <c r="E70" s="14"/>
      <c r="F70" s="14"/>
      <c r="G70" s="14"/>
      <c r="H70" s="14"/>
      <c r="I70" s="14"/>
      <c r="J70" s="14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s="10" customFormat="1" ht="20.100000000000001" customHeight="1" x14ac:dyDescent="0.35">
      <c r="A73" s="15" t="s">
        <v>284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ht="30" x14ac:dyDescent="0.25">
      <c r="A75" s="2" t="s">
        <v>6</v>
      </c>
      <c r="B75" s="2" t="s">
        <v>7</v>
      </c>
      <c r="C75" s="2" t="s">
        <v>8</v>
      </c>
      <c r="D75" s="2" t="s">
        <v>9</v>
      </c>
      <c r="E75" s="2" t="s">
        <v>10</v>
      </c>
      <c r="F75" s="2" t="s">
        <v>11</v>
      </c>
      <c r="G75" s="2" t="s">
        <v>12</v>
      </c>
      <c r="H75" s="2" t="s">
        <v>13</v>
      </c>
      <c r="I75" s="2" t="s">
        <v>14</v>
      </c>
      <c r="J75" s="2" t="s">
        <v>15</v>
      </c>
      <c r="K75" s="2" t="s">
        <v>16</v>
      </c>
      <c r="L75" s="2" t="s">
        <v>17</v>
      </c>
    </row>
    <row r="76" spans="1:13" x14ac:dyDescent="0.25">
      <c r="A76" s="3">
        <v>45703.232361111106</v>
      </c>
      <c r="B76" t="s">
        <v>18</v>
      </c>
      <c r="C76" s="3">
        <v>45703.233877314815</v>
      </c>
      <c r="D76" t="s">
        <v>18</v>
      </c>
      <c r="E76" s="4">
        <v>1.7999999999999999E-2</v>
      </c>
      <c r="F76" s="4">
        <v>514396.88400000002</v>
      </c>
      <c r="G76" s="4">
        <v>514396.902</v>
      </c>
      <c r="H76" s="5">
        <f>99 / 86400</f>
        <v>1.1458333333333333E-3</v>
      </c>
      <c r="I76" t="s">
        <v>43</v>
      </c>
      <c r="J76" t="s">
        <v>44</v>
      </c>
      <c r="K76" s="5">
        <f>130 / 86400</f>
        <v>1.5046296296296296E-3</v>
      </c>
      <c r="L76" s="5">
        <f>22522 / 86400</f>
        <v>0.26067129629629632</v>
      </c>
    </row>
    <row r="77" spans="1:13" x14ac:dyDescent="0.25">
      <c r="A77" s="3">
        <v>45703.262187500004</v>
      </c>
      <c r="B77" t="s">
        <v>18</v>
      </c>
      <c r="C77" s="3">
        <v>45703.347627314812</v>
      </c>
      <c r="D77" t="s">
        <v>84</v>
      </c>
      <c r="E77" s="4">
        <v>46.277000000000001</v>
      </c>
      <c r="F77" s="4">
        <v>514396.902</v>
      </c>
      <c r="G77" s="4">
        <v>514443.179</v>
      </c>
      <c r="H77" s="5">
        <f>1758 / 86400</f>
        <v>2.0347222222222221E-2</v>
      </c>
      <c r="I77" t="s">
        <v>61</v>
      </c>
      <c r="J77" t="s">
        <v>80</v>
      </c>
      <c r="K77" s="5">
        <f>7381 / 86400</f>
        <v>8.5428240740740735E-2</v>
      </c>
      <c r="L77" s="5">
        <f>643 / 86400</f>
        <v>7.4421296296296293E-3</v>
      </c>
    </row>
    <row r="78" spans="1:13" x14ac:dyDescent="0.25">
      <c r="A78" s="3">
        <v>45703.355069444442</v>
      </c>
      <c r="B78" t="s">
        <v>84</v>
      </c>
      <c r="C78" s="3">
        <v>45703.360150462962</v>
      </c>
      <c r="D78" t="s">
        <v>126</v>
      </c>
      <c r="E78" s="4">
        <v>1.359</v>
      </c>
      <c r="F78" s="4">
        <v>514443.179</v>
      </c>
      <c r="G78" s="4">
        <v>514444.538</v>
      </c>
      <c r="H78" s="5">
        <f>140 / 86400</f>
        <v>1.6203703703703703E-3</v>
      </c>
      <c r="I78" t="s">
        <v>127</v>
      </c>
      <c r="J78" t="s">
        <v>102</v>
      </c>
      <c r="K78" s="5">
        <f>439 / 86400</f>
        <v>5.0810185185185186E-3</v>
      </c>
      <c r="L78" s="5">
        <f>3803 / 86400</f>
        <v>4.4016203703703703E-2</v>
      </c>
    </row>
    <row r="79" spans="1:13" x14ac:dyDescent="0.25">
      <c r="A79" s="3">
        <v>45703.404166666667</v>
      </c>
      <c r="B79" t="s">
        <v>128</v>
      </c>
      <c r="C79" s="3">
        <v>45703.406203703707</v>
      </c>
      <c r="D79" t="s">
        <v>129</v>
      </c>
      <c r="E79" s="4">
        <v>0.49399999999999999</v>
      </c>
      <c r="F79" s="4">
        <v>514444.538</v>
      </c>
      <c r="G79" s="4">
        <v>514445.03200000001</v>
      </c>
      <c r="H79" s="5">
        <f>80 / 86400</f>
        <v>9.2592592592592596E-4</v>
      </c>
      <c r="I79" t="s">
        <v>80</v>
      </c>
      <c r="J79" t="s">
        <v>130</v>
      </c>
      <c r="K79" s="5">
        <f>176 / 86400</f>
        <v>2.0370370370370369E-3</v>
      </c>
      <c r="L79" s="5">
        <f>2141 / 86400</f>
        <v>2.4780092592592593E-2</v>
      </c>
    </row>
    <row r="80" spans="1:13" x14ac:dyDescent="0.25">
      <c r="A80" s="3">
        <v>45703.430983796294</v>
      </c>
      <c r="B80" t="s">
        <v>131</v>
      </c>
      <c r="C80" s="3">
        <v>45703.660138888888</v>
      </c>
      <c r="D80" t="s">
        <v>84</v>
      </c>
      <c r="E80" s="4">
        <v>96.572999999999993</v>
      </c>
      <c r="F80" s="4">
        <v>514445.03200000001</v>
      </c>
      <c r="G80" s="4">
        <v>514541.60499999998</v>
      </c>
      <c r="H80" s="5">
        <f>6042 / 86400</f>
        <v>6.9930555555555551E-2</v>
      </c>
      <c r="I80" t="s">
        <v>19</v>
      </c>
      <c r="J80" t="s">
        <v>20</v>
      </c>
      <c r="K80" s="5">
        <f>19799 / 86400</f>
        <v>0.22915509259259259</v>
      </c>
      <c r="L80" s="5">
        <f>313 / 86400</f>
        <v>3.6226851851851854E-3</v>
      </c>
    </row>
    <row r="81" spans="1:12" x14ac:dyDescent="0.25">
      <c r="A81" s="3">
        <v>45703.663761574076</v>
      </c>
      <c r="B81" t="s">
        <v>84</v>
      </c>
      <c r="C81" s="3">
        <v>45703.666076388894</v>
      </c>
      <c r="D81" t="s">
        <v>132</v>
      </c>
      <c r="E81" s="4">
        <v>0.76800000000000002</v>
      </c>
      <c r="F81" s="4">
        <v>514541.60499999998</v>
      </c>
      <c r="G81" s="4">
        <v>514542.37300000002</v>
      </c>
      <c r="H81" s="5">
        <f>0 / 86400</f>
        <v>0</v>
      </c>
      <c r="I81" t="s">
        <v>76</v>
      </c>
      <c r="J81" t="s">
        <v>88</v>
      </c>
      <c r="K81" s="5">
        <f>200 / 86400</f>
        <v>2.3148148148148147E-3</v>
      </c>
      <c r="L81" s="5">
        <f>1110 / 86400</f>
        <v>1.2847222222222222E-2</v>
      </c>
    </row>
    <row r="82" spans="1:12" x14ac:dyDescent="0.25">
      <c r="A82" s="3">
        <v>45703.678923611107</v>
      </c>
      <c r="B82" t="s">
        <v>132</v>
      </c>
      <c r="C82" s="3">
        <v>45703.679351851853</v>
      </c>
      <c r="D82" t="s">
        <v>133</v>
      </c>
      <c r="E82" s="4">
        <v>7.0999999999999994E-2</v>
      </c>
      <c r="F82" s="4">
        <v>514542.37300000002</v>
      </c>
      <c r="G82" s="4">
        <v>514542.44400000002</v>
      </c>
      <c r="H82" s="5">
        <f>0 / 86400</f>
        <v>0</v>
      </c>
      <c r="I82" t="s">
        <v>57</v>
      </c>
      <c r="J82" t="s">
        <v>60</v>
      </c>
      <c r="K82" s="5">
        <f>37 / 86400</f>
        <v>4.2824074074074075E-4</v>
      </c>
      <c r="L82" s="5">
        <f>39 / 86400</f>
        <v>4.5138888888888887E-4</v>
      </c>
    </row>
    <row r="83" spans="1:12" x14ac:dyDescent="0.25">
      <c r="A83" s="3">
        <v>45703.679803240739</v>
      </c>
      <c r="B83" t="s">
        <v>133</v>
      </c>
      <c r="C83" s="3">
        <v>45703.6799537037</v>
      </c>
      <c r="D83" t="s">
        <v>133</v>
      </c>
      <c r="E83" s="4">
        <v>6.0000000000000001E-3</v>
      </c>
      <c r="F83" s="4">
        <v>514542.44400000002</v>
      </c>
      <c r="G83" s="4">
        <v>514542.45</v>
      </c>
      <c r="H83" s="5">
        <f>0 / 86400</f>
        <v>0</v>
      </c>
      <c r="I83" t="s">
        <v>134</v>
      </c>
      <c r="J83" t="s">
        <v>135</v>
      </c>
      <c r="K83" s="5">
        <f>13 / 86400</f>
        <v>1.5046296296296297E-4</v>
      </c>
      <c r="L83" s="5">
        <f>264 / 86400</f>
        <v>3.0555555555555557E-3</v>
      </c>
    </row>
    <row r="84" spans="1:12" x14ac:dyDescent="0.25">
      <c r="A84" s="3">
        <v>45703.683009259257</v>
      </c>
      <c r="B84" t="s">
        <v>133</v>
      </c>
      <c r="C84" s="3">
        <v>45703.683136574073</v>
      </c>
      <c r="D84" t="s">
        <v>133</v>
      </c>
      <c r="E84" s="4">
        <v>6.0000000000000001E-3</v>
      </c>
      <c r="F84" s="4">
        <v>514542.45</v>
      </c>
      <c r="G84" s="4">
        <v>514542.45600000001</v>
      </c>
      <c r="H84" s="5">
        <f>0 / 86400</f>
        <v>0</v>
      </c>
      <c r="I84" t="s">
        <v>134</v>
      </c>
      <c r="J84" t="s">
        <v>135</v>
      </c>
      <c r="K84" s="5">
        <f>11 / 86400</f>
        <v>1.273148148148148E-4</v>
      </c>
      <c r="L84" s="5">
        <f>285 / 86400</f>
        <v>3.2986111111111111E-3</v>
      </c>
    </row>
    <row r="85" spans="1:12" x14ac:dyDescent="0.25">
      <c r="A85" s="3">
        <v>45703.686435185184</v>
      </c>
      <c r="B85" t="s">
        <v>133</v>
      </c>
      <c r="C85" s="3">
        <v>45703.703946759255</v>
      </c>
      <c r="D85" t="s">
        <v>136</v>
      </c>
      <c r="E85" s="4">
        <v>3.5329999999999999</v>
      </c>
      <c r="F85" s="4">
        <v>514542.45600000001</v>
      </c>
      <c r="G85" s="4">
        <v>514545.989</v>
      </c>
      <c r="H85" s="5">
        <f>759 / 86400</f>
        <v>8.7847222222222215E-3</v>
      </c>
      <c r="I85" t="s">
        <v>137</v>
      </c>
      <c r="J85" t="s">
        <v>138</v>
      </c>
      <c r="K85" s="5">
        <f>1512 / 86400</f>
        <v>1.7500000000000002E-2</v>
      </c>
      <c r="L85" s="5">
        <f>46 / 86400</f>
        <v>5.3240740740740744E-4</v>
      </c>
    </row>
    <row r="86" spans="1:12" x14ac:dyDescent="0.25">
      <c r="A86" s="3">
        <v>45703.70447916667</v>
      </c>
      <c r="B86" t="s">
        <v>136</v>
      </c>
      <c r="C86" s="3">
        <v>45703.70925925926</v>
      </c>
      <c r="D86" t="s">
        <v>136</v>
      </c>
      <c r="E86" s="4">
        <v>5.0999999999999997E-2</v>
      </c>
      <c r="F86" s="4">
        <v>514545.989</v>
      </c>
      <c r="G86" s="4">
        <v>514546.04</v>
      </c>
      <c r="H86" s="5">
        <f>339 / 86400</f>
        <v>3.9236111111111112E-3</v>
      </c>
      <c r="I86" t="s">
        <v>139</v>
      </c>
      <c r="J86" t="s">
        <v>44</v>
      </c>
      <c r="K86" s="5">
        <f>412 / 86400</f>
        <v>4.7685185185185183E-3</v>
      </c>
      <c r="L86" s="5">
        <f>610 / 86400</f>
        <v>7.060185185185185E-3</v>
      </c>
    </row>
    <row r="87" spans="1:12" x14ac:dyDescent="0.25">
      <c r="A87" s="3">
        <v>45703.716319444444</v>
      </c>
      <c r="B87" t="s">
        <v>136</v>
      </c>
      <c r="C87" s="3">
        <v>45703.871863425928</v>
      </c>
      <c r="D87" t="s">
        <v>140</v>
      </c>
      <c r="E87" s="4">
        <v>65.516999999999996</v>
      </c>
      <c r="F87" s="4">
        <v>514546.04</v>
      </c>
      <c r="G87" s="4">
        <v>514611.55699999997</v>
      </c>
      <c r="H87" s="5">
        <f>3918 / 86400</f>
        <v>4.5347222222222219E-2</v>
      </c>
      <c r="I87" t="s">
        <v>73</v>
      </c>
      <c r="J87" t="s">
        <v>20</v>
      </c>
      <c r="K87" s="5">
        <f>13439 / 86400</f>
        <v>0.15554398148148149</v>
      </c>
      <c r="L87" s="5">
        <f>327 / 86400</f>
        <v>3.7847222222222223E-3</v>
      </c>
    </row>
    <row r="88" spans="1:12" x14ac:dyDescent="0.25">
      <c r="A88" s="3">
        <v>45703.875648148147</v>
      </c>
      <c r="B88" t="s">
        <v>140</v>
      </c>
      <c r="C88" s="3">
        <v>45703.877905092595</v>
      </c>
      <c r="D88" t="s">
        <v>18</v>
      </c>
      <c r="E88" s="4">
        <v>0.51700000000000002</v>
      </c>
      <c r="F88" s="4">
        <v>514611.55699999997</v>
      </c>
      <c r="G88" s="4">
        <v>514612.07400000002</v>
      </c>
      <c r="H88" s="5">
        <f>40 / 86400</f>
        <v>4.6296296296296298E-4</v>
      </c>
      <c r="I88" t="s">
        <v>141</v>
      </c>
      <c r="J88" t="s">
        <v>130</v>
      </c>
      <c r="K88" s="5">
        <f>194 / 86400</f>
        <v>2.2453703703703702E-3</v>
      </c>
      <c r="L88" s="5">
        <f>10548 / 86400</f>
        <v>0.12208333333333334</v>
      </c>
    </row>
    <row r="89" spans="1:1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2" s="10" customFormat="1" ht="20.100000000000001" customHeight="1" x14ac:dyDescent="0.35">
      <c r="A91" s="15" t="s">
        <v>285</v>
      </c>
      <c r="B91" s="15"/>
      <c r="C91" s="15"/>
      <c r="D91" s="15"/>
      <c r="E91" s="15"/>
      <c r="F91" s="15"/>
      <c r="G91" s="15"/>
      <c r="H91" s="15"/>
      <c r="I91" s="15"/>
      <c r="J91" s="15"/>
    </row>
    <row r="92" spans="1:1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2" ht="30" x14ac:dyDescent="0.25">
      <c r="A93" s="2" t="s">
        <v>6</v>
      </c>
      <c r="B93" s="2" t="s">
        <v>7</v>
      </c>
      <c r="C93" s="2" t="s">
        <v>8</v>
      </c>
      <c r="D93" s="2" t="s">
        <v>9</v>
      </c>
      <c r="E93" s="2" t="s">
        <v>10</v>
      </c>
      <c r="F93" s="2" t="s">
        <v>11</v>
      </c>
      <c r="G93" s="2" t="s">
        <v>12</v>
      </c>
      <c r="H93" s="2" t="s">
        <v>13</v>
      </c>
      <c r="I93" s="2" t="s">
        <v>14</v>
      </c>
      <c r="J93" s="2" t="s">
        <v>15</v>
      </c>
      <c r="K93" s="2" t="s">
        <v>16</v>
      </c>
      <c r="L93" s="2" t="s">
        <v>17</v>
      </c>
    </row>
    <row r="94" spans="1:12" x14ac:dyDescent="0.25">
      <c r="A94" s="3">
        <v>45703.18167824074</v>
      </c>
      <c r="B94" t="s">
        <v>21</v>
      </c>
      <c r="C94" s="3">
        <v>45703.320023148146</v>
      </c>
      <c r="D94" t="s">
        <v>142</v>
      </c>
      <c r="E94" s="4">
        <v>63.307000000000002</v>
      </c>
      <c r="F94" s="4">
        <v>19725.137999999999</v>
      </c>
      <c r="G94" s="4">
        <v>19788.445</v>
      </c>
      <c r="H94" s="5">
        <f>3461 / 86400</f>
        <v>4.0057870370370369E-2</v>
      </c>
      <c r="I94" t="s">
        <v>143</v>
      </c>
      <c r="J94" t="s">
        <v>26</v>
      </c>
      <c r="K94" s="5">
        <f>11953 / 86400</f>
        <v>0.1383449074074074</v>
      </c>
      <c r="L94" s="5">
        <f>15841 / 86400</f>
        <v>0.18334490740740741</v>
      </c>
    </row>
    <row r="95" spans="1:12" x14ac:dyDescent="0.25">
      <c r="A95" s="3">
        <v>45703.321689814809</v>
      </c>
      <c r="B95" t="s">
        <v>142</v>
      </c>
      <c r="C95" s="3">
        <v>45703.395509259259</v>
      </c>
      <c r="D95" t="s">
        <v>144</v>
      </c>
      <c r="E95" s="4">
        <v>38.695999999999998</v>
      </c>
      <c r="F95" s="4">
        <v>19788.445</v>
      </c>
      <c r="G95" s="4">
        <v>19827.141</v>
      </c>
      <c r="H95" s="5">
        <f>1520 / 86400</f>
        <v>1.7592592592592594E-2</v>
      </c>
      <c r="I95" t="s">
        <v>114</v>
      </c>
      <c r="J95" t="s">
        <v>145</v>
      </c>
      <c r="K95" s="5">
        <f>6378 / 86400</f>
        <v>7.3819444444444438E-2</v>
      </c>
      <c r="L95" s="5">
        <f>430 / 86400</f>
        <v>4.9768518518518521E-3</v>
      </c>
    </row>
    <row r="96" spans="1:12" x14ac:dyDescent="0.25">
      <c r="A96" s="3">
        <v>45703.40048611111</v>
      </c>
      <c r="B96" t="s">
        <v>144</v>
      </c>
      <c r="C96" s="3">
        <v>45703.400821759264</v>
      </c>
      <c r="D96" t="s">
        <v>144</v>
      </c>
      <c r="E96" s="4">
        <v>2.1999999999999999E-2</v>
      </c>
      <c r="F96" s="4">
        <v>19827.141</v>
      </c>
      <c r="G96" s="4">
        <v>19827.163</v>
      </c>
      <c r="H96" s="5">
        <f>0 / 86400</f>
        <v>0</v>
      </c>
      <c r="I96" t="s">
        <v>130</v>
      </c>
      <c r="J96" t="s">
        <v>139</v>
      </c>
      <c r="K96" s="5">
        <f>28 / 86400</f>
        <v>3.2407407407407406E-4</v>
      </c>
      <c r="L96" s="5">
        <f>873 / 86400</f>
        <v>1.0104166666666666E-2</v>
      </c>
    </row>
    <row r="97" spans="1:12" x14ac:dyDescent="0.25">
      <c r="A97" s="3">
        <v>45703.410925925928</v>
      </c>
      <c r="B97" t="s">
        <v>144</v>
      </c>
      <c r="C97" s="3">
        <v>45703.413414351853</v>
      </c>
      <c r="D97" t="s">
        <v>146</v>
      </c>
      <c r="E97" s="4">
        <v>1.486</v>
      </c>
      <c r="F97" s="4">
        <v>19827.163</v>
      </c>
      <c r="G97" s="4">
        <v>19828.649000000001</v>
      </c>
      <c r="H97" s="5">
        <f>19 / 86400</f>
        <v>2.199074074074074E-4</v>
      </c>
      <c r="I97" t="s">
        <v>147</v>
      </c>
      <c r="J97" t="s">
        <v>148</v>
      </c>
      <c r="K97" s="5">
        <f>214 / 86400</f>
        <v>2.476851851851852E-3</v>
      </c>
      <c r="L97" s="5">
        <f>15508 / 86400</f>
        <v>0.17949074074074073</v>
      </c>
    </row>
    <row r="98" spans="1:12" x14ac:dyDescent="0.25">
      <c r="A98" s="3">
        <v>45703.592905092592</v>
      </c>
      <c r="B98" t="s">
        <v>146</v>
      </c>
      <c r="C98" s="3">
        <v>45703.794537037036</v>
      </c>
      <c r="D98" t="s">
        <v>84</v>
      </c>
      <c r="E98" s="4">
        <v>92.89</v>
      </c>
      <c r="F98" s="4">
        <v>19828.649000000001</v>
      </c>
      <c r="G98" s="4">
        <v>19921.539000000001</v>
      </c>
      <c r="H98" s="5">
        <f>4819 / 86400</f>
        <v>5.5775462962962964E-2</v>
      </c>
      <c r="I98" t="s">
        <v>22</v>
      </c>
      <c r="J98" t="s">
        <v>26</v>
      </c>
      <c r="K98" s="5">
        <f>17421 / 86400</f>
        <v>0.20163194444444443</v>
      </c>
      <c r="L98" s="5">
        <f>235 / 86400</f>
        <v>2.7199074074074074E-3</v>
      </c>
    </row>
    <row r="99" spans="1:12" x14ac:dyDescent="0.25">
      <c r="A99" s="3">
        <v>45703.797256944439</v>
      </c>
      <c r="B99" t="s">
        <v>149</v>
      </c>
      <c r="C99" s="3">
        <v>45703.798182870371</v>
      </c>
      <c r="D99" t="s">
        <v>84</v>
      </c>
      <c r="E99" s="4">
        <v>0.20899999999999999</v>
      </c>
      <c r="F99" s="4">
        <v>19921.539000000001</v>
      </c>
      <c r="G99" s="4">
        <v>19921.748</v>
      </c>
      <c r="H99" s="5">
        <f>0 / 86400</f>
        <v>0</v>
      </c>
      <c r="I99" t="s">
        <v>122</v>
      </c>
      <c r="J99" t="s">
        <v>150</v>
      </c>
      <c r="K99" s="5">
        <f>80 / 86400</f>
        <v>9.2592592592592596E-4</v>
      </c>
      <c r="L99" s="5">
        <f>403 / 86400</f>
        <v>4.6643518518518518E-3</v>
      </c>
    </row>
    <row r="100" spans="1:12" x14ac:dyDescent="0.25">
      <c r="A100" s="3">
        <v>45703.802847222221</v>
      </c>
      <c r="B100" t="s">
        <v>84</v>
      </c>
      <c r="C100" s="3">
        <v>45703.806574074071</v>
      </c>
      <c r="D100" t="s">
        <v>21</v>
      </c>
      <c r="E100" s="4">
        <v>0.59799999999999998</v>
      </c>
      <c r="F100" s="4">
        <v>19921.748</v>
      </c>
      <c r="G100" s="4">
        <v>19922.346000000001</v>
      </c>
      <c r="H100" s="5">
        <f>121 / 86400</f>
        <v>1.4004629629629629E-3</v>
      </c>
      <c r="I100" t="s">
        <v>141</v>
      </c>
      <c r="J100" t="s">
        <v>60</v>
      </c>
      <c r="K100" s="5">
        <f>322 / 86400</f>
        <v>3.7268518518518519E-3</v>
      </c>
      <c r="L100" s="5">
        <f>16711 / 86400</f>
        <v>0.19341435185185185</v>
      </c>
    </row>
    <row r="101" spans="1:1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s="10" customFormat="1" ht="20.100000000000001" customHeight="1" x14ac:dyDescent="0.35">
      <c r="A103" s="15" t="s">
        <v>286</v>
      </c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ht="30" x14ac:dyDescent="0.25">
      <c r="A105" s="2" t="s">
        <v>6</v>
      </c>
      <c r="B105" s="2" t="s">
        <v>7</v>
      </c>
      <c r="C105" s="2" t="s">
        <v>8</v>
      </c>
      <c r="D105" s="2" t="s">
        <v>9</v>
      </c>
      <c r="E105" s="2" t="s">
        <v>10</v>
      </c>
      <c r="F105" s="2" t="s">
        <v>11</v>
      </c>
      <c r="G105" s="2" t="s">
        <v>12</v>
      </c>
      <c r="H105" s="2" t="s">
        <v>13</v>
      </c>
      <c r="I105" s="2" t="s">
        <v>14</v>
      </c>
      <c r="J105" s="2" t="s">
        <v>15</v>
      </c>
      <c r="K105" s="2" t="s">
        <v>16</v>
      </c>
      <c r="L105" s="2" t="s">
        <v>17</v>
      </c>
    </row>
    <row r="106" spans="1:12" x14ac:dyDescent="0.25">
      <c r="A106" s="3">
        <v>45703.271157407406</v>
      </c>
      <c r="B106" t="s">
        <v>24</v>
      </c>
      <c r="C106" s="3">
        <v>45703.273888888885</v>
      </c>
      <c r="D106" t="s">
        <v>151</v>
      </c>
      <c r="E106" s="4">
        <v>0.68500000000000005</v>
      </c>
      <c r="F106" s="4">
        <v>328871.89</v>
      </c>
      <c r="G106" s="4">
        <v>328872.57500000001</v>
      </c>
      <c r="H106" s="5">
        <f>119 / 86400</f>
        <v>1.3773148148148147E-3</v>
      </c>
      <c r="I106" t="s">
        <v>152</v>
      </c>
      <c r="J106" t="s">
        <v>130</v>
      </c>
      <c r="K106" s="5">
        <f>236 / 86400</f>
        <v>2.7314814814814814E-3</v>
      </c>
      <c r="L106" s="5">
        <f>24519 / 86400</f>
        <v>0.28378472222222223</v>
      </c>
    </row>
    <row r="107" spans="1:12" x14ac:dyDescent="0.25">
      <c r="A107" s="3">
        <v>45703.286516203705</v>
      </c>
      <c r="B107" t="s">
        <v>151</v>
      </c>
      <c r="C107" s="3">
        <v>45703.368148148147</v>
      </c>
      <c r="D107" t="s">
        <v>153</v>
      </c>
      <c r="E107" s="4">
        <v>35.709000000000003</v>
      </c>
      <c r="F107" s="4">
        <v>328872.57500000001</v>
      </c>
      <c r="G107" s="4">
        <v>328908.28399999999</v>
      </c>
      <c r="H107" s="5">
        <f>2298 / 86400</f>
        <v>2.6597222222222223E-2</v>
      </c>
      <c r="I107" t="s">
        <v>58</v>
      </c>
      <c r="J107" t="s">
        <v>20</v>
      </c>
      <c r="K107" s="5">
        <f>7053 / 86400</f>
        <v>8.1631944444444438E-2</v>
      </c>
      <c r="L107" s="5">
        <f>84 / 86400</f>
        <v>9.7222222222222219E-4</v>
      </c>
    </row>
    <row r="108" spans="1:12" x14ac:dyDescent="0.25">
      <c r="A108" s="3">
        <v>45703.369120370371</v>
      </c>
      <c r="B108" t="s">
        <v>153</v>
      </c>
      <c r="C108" s="3">
        <v>45703.472534722227</v>
      </c>
      <c r="D108" t="s">
        <v>84</v>
      </c>
      <c r="E108" s="4">
        <v>48.335000000000001</v>
      </c>
      <c r="F108" s="4">
        <v>328908.28399999999</v>
      </c>
      <c r="G108" s="4">
        <v>328956.61900000001</v>
      </c>
      <c r="H108" s="5">
        <f>2439 / 86400</f>
        <v>2.8229166666666666E-2</v>
      </c>
      <c r="I108" t="s">
        <v>38</v>
      </c>
      <c r="J108" t="s">
        <v>26</v>
      </c>
      <c r="K108" s="5">
        <f>8935 / 86400</f>
        <v>0.10341435185185185</v>
      </c>
      <c r="L108" s="5">
        <f>1254 / 86400</f>
        <v>1.4513888888888889E-2</v>
      </c>
    </row>
    <row r="109" spans="1:12" x14ac:dyDescent="0.25">
      <c r="A109" s="3">
        <v>45703.48704861111</v>
      </c>
      <c r="B109" t="s">
        <v>84</v>
      </c>
      <c r="C109" s="3">
        <v>45703.488159722227</v>
      </c>
      <c r="D109" t="s">
        <v>144</v>
      </c>
      <c r="E109" s="4">
        <v>0.11700000000000001</v>
      </c>
      <c r="F109" s="4">
        <v>328956.61900000001</v>
      </c>
      <c r="G109" s="4">
        <v>328956.73599999998</v>
      </c>
      <c r="H109" s="5">
        <f>59 / 86400</f>
        <v>6.8287037037037036E-4</v>
      </c>
      <c r="I109" t="s">
        <v>130</v>
      </c>
      <c r="J109" t="s">
        <v>154</v>
      </c>
      <c r="K109" s="5">
        <f>96 / 86400</f>
        <v>1.1111111111111111E-3</v>
      </c>
      <c r="L109" s="5">
        <f>2432 / 86400</f>
        <v>2.8148148148148148E-2</v>
      </c>
    </row>
    <row r="110" spans="1:12" x14ac:dyDescent="0.25">
      <c r="A110" s="3">
        <v>45703.51630787037</v>
      </c>
      <c r="B110" t="s">
        <v>144</v>
      </c>
      <c r="C110" s="3">
        <v>45703.519525462965</v>
      </c>
      <c r="D110" t="s">
        <v>128</v>
      </c>
      <c r="E110" s="4">
        <v>1.276</v>
      </c>
      <c r="F110" s="4">
        <v>328956.73599999998</v>
      </c>
      <c r="G110" s="4">
        <v>328958.01199999999</v>
      </c>
      <c r="H110" s="5">
        <f>40 / 86400</f>
        <v>4.6296296296296298E-4</v>
      </c>
      <c r="I110" t="s">
        <v>155</v>
      </c>
      <c r="J110" t="s">
        <v>33</v>
      </c>
      <c r="K110" s="5">
        <f>277 / 86400</f>
        <v>3.2060185185185186E-3</v>
      </c>
      <c r="L110" s="5">
        <f>2825 / 86400</f>
        <v>3.2696759259259259E-2</v>
      </c>
    </row>
    <row r="111" spans="1:12" x14ac:dyDescent="0.25">
      <c r="A111" s="3">
        <v>45703.552222222221</v>
      </c>
      <c r="B111" t="s">
        <v>128</v>
      </c>
      <c r="C111" s="3">
        <v>45703.552812499998</v>
      </c>
      <c r="D111" t="s">
        <v>126</v>
      </c>
      <c r="E111" s="4">
        <v>6.3E-2</v>
      </c>
      <c r="F111" s="4">
        <v>328958.01199999999</v>
      </c>
      <c r="G111" s="4">
        <v>328958.07500000001</v>
      </c>
      <c r="H111" s="5">
        <f>20 / 86400</f>
        <v>2.3148148148148149E-4</v>
      </c>
      <c r="I111" t="s">
        <v>60</v>
      </c>
      <c r="J111" t="s">
        <v>134</v>
      </c>
      <c r="K111" s="5">
        <f>50 / 86400</f>
        <v>5.7870370370370367E-4</v>
      </c>
      <c r="L111" s="5">
        <f>188 / 86400</f>
        <v>2.1759259259259258E-3</v>
      </c>
    </row>
    <row r="112" spans="1:12" x14ac:dyDescent="0.25">
      <c r="A112" s="3">
        <v>45703.554988425924</v>
      </c>
      <c r="B112" t="s">
        <v>126</v>
      </c>
      <c r="C112" s="3">
        <v>45703.65829861111</v>
      </c>
      <c r="D112" t="s">
        <v>156</v>
      </c>
      <c r="E112" s="4">
        <v>49.029000000000003</v>
      </c>
      <c r="F112" s="4">
        <v>328958.07500000001</v>
      </c>
      <c r="G112" s="4">
        <v>329007.10399999999</v>
      </c>
      <c r="H112" s="5">
        <f>2340 / 86400</f>
        <v>2.7083333333333334E-2</v>
      </c>
      <c r="I112" t="s">
        <v>25</v>
      </c>
      <c r="J112" t="s">
        <v>23</v>
      </c>
      <c r="K112" s="5">
        <f>8925 / 86400</f>
        <v>0.1032986111111111</v>
      </c>
      <c r="L112" s="5">
        <f>52 / 86400</f>
        <v>6.018518518518519E-4</v>
      </c>
    </row>
    <row r="113" spans="1:12" x14ac:dyDescent="0.25">
      <c r="A113" s="3">
        <v>45703.658900462964</v>
      </c>
      <c r="B113" t="s">
        <v>156</v>
      </c>
      <c r="C113" s="3">
        <v>45703.76290509259</v>
      </c>
      <c r="D113" t="s">
        <v>157</v>
      </c>
      <c r="E113" s="4">
        <v>43.634</v>
      </c>
      <c r="F113" s="4">
        <v>329007.10399999999</v>
      </c>
      <c r="G113" s="4">
        <v>329050.73800000001</v>
      </c>
      <c r="H113" s="5">
        <f>2759 / 86400</f>
        <v>3.1932870370370368E-2</v>
      </c>
      <c r="I113" t="s">
        <v>58</v>
      </c>
      <c r="J113" t="s">
        <v>33</v>
      </c>
      <c r="K113" s="5">
        <f>8985 / 86400</f>
        <v>0.10399305555555556</v>
      </c>
      <c r="L113" s="5">
        <f>151 / 86400</f>
        <v>1.7476851851851852E-3</v>
      </c>
    </row>
    <row r="114" spans="1:12" x14ac:dyDescent="0.25">
      <c r="A114" s="3">
        <v>45703.764652777776</v>
      </c>
      <c r="B114" t="s">
        <v>157</v>
      </c>
      <c r="C114" s="3">
        <v>45703.764768518522</v>
      </c>
      <c r="D114" t="s">
        <v>157</v>
      </c>
      <c r="E114" s="4">
        <v>3.0000000000000001E-3</v>
      </c>
      <c r="F114" s="4">
        <v>329050.73800000001</v>
      </c>
      <c r="G114" s="4">
        <v>329050.74099999998</v>
      </c>
      <c r="H114" s="5">
        <f>0 / 86400</f>
        <v>0</v>
      </c>
      <c r="I114" t="s">
        <v>44</v>
      </c>
      <c r="J114" t="s">
        <v>43</v>
      </c>
      <c r="K114" s="5">
        <f>9 / 86400</f>
        <v>1.0416666666666667E-4</v>
      </c>
      <c r="L114" s="5">
        <f>48 / 86400</f>
        <v>5.5555555555555556E-4</v>
      </c>
    </row>
    <row r="115" spans="1:12" x14ac:dyDescent="0.25">
      <c r="A115" s="3">
        <v>45703.765324074076</v>
      </c>
      <c r="B115" t="s">
        <v>157</v>
      </c>
      <c r="C115" s="3">
        <v>45703.765451388885</v>
      </c>
      <c r="D115" t="s">
        <v>157</v>
      </c>
      <c r="E115" s="4">
        <v>5.0000000000000001E-3</v>
      </c>
      <c r="F115" s="4">
        <v>329050.74099999998</v>
      </c>
      <c r="G115" s="4">
        <v>329050.74599999998</v>
      </c>
      <c r="H115" s="5">
        <f>0 / 86400</f>
        <v>0</v>
      </c>
      <c r="I115" t="s">
        <v>44</v>
      </c>
      <c r="J115" t="s">
        <v>135</v>
      </c>
      <c r="K115" s="5">
        <f>11 / 86400</f>
        <v>1.273148148148148E-4</v>
      </c>
      <c r="L115" s="5">
        <f>33 / 86400</f>
        <v>3.8194444444444446E-4</v>
      </c>
    </row>
    <row r="116" spans="1:12" x14ac:dyDescent="0.25">
      <c r="A116" s="3">
        <v>45703.765833333338</v>
      </c>
      <c r="B116" t="s">
        <v>157</v>
      </c>
      <c r="C116" s="3">
        <v>45703.765960648147</v>
      </c>
      <c r="D116" t="s">
        <v>157</v>
      </c>
      <c r="E116" s="4">
        <v>1E-3</v>
      </c>
      <c r="F116" s="4">
        <v>329050.74599999998</v>
      </c>
      <c r="G116" s="4">
        <v>329050.74699999997</v>
      </c>
      <c r="H116" s="5">
        <f>0 / 86400</f>
        <v>0</v>
      </c>
      <c r="I116" t="s">
        <v>44</v>
      </c>
      <c r="J116" t="s">
        <v>44</v>
      </c>
      <c r="K116" s="5">
        <f>11 / 86400</f>
        <v>1.273148148148148E-4</v>
      </c>
      <c r="L116" s="5">
        <f>144 / 86400</f>
        <v>1.6666666666666668E-3</v>
      </c>
    </row>
    <row r="117" spans="1:12" x14ac:dyDescent="0.25">
      <c r="A117" s="3">
        <v>45703.76762731481</v>
      </c>
      <c r="B117" t="s">
        <v>157</v>
      </c>
      <c r="C117" s="3">
        <v>45703.767789351856</v>
      </c>
      <c r="D117" t="s">
        <v>157</v>
      </c>
      <c r="E117" s="4">
        <v>5.0000000000000001E-3</v>
      </c>
      <c r="F117" s="4">
        <v>329050.74699999997</v>
      </c>
      <c r="G117" s="4">
        <v>329050.75199999998</v>
      </c>
      <c r="H117" s="5">
        <f>0 / 86400</f>
        <v>0</v>
      </c>
      <c r="I117" t="s">
        <v>44</v>
      </c>
      <c r="J117" t="s">
        <v>43</v>
      </c>
      <c r="K117" s="5">
        <f>14 / 86400</f>
        <v>1.6203703703703703E-4</v>
      </c>
      <c r="L117" s="5">
        <f>108 / 86400</f>
        <v>1.25E-3</v>
      </c>
    </row>
    <row r="118" spans="1:12" x14ac:dyDescent="0.25">
      <c r="A118" s="3">
        <v>45703.769039351857</v>
      </c>
      <c r="B118" t="s">
        <v>157</v>
      </c>
      <c r="C118" s="3">
        <v>45703.769178240742</v>
      </c>
      <c r="D118" t="s">
        <v>157</v>
      </c>
      <c r="E118" s="4">
        <v>1E-3</v>
      </c>
      <c r="F118" s="4">
        <v>329050.75199999998</v>
      </c>
      <c r="G118" s="4">
        <v>329050.75300000003</v>
      </c>
      <c r="H118" s="5">
        <f>0 / 86400</f>
        <v>0</v>
      </c>
      <c r="I118" t="s">
        <v>44</v>
      </c>
      <c r="J118" t="s">
        <v>44</v>
      </c>
      <c r="K118" s="5">
        <f>11 / 86400</f>
        <v>1.273148148148148E-4</v>
      </c>
      <c r="L118" s="5">
        <f>66 / 86400</f>
        <v>7.6388888888888893E-4</v>
      </c>
    </row>
    <row r="119" spans="1:12" x14ac:dyDescent="0.25">
      <c r="A119" s="3">
        <v>45703.769942129627</v>
      </c>
      <c r="B119" t="s">
        <v>157</v>
      </c>
      <c r="C119" s="3">
        <v>45703.770509259259</v>
      </c>
      <c r="D119" t="s">
        <v>157</v>
      </c>
      <c r="E119" s="4">
        <v>4.0000000000000001E-3</v>
      </c>
      <c r="F119" s="4">
        <v>329050.75300000003</v>
      </c>
      <c r="G119" s="4">
        <v>329050.75699999998</v>
      </c>
      <c r="H119" s="5">
        <f>39 / 86400</f>
        <v>4.5138888888888887E-4</v>
      </c>
      <c r="I119" t="s">
        <v>44</v>
      </c>
      <c r="J119" t="s">
        <v>44</v>
      </c>
      <c r="K119" s="5">
        <f>49 / 86400</f>
        <v>5.6712962962962967E-4</v>
      </c>
      <c r="L119" s="5">
        <f>171 / 86400</f>
        <v>1.9791666666666668E-3</v>
      </c>
    </row>
    <row r="120" spans="1:12" x14ac:dyDescent="0.25">
      <c r="A120" s="3">
        <v>45703.772488425922</v>
      </c>
      <c r="B120" t="s">
        <v>157</v>
      </c>
      <c r="C120" s="3">
        <v>45703.772835648153</v>
      </c>
      <c r="D120" t="s">
        <v>157</v>
      </c>
      <c r="E120" s="4">
        <v>1E-3</v>
      </c>
      <c r="F120" s="4">
        <v>329050.75699999998</v>
      </c>
      <c r="G120" s="4">
        <v>329050.75799999997</v>
      </c>
      <c r="H120" s="5">
        <f>19 / 86400</f>
        <v>2.199074074074074E-4</v>
      </c>
      <c r="I120" t="s">
        <v>44</v>
      </c>
      <c r="J120" t="s">
        <v>44</v>
      </c>
      <c r="K120" s="5">
        <f>30 / 86400</f>
        <v>3.4722222222222224E-4</v>
      </c>
      <c r="L120" s="5">
        <f>28 / 86400</f>
        <v>3.2407407407407406E-4</v>
      </c>
    </row>
    <row r="121" spans="1:12" x14ac:dyDescent="0.25">
      <c r="A121" s="3">
        <v>45703.773159722223</v>
      </c>
      <c r="B121" t="s">
        <v>157</v>
      </c>
      <c r="C121" s="3">
        <v>45703.773310185185</v>
      </c>
      <c r="D121" t="s">
        <v>157</v>
      </c>
      <c r="E121" s="4">
        <v>2E-3</v>
      </c>
      <c r="F121" s="4">
        <v>329050.75799999997</v>
      </c>
      <c r="G121" s="4">
        <v>329050.76</v>
      </c>
      <c r="H121" s="5">
        <f>0 / 86400</f>
        <v>0</v>
      </c>
      <c r="I121" t="s">
        <v>44</v>
      </c>
      <c r="J121" t="s">
        <v>43</v>
      </c>
      <c r="K121" s="5">
        <f>13 / 86400</f>
        <v>1.5046296296296297E-4</v>
      </c>
      <c r="L121" s="5">
        <f>36 / 86400</f>
        <v>4.1666666666666669E-4</v>
      </c>
    </row>
    <row r="122" spans="1:12" x14ac:dyDescent="0.25">
      <c r="A122" s="3">
        <v>45703.773726851854</v>
      </c>
      <c r="B122" t="s">
        <v>157</v>
      </c>
      <c r="C122" s="3">
        <v>45703.776365740741</v>
      </c>
      <c r="D122" t="s">
        <v>157</v>
      </c>
      <c r="E122" s="4">
        <v>1.2E-2</v>
      </c>
      <c r="F122" s="4">
        <v>329050.76</v>
      </c>
      <c r="G122" s="4">
        <v>329050.772</v>
      </c>
      <c r="H122" s="5">
        <f>199 / 86400</f>
        <v>2.3032407407407407E-3</v>
      </c>
      <c r="I122" t="s">
        <v>135</v>
      </c>
      <c r="J122" t="s">
        <v>44</v>
      </c>
      <c r="K122" s="5">
        <f>228 / 86400</f>
        <v>2.638888888888889E-3</v>
      </c>
      <c r="L122" s="5">
        <f>73 / 86400</f>
        <v>8.4490740740740739E-4</v>
      </c>
    </row>
    <row r="123" spans="1:12" x14ac:dyDescent="0.25">
      <c r="A123" s="3">
        <v>45703.77721064815</v>
      </c>
      <c r="B123" t="s">
        <v>157</v>
      </c>
      <c r="C123" s="3">
        <v>45703.77747685185</v>
      </c>
      <c r="D123" t="s">
        <v>157</v>
      </c>
      <c r="E123" s="4">
        <v>0</v>
      </c>
      <c r="F123" s="4">
        <v>329050.772</v>
      </c>
      <c r="G123" s="4">
        <v>329050.772</v>
      </c>
      <c r="H123" s="5">
        <f>19 / 86400</f>
        <v>2.199074074074074E-4</v>
      </c>
      <c r="I123" t="s">
        <v>44</v>
      </c>
      <c r="J123" t="s">
        <v>44</v>
      </c>
      <c r="K123" s="5">
        <f>23 / 86400</f>
        <v>2.6620370370370372E-4</v>
      </c>
      <c r="L123" s="5">
        <f>99 / 86400</f>
        <v>1.1458333333333333E-3</v>
      </c>
    </row>
    <row r="124" spans="1:12" x14ac:dyDescent="0.25">
      <c r="A124" s="3">
        <v>45703.778622685189</v>
      </c>
      <c r="B124" t="s">
        <v>157</v>
      </c>
      <c r="C124" s="3">
        <v>45703.778796296298</v>
      </c>
      <c r="D124" t="s">
        <v>157</v>
      </c>
      <c r="E124" s="4">
        <v>6.0000000000000001E-3</v>
      </c>
      <c r="F124" s="4">
        <v>329050.772</v>
      </c>
      <c r="G124" s="4">
        <v>329050.77799999999</v>
      </c>
      <c r="H124" s="5">
        <f>0 / 86400</f>
        <v>0</v>
      </c>
      <c r="I124" t="s">
        <v>44</v>
      </c>
      <c r="J124" t="s">
        <v>43</v>
      </c>
      <c r="K124" s="5">
        <f>15 / 86400</f>
        <v>1.7361111111111112E-4</v>
      </c>
      <c r="L124" s="5">
        <f>77 / 86400</f>
        <v>8.9120370370370373E-4</v>
      </c>
    </row>
    <row r="125" spans="1:12" x14ac:dyDescent="0.25">
      <c r="A125" s="3">
        <v>45703.779687499999</v>
      </c>
      <c r="B125" t="s">
        <v>157</v>
      </c>
      <c r="C125" s="3">
        <v>45703.809479166666</v>
      </c>
      <c r="D125" t="s">
        <v>86</v>
      </c>
      <c r="E125" s="4">
        <v>17.619</v>
      </c>
      <c r="F125" s="4">
        <v>329050.77799999999</v>
      </c>
      <c r="G125" s="4">
        <v>329068.397</v>
      </c>
      <c r="H125" s="5">
        <f>679 / 86400</f>
        <v>7.858796296296296E-3</v>
      </c>
      <c r="I125" t="s">
        <v>158</v>
      </c>
      <c r="J125" t="s">
        <v>148</v>
      </c>
      <c r="K125" s="5">
        <f>2574 / 86400</f>
        <v>2.9791666666666668E-2</v>
      </c>
      <c r="L125" s="5">
        <f>241 / 86400</f>
        <v>2.7893518518518519E-3</v>
      </c>
    </row>
    <row r="126" spans="1:12" x14ac:dyDescent="0.25">
      <c r="A126" s="3">
        <v>45703.812268518523</v>
      </c>
      <c r="B126" t="s">
        <v>86</v>
      </c>
      <c r="C126" s="3">
        <v>45703.812534722223</v>
      </c>
      <c r="D126" t="s">
        <v>110</v>
      </c>
      <c r="E126" s="4">
        <v>0.05</v>
      </c>
      <c r="F126" s="4">
        <v>329068.397</v>
      </c>
      <c r="G126" s="4">
        <v>329068.44699999999</v>
      </c>
      <c r="H126" s="5">
        <f>0 / 86400</f>
        <v>0</v>
      </c>
      <c r="I126" t="s">
        <v>138</v>
      </c>
      <c r="J126" t="s">
        <v>138</v>
      </c>
      <c r="K126" s="5">
        <f>23 / 86400</f>
        <v>2.6620370370370372E-4</v>
      </c>
      <c r="L126" s="5">
        <f>556 / 86400</f>
        <v>6.4351851851851853E-3</v>
      </c>
    </row>
    <row r="127" spans="1:12" x14ac:dyDescent="0.25">
      <c r="A127" s="3">
        <v>45703.818969907406</v>
      </c>
      <c r="B127" t="s">
        <v>110</v>
      </c>
      <c r="C127" s="3">
        <v>45703.821909722217</v>
      </c>
      <c r="D127" t="s">
        <v>159</v>
      </c>
      <c r="E127" s="4">
        <v>0.70699999999999996</v>
      </c>
      <c r="F127" s="4">
        <v>329068.44699999999</v>
      </c>
      <c r="G127" s="4">
        <v>329069.15399999998</v>
      </c>
      <c r="H127" s="5">
        <f>100 / 86400</f>
        <v>1.1574074074074073E-3</v>
      </c>
      <c r="I127" t="s">
        <v>141</v>
      </c>
      <c r="J127" t="s">
        <v>130</v>
      </c>
      <c r="K127" s="5">
        <f>254 / 86400</f>
        <v>2.9398148148148148E-3</v>
      </c>
      <c r="L127" s="5">
        <f>28 / 86400</f>
        <v>3.2407407407407406E-4</v>
      </c>
    </row>
    <row r="128" spans="1:12" x14ac:dyDescent="0.25">
      <c r="A128" s="3">
        <v>45703.822233796294</v>
      </c>
      <c r="B128" t="s">
        <v>159</v>
      </c>
      <c r="C128" s="3">
        <v>45703.822581018518</v>
      </c>
      <c r="D128" t="s">
        <v>159</v>
      </c>
      <c r="E128" s="4">
        <v>9.7000000000000003E-2</v>
      </c>
      <c r="F128" s="4">
        <v>329069.15399999998</v>
      </c>
      <c r="G128" s="4">
        <v>329069.25099999999</v>
      </c>
      <c r="H128" s="5">
        <f>0 / 86400</f>
        <v>0</v>
      </c>
      <c r="I128" t="s">
        <v>33</v>
      </c>
      <c r="J128" t="s">
        <v>77</v>
      </c>
      <c r="K128" s="5">
        <f>29 / 86400</f>
        <v>3.3564814814814812E-4</v>
      </c>
      <c r="L128" s="5">
        <f>722 / 86400</f>
        <v>8.3564814814814821E-3</v>
      </c>
    </row>
    <row r="129" spans="1:12" x14ac:dyDescent="0.25">
      <c r="A129" s="3">
        <v>45703.830937499995</v>
      </c>
      <c r="B129" t="s">
        <v>159</v>
      </c>
      <c r="C129" s="3">
        <v>45703.831284722226</v>
      </c>
      <c r="D129" t="s">
        <v>159</v>
      </c>
      <c r="E129" s="4">
        <v>8.4000000000000005E-2</v>
      </c>
      <c r="F129" s="4">
        <v>329069.25099999999</v>
      </c>
      <c r="G129" s="4">
        <v>329069.33500000002</v>
      </c>
      <c r="H129" s="5">
        <f>0 / 86400</f>
        <v>0</v>
      </c>
      <c r="I129" t="s">
        <v>29</v>
      </c>
      <c r="J129" t="s">
        <v>130</v>
      </c>
      <c r="K129" s="5">
        <f>29 / 86400</f>
        <v>3.3564814814814812E-4</v>
      </c>
      <c r="L129" s="5">
        <f>36 / 86400</f>
        <v>4.1666666666666669E-4</v>
      </c>
    </row>
    <row r="130" spans="1:12" x14ac:dyDescent="0.25">
      <c r="A130" s="3">
        <v>45703.831701388888</v>
      </c>
      <c r="B130" t="s">
        <v>159</v>
      </c>
      <c r="C130" s="3">
        <v>45703.83194444445</v>
      </c>
      <c r="D130" t="s">
        <v>159</v>
      </c>
      <c r="E130" s="4">
        <v>1E-3</v>
      </c>
      <c r="F130" s="4">
        <v>329069.33500000002</v>
      </c>
      <c r="G130" s="4">
        <v>329069.33600000001</v>
      </c>
      <c r="H130" s="5">
        <f>19 / 86400</f>
        <v>2.199074074074074E-4</v>
      </c>
      <c r="I130" t="s">
        <v>44</v>
      </c>
      <c r="J130" t="s">
        <v>44</v>
      </c>
      <c r="K130" s="5">
        <f>21 / 86400</f>
        <v>2.4305555555555555E-4</v>
      </c>
      <c r="L130" s="5">
        <f>685 / 86400</f>
        <v>7.9282407407407409E-3</v>
      </c>
    </row>
    <row r="131" spans="1:12" x14ac:dyDescent="0.25">
      <c r="A131" s="3">
        <v>45703.839872685188</v>
      </c>
      <c r="B131" t="s">
        <v>159</v>
      </c>
      <c r="C131" s="3">
        <v>45703.841527777782</v>
      </c>
      <c r="D131" t="s">
        <v>24</v>
      </c>
      <c r="E131" s="4">
        <v>0.44400000000000001</v>
      </c>
      <c r="F131" s="4">
        <v>329069.33600000001</v>
      </c>
      <c r="G131" s="4">
        <v>329069.78000000003</v>
      </c>
      <c r="H131" s="5">
        <f>40 / 86400</f>
        <v>4.6296296296296298E-4</v>
      </c>
      <c r="I131" t="s">
        <v>160</v>
      </c>
      <c r="J131" t="s">
        <v>102</v>
      </c>
      <c r="K131" s="5">
        <f>143 / 86400</f>
        <v>1.6550925925925926E-3</v>
      </c>
      <c r="L131" s="5">
        <f>13691 / 86400</f>
        <v>0.15846064814814814</v>
      </c>
    </row>
    <row r="132" spans="1:1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2" s="10" customFormat="1" ht="20.100000000000001" customHeight="1" x14ac:dyDescent="0.35">
      <c r="A134" s="15" t="s">
        <v>287</v>
      </c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2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2" ht="30" x14ac:dyDescent="0.25">
      <c r="A136" s="2" t="s">
        <v>6</v>
      </c>
      <c r="B136" s="2" t="s">
        <v>7</v>
      </c>
      <c r="C136" s="2" t="s">
        <v>8</v>
      </c>
      <c r="D136" s="2" t="s">
        <v>9</v>
      </c>
      <c r="E136" s="2" t="s">
        <v>10</v>
      </c>
      <c r="F136" s="2" t="s">
        <v>11</v>
      </c>
      <c r="G136" s="2" t="s">
        <v>12</v>
      </c>
      <c r="H136" s="2" t="s">
        <v>13</v>
      </c>
      <c r="I136" s="2" t="s">
        <v>14</v>
      </c>
      <c r="J136" s="2" t="s">
        <v>15</v>
      </c>
      <c r="K136" s="2" t="s">
        <v>16</v>
      </c>
      <c r="L136" s="2" t="s">
        <v>17</v>
      </c>
    </row>
    <row r="137" spans="1:12" x14ac:dyDescent="0.25">
      <c r="A137" s="3">
        <v>45703.310416666667</v>
      </c>
      <c r="B137" t="s">
        <v>27</v>
      </c>
      <c r="C137" s="3">
        <v>45703.31045138889</v>
      </c>
      <c r="D137" t="s">
        <v>27</v>
      </c>
      <c r="E137" s="4">
        <v>0</v>
      </c>
      <c r="F137" s="4">
        <v>20828.306</v>
      </c>
      <c r="G137" s="4">
        <v>20828.306</v>
      </c>
      <c r="H137" s="5">
        <f>0 / 86400</f>
        <v>0</v>
      </c>
      <c r="I137" t="s">
        <v>44</v>
      </c>
      <c r="J137" t="s">
        <v>44</v>
      </c>
      <c r="K137" s="5">
        <f>2 / 86400</f>
        <v>2.3148148148148147E-5</v>
      </c>
      <c r="L137" s="5">
        <f>26897 / 86400</f>
        <v>0.31130787037037039</v>
      </c>
    </row>
    <row r="138" spans="1:12" x14ac:dyDescent="0.25">
      <c r="A138" s="3">
        <v>45703.311342592591</v>
      </c>
      <c r="B138" t="s">
        <v>27</v>
      </c>
      <c r="C138" s="3">
        <v>45703.379328703704</v>
      </c>
      <c r="D138" t="s">
        <v>126</v>
      </c>
      <c r="E138" s="4">
        <v>28.562999999999999</v>
      </c>
      <c r="F138" s="4">
        <v>20828.306</v>
      </c>
      <c r="G138" s="4">
        <v>20856.868999999999</v>
      </c>
      <c r="H138" s="5">
        <f>1580 / 86400</f>
        <v>1.8287037037037036E-2</v>
      </c>
      <c r="I138" t="s">
        <v>161</v>
      </c>
      <c r="J138" t="s">
        <v>20</v>
      </c>
      <c r="K138" s="5">
        <f>5873 / 86400</f>
        <v>6.7974537037037042E-2</v>
      </c>
      <c r="L138" s="5">
        <f>1116 / 86400</f>
        <v>1.2916666666666667E-2</v>
      </c>
    </row>
    <row r="139" spans="1:12" x14ac:dyDescent="0.25">
      <c r="A139" s="3">
        <v>45703.392245370371</v>
      </c>
      <c r="B139" t="s">
        <v>126</v>
      </c>
      <c r="C139" s="3">
        <v>45703.39565972222</v>
      </c>
      <c r="D139" t="s">
        <v>133</v>
      </c>
      <c r="E139" s="4">
        <v>0.73399999999999999</v>
      </c>
      <c r="F139" s="4">
        <v>20856.868999999999</v>
      </c>
      <c r="G139" s="4">
        <v>20857.602999999999</v>
      </c>
      <c r="H139" s="5">
        <f>119 / 86400</f>
        <v>1.3773148148148147E-3</v>
      </c>
      <c r="I139" t="s">
        <v>145</v>
      </c>
      <c r="J139" t="s">
        <v>150</v>
      </c>
      <c r="K139" s="5">
        <f>294 / 86400</f>
        <v>3.4027777777777776E-3</v>
      </c>
      <c r="L139" s="5">
        <f>376 / 86400</f>
        <v>4.3518518518518515E-3</v>
      </c>
    </row>
    <row r="140" spans="1:12" x14ac:dyDescent="0.25">
      <c r="A140" s="3">
        <v>45703.400011574078</v>
      </c>
      <c r="B140" t="s">
        <v>133</v>
      </c>
      <c r="C140" s="3">
        <v>45703.400902777779</v>
      </c>
      <c r="D140" t="s">
        <v>133</v>
      </c>
      <c r="E140" s="4">
        <v>1.0999999999999999E-2</v>
      </c>
      <c r="F140" s="4">
        <v>20857.602999999999</v>
      </c>
      <c r="G140" s="4">
        <v>20857.614000000001</v>
      </c>
      <c r="H140" s="5">
        <f>60 / 86400</f>
        <v>6.9444444444444447E-4</v>
      </c>
      <c r="I140" t="s">
        <v>57</v>
      </c>
      <c r="J140" t="s">
        <v>43</v>
      </c>
      <c r="K140" s="5">
        <f>77 / 86400</f>
        <v>8.9120370370370373E-4</v>
      </c>
      <c r="L140" s="5">
        <f>381 / 86400</f>
        <v>4.409722222222222E-3</v>
      </c>
    </row>
    <row r="141" spans="1:12" x14ac:dyDescent="0.25">
      <c r="A141" s="3">
        <v>45703.405312499999</v>
      </c>
      <c r="B141" t="s">
        <v>133</v>
      </c>
      <c r="C141" s="3">
        <v>45703.405671296292</v>
      </c>
      <c r="D141" t="s">
        <v>133</v>
      </c>
      <c r="E141" s="4">
        <v>5.0000000000000001E-3</v>
      </c>
      <c r="F141" s="4">
        <v>20857.614000000001</v>
      </c>
      <c r="G141" s="4">
        <v>20857.618999999999</v>
      </c>
      <c r="H141" s="5">
        <f>0 / 86400</f>
        <v>0</v>
      </c>
      <c r="I141" t="s">
        <v>135</v>
      </c>
      <c r="J141" t="s">
        <v>43</v>
      </c>
      <c r="K141" s="5">
        <f>30 / 86400</f>
        <v>3.4722222222222224E-4</v>
      </c>
      <c r="L141" s="5">
        <f>220 / 86400</f>
        <v>2.5462962962962965E-3</v>
      </c>
    </row>
    <row r="142" spans="1:12" x14ac:dyDescent="0.25">
      <c r="A142" s="3">
        <v>45703.408217592594</v>
      </c>
      <c r="B142" t="s">
        <v>133</v>
      </c>
      <c r="C142" s="3">
        <v>45703.545763888891</v>
      </c>
      <c r="D142" t="s">
        <v>162</v>
      </c>
      <c r="E142" s="4">
        <v>49.112000000000002</v>
      </c>
      <c r="F142" s="4">
        <v>20857.618999999999</v>
      </c>
      <c r="G142" s="4">
        <v>20906.731</v>
      </c>
      <c r="H142" s="5">
        <f>4969 / 86400</f>
        <v>5.7511574074074076E-2</v>
      </c>
      <c r="I142" t="s">
        <v>28</v>
      </c>
      <c r="J142" t="s">
        <v>29</v>
      </c>
      <c r="K142" s="5">
        <f>11884 / 86400</f>
        <v>0.13754629629629631</v>
      </c>
      <c r="L142" s="5">
        <f>4819 / 86400</f>
        <v>5.5775462962962964E-2</v>
      </c>
    </row>
    <row r="143" spans="1:12" x14ac:dyDescent="0.25">
      <c r="A143" s="3">
        <v>45703.601539351846</v>
      </c>
      <c r="B143" t="s">
        <v>162</v>
      </c>
      <c r="C143" s="3">
        <v>45703.76835648148</v>
      </c>
      <c r="D143" t="s">
        <v>84</v>
      </c>
      <c r="E143" s="4">
        <v>50.341000000000001</v>
      </c>
      <c r="F143" s="4">
        <v>20906.731</v>
      </c>
      <c r="G143" s="4">
        <v>20957.072</v>
      </c>
      <c r="H143" s="5">
        <f>5877 / 86400</f>
        <v>6.8020833333333336E-2</v>
      </c>
      <c r="I143" t="s">
        <v>35</v>
      </c>
      <c r="J143" t="s">
        <v>122</v>
      </c>
      <c r="K143" s="5">
        <f>14413 / 86400</f>
        <v>0.16681712962962963</v>
      </c>
      <c r="L143" s="5">
        <f>220 / 86400</f>
        <v>2.5462962962962965E-3</v>
      </c>
    </row>
    <row r="144" spans="1:12" x14ac:dyDescent="0.25">
      <c r="A144" s="3">
        <v>45703.770902777775</v>
      </c>
      <c r="B144" t="s">
        <v>84</v>
      </c>
      <c r="C144" s="3">
        <v>45703.775231481486</v>
      </c>
      <c r="D144" t="s">
        <v>133</v>
      </c>
      <c r="E144" s="4">
        <v>0.86299999999999999</v>
      </c>
      <c r="F144" s="4">
        <v>20957.072</v>
      </c>
      <c r="G144" s="4">
        <v>20957.935000000001</v>
      </c>
      <c r="H144" s="5">
        <f>119 / 86400</f>
        <v>1.3773148148148147E-3</v>
      </c>
      <c r="I144" t="s">
        <v>56</v>
      </c>
      <c r="J144" t="s">
        <v>138</v>
      </c>
      <c r="K144" s="5">
        <f>373 / 86400</f>
        <v>4.31712962962963E-3</v>
      </c>
      <c r="L144" s="5">
        <f>212 / 86400</f>
        <v>2.4537037037037036E-3</v>
      </c>
    </row>
    <row r="145" spans="1:12" x14ac:dyDescent="0.25">
      <c r="A145" s="3">
        <v>45703.777685185181</v>
      </c>
      <c r="B145" t="s">
        <v>163</v>
      </c>
      <c r="C145" s="3">
        <v>45703.778043981481</v>
      </c>
      <c r="D145" t="s">
        <v>133</v>
      </c>
      <c r="E145" s="4">
        <v>6.0000000000000001E-3</v>
      </c>
      <c r="F145" s="4">
        <v>20957.935000000001</v>
      </c>
      <c r="G145" s="4">
        <v>20957.940999999999</v>
      </c>
      <c r="H145" s="5">
        <f>19 / 86400</f>
        <v>2.199074074074074E-4</v>
      </c>
      <c r="I145" t="s">
        <v>44</v>
      </c>
      <c r="J145" t="s">
        <v>43</v>
      </c>
      <c r="K145" s="5">
        <f>31 / 86400</f>
        <v>3.5879629629629629E-4</v>
      </c>
      <c r="L145" s="5">
        <f>212 / 86400</f>
        <v>2.4537037037037036E-3</v>
      </c>
    </row>
    <row r="146" spans="1:12" x14ac:dyDescent="0.25">
      <c r="A146" s="3">
        <v>45703.780497685184</v>
      </c>
      <c r="B146" t="s">
        <v>133</v>
      </c>
      <c r="C146" s="3">
        <v>45703.780601851853</v>
      </c>
      <c r="D146" t="s">
        <v>133</v>
      </c>
      <c r="E146" s="4">
        <v>6.0000000000000001E-3</v>
      </c>
      <c r="F146" s="4">
        <v>20957.940999999999</v>
      </c>
      <c r="G146" s="4">
        <v>20957.947</v>
      </c>
      <c r="H146" s="5">
        <f>0 / 86400</f>
        <v>0</v>
      </c>
      <c r="I146" t="s">
        <v>44</v>
      </c>
      <c r="J146" t="s">
        <v>135</v>
      </c>
      <c r="K146" s="5">
        <f>9 / 86400</f>
        <v>1.0416666666666667E-4</v>
      </c>
      <c r="L146" s="5">
        <f>466 / 86400</f>
        <v>5.3935185185185188E-3</v>
      </c>
    </row>
    <row r="147" spans="1:12" x14ac:dyDescent="0.25">
      <c r="A147" s="3">
        <v>45703.785995370374</v>
      </c>
      <c r="B147" t="s">
        <v>133</v>
      </c>
      <c r="C147" s="3">
        <v>45703.849583333329</v>
      </c>
      <c r="D147" t="s">
        <v>27</v>
      </c>
      <c r="E147" s="4">
        <v>26.748000000000001</v>
      </c>
      <c r="F147" s="4">
        <v>20957.947</v>
      </c>
      <c r="G147" s="4">
        <v>20984.695</v>
      </c>
      <c r="H147" s="5">
        <f>1440 / 86400</f>
        <v>1.6666666666666666E-2</v>
      </c>
      <c r="I147" t="s">
        <v>164</v>
      </c>
      <c r="J147" t="s">
        <v>20</v>
      </c>
      <c r="K147" s="5">
        <f>5494 / 86400</f>
        <v>6.3587962962962957E-2</v>
      </c>
      <c r="L147" s="5">
        <f>5768 / 86400</f>
        <v>6.6759259259259254E-2</v>
      </c>
    </row>
    <row r="148" spans="1:12" x14ac:dyDescent="0.25">
      <c r="A148" s="3">
        <v>45703.916342592594</v>
      </c>
      <c r="B148" t="s">
        <v>27</v>
      </c>
      <c r="C148" s="3">
        <v>45703.923136574071</v>
      </c>
      <c r="D148" t="s">
        <v>27</v>
      </c>
      <c r="E148" s="4">
        <v>1.7070000000000001</v>
      </c>
      <c r="F148" s="4">
        <v>20984.695</v>
      </c>
      <c r="G148" s="4">
        <v>20986.401999999998</v>
      </c>
      <c r="H148" s="5">
        <f>99 / 86400</f>
        <v>1.1458333333333333E-3</v>
      </c>
      <c r="I148" t="s">
        <v>26</v>
      </c>
      <c r="J148" t="s">
        <v>130</v>
      </c>
      <c r="K148" s="5">
        <f>586 / 86400</f>
        <v>6.7824074074074071E-3</v>
      </c>
      <c r="L148" s="5">
        <f>6640 / 86400</f>
        <v>7.6851851851851852E-2</v>
      </c>
    </row>
    <row r="149" spans="1:1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s="10" customFormat="1" ht="20.100000000000001" customHeight="1" x14ac:dyDescent="0.35">
      <c r="A151" s="15" t="s">
        <v>288</v>
      </c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2" ht="30" x14ac:dyDescent="0.25">
      <c r="A153" s="2" t="s">
        <v>6</v>
      </c>
      <c r="B153" s="2" t="s">
        <v>7</v>
      </c>
      <c r="C153" s="2" t="s">
        <v>8</v>
      </c>
      <c r="D153" s="2" t="s">
        <v>9</v>
      </c>
      <c r="E153" s="2" t="s">
        <v>10</v>
      </c>
      <c r="F153" s="2" t="s">
        <v>11</v>
      </c>
      <c r="G153" s="2" t="s">
        <v>12</v>
      </c>
      <c r="H153" s="2" t="s">
        <v>13</v>
      </c>
      <c r="I153" s="2" t="s">
        <v>14</v>
      </c>
      <c r="J153" s="2" t="s">
        <v>15</v>
      </c>
      <c r="K153" s="2" t="s">
        <v>16</v>
      </c>
      <c r="L153" s="2" t="s">
        <v>17</v>
      </c>
    </row>
    <row r="154" spans="1:12" x14ac:dyDescent="0.25">
      <c r="A154" s="3">
        <v>45703.247187500005</v>
      </c>
      <c r="B154" t="s">
        <v>30</v>
      </c>
      <c r="C154" s="3">
        <v>45703.309548611112</v>
      </c>
      <c r="D154" t="s">
        <v>131</v>
      </c>
      <c r="E154" s="4">
        <v>35.241999999999997</v>
      </c>
      <c r="F154" s="4">
        <v>513695.51500000001</v>
      </c>
      <c r="G154" s="4">
        <v>513730.75699999998</v>
      </c>
      <c r="H154" s="5">
        <f>1080 / 86400</f>
        <v>1.2500000000000001E-2</v>
      </c>
      <c r="I154" t="s">
        <v>31</v>
      </c>
      <c r="J154" t="s">
        <v>127</v>
      </c>
      <c r="K154" s="5">
        <f>5388 / 86400</f>
        <v>6.236111111111111E-2</v>
      </c>
      <c r="L154" s="5">
        <f>23980 / 86400</f>
        <v>0.27754629629629629</v>
      </c>
    </row>
    <row r="155" spans="1:12" x14ac:dyDescent="0.25">
      <c r="A155" s="3">
        <v>45703.339907407411</v>
      </c>
      <c r="B155" t="s">
        <v>131</v>
      </c>
      <c r="C155" s="3">
        <v>45703.343344907407</v>
      </c>
      <c r="D155" t="s">
        <v>126</v>
      </c>
      <c r="E155" s="4">
        <v>0.92400000000000004</v>
      </c>
      <c r="F155" s="4">
        <v>513730.75699999998</v>
      </c>
      <c r="G155" s="4">
        <v>513731.68099999998</v>
      </c>
      <c r="H155" s="5">
        <f>40 / 86400</f>
        <v>4.6296296296296298E-4</v>
      </c>
      <c r="I155" t="s">
        <v>145</v>
      </c>
      <c r="J155" t="s">
        <v>102</v>
      </c>
      <c r="K155" s="5">
        <f>297 / 86400</f>
        <v>3.4375E-3</v>
      </c>
      <c r="L155" s="5">
        <f>1032 / 86400</f>
        <v>1.1944444444444445E-2</v>
      </c>
    </row>
    <row r="156" spans="1:12" x14ac:dyDescent="0.25">
      <c r="A156" s="3">
        <v>45703.35528935185</v>
      </c>
      <c r="B156" t="s">
        <v>126</v>
      </c>
      <c r="C156" s="3">
        <v>45703.360185185185</v>
      </c>
      <c r="D156" t="s">
        <v>84</v>
      </c>
      <c r="E156" s="4">
        <v>1.3660000000000001</v>
      </c>
      <c r="F156" s="4">
        <v>513731.68099999998</v>
      </c>
      <c r="G156" s="4">
        <v>513733.04700000002</v>
      </c>
      <c r="H156" s="5">
        <f>80 / 86400</f>
        <v>9.2592592592592596E-4</v>
      </c>
      <c r="I156" t="s">
        <v>59</v>
      </c>
      <c r="J156" t="s">
        <v>77</v>
      </c>
      <c r="K156" s="5">
        <f>423 / 86400</f>
        <v>4.8958333333333336E-3</v>
      </c>
      <c r="L156" s="5">
        <f>375 / 86400</f>
        <v>4.340277777777778E-3</v>
      </c>
    </row>
    <row r="157" spans="1:12" x14ac:dyDescent="0.25">
      <c r="A157" s="3">
        <v>45703.364525462966</v>
      </c>
      <c r="B157" t="s">
        <v>84</v>
      </c>
      <c r="C157" s="3">
        <v>45703.477222222224</v>
      </c>
      <c r="D157" t="s">
        <v>165</v>
      </c>
      <c r="E157" s="4">
        <v>49.716000000000001</v>
      </c>
      <c r="F157" s="4">
        <v>513733.04700000002</v>
      </c>
      <c r="G157" s="4">
        <v>513782.76299999998</v>
      </c>
      <c r="H157" s="5">
        <f>3236 / 86400</f>
        <v>3.7453703703703704E-2</v>
      </c>
      <c r="I157" t="s">
        <v>114</v>
      </c>
      <c r="J157" t="s">
        <v>20</v>
      </c>
      <c r="K157" s="5">
        <f>9737 / 86400</f>
        <v>0.11269675925925926</v>
      </c>
      <c r="L157" s="5">
        <f>593 / 86400</f>
        <v>6.8634259259259256E-3</v>
      </c>
    </row>
    <row r="158" spans="1:12" x14ac:dyDescent="0.25">
      <c r="A158" s="3">
        <v>45703.484085648146</v>
      </c>
      <c r="B158" t="s">
        <v>165</v>
      </c>
      <c r="C158" s="3">
        <v>45703.48438657407</v>
      </c>
      <c r="D158" t="s">
        <v>166</v>
      </c>
      <c r="E158" s="4">
        <v>1.7000000000000001E-2</v>
      </c>
      <c r="F158" s="4">
        <v>513782.76299999998</v>
      </c>
      <c r="G158" s="4">
        <v>513782.78</v>
      </c>
      <c r="H158" s="5">
        <f>19 / 86400</f>
        <v>2.199074074074074E-4</v>
      </c>
      <c r="I158" t="s">
        <v>44</v>
      </c>
      <c r="J158" t="s">
        <v>135</v>
      </c>
      <c r="K158" s="5">
        <f>26 / 86400</f>
        <v>3.0092592592592595E-4</v>
      </c>
      <c r="L158" s="5">
        <f>1099 / 86400</f>
        <v>1.2719907407407407E-2</v>
      </c>
    </row>
    <row r="159" spans="1:12" x14ac:dyDescent="0.25">
      <c r="A159" s="3">
        <v>45703.497106481482</v>
      </c>
      <c r="B159" t="s">
        <v>166</v>
      </c>
      <c r="C159" s="3">
        <v>45703.639189814814</v>
      </c>
      <c r="D159" t="s">
        <v>131</v>
      </c>
      <c r="E159" s="4">
        <v>51.423999999999999</v>
      </c>
      <c r="F159" s="4">
        <v>513782.78</v>
      </c>
      <c r="G159" s="4">
        <v>513834.20400000003</v>
      </c>
      <c r="H159" s="5">
        <f>4200 / 86400</f>
        <v>4.8611111111111112E-2</v>
      </c>
      <c r="I159" t="s">
        <v>28</v>
      </c>
      <c r="J159" t="s">
        <v>29</v>
      </c>
      <c r="K159" s="5">
        <f>12276 / 86400</f>
        <v>0.14208333333333334</v>
      </c>
      <c r="L159" s="5">
        <f>3262 / 86400</f>
        <v>3.7754629629629631E-2</v>
      </c>
    </row>
    <row r="160" spans="1:12" x14ac:dyDescent="0.25">
      <c r="A160" s="3">
        <v>45703.676944444444</v>
      </c>
      <c r="B160" t="s">
        <v>131</v>
      </c>
      <c r="C160" s="3">
        <v>45703.679814814815</v>
      </c>
      <c r="D160" t="s">
        <v>84</v>
      </c>
      <c r="E160" s="4">
        <v>0.92900000000000005</v>
      </c>
      <c r="F160" s="4">
        <v>513834.20400000003</v>
      </c>
      <c r="G160" s="4">
        <v>513835.13299999997</v>
      </c>
      <c r="H160" s="5">
        <f>20 / 86400</f>
        <v>2.3148148148148149E-4</v>
      </c>
      <c r="I160" t="s">
        <v>167</v>
      </c>
      <c r="J160" t="s">
        <v>88</v>
      </c>
      <c r="K160" s="5">
        <f>247 / 86400</f>
        <v>2.8587962962962963E-3</v>
      </c>
      <c r="L160" s="5">
        <f>308 / 86400</f>
        <v>3.5648148148148149E-3</v>
      </c>
    </row>
    <row r="161" spans="1:12" x14ac:dyDescent="0.25">
      <c r="A161" s="3">
        <v>45703.683379629627</v>
      </c>
      <c r="B161" t="s">
        <v>84</v>
      </c>
      <c r="C161" s="3">
        <v>45703.683819444443</v>
      </c>
      <c r="D161" t="s">
        <v>84</v>
      </c>
      <c r="E161" s="4">
        <v>0.04</v>
      </c>
      <c r="F161" s="4">
        <v>513835.13299999997</v>
      </c>
      <c r="G161" s="4">
        <v>513835.17300000001</v>
      </c>
      <c r="H161" s="5">
        <f>0 / 86400</f>
        <v>0</v>
      </c>
      <c r="I161" t="s">
        <v>57</v>
      </c>
      <c r="J161" t="s">
        <v>154</v>
      </c>
      <c r="K161" s="5">
        <f>38 / 86400</f>
        <v>4.3981481481481481E-4</v>
      </c>
      <c r="L161" s="5">
        <f>643 / 86400</f>
        <v>7.4421296296296293E-3</v>
      </c>
    </row>
    <row r="162" spans="1:12" x14ac:dyDescent="0.25">
      <c r="A162" s="3">
        <v>45703.691261574073</v>
      </c>
      <c r="B162" t="s">
        <v>84</v>
      </c>
      <c r="C162" s="3">
        <v>45703.691307870366</v>
      </c>
      <c r="D162" t="s">
        <v>84</v>
      </c>
      <c r="E162" s="4">
        <v>0</v>
      </c>
      <c r="F162" s="4">
        <v>513835.17300000001</v>
      </c>
      <c r="G162" s="4">
        <v>513835.17300000001</v>
      </c>
      <c r="H162" s="5">
        <f>0 / 86400</f>
        <v>0</v>
      </c>
      <c r="I162" t="s">
        <v>44</v>
      </c>
      <c r="J162" t="s">
        <v>44</v>
      </c>
      <c r="K162" s="5">
        <f>3 / 86400</f>
        <v>3.4722222222222222E-5</v>
      </c>
      <c r="L162" s="5">
        <f>280 / 86400</f>
        <v>3.2407407407407406E-3</v>
      </c>
    </row>
    <row r="163" spans="1:12" x14ac:dyDescent="0.25">
      <c r="A163" s="3">
        <v>45703.694548611107</v>
      </c>
      <c r="B163" t="s">
        <v>84</v>
      </c>
      <c r="C163" s="3">
        <v>45703.793240740742</v>
      </c>
      <c r="D163" t="s">
        <v>168</v>
      </c>
      <c r="E163" s="4">
        <v>44.984999999999999</v>
      </c>
      <c r="F163" s="4">
        <v>513835.17300000001</v>
      </c>
      <c r="G163" s="4">
        <v>513880.158</v>
      </c>
      <c r="H163" s="5">
        <f>2578 / 86400</f>
        <v>2.9837962962962962E-2</v>
      </c>
      <c r="I163" t="s">
        <v>114</v>
      </c>
      <c r="J163" t="s">
        <v>26</v>
      </c>
      <c r="K163" s="5">
        <f>8527 / 86400</f>
        <v>9.869212962962963E-2</v>
      </c>
      <c r="L163" s="5">
        <f>155 / 86400</f>
        <v>1.7939814814814815E-3</v>
      </c>
    </row>
    <row r="164" spans="1:12" x14ac:dyDescent="0.25">
      <c r="A164" s="3">
        <v>45703.795034722221</v>
      </c>
      <c r="B164" t="s">
        <v>168</v>
      </c>
      <c r="C164" s="3">
        <v>45703.915266203709</v>
      </c>
      <c r="D164" t="s">
        <v>169</v>
      </c>
      <c r="E164" s="4">
        <v>58.37</v>
      </c>
      <c r="F164" s="4">
        <v>513880.158</v>
      </c>
      <c r="G164" s="4">
        <v>513938.52799999999</v>
      </c>
      <c r="H164" s="5">
        <f>2799 / 86400</f>
        <v>3.2395833333333332E-2</v>
      </c>
      <c r="I164" t="s">
        <v>66</v>
      </c>
      <c r="J164" t="s">
        <v>23</v>
      </c>
      <c r="K164" s="5">
        <f>10388 / 86400</f>
        <v>0.12023148148148148</v>
      </c>
      <c r="L164" s="5">
        <f>788 / 86400</f>
        <v>9.1203703703703707E-3</v>
      </c>
    </row>
    <row r="165" spans="1:12" x14ac:dyDescent="0.25">
      <c r="A165" s="3">
        <v>45703.924386574072</v>
      </c>
      <c r="B165" t="s">
        <v>169</v>
      </c>
      <c r="C165" s="3">
        <v>45703.929722222223</v>
      </c>
      <c r="D165" t="s">
        <v>30</v>
      </c>
      <c r="E165" s="4">
        <v>1.405</v>
      </c>
      <c r="F165" s="4">
        <v>513938.52799999999</v>
      </c>
      <c r="G165" s="4">
        <v>513939.93300000002</v>
      </c>
      <c r="H165" s="5">
        <f>159 / 86400</f>
        <v>1.8402777777777777E-3</v>
      </c>
      <c r="I165" t="s">
        <v>170</v>
      </c>
      <c r="J165" t="s">
        <v>102</v>
      </c>
      <c r="K165" s="5">
        <f>460 / 86400</f>
        <v>5.324074074074074E-3</v>
      </c>
      <c r="L165" s="5">
        <f>130 / 86400</f>
        <v>1.5046296296296296E-3</v>
      </c>
    </row>
    <row r="166" spans="1:12" x14ac:dyDescent="0.25">
      <c r="A166" s="3">
        <v>45703.931226851855</v>
      </c>
      <c r="B166" t="s">
        <v>30</v>
      </c>
      <c r="C166" s="3">
        <v>45703.933078703703</v>
      </c>
      <c r="D166" t="s">
        <v>30</v>
      </c>
      <c r="E166" s="4">
        <v>8.9999999999999993E-3</v>
      </c>
      <c r="F166" s="4">
        <v>513939.93300000002</v>
      </c>
      <c r="G166" s="4">
        <v>513939.94199999998</v>
      </c>
      <c r="H166" s="5">
        <f>120 / 86400</f>
        <v>1.3888888888888889E-3</v>
      </c>
      <c r="I166" t="s">
        <v>134</v>
      </c>
      <c r="J166" t="s">
        <v>44</v>
      </c>
      <c r="K166" s="5">
        <f>160 / 86400</f>
        <v>1.8518518518518519E-3</v>
      </c>
      <c r="L166" s="5">
        <f>5781 / 86400</f>
        <v>6.6909722222222218E-2</v>
      </c>
    </row>
    <row r="167" spans="1:1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1:1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1:12" s="10" customFormat="1" ht="20.100000000000001" customHeight="1" x14ac:dyDescent="0.35">
      <c r="A169" s="15" t="s">
        <v>289</v>
      </c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2" ht="30" x14ac:dyDescent="0.25">
      <c r="A171" s="2" t="s">
        <v>6</v>
      </c>
      <c r="B171" s="2" t="s">
        <v>7</v>
      </c>
      <c r="C171" s="2" t="s">
        <v>8</v>
      </c>
      <c r="D171" s="2" t="s">
        <v>9</v>
      </c>
      <c r="E171" s="2" t="s">
        <v>10</v>
      </c>
      <c r="F171" s="2" t="s">
        <v>11</v>
      </c>
      <c r="G171" s="2" t="s">
        <v>12</v>
      </c>
      <c r="H171" s="2" t="s">
        <v>13</v>
      </c>
      <c r="I171" s="2" t="s">
        <v>14</v>
      </c>
      <c r="J171" s="2" t="s">
        <v>15</v>
      </c>
      <c r="K171" s="2" t="s">
        <v>16</v>
      </c>
      <c r="L171" s="2" t="s">
        <v>17</v>
      </c>
    </row>
    <row r="172" spans="1:12" x14ac:dyDescent="0.25">
      <c r="A172" s="3">
        <v>45703.235763888893</v>
      </c>
      <c r="B172" t="s">
        <v>27</v>
      </c>
      <c r="C172" s="3">
        <v>45703.269513888888</v>
      </c>
      <c r="D172" t="s">
        <v>18</v>
      </c>
      <c r="E172" s="4">
        <v>14.564</v>
      </c>
      <c r="F172" s="4">
        <v>92736.672999999995</v>
      </c>
      <c r="G172" s="4">
        <v>92751.236999999994</v>
      </c>
      <c r="H172" s="5">
        <f>679 / 86400</f>
        <v>7.858796296296296E-3</v>
      </c>
      <c r="I172" t="s">
        <v>35</v>
      </c>
      <c r="J172" t="s">
        <v>20</v>
      </c>
      <c r="K172" s="5">
        <f>2916 / 86400</f>
        <v>3.3750000000000002E-2</v>
      </c>
      <c r="L172" s="5">
        <f>20752 / 86400</f>
        <v>0.2401851851851852</v>
      </c>
    </row>
    <row r="173" spans="1:12" x14ac:dyDescent="0.25">
      <c r="A173" s="3">
        <v>45703.273935185185</v>
      </c>
      <c r="B173" t="s">
        <v>18</v>
      </c>
      <c r="C173" s="3">
        <v>45703.275300925925</v>
      </c>
      <c r="D173" t="s">
        <v>171</v>
      </c>
      <c r="E173" s="4">
        <v>0.221</v>
      </c>
      <c r="F173" s="4">
        <v>92751.236999999994</v>
      </c>
      <c r="G173" s="4">
        <v>92751.457999999999</v>
      </c>
      <c r="H173" s="5">
        <f>20 / 86400</f>
        <v>2.3148148148148149E-4</v>
      </c>
      <c r="I173" t="s">
        <v>122</v>
      </c>
      <c r="J173" t="s">
        <v>60</v>
      </c>
      <c r="K173" s="5">
        <f>117 / 86400</f>
        <v>1.3541666666666667E-3</v>
      </c>
      <c r="L173" s="5">
        <f>812 / 86400</f>
        <v>9.3981481481481485E-3</v>
      </c>
    </row>
    <row r="174" spans="1:12" x14ac:dyDescent="0.25">
      <c r="A174" s="3">
        <v>45703.284699074073</v>
      </c>
      <c r="B174" t="s">
        <v>171</v>
      </c>
      <c r="C174" s="3">
        <v>45703.288668981477</v>
      </c>
      <c r="D174" t="s">
        <v>18</v>
      </c>
      <c r="E174" s="4">
        <v>0.13400000000000001</v>
      </c>
      <c r="F174" s="4">
        <v>92751.457999999999</v>
      </c>
      <c r="G174" s="4">
        <v>92751.592000000004</v>
      </c>
      <c r="H174" s="5">
        <f>200 / 86400</f>
        <v>2.3148148148148147E-3</v>
      </c>
      <c r="I174" t="s">
        <v>57</v>
      </c>
      <c r="J174" t="s">
        <v>43</v>
      </c>
      <c r="K174" s="5">
        <f>343 / 86400</f>
        <v>3.9699074074074072E-3</v>
      </c>
      <c r="L174" s="5">
        <f>2336 / 86400</f>
        <v>2.7037037037037037E-2</v>
      </c>
    </row>
    <row r="175" spans="1:12" x14ac:dyDescent="0.25">
      <c r="A175" s="3">
        <v>45703.315706018519</v>
      </c>
      <c r="B175" t="s">
        <v>18</v>
      </c>
      <c r="C175" s="3">
        <v>45703.379664351851</v>
      </c>
      <c r="D175" t="s">
        <v>172</v>
      </c>
      <c r="E175" s="4">
        <v>35.725000000000001</v>
      </c>
      <c r="F175" s="4">
        <v>92751.592000000004</v>
      </c>
      <c r="G175" s="4">
        <v>92787.316999999995</v>
      </c>
      <c r="H175" s="5">
        <f>779 / 86400</f>
        <v>9.0162037037037034E-3</v>
      </c>
      <c r="I175" t="s">
        <v>173</v>
      </c>
      <c r="J175" t="s">
        <v>80</v>
      </c>
      <c r="K175" s="5">
        <f>5525 / 86400</f>
        <v>6.3946759259259259E-2</v>
      </c>
      <c r="L175" s="5">
        <f>162 / 86400</f>
        <v>1.8749999999999999E-3</v>
      </c>
    </row>
    <row r="176" spans="1:12" x14ac:dyDescent="0.25">
      <c r="A176" s="3">
        <v>45703.381539351853</v>
      </c>
      <c r="B176" t="s">
        <v>172</v>
      </c>
      <c r="C176" s="3">
        <v>45703.388310185182</v>
      </c>
      <c r="D176" t="s">
        <v>84</v>
      </c>
      <c r="E176" s="4">
        <v>2.65</v>
      </c>
      <c r="F176" s="4">
        <v>92787.316999999995</v>
      </c>
      <c r="G176" s="4">
        <v>92789.967000000004</v>
      </c>
      <c r="H176" s="5">
        <f>0 / 86400</f>
        <v>0</v>
      </c>
      <c r="I176" t="s">
        <v>174</v>
      </c>
      <c r="J176" t="s">
        <v>36</v>
      </c>
      <c r="K176" s="5">
        <f>584 / 86400</f>
        <v>6.7592592592592591E-3</v>
      </c>
      <c r="L176" s="5">
        <f>193 / 86400</f>
        <v>2.2337962962962962E-3</v>
      </c>
    </row>
    <row r="177" spans="1:12" x14ac:dyDescent="0.25">
      <c r="A177" s="3">
        <v>45703.390543981484</v>
      </c>
      <c r="B177" t="s">
        <v>84</v>
      </c>
      <c r="C177" s="3">
        <v>45703.394525462965</v>
      </c>
      <c r="D177" t="s">
        <v>126</v>
      </c>
      <c r="E177" s="4">
        <v>1.341</v>
      </c>
      <c r="F177" s="4">
        <v>92789.967000000004</v>
      </c>
      <c r="G177" s="4">
        <v>92791.308000000005</v>
      </c>
      <c r="H177" s="5">
        <f>20 / 86400</f>
        <v>2.3148148148148149E-4</v>
      </c>
      <c r="I177" t="s">
        <v>152</v>
      </c>
      <c r="J177" t="s">
        <v>88</v>
      </c>
      <c r="K177" s="5">
        <f>343 / 86400</f>
        <v>3.9699074074074072E-3</v>
      </c>
      <c r="L177" s="5">
        <f>604 / 86400</f>
        <v>6.9907407407407409E-3</v>
      </c>
    </row>
    <row r="178" spans="1:12" x14ac:dyDescent="0.25">
      <c r="A178" s="3">
        <v>45703.401516203703</v>
      </c>
      <c r="B178" t="s">
        <v>126</v>
      </c>
      <c r="C178" s="3">
        <v>45703.66506944444</v>
      </c>
      <c r="D178" t="s">
        <v>50</v>
      </c>
      <c r="E178" s="4">
        <v>100.211</v>
      </c>
      <c r="F178" s="4">
        <v>92791.308000000005</v>
      </c>
      <c r="G178" s="4">
        <v>92891.519</v>
      </c>
      <c r="H178" s="5">
        <f>7058 / 86400</f>
        <v>8.1689814814814812E-2</v>
      </c>
      <c r="I178" t="s">
        <v>73</v>
      </c>
      <c r="J178" t="s">
        <v>36</v>
      </c>
      <c r="K178" s="5">
        <f>22771 / 86400</f>
        <v>0.26355324074074077</v>
      </c>
      <c r="L178" s="5">
        <f>1885 / 86400</f>
        <v>2.1817129629629631E-2</v>
      </c>
    </row>
    <row r="179" spans="1:12" x14ac:dyDescent="0.25">
      <c r="A179" s="3">
        <v>45703.686886574069</v>
      </c>
      <c r="B179" t="s">
        <v>50</v>
      </c>
      <c r="C179" s="3">
        <v>45703.692303240736</v>
      </c>
      <c r="D179" t="s">
        <v>84</v>
      </c>
      <c r="E179" s="4">
        <v>1.0620000000000001</v>
      </c>
      <c r="F179" s="4">
        <v>92891.519</v>
      </c>
      <c r="G179" s="4">
        <v>92892.581000000006</v>
      </c>
      <c r="H179" s="5">
        <f>179 / 86400</f>
        <v>2.0717592592592593E-3</v>
      </c>
      <c r="I179" t="s">
        <v>175</v>
      </c>
      <c r="J179" t="s">
        <v>138</v>
      </c>
      <c r="K179" s="5">
        <f>467 / 86400</f>
        <v>5.4050925925925924E-3</v>
      </c>
      <c r="L179" s="5">
        <f>425 / 86400</f>
        <v>4.9189814814814816E-3</v>
      </c>
    </row>
    <row r="180" spans="1:12" x14ac:dyDescent="0.25">
      <c r="A180" s="3">
        <v>45703.697222222225</v>
      </c>
      <c r="B180" t="s">
        <v>84</v>
      </c>
      <c r="C180" s="3">
        <v>45703.705381944441</v>
      </c>
      <c r="D180" t="s">
        <v>172</v>
      </c>
      <c r="E180" s="4">
        <v>2.6389999999999998</v>
      </c>
      <c r="F180" s="4">
        <v>92892.581000000006</v>
      </c>
      <c r="G180" s="4">
        <v>92895.22</v>
      </c>
      <c r="H180" s="5">
        <f>80 / 86400</f>
        <v>9.2592592592592596E-4</v>
      </c>
      <c r="I180" t="s">
        <v>176</v>
      </c>
      <c r="J180" t="s">
        <v>122</v>
      </c>
      <c r="K180" s="5">
        <f>705 / 86400</f>
        <v>8.1597222222222227E-3</v>
      </c>
      <c r="L180" s="5">
        <f>765 / 86400</f>
        <v>8.8541666666666664E-3</v>
      </c>
    </row>
    <row r="181" spans="1:12" x14ac:dyDescent="0.25">
      <c r="A181" s="3">
        <v>45703.714236111111</v>
      </c>
      <c r="B181" t="s">
        <v>172</v>
      </c>
      <c r="C181" s="3">
        <v>45703.714270833334</v>
      </c>
      <c r="D181" t="s">
        <v>172</v>
      </c>
      <c r="E181" s="4">
        <v>0</v>
      </c>
      <c r="F181" s="4">
        <v>92895.22</v>
      </c>
      <c r="G181" s="4">
        <v>92895.22</v>
      </c>
      <c r="H181" s="5">
        <f>0 / 86400</f>
        <v>0</v>
      </c>
      <c r="I181" t="s">
        <v>44</v>
      </c>
      <c r="J181" t="s">
        <v>44</v>
      </c>
      <c r="K181" s="5">
        <f>3 / 86400</f>
        <v>3.4722222222222222E-5</v>
      </c>
      <c r="L181" s="5">
        <f>14 / 86400</f>
        <v>1.6203703703703703E-4</v>
      </c>
    </row>
    <row r="182" spans="1:12" x14ac:dyDescent="0.25">
      <c r="A182" s="3">
        <v>45703.714432870373</v>
      </c>
      <c r="B182" t="s">
        <v>172</v>
      </c>
      <c r="C182" s="3">
        <v>45703.837962962964</v>
      </c>
      <c r="D182" t="s">
        <v>177</v>
      </c>
      <c r="E182" s="4">
        <v>52.627000000000002</v>
      </c>
      <c r="F182" s="4">
        <v>92895.22</v>
      </c>
      <c r="G182" s="4">
        <v>92947.846999999994</v>
      </c>
      <c r="H182" s="5">
        <f>1922 / 86400</f>
        <v>2.224537037037037E-2</v>
      </c>
      <c r="I182" t="s">
        <v>32</v>
      </c>
      <c r="J182" t="s">
        <v>20</v>
      </c>
      <c r="K182" s="5">
        <f>10673 / 86400</f>
        <v>0.12353009259259259</v>
      </c>
      <c r="L182" s="5">
        <f>128 / 86400</f>
        <v>1.4814814814814814E-3</v>
      </c>
    </row>
    <row r="183" spans="1:12" x14ac:dyDescent="0.25">
      <c r="A183" s="3">
        <v>45703.839444444442</v>
      </c>
      <c r="B183" t="s">
        <v>177</v>
      </c>
      <c r="C183" s="3">
        <v>45703.839687500003</v>
      </c>
      <c r="D183" t="s">
        <v>177</v>
      </c>
      <c r="E183" s="4">
        <v>1.2E-2</v>
      </c>
      <c r="F183" s="4">
        <v>92947.846999999994</v>
      </c>
      <c r="G183" s="4">
        <v>92947.858999999997</v>
      </c>
      <c r="H183" s="5">
        <f>19 / 86400</f>
        <v>2.199074074074074E-4</v>
      </c>
      <c r="I183" t="s">
        <v>44</v>
      </c>
      <c r="J183" t="s">
        <v>135</v>
      </c>
      <c r="K183" s="5">
        <f>21 / 86400</f>
        <v>2.4305555555555555E-4</v>
      </c>
      <c r="L183" s="5">
        <f>98 / 86400</f>
        <v>1.1342592592592593E-3</v>
      </c>
    </row>
    <row r="184" spans="1:12" x14ac:dyDescent="0.25">
      <c r="A184" s="3">
        <v>45703.840821759259</v>
      </c>
      <c r="B184" t="s">
        <v>177</v>
      </c>
      <c r="C184" s="3">
        <v>45703.843877314815</v>
      </c>
      <c r="D184" t="s">
        <v>27</v>
      </c>
      <c r="E184" s="4">
        <v>0.61699999999999999</v>
      </c>
      <c r="F184" s="4">
        <v>92947.858999999997</v>
      </c>
      <c r="G184" s="4">
        <v>92948.475999999995</v>
      </c>
      <c r="H184" s="5">
        <f>40 / 86400</f>
        <v>4.6296296296296298E-4</v>
      </c>
      <c r="I184" t="s">
        <v>20</v>
      </c>
      <c r="J184" t="s">
        <v>138</v>
      </c>
      <c r="K184" s="5">
        <f>264 / 86400</f>
        <v>3.0555555555555557E-3</v>
      </c>
      <c r="L184" s="5">
        <f>3 / 86400</f>
        <v>3.4722222222222222E-5</v>
      </c>
    </row>
    <row r="185" spans="1:12" x14ac:dyDescent="0.25">
      <c r="A185" s="3">
        <v>45703.843912037039</v>
      </c>
      <c r="B185" t="s">
        <v>27</v>
      </c>
      <c r="C185" s="3">
        <v>45703.843981481477</v>
      </c>
      <c r="D185" t="s">
        <v>27</v>
      </c>
      <c r="E185" s="4">
        <v>0</v>
      </c>
      <c r="F185" s="4">
        <v>92948.475999999995</v>
      </c>
      <c r="G185" s="4">
        <v>92948.475999999995</v>
      </c>
      <c r="H185" s="5">
        <f>0 / 86400</f>
        <v>0</v>
      </c>
      <c r="I185" t="s">
        <v>44</v>
      </c>
      <c r="J185" t="s">
        <v>44</v>
      </c>
      <c r="K185" s="5">
        <f>6 / 86400</f>
        <v>6.9444444444444444E-5</v>
      </c>
      <c r="L185" s="5">
        <f>13479 / 86400</f>
        <v>0.15600694444444443</v>
      </c>
    </row>
    <row r="186" spans="1:1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1:12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2" s="10" customFormat="1" ht="20.100000000000001" customHeight="1" x14ac:dyDescent="0.35">
      <c r="A188" s="15" t="s">
        <v>290</v>
      </c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2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1:12" ht="30" x14ac:dyDescent="0.25">
      <c r="A190" s="2" t="s">
        <v>6</v>
      </c>
      <c r="B190" s="2" t="s">
        <v>7</v>
      </c>
      <c r="C190" s="2" t="s">
        <v>8</v>
      </c>
      <c r="D190" s="2" t="s">
        <v>9</v>
      </c>
      <c r="E190" s="2" t="s">
        <v>10</v>
      </c>
      <c r="F190" s="2" t="s">
        <v>11</v>
      </c>
      <c r="G190" s="2" t="s">
        <v>12</v>
      </c>
      <c r="H190" s="2" t="s">
        <v>13</v>
      </c>
      <c r="I190" s="2" t="s">
        <v>14</v>
      </c>
      <c r="J190" s="2" t="s">
        <v>15</v>
      </c>
      <c r="K190" s="2" t="s">
        <v>16</v>
      </c>
      <c r="L190" s="2" t="s">
        <v>17</v>
      </c>
    </row>
    <row r="191" spans="1:12" x14ac:dyDescent="0.25">
      <c r="A191" s="3">
        <v>45703.227719907409</v>
      </c>
      <c r="B191" t="s">
        <v>18</v>
      </c>
      <c r="C191" s="3">
        <v>45703.241446759261</v>
      </c>
      <c r="D191" t="s">
        <v>178</v>
      </c>
      <c r="E191" s="4">
        <v>2.4569999999999999</v>
      </c>
      <c r="F191" s="4">
        <v>138397.25599999999</v>
      </c>
      <c r="G191" s="4">
        <v>138399.71299999999</v>
      </c>
      <c r="H191" s="5">
        <f>679 / 86400</f>
        <v>7.858796296296296E-3</v>
      </c>
      <c r="I191" t="s">
        <v>137</v>
      </c>
      <c r="J191" t="s">
        <v>60</v>
      </c>
      <c r="K191" s="5">
        <f>1186 / 86400</f>
        <v>1.3726851851851851E-2</v>
      </c>
      <c r="L191" s="5">
        <f>19697 / 86400</f>
        <v>0.22797453703703704</v>
      </c>
    </row>
    <row r="192" spans="1:12" x14ac:dyDescent="0.25">
      <c r="A192" s="3">
        <v>45703.241701388892</v>
      </c>
      <c r="B192" t="s">
        <v>178</v>
      </c>
      <c r="C192" s="3">
        <v>45703.333240740743</v>
      </c>
      <c r="D192" t="s">
        <v>126</v>
      </c>
      <c r="E192" s="4">
        <v>47.834000000000003</v>
      </c>
      <c r="F192" s="4">
        <v>138399.71299999999</v>
      </c>
      <c r="G192" s="4">
        <v>138447.54699999999</v>
      </c>
      <c r="H192" s="5">
        <f>1920 / 86400</f>
        <v>2.2222222222222223E-2</v>
      </c>
      <c r="I192" t="s">
        <v>114</v>
      </c>
      <c r="J192" t="s">
        <v>145</v>
      </c>
      <c r="K192" s="5">
        <f>7908 / 86400</f>
        <v>9.1527777777777777E-2</v>
      </c>
      <c r="L192" s="5">
        <f>717 / 86400</f>
        <v>8.2986111111111108E-3</v>
      </c>
    </row>
    <row r="193" spans="1:12" x14ac:dyDescent="0.25">
      <c r="A193" s="3">
        <v>45703.341539351852</v>
      </c>
      <c r="B193" t="s">
        <v>126</v>
      </c>
      <c r="C193" s="3">
        <v>45703.343344907407</v>
      </c>
      <c r="D193" t="s">
        <v>131</v>
      </c>
      <c r="E193" s="4">
        <v>0.4</v>
      </c>
      <c r="F193" s="4">
        <v>138447.54699999999</v>
      </c>
      <c r="G193" s="4">
        <v>138447.94699999999</v>
      </c>
      <c r="H193" s="5">
        <f>39 / 86400</f>
        <v>4.5138888888888887E-4</v>
      </c>
      <c r="I193" t="s">
        <v>160</v>
      </c>
      <c r="J193" t="s">
        <v>150</v>
      </c>
      <c r="K193" s="5">
        <f>155 / 86400</f>
        <v>1.7939814814814815E-3</v>
      </c>
      <c r="L193" s="5">
        <f>2631 / 86400</f>
        <v>3.0451388888888889E-2</v>
      </c>
    </row>
    <row r="194" spans="1:12" x14ac:dyDescent="0.25">
      <c r="A194" s="3">
        <v>45703.373796296291</v>
      </c>
      <c r="B194" t="s">
        <v>131</v>
      </c>
      <c r="C194" s="3">
        <v>45703.478773148148</v>
      </c>
      <c r="D194" t="s">
        <v>165</v>
      </c>
      <c r="E194" s="4">
        <v>50.585999999999999</v>
      </c>
      <c r="F194" s="4">
        <v>138447.94699999999</v>
      </c>
      <c r="G194" s="4">
        <v>138498.533</v>
      </c>
      <c r="H194" s="5">
        <f>2760 / 86400</f>
        <v>3.1944444444444442E-2</v>
      </c>
      <c r="I194" t="s">
        <v>34</v>
      </c>
      <c r="J194" t="s">
        <v>23</v>
      </c>
      <c r="K194" s="5">
        <f>9069 / 86400</f>
        <v>0.10496527777777778</v>
      </c>
      <c r="L194" s="5">
        <f>1197 / 86400</f>
        <v>1.3854166666666667E-2</v>
      </c>
    </row>
    <row r="195" spans="1:12" x14ac:dyDescent="0.25">
      <c r="A195" s="3">
        <v>45703.492627314816</v>
      </c>
      <c r="B195" t="s">
        <v>165</v>
      </c>
      <c r="C195" s="3">
        <v>45703.638402777782</v>
      </c>
      <c r="D195" t="s">
        <v>84</v>
      </c>
      <c r="E195" s="4">
        <v>51.338000000000001</v>
      </c>
      <c r="F195" s="4">
        <v>138498.533</v>
      </c>
      <c r="G195" s="4">
        <v>138549.87100000001</v>
      </c>
      <c r="H195" s="5">
        <f>4430 / 86400</f>
        <v>5.1273148148148151E-2</v>
      </c>
      <c r="I195" t="s">
        <v>61</v>
      </c>
      <c r="J195" t="s">
        <v>29</v>
      </c>
      <c r="K195" s="5">
        <f>12594 / 86400</f>
        <v>0.14576388888888889</v>
      </c>
      <c r="L195" s="5">
        <f>585 / 86400</f>
        <v>6.7708333333333336E-3</v>
      </c>
    </row>
    <row r="196" spans="1:12" x14ac:dyDescent="0.25">
      <c r="A196" s="3">
        <v>45703.645173611112</v>
      </c>
      <c r="B196" t="s">
        <v>84</v>
      </c>
      <c r="C196" s="3">
        <v>45703.871238425927</v>
      </c>
      <c r="D196" t="s">
        <v>179</v>
      </c>
      <c r="E196" s="4">
        <v>103.925</v>
      </c>
      <c r="F196" s="4">
        <v>138549.87100000001</v>
      </c>
      <c r="G196" s="4">
        <v>138653.796</v>
      </c>
      <c r="H196" s="5">
        <f>6197 / 86400</f>
        <v>7.1724537037037031E-2</v>
      </c>
      <c r="I196" t="s">
        <v>49</v>
      </c>
      <c r="J196" t="s">
        <v>26</v>
      </c>
      <c r="K196" s="5">
        <f>19531 / 86400</f>
        <v>0.22605324074074074</v>
      </c>
      <c r="L196" s="5">
        <f>581 / 86400</f>
        <v>6.7245370370370367E-3</v>
      </c>
    </row>
    <row r="197" spans="1:12" x14ac:dyDescent="0.25">
      <c r="A197" s="3">
        <v>45703.877962962964</v>
      </c>
      <c r="B197" t="s">
        <v>179</v>
      </c>
      <c r="C197" s="3">
        <v>45703.886157407411</v>
      </c>
      <c r="D197" t="s">
        <v>18</v>
      </c>
      <c r="E197" s="4">
        <v>2.419</v>
      </c>
      <c r="F197" s="4">
        <v>138653.796</v>
      </c>
      <c r="G197" s="4">
        <v>138656.215</v>
      </c>
      <c r="H197" s="5">
        <f>240 / 86400</f>
        <v>2.7777777777777779E-3</v>
      </c>
      <c r="I197" t="s">
        <v>180</v>
      </c>
      <c r="J197" t="s">
        <v>77</v>
      </c>
      <c r="K197" s="5">
        <f>708 / 86400</f>
        <v>8.1944444444444452E-3</v>
      </c>
      <c r="L197" s="5">
        <f>9835 / 86400</f>
        <v>0.11383101851851851</v>
      </c>
    </row>
    <row r="198" spans="1:1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1:12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1:12" s="10" customFormat="1" ht="20.100000000000001" customHeight="1" x14ac:dyDescent="0.35">
      <c r="A200" s="15" t="s">
        <v>291</v>
      </c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2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1:12" ht="30" x14ac:dyDescent="0.25">
      <c r="A202" s="2" t="s">
        <v>6</v>
      </c>
      <c r="B202" s="2" t="s">
        <v>7</v>
      </c>
      <c r="C202" s="2" t="s">
        <v>8</v>
      </c>
      <c r="D202" s="2" t="s">
        <v>9</v>
      </c>
      <c r="E202" s="2" t="s">
        <v>10</v>
      </c>
      <c r="F202" s="2" t="s">
        <v>11</v>
      </c>
      <c r="G202" s="2" t="s">
        <v>12</v>
      </c>
      <c r="H202" s="2" t="s">
        <v>13</v>
      </c>
      <c r="I202" s="2" t="s">
        <v>14</v>
      </c>
      <c r="J202" s="2" t="s">
        <v>15</v>
      </c>
      <c r="K202" s="2" t="s">
        <v>16</v>
      </c>
      <c r="L202" s="2" t="s">
        <v>17</v>
      </c>
    </row>
    <row r="203" spans="1:12" x14ac:dyDescent="0.25">
      <c r="A203" s="3">
        <v>45703.529699074075</v>
      </c>
      <c r="B203" t="s">
        <v>27</v>
      </c>
      <c r="C203" s="3">
        <v>45703.533229166671</v>
      </c>
      <c r="D203" t="s">
        <v>27</v>
      </c>
      <c r="E203" s="4">
        <v>0.86107292854785922</v>
      </c>
      <c r="F203" s="4">
        <v>348274.70961513172</v>
      </c>
      <c r="G203" s="4">
        <v>348275.57068806031</v>
      </c>
      <c r="H203" s="5">
        <f t="shared" ref="H203:H222" si="0">0 / 86400</f>
        <v>0</v>
      </c>
      <c r="I203" t="s">
        <v>145</v>
      </c>
      <c r="J203" t="s">
        <v>130</v>
      </c>
      <c r="K203" s="5">
        <f>305 / 86400</f>
        <v>3.5300925925925925E-3</v>
      </c>
      <c r="L203" s="5">
        <f>48113 / 86400</f>
        <v>0.55686342592592597</v>
      </c>
    </row>
    <row r="204" spans="1:12" x14ac:dyDescent="0.25">
      <c r="A204" s="3">
        <v>45703.560393518521</v>
      </c>
      <c r="B204" t="s">
        <v>181</v>
      </c>
      <c r="C204" s="3">
        <v>45703.560624999998</v>
      </c>
      <c r="D204" t="s">
        <v>181</v>
      </c>
      <c r="E204" s="4">
        <v>4.1002280712127684E-3</v>
      </c>
      <c r="F204" s="4">
        <v>348275.61630908685</v>
      </c>
      <c r="G204" s="4">
        <v>348275.62040931493</v>
      </c>
      <c r="H204" s="5">
        <f t="shared" si="0"/>
        <v>0</v>
      </c>
      <c r="I204" t="s">
        <v>135</v>
      </c>
      <c r="J204" t="s">
        <v>43</v>
      </c>
      <c r="K204" s="5">
        <f>20 / 86400</f>
        <v>2.3148148148148149E-4</v>
      </c>
      <c r="L204" s="5">
        <f>20 / 86400</f>
        <v>2.3148148148148149E-4</v>
      </c>
    </row>
    <row r="205" spans="1:12" x14ac:dyDescent="0.25">
      <c r="A205" s="3">
        <v>45703.560856481483</v>
      </c>
      <c r="B205" t="s">
        <v>181</v>
      </c>
      <c r="C205" s="3">
        <v>45703.560925925922</v>
      </c>
      <c r="D205" t="s">
        <v>181</v>
      </c>
      <c r="E205" s="4">
        <v>4.2889431715011596E-3</v>
      </c>
      <c r="F205" s="4">
        <v>348275.63032167434</v>
      </c>
      <c r="G205" s="4">
        <v>348275.63461061753</v>
      </c>
      <c r="H205" s="5">
        <f t="shared" si="0"/>
        <v>0</v>
      </c>
      <c r="I205" t="s">
        <v>43</v>
      </c>
      <c r="J205" t="s">
        <v>139</v>
      </c>
      <c r="K205" s="5">
        <f>6 / 86400</f>
        <v>6.9444444444444444E-5</v>
      </c>
      <c r="L205" s="5">
        <f>4086 / 86400</f>
        <v>4.7291666666666669E-2</v>
      </c>
    </row>
    <row r="206" spans="1:12" x14ac:dyDescent="0.25">
      <c r="A206" s="3">
        <v>45703.608217592591</v>
      </c>
      <c r="B206" t="s">
        <v>181</v>
      </c>
      <c r="C206" s="3">
        <v>45703.608680555553</v>
      </c>
      <c r="D206" t="s">
        <v>181</v>
      </c>
      <c r="E206" s="4">
        <v>5.6632403731346134E-3</v>
      </c>
      <c r="F206" s="4">
        <v>348275.6950583671</v>
      </c>
      <c r="G206" s="4">
        <v>348275.70072160743</v>
      </c>
      <c r="H206" s="5">
        <f t="shared" si="0"/>
        <v>0</v>
      </c>
      <c r="I206" t="s">
        <v>139</v>
      </c>
      <c r="J206" t="s">
        <v>43</v>
      </c>
      <c r="K206" s="5">
        <f>40 / 86400</f>
        <v>4.6296296296296298E-4</v>
      </c>
      <c r="L206" s="5">
        <f>291 / 86400</f>
        <v>3.3680555555555556E-3</v>
      </c>
    </row>
    <row r="207" spans="1:12" x14ac:dyDescent="0.25">
      <c r="A207" s="3">
        <v>45703.61204861111</v>
      </c>
      <c r="B207" t="s">
        <v>27</v>
      </c>
      <c r="C207" s="3">
        <v>45703.620127314818</v>
      </c>
      <c r="D207" t="s">
        <v>182</v>
      </c>
      <c r="E207" s="4">
        <v>4.9986431210041049</v>
      </c>
      <c r="F207" s="4">
        <v>348275.72633546038</v>
      </c>
      <c r="G207" s="4">
        <v>348280.72497858136</v>
      </c>
      <c r="H207" s="5">
        <f t="shared" si="0"/>
        <v>0</v>
      </c>
      <c r="I207" t="s">
        <v>35</v>
      </c>
      <c r="J207" t="s">
        <v>175</v>
      </c>
      <c r="K207" s="5">
        <f>698 / 86400</f>
        <v>8.0787037037037043E-3</v>
      </c>
      <c r="L207" s="5">
        <f>12420 / 86400</f>
        <v>0.14374999999999999</v>
      </c>
    </row>
    <row r="208" spans="1:12" x14ac:dyDescent="0.25">
      <c r="A208" s="3">
        <v>45703.763877314814</v>
      </c>
      <c r="B208" t="s">
        <v>182</v>
      </c>
      <c r="C208" s="3">
        <v>45703.766516203701</v>
      </c>
      <c r="D208" t="s">
        <v>183</v>
      </c>
      <c r="E208" s="4">
        <v>0.62963551175594334</v>
      </c>
      <c r="F208" s="4">
        <v>348280.77374730929</v>
      </c>
      <c r="G208" s="4">
        <v>348281.40338282101</v>
      </c>
      <c r="H208" s="5">
        <f t="shared" si="0"/>
        <v>0</v>
      </c>
      <c r="I208" t="s">
        <v>56</v>
      </c>
      <c r="J208" t="s">
        <v>130</v>
      </c>
      <c r="K208" s="5">
        <f>228 / 86400</f>
        <v>2.638888888888889E-3</v>
      </c>
      <c r="L208" s="5">
        <f>40 / 86400</f>
        <v>4.6296296296296298E-4</v>
      </c>
    </row>
    <row r="209" spans="1:12" x14ac:dyDescent="0.25">
      <c r="A209" s="3">
        <v>45703.76697916667</v>
      </c>
      <c r="B209" t="s">
        <v>183</v>
      </c>
      <c r="C209" s="3">
        <v>45703.768831018519</v>
      </c>
      <c r="D209" t="s">
        <v>110</v>
      </c>
      <c r="E209" s="4">
        <v>1.5051108899116517</v>
      </c>
      <c r="F209" s="4">
        <v>348281.41562253691</v>
      </c>
      <c r="G209" s="4">
        <v>348282.92073342681</v>
      </c>
      <c r="H209" s="5">
        <f t="shared" si="0"/>
        <v>0</v>
      </c>
      <c r="I209" t="s">
        <v>184</v>
      </c>
      <c r="J209" t="s">
        <v>152</v>
      </c>
      <c r="K209" s="5">
        <f>160 / 86400</f>
        <v>1.8518518518518519E-3</v>
      </c>
      <c r="L209" s="5">
        <f>20 / 86400</f>
        <v>2.3148148148148149E-4</v>
      </c>
    </row>
    <row r="210" spans="1:12" x14ac:dyDescent="0.25">
      <c r="A210" s="3">
        <v>45703.769062499996</v>
      </c>
      <c r="B210" t="s">
        <v>110</v>
      </c>
      <c r="C210" s="3">
        <v>45703.769768518519</v>
      </c>
      <c r="D210" t="s">
        <v>110</v>
      </c>
      <c r="E210" s="4">
        <v>0.44033420473337176</v>
      </c>
      <c r="F210" s="4">
        <v>348283.0076734919</v>
      </c>
      <c r="G210" s="4">
        <v>348283.44800769666</v>
      </c>
      <c r="H210" s="5">
        <f t="shared" si="0"/>
        <v>0</v>
      </c>
      <c r="I210" t="s">
        <v>174</v>
      </c>
      <c r="J210" t="s">
        <v>175</v>
      </c>
      <c r="K210" s="5">
        <f>61 / 86400</f>
        <v>7.0601851851851847E-4</v>
      </c>
      <c r="L210" s="5">
        <f>20 / 86400</f>
        <v>2.3148148148148149E-4</v>
      </c>
    </row>
    <row r="211" spans="1:12" x14ac:dyDescent="0.25">
      <c r="A211" s="3">
        <v>45703.770000000004</v>
      </c>
      <c r="B211" t="s">
        <v>185</v>
      </c>
      <c r="C211" s="3">
        <v>45703.771145833336</v>
      </c>
      <c r="D211" t="s">
        <v>110</v>
      </c>
      <c r="E211" s="4">
        <v>0.70519687211513515</v>
      </c>
      <c r="F211" s="4">
        <v>348283.51519350917</v>
      </c>
      <c r="G211" s="4">
        <v>348284.22039038129</v>
      </c>
      <c r="H211" s="5">
        <f t="shared" si="0"/>
        <v>0</v>
      </c>
      <c r="I211" t="s">
        <v>186</v>
      </c>
      <c r="J211" t="s">
        <v>175</v>
      </c>
      <c r="K211" s="5">
        <f>99 / 86400</f>
        <v>1.1458333333333333E-3</v>
      </c>
      <c r="L211" s="5">
        <f>60 / 86400</f>
        <v>6.9444444444444447E-4</v>
      </c>
    </row>
    <row r="212" spans="1:12" x14ac:dyDescent="0.25">
      <c r="A212" s="3">
        <v>45703.771840277783</v>
      </c>
      <c r="B212" t="s">
        <v>110</v>
      </c>
      <c r="C212" s="3">
        <v>45703.772766203707</v>
      </c>
      <c r="D212" t="s">
        <v>187</v>
      </c>
      <c r="E212" s="4">
        <v>0.16664980387687683</v>
      </c>
      <c r="F212" s="4">
        <v>348284.25520249741</v>
      </c>
      <c r="G212" s="4">
        <v>348284.42185230128</v>
      </c>
      <c r="H212" s="5">
        <f t="shared" si="0"/>
        <v>0</v>
      </c>
      <c r="I212" t="s">
        <v>23</v>
      </c>
      <c r="J212" t="s">
        <v>60</v>
      </c>
      <c r="K212" s="5">
        <f>80 / 86400</f>
        <v>9.2592592592592596E-4</v>
      </c>
      <c r="L212" s="5">
        <f>20 / 86400</f>
        <v>2.3148148148148149E-4</v>
      </c>
    </row>
    <row r="213" spans="1:12" x14ac:dyDescent="0.25">
      <c r="A213" s="3">
        <v>45703.772997685184</v>
      </c>
      <c r="B213" t="s">
        <v>187</v>
      </c>
      <c r="C213" s="3">
        <v>45703.773229166662</v>
      </c>
      <c r="D213" t="s">
        <v>187</v>
      </c>
      <c r="E213" s="4">
        <v>4.4326338291168214E-2</v>
      </c>
      <c r="F213" s="4">
        <v>348284.45320410898</v>
      </c>
      <c r="G213" s="4">
        <v>348284.49753044732</v>
      </c>
      <c r="H213" s="5">
        <f t="shared" si="0"/>
        <v>0</v>
      </c>
      <c r="I213" t="s">
        <v>60</v>
      </c>
      <c r="J213" t="s">
        <v>138</v>
      </c>
      <c r="K213" s="5">
        <f>20 / 86400</f>
        <v>2.3148148148148149E-4</v>
      </c>
      <c r="L213" s="5">
        <f>80 / 86400</f>
        <v>9.2592592592592596E-4</v>
      </c>
    </row>
    <row r="214" spans="1:12" x14ac:dyDescent="0.25">
      <c r="A214" s="3">
        <v>45703.774155092593</v>
      </c>
      <c r="B214" t="s">
        <v>110</v>
      </c>
      <c r="C214" s="3">
        <v>45703.774386574078</v>
      </c>
      <c r="D214" t="s">
        <v>110</v>
      </c>
      <c r="E214" s="4">
        <v>2.6896085381507874E-2</v>
      </c>
      <c r="F214" s="4">
        <v>348284.58794424147</v>
      </c>
      <c r="G214" s="4">
        <v>348284.61484032683</v>
      </c>
      <c r="H214" s="5">
        <f t="shared" si="0"/>
        <v>0</v>
      </c>
      <c r="I214" t="s">
        <v>138</v>
      </c>
      <c r="J214" t="s">
        <v>134</v>
      </c>
      <c r="K214" s="5">
        <f>20 / 86400</f>
        <v>2.3148148148148149E-4</v>
      </c>
      <c r="L214" s="5">
        <f>20 / 86400</f>
        <v>2.3148148148148149E-4</v>
      </c>
    </row>
    <row r="215" spans="1:12" x14ac:dyDescent="0.25">
      <c r="A215" s="3">
        <v>45703.774618055555</v>
      </c>
      <c r="B215" t="s">
        <v>187</v>
      </c>
      <c r="C215" s="3">
        <v>45703.774849537032</v>
      </c>
      <c r="D215" t="s">
        <v>187</v>
      </c>
      <c r="E215" s="4">
        <v>1.2655172944068909E-2</v>
      </c>
      <c r="F215" s="4">
        <v>348284.62757242745</v>
      </c>
      <c r="G215" s="4">
        <v>348284.64022760041</v>
      </c>
      <c r="H215" s="5">
        <f t="shared" si="0"/>
        <v>0</v>
      </c>
      <c r="I215" t="s">
        <v>138</v>
      </c>
      <c r="J215" t="s">
        <v>135</v>
      </c>
      <c r="K215" s="5">
        <f>20 / 86400</f>
        <v>2.3148148148148149E-4</v>
      </c>
      <c r="L215" s="5">
        <f>20 / 86400</f>
        <v>2.3148148148148149E-4</v>
      </c>
    </row>
    <row r="216" spans="1:12" x14ac:dyDescent="0.25">
      <c r="A216" s="3">
        <v>45703.775081018517</v>
      </c>
      <c r="B216" t="s">
        <v>187</v>
      </c>
      <c r="C216" s="3">
        <v>45703.775312500002</v>
      </c>
      <c r="D216" t="s">
        <v>110</v>
      </c>
      <c r="E216" s="4">
        <v>4.8039425015449526E-3</v>
      </c>
      <c r="F216" s="4">
        <v>348284.64560255309</v>
      </c>
      <c r="G216" s="4">
        <v>348284.65040649555</v>
      </c>
      <c r="H216" s="5">
        <f t="shared" si="0"/>
        <v>0</v>
      </c>
      <c r="I216" t="s">
        <v>134</v>
      </c>
      <c r="J216" t="s">
        <v>43</v>
      </c>
      <c r="K216" s="5">
        <f>20 / 86400</f>
        <v>2.3148148148148149E-4</v>
      </c>
      <c r="L216" s="5">
        <f>100 / 86400</f>
        <v>1.1574074074074073E-3</v>
      </c>
    </row>
    <row r="217" spans="1:12" x14ac:dyDescent="0.25">
      <c r="A217" s="3">
        <v>45703.776469907403</v>
      </c>
      <c r="B217" t="s">
        <v>187</v>
      </c>
      <c r="C217" s="3">
        <v>45703.776701388888</v>
      </c>
      <c r="D217" t="s">
        <v>187</v>
      </c>
      <c r="E217" s="4">
        <v>1.7628097593784333E-2</v>
      </c>
      <c r="F217" s="4">
        <v>348284.6889384237</v>
      </c>
      <c r="G217" s="4">
        <v>348284.70656652132</v>
      </c>
      <c r="H217" s="5">
        <f t="shared" si="0"/>
        <v>0</v>
      </c>
      <c r="I217" t="s">
        <v>135</v>
      </c>
      <c r="J217" t="s">
        <v>139</v>
      </c>
      <c r="K217" s="5">
        <f>20 / 86400</f>
        <v>2.3148148148148149E-4</v>
      </c>
      <c r="L217" s="5">
        <f>40 / 86400</f>
        <v>4.6296296296296298E-4</v>
      </c>
    </row>
    <row r="218" spans="1:12" x14ac:dyDescent="0.25">
      <c r="A218" s="3">
        <v>45703.77716435185</v>
      </c>
      <c r="B218" t="s">
        <v>110</v>
      </c>
      <c r="C218" s="3">
        <v>45703.777627314819</v>
      </c>
      <c r="D218" t="s">
        <v>110</v>
      </c>
      <c r="E218" s="4">
        <v>5.5835202991962436E-2</v>
      </c>
      <c r="F218" s="4">
        <v>348284.73192193825</v>
      </c>
      <c r="G218" s="4">
        <v>348284.78775714122</v>
      </c>
      <c r="H218" s="5">
        <f t="shared" si="0"/>
        <v>0</v>
      </c>
      <c r="I218" t="s">
        <v>60</v>
      </c>
      <c r="J218" t="s">
        <v>134</v>
      </c>
      <c r="K218" s="5">
        <f>40 / 86400</f>
        <v>4.6296296296296298E-4</v>
      </c>
      <c r="L218" s="5">
        <f>15 / 86400</f>
        <v>1.7361111111111112E-4</v>
      </c>
    </row>
    <row r="219" spans="1:12" x14ac:dyDescent="0.25">
      <c r="A219" s="3">
        <v>45703.777800925927</v>
      </c>
      <c r="B219" t="s">
        <v>110</v>
      </c>
      <c r="C219" s="3">
        <v>45703.779953703706</v>
      </c>
      <c r="D219" t="s">
        <v>188</v>
      </c>
      <c r="E219" s="4">
        <v>0.40494874000549319</v>
      </c>
      <c r="F219" s="4">
        <v>348284.79220619885</v>
      </c>
      <c r="G219" s="4">
        <v>348285.19715493888</v>
      </c>
      <c r="H219" s="5">
        <f t="shared" si="0"/>
        <v>0</v>
      </c>
      <c r="I219" t="s">
        <v>122</v>
      </c>
      <c r="J219" t="s">
        <v>138</v>
      </c>
      <c r="K219" s="5">
        <f>186 / 86400</f>
        <v>2.1527777777777778E-3</v>
      </c>
      <c r="L219" s="5">
        <f>20 / 86400</f>
        <v>2.3148148148148149E-4</v>
      </c>
    </row>
    <row r="220" spans="1:12" x14ac:dyDescent="0.25">
      <c r="A220" s="3">
        <v>45703.780185185184</v>
      </c>
      <c r="B220" t="s">
        <v>188</v>
      </c>
      <c r="C220" s="3">
        <v>45703.78162037037</v>
      </c>
      <c r="D220" t="s">
        <v>189</v>
      </c>
      <c r="E220" s="4">
        <v>0.40718479532003404</v>
      </c>
      <c r="F220" s="4">
        <v>348285.20706570125</v>
      </c>
      <c r="G220" s="4">
        <v>348285.61425049655</v>
      </c>
      <c r="H220" s="5">
        <f t="shared" si="0"/>
        <v>0</v>
      </c>
      <c r="I220" t="s">
        <v>148</v>
      </c>
      <c r="J220" t="s">
        <v>77</v>
      </c>
      <c r="K220" s="5">
        <f>124 / 86400</f>
        <v>1.4351851851851852E-3</v>
      </c>
      <c r="L220" s="5">
        <f>13 / 86400</f>
        <v>1.5046296296296297E-4</v>
      </c>
    </row>
    <row r="221" spans="1:12" x14ac:dyDescent="0.25">
      <c r="A221" s="3">
        <v>45703.781770833331</v>
      </c>
      <c r="B221" t="s">
        <v>190</v>
      </c>
      <c r="C221" s="3">
        <v>45703.782372685186</v>
      </c>
      <c r="D221" t="s">
        <v>27</v>
      </c>
      <c r="E221" s="4">
        <v>0.13001321959495543</v>
      </c>
      <c r="F221" s="4">
        <v>348285.6359088436</v>
      </c>
      <c r="G221" s="4">
        <v>348285.76592206315</v>
      </c>
      <c r="H221" s="5">
        <f t="shared" si="0"/>
        <v>0</v>
      </c>
      <c r="I221" t="s">
        <v>88</v>
      </c>
      <c r="J221" t="s">
        <v>150</v>
      </c>
      <c r="K221" s="5">
        <f>52 / 86400</f>
        <v>6.018518518518519E-4</v>
      </c>
      <c r="L221" s="5">
        <f>200 / 86400</f>
        <v>2.3148148148148147E-3</v>
      </c>
    </row>
    <row r="222" spans="1:12" x14ac:dyDescent="0.25">
      <c r="A222" s="3">
        <v>45703.784687499996</v>
      </c>
      <c r="B222" t="s">
        <v>27</v>
      </c>
      <c r="C222" s="3">
        <v>45703.787581018521</v>
      </c>
      <c r="D222" t="s">
        <v>27</v>
      </c>
      <c r="E222" s="4">
        <v>0.68780411970615385</v>
      </c>
      <c r="F222" s="4">
        <v>348285.79102644959</v>
      </c>
      <c r="G222" s="4">
        <v>348286.47883056925</v>
      </c>
      <c r="H222" s="5">
        <f t="shared" si="0"/>
        <v>0</v>
      </c>
      <c r="I222" t="s">
        <v>20</v>
      </c>
      <c r="J222" t="s">
        <v>130</v>
      </c>
      <c r="K222" s="5">
        <f>250 / 86400</f>
        <v>2.8935185185185184E-3</v>
      </c>
      <c r="L222" s="5">
        <f>18352 / 86400</f>
        <v>0.21240740740740741</v>
      </c>
    </row>
    <row r="223" spans="1:1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1:1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1:12" s="10" customFormat="1" ht="20.100000000000001" customHeight="1" x14ac:dyDescent="0.35">
      <c r="A225" s="15" t="s">
        <v>292</v>
      </c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2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1:12" ht="30" x14ac:dyDescent="0.25">
      <c r="A227" s="2" t="s">
        <v>6</v>
      </c>
      <c r="B227" s="2" t="s">
        <v>7</v>
      </c>
      <c r="C227" s="2" t="s">
        <v>8</v>
      </c>
      <c r="D227" s="2" t="s">
        <v>9</v>
      </c>
      <c r="E227" s="2" t="s">
        <v>10</v>
      </c>
      <c r="F227" s="2" t="s">
        <v>11</v>
      </c>
      <c r="G227" s="2" t="s">
        <v>12</v>
      </c>
      <c r="H227" s="2" t="s">
        <v>13</v>
      </c>
      <c r="I227" s="2" t="s">
        <v>14</v>
      </c>
      <c r="J227" s="2" t="s">
        <v>15</v>
      </c>
      <c r="K227" s="2" t="s">
        <v>16</v>
      </c>
      <c r="L227" s="2" t="s">
        <v>17</v>
      </c>
    </row>
    <row r="228" spans="1:12" x14ac:dyDescent="0.25">
      <c r="A228" s="3">
        <v>45703.166666666672</v>
      </c>
      <c r="B228" t="s">
        <v>37</v>
      </c>
      <c r="C228" s="3">
        <v>45703.365972222222</v>
      </c>
      <c r="D228" t="s">
        <v>149</v>
      </c>
      <c r="E228" s="4">
        <v>81.641999999999996</v>
      </c>
      <c r="F228" s="4">
        <v>484358.94900000002</v>
      </c>
      <c r="G228" s="4">
        <v>484440.59100000001</v>
      </c>
      <c r="H228" s="5">
        <f>5418 / 86400</f>
        <v>6.2708333333333338E-2</v>
      </c>
      <c r="I228" t="s">
        <v>38</v>
      </c>
      <c r="J228" t="s">
        <v>33</v>
      </c>
      <c r="K228" s="5">
        <f>17220 / 86400</f>
        <v>0.19930555555555557</v>
      </c>
      <c r="L228" s="5">
        <f>15257 / 86400</f>
        <v>0.17658564814814814</v>
      </c>
    </row>
    <row r="229" spans="1:12" x14ac:dyDescent="0.25">
      <c r="A229" s="3">
        <v>45703.375891203701</v>
      </c>
      <c r="B229" t="s">
        <v>149</v>
      </c>
      <c r="C229" s="3">
        <v>45703.586585648147</v>
      </c>
      <c r="D229" t="s">
        <v>191</v>
      </c>
      <c r="E229" s="4">
        <v>82.552999999999997</v>
      </c>
      <c r="F229" s="4">
        <v>484440.59100000001</v>
      </c>
      <c r="G229" s="4">
        <v>484523.14399999997</v>
      </c>
      <c r="H229" s="5">
        <f>6239 / 86400</f>
        <v>7.2210648148148149E-2</v>
      </c>
      <c r="I229" t="s">
        <v>38</v>
      </c>
      <c r="J229" t="s">
        <v>36</v>
      </c>
      <c r="K229" s="5">
        <f>18204 / 86400</f>
        <v>0.21069444444444443</v>
      </c>
      <c r="L229" s="5">
        <f>3081 / 86400</f>
        <v>3.5659722222222225E-2</v>
      </c>
    </row>
    <row r="230" spans="1:12" x14ac:dyDescent="0.25">
      <c r="A230" s="3">
        <v>45703.622245370367</v>
      </c>
      <c r="B230" t="s">
        <v>192</v>
      </c>
      <c r="C230" s="3">
        <v>45703.624537037038</v>
      </c>
      <c r="D230" t="s">
        <v>37</v>
      </c>
      <c r="E230" s="4">
        <v>1.5580000000000001</v>
      </c>
      <c r="F230" s="4">
        <v>484523.14399999997</v>
      </c>
      <c r="G230" s="4">
        <v>484524.70199999999</v>
      </c>
      <c r="H230" s="5">
        <f>19 / 86400</f>
        <v>2.199074074074074E-4</v>
      </c>
      <c r="I230" t="s">
        <v>101</v>
      </c>
      <c r="J230" t="s">
        <v>56</v>
      </c>
      <c r="K230" s="5">
        <f>198 / 86400</f>
        <v>2.2916666666666667E-3</v>
      </c>
      <c r="L230" s="5">
        <f>32439 / 86400</f>
        <v>0.3754513888888889</v>
      </c>
    </row>
    <row r="231" spans="1:12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1:12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1:12" s="10" customFormat="1" ht="20.100000000000001" customHeight="1" x14ac:dyDescent="0.35">
      <c r="A233" s="15" t="s">
        <v>293</v>
      </c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2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1:12" ht="30" x14ac:dyDescent="0.25">
      <c r="A235" s="2" t="s">
        <v>6</v>
      </c>
      <c r="B235" s="2" t="s">
        <v>7</v>
      </c>
      <c r="C235" s="2" t="s">
        <v>8</v>
      </c>
      <c r="D235" s="2" t="s">
        <v>9</v>
      </c>
      <c r="E235" s="2" t="s">
        <v>10</v>
      </c>
      <c r="F235" s="2" t="s">
        <v>11</v>
      </c>
      <c r="G235" s="2" t="s">
        <v>12</v>
      </c>
      <c r="H235" s="2" t="s">
        <v>13</v>
      </c>
      <c r="I235" s="2" t="s">
        <v>14</v>
      </c>
      <c r="J235" s="2" t="s">
        <v>15</v>
      </c>
      <c r="K235" s="2" t="s">
        <v>16</v>
      </c>
      <c r="L235" s="2" t="s">
        <v>17</v>
      </c>
    </row>
    <row r="236" spans="1:12" x14ac:dyDescent="0.25">
      <c r="A236" s="3">
        <v>45703.275821759264</v>
      </c>
      <c r="B236" t="s">
        <v>39</v>
      </c>
      <c r="C236" s="3">
        <v>45703.278749999998</v>
      </c>
      <c r="D236" t="s">
        <v>193</v>
      </c>
      <c r="E236" s="4">
        <v>5.3999999999999999E-2</v>
      </c>
      <c r="F236" s="4">
        <v>508537.70299999998</v>
      </c>
      <c r="G236" s="4">
        <v>508537.75699999998</v>
      </c>
      <c r="H236" s="5">
        <f>199 / 86400</f>
        <v>2.3032407407407407E-3</v>
      </c>
      <c r="I236" t="s">
        <v>134</v>
      </c>
      <c r="J236" t="s">
        <v>43</v>
      </c>
      <c r="K236" s="5">
        <f>252 / 86400</f>
        <v>2.9166666666666668E-3</v>
      </c>
      <c r="L236" s="5">
        <f>24018 / 86400</f>
        <v>0.2779861111111111</v>
      </c>
    </row>
    <row r="237" spans="1:12" x14ac:dyDescent="0.25">
      <c r="A237" s="3">
        <v>45703.280914351853</v>
      </c>
      <c r="B237" t="s">
        <v>193</v>
      </c>
      <c r="C237" s="3">
        <v>45703.293171296296</v>
      </c>
      <c r="D237" t="s">
        <v>133</v>
      </c>
      <c r="E237" s="4">
        <v>2.141</v>
      </c>
      <c r="F237" s="4">
        <v>508537.75699999998</v>
      </c>
      <c r="G237" s="4">
        <v>508539.89799999999</v>
      </c>
      <c r="H237" s="5">
        <f>460 / 86400</f>
        <v>5.324074074074074E-3</v>
      </c>
      <c r="I237" t="s">
        <v>56</v>
      </c>
      <c r="J237" t="s">
        <v>60</v>
      </c>
      <c r="K237" s="5">
        <f>1059 / 86400</f>
        <v>1.2256944444444445E-2</v>
      </c>
      <c r="L237" s="5">
        <f>339 / 86400</f>
        <v>3.9236111111111112E-3</v>
      </c>
    </row>
    <row r="238" spans="1:12" x14ac:dyDescent="0.25">
      <c r="A238" s="3">
        <v>45703.297094907408</v>
      </c>
      <c r="B238" t="s">
        <v>133</v>
      </c>
      <c r="C238" s="3">
        <v>45703.297824074078</v>
      </c>
      <c r="D238" t="s">
        <v>163</v>
      </c>
      <c r="E238" s="4">
        <v>8.9999999999999993E-3</v>
      </c>
      <c r="F238" s="4">
        <v>508539.89799999999</v>
      </c>
      <c r="G238" s="4">
        <v>508539.90700000001</v>
      </c>
      <c r="H238" s="5">
        <f>39 / 86400</f>
        <v>4.5138888888888887E-4</v>
      </c>
      <c r="I238" t="s">
        <v>154</v>
      </c>
      <c r="J238" t="s">
        <v>43</v>
      </c>
      <c r="K238" s="5">
        <f>63 / 86400</f>
        <v>7.291666666666667E-4</v>
      </c>
      <c r="L238" s="5">
        <f>301 / 86400</f>
        <v>3.4837962962962965E-3</v>
      </c>
    </row>
    <row r="239" spans="1:12" x14ac:dyDescent="0.25">
      <c r="A239" s="3">
        <v>45703.301307870366</v>
      </c>
      <c r="B239" t="s">
        <v>163</v>
      </c>
      <c r="C239" s="3">
        <v>45703.303854166668</v>
      </c>
      <c r="D239" t="s">
        <v>133</v>
      </c>
      <c r="E239" s="4">
        <v>1.2999999999999999E-2</v>
      </c>
      <c r="F239" s="4">
        <v>508539.90700000001</v>
      </c>
      <c r="G239" s="4">
        <v>508539.92</v>
      </c>
      <c r="H239" s="5">
        <f>199 / 86400</f>
        <v>2.3032407407407407E-3</v>
      </c>
      <c r="I239" t="s">
        <v>134</v>
      </c>
      <c r="J239" t="s">
        <v>44</v>
      </c>
      <c r="K239" s="5">
        <f>219 / 86400</f>
        <v>2.5347222222222221E-3</v>
      </c>
      <c r="L239" s="5">
        <f>442 / 86400</f>
        <v>5.115740740740741E-3</v>
      </c>
    </row>
    <row r="240" spans="1:12" x14ac:dyDescent="0.25">
      <c r="A240" s="3">
        <v>45703.308969907404</v>
      </c>
      <c r="B240" t="s">
        <v>133</v>
      </c>
      <c r="C240" s="3">
        <v>45703.423287037032</v>
      </c>
      <c r="D240" t="s">
        <v>194</v>
      </c>
      <c r="E240" s="4">
        <v>50.170999999999999</v>
      </c>
      <c r="F240" s="4">
        <v>508539.92</v>
      </c>
      <c r="G240" s="4">
        <v>508590.09100000001</v>
      </c>
      <c r="H240" s="5">
        <f>3339 / 86400</f>
        <v>3.8645833333333331E-2</v>
      </c>
      <c r="I240" t="s">
        <v>41</v>
      </c>
      <c r="J240" t="s">
        <v>20</v>
      </c>
      <c r="K240" s="5">
        <f>9877 / 86400</f>
        <v>0.11431712962962963</v>
      </c>
      <c r="L240" s="5">
        <f>258 / 86400</f>
        <v>2.9861111111111113E-3</v>
      </c>
    </row>
    <row r="241" spans="1:12" x14ac:dyDescent="0.25">
      <c r="A241" s="3">
        <v>45703.426273148143</v>
      </c>
      <c r="B241" t="s">
        <v>195</v>
      </c>
      <c r="C241" s="3">
        <v>45703.564039351855</v>
      </c>
      <c r="D241" t="s">
        <v>39</v>
      </c>
      <c r="E241" s="4">
        <v>50.529000000000003</v>
      </c>
      <c r="F241" s="4">
        <v>508590.09100000001</v>
      </c>
      <c r="G241" s="4">
        <v>508640.62</v>
      </c>
      <c r="H241" s="5">
        <f>3778 / 86400</f>
        <v>4.372685185185185E-2</v>
      </c>
      <c r="I241" t="s">
        <v>158</v>
      </c>
      <c r="J241" t="s">
        <v>29</v>
      </c>
      <c r="K241" s="5">
        <f>11903 / 86400</f>
        <v>0.13776620370370371</v>
      </c>
      <c r="L241" s="5">
        <f>1716 / 86400</f>
        <v>1.9861111111111111E-2</v>
      </c>
    </row>
    <row r="242" spans="1:12" x14ac:dyDescent="0.25">
      <c r="A242" s="3">
        <v>45703.583900462967</v>
      </c>
      <c r="B242" t="s">
        <v>193</v>
      </c>
      <c r="C242" s="3">
        <v>45703.589224537034</v>
      </c>
      <c r="D242" t="s">
        <v>133</v>
      </c>
      <c r="E242" s="4">
        <v>1.389</v>
      </c>
      <c r="F242" s="4">
        <v>508640.62</v>
      </c>
      <c r="G242" s="4">
        <v>508642.00900000002</v>
      </c>
      <c r="H242" s="5">
        <f>100 / 86400</f>
        <v>1.1574074074074073E-3</v>
      </c>
      <c r="I242" t="s">
        <v>167</v>
      </c>
      <c r="J242" t="s">
        <v>102</v>
      </c>
      <c r="K242" s="5">
        <f>460 / 86400</f>
        <v>5.324074074074074E-3</v>
      </c>
      <c r="L242" s="5">
        <f>110 / 86400</f>
        <v>1.2731481481481483E-3</v>
      </c>
    </row>
    <row r="243" spans="1:12" x14ac:dyDescent="0.25">
      <c r="A243" s="3">
        <v>45703.590497685189</v>
      </c>
      <c r="B243" t="s">
        <v>133</v>
      </c>
      <c r="C243" s="3">
        <v>45703.839131944449</v>
      </c>
      <c r="D243" t="s">
        <v>84</v>
      </c>
      <c r="E243" s="4">
        <v>94.022000000000006</v>
      </c>
      <c r="F243" s="4">
        <v>508642.00900000002</v>
      </c>
      <c r="G243" s="4">
        <v>508736.03100000002</v>
      </c>
      <c r="H243" s="5">
        <f>7439 / 86400</f>
        <v>8.6099537037037044E-2</v>
      </c>
      <c r="I243" t="s">
        <v>73</v>
      </c>
      <c r="J243" t="s">
        <v>36</v>
      </c>
      <c r="K243" s="5">
        <f>21482 / 86400</f>
        <v>0.24863425925925925</v>
      </c>
      <c r="L243" s="5">
        <f>1011 / 86400</f>
        <v>1.170138888888889E-2</v>
      </c>
    </row>
    <row r="244" spans="1:12" x14ac:dyDescent="0.25">
      <c r="A244" s="3">
        <v>45703.85083333333</v>
      </c>
      <c r="B244" t="s">
        <v>84</v>
      </c>
      <c r="C244" s="3">
        <v>45703.864444444444</v>
      </c>
      <c r="D244" t="s">
        <v>40</v>
      </c>
      <c r="E244" s="4">
        <v>3.4369999999999998</v>
      </c>
      <c r="F244" s="4">
        <v>508736.03100000002</v>
      </c>
      <c r="G244" s="4">
        <v>508739.46799999999</v>
      </c>
      <c r="H244" s="5">
        <f>219 / 86400</f>
        <v>2.5347222222222221E-3</v>
      </c>
      <c r="I244" t="s">
        <v>175</v>
      </c>
      <c r="J244" t="s">
        <v>102</v>
      </c>
      <c r="K244" s="5">
        <f>1176 / 86400</f>
        <v>1.361111111111111E-2</v>
      </c>
      <c r="L244" s="5">
        <f>11711 / 86400</f>
        <v>0.13554398148148147</v>
      </c>
    </row>
    <row r="245" spans="1:12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1:12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1:12" s="10" customFormat="1" ht="20.100000000000001" customHeight="1" x14ac:dyDescent="0.35">
      <c r="A247" s="15" t="s">
        <v>294</v>
      </c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2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1:12" ht="30" x14ac:dyDescent="0.25">
      <c r="A249" s="2" t="s">
        <v>6</v>
      </c>
      <c r="B249" s="2" t="s">
        <v>7</v>
      </c>
      <c r="C249" s="2" t="s">
        <v>8</v>
      </c>
      <c r="D249" s="2" t="s">
        <v>9</v>
      </c>
      <c r="E249" s="2" t="s">
        <v>10</v>
      </c>
      <c r="F249" s="2" t="s">
        <v>11</v>
      </c>
      <c r="G249" s="2" t="s">
        <v>12</v>
      </c>
      <c r="H249" s="2" t="s">
        <v>13</v>
      </c>
      <c r="I249" s="2" t="s">
        <v>14</v>
      </c>
      <c r="J249" s="2" t="s">
        <v>15</v>
      </c>
      <c r="K249" s="2" t="s">
        <v>16</v>
      </c>
      <c r="L249" s="2" t="s">
        <v>17</v>
      </c>
    </row>
    <row r="250" spans="1:12" x14ac:dyDescent="0.25">
      <c r="A250" s="3">
        <v>45703.346180555556</v>
      </c>
      <c r="B250" t="s">
        <v>42</v>
      </c>
      <c r="C250" s="3">
        <v>45703.348946759259</v>
      </c>
      <c r="D250" t="s">
        <v>42</v>
      </c>
      <c r="E250" s="4">
        <v>1.2999999999999999E-2</v>
      </c>
      <c r="F250" s="4">
        <v>408074.95600000001</v>
      </c>
      <c r="G250" s="4">
        <v>408074.96899999998</v>
      </c>
      <c r="H250" s="5">
        <f>200 / 86400</f>
        <v>2.3148148148148147E-3</v>
      </c>
      <c r="I250" t="s">
        <v>43</v>
      </c>
      <c r="J250" t="s">
        <v>44</v>
      </c>
      <c r="K250" s="5">
        <f>239 / 86400</f>
        <v>2.7662037037037039E-3</v>
      </c>
      <c r="L250" s="5">
        <f>56802 / 86400</f>
        <v>0.65743055555555552</v>
      </c>
    </row>
    <row r="251" spans="1:12" x14ac:dyDescent="0.25">
      <c r="A251" s="3">
        <v>45703.660196759258</v>
      </c>
      <c r="B251" t="s">
        <v>42</v>
      </c>
      <c r="C251" s="3">
        <v>45703.660254629634</v>
      </c>
      <c r="D251" t="s">
        <v>42</v>
      </c>
      <c r="E251" s="4">
        <v>0</v>
      </c>
      <c r="F251" s="4">
        <v>408074.96899999998</v>
      </c>
      <c r="G251" s="4">
        <v>408074.96899999998</v>
      </c>
      <c r="H251" s="5">
        <f>0 / 86400</f>
        <v>0</v>
      </c>
      <c r="I251" t="s">
        <v>44</v>
      </c>
      <c r="J251" t="s">
        <v>44</v>
      </c>
      <c r="K251" s="5">
        <f>4 / 86400</f>
        <v>4.6296296296296294E-5</v>
      </c>
      <c r="L251" s="5">
        <f>29353 / 86400</f>
        <v>0.3397337962962963</v>
      </c>
    </row>
    <row r="252" spans="1:12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1:12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1:12" s="10" customFormat="1" ht="20.100000000000001" customHeight="1" x14ac:dyDescent="0.35">
      <c r="A254" s="15" t="s">
        <v>295</v>
      </c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2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1:12" ht="30" x14ac:dyDescent="0.25">
      <c r="A256" s="2" t="s">
        <v>6</v>
      </c>
      <c r="B256" s="2" t="s">
        <v>7</v>
      </c>
      <c r="C256" s="2" t="s">
        <v>8</v>
      </c>
      <c r="D256" s="2" t="s">
        <v>9</v>
      </c>
      <c r="E256" s="2" t="s">
        <v>10</v>
      </c>
      <c r="F256" s="2" t="s">
        <v>11</v>
      </c>
      <c r="G256" s="2" t="s">
        <v>12</v>
      </c>
      <c r="H256" s="2" t="s">
        <v>13</v>
      </c>
      <c r="I256" s="2" t="s">
        <v>14</v>
      </c>
      <c r="J256" s="2" t="s">
        <v>15</v>
      </c>
      <c r="K256" s="2" t="s">
        <v>16</v>
      </c>
      <c r="L256" s="2" t="s">
        <v>17</v>
      </c>
    </row>
    <row r="257" spans="1:12" x14ac:dyDescent="0.25">
      <c r="A257" s="3">
        <v>45703.278958333336</v>
      </c>
      <c r="B257" t="s">
        <v>45</v>
      </c>
      <c r="C257" s="3">
        <v>45703.285682870366</v>
      </c>
      <c r="D257" t="s">
        <v>131</v>
      </c>
      <c r="E257" s="4">
        <v>0.78300000000000003</v>
      </c>
      <c r="F257" s="4">
        <v>437705.114</v>
      </c>
      <c r="G257" s="4">
        <v>437705.897</v>
      </c>
      <c r="H257" s="5">
        <f>399 / 86400</f>
        <v>4.6180555555555558E-3</v>
      </c>
      <c r="I257" t="s">
        <v>167</v>
      </c>
      <c r="J257" t="s">
        <v>134</v>
      </c>
      <c r="K257" s="5">
        <f>581 / 86400</f>
        <v>6.7245370370370367E-3</v>
      </c>
      <c r="L257" s="5">
        <f>27411 / 86400</f>
        <v>0.31725694444444447</v>
      </c>
    </row>
    <row r="258" spans="1:12" x14ac:dyDescent="0.25">
      <c r="A258" s="3">
        <v>45703.323981481481</v>
      </c>
      <c r="B258" t="s">
        <v>131</v>
      </c>
      <c r="C258" s="3">
        <v>45703.565740740742</v>
      </c>
      <c r="D258" t="s">
        <v>126</v>
      </c>
      <c r="E258" s="4">
        <v>101.23</v>
      </c>
      <c r="F258" s="4">
        <v>437705.897</v>
      </c>
      <c r="G258" s="4">
        <v>437807.12699999998</v>
      </c>
      <c r="H258" s="5">
        <f>7180 / 86400</f>
        <v>8.3101851851851857E-2</v>
      </c>
      <c r="I258" t="s">
        <v>47</v>
      </c>
      <c r="J258" t="s">
        <v>33</v>
      </c>
      <c r="K258" s="5">
        <f>20888 / 86400</f>
        <v>0.24175925925925926</v>
      </c>
      <c r="L258" s="5">
        <f>681 / 86400</f>
        <v>7.8819444444444449E-3</v>
      </c>
    </row>
    <row r="259" spans="1:12" x14ac:dyDescent="0.25">
      <c r="A259" s="3">
        <v>45703.573622685188</v>
      </c>
      <c r="B259" t="s">
        <v>126</v>
      </c>
      <c r="C259" s="3">
        <v>45703.573888888888</v>
      </c>
      <c r="D259" t="s">
        <v>128</v>
      </c>
      <c r="E259" s="4">
        <v>1.4999999999999999E-2</v>
      </c>
      <c r="F259" s="4">
        <v>437807.12699999998</v>
      </c>
      <c r="G259" s="4">
        <v>437807.14199999999</v>
      </c>
      <c r="H259" s="5">
        <f>0 / 86400</f>
        <v>0</v>
      </c>
      <c r="I259" t="s">
        <v>134</v>
      </c>
      <c r="J259" t="s">
        <v>135</v>
      </c>
      <c r="K259" s="5">
        <f>22 / 86400</f>
        <v>2.5462962962962961E-4</v>
      </c>
      <c r="L259" s="5">
        <f>1280 / 86400</f>
        <v>1.4814814814814815E-2</v>
      </c>
    </row>
    <row r="260" spans="1:12" x14ac:dyDescent="0.25">
      <c r="A260" s="3">
        <v>45703.588703703703</v>
      </c>
      <c r="B260" t="s">
        <v>128</v>
      </c>
      <c r="C260" s="3">
        <v>45703.602476851855</v>
      </c>
      <c r="D260" t="s">
        <v>84</v>
      </c>
      <c r="E260" s="4">
        <v>1.587</v>
      </c>
      <c r="F260" s="4">
        <v>437807.14199999999</v>
      </c>
      <c r="G260" s="4">
        <v>437808.72899999999</v>
      </c>
      <c r="H260" s="5">
        <f>699 / 86400</f>
        <v>8.0902777777777778E-3</v>
      </c>
      <c r="I260" t="s">
        <v>196</v>
      </c>
      <c r="J260" t="s">
        <v>134</v>
      </c>
      <c r="K260" s="5">
        <f>1189 / 86400</f>
        <v>1.3761574074074074E-2</v>
      </c>
      <c r="L260" s="5">
        <f>4317 / 86400</f>
        <v>4.9965277777777775E-2</v>
      </c>
    </row>
    <row r="261" spans="1:12" x14ac:dyDescent="0.25">
      <c r="A261" s="3">
        <v>45703.652442129634</v>
      </c>
      <c r="B261" t="s">
        <v>144</v>
      </c>
      <c r="C261" s="3">
        <v>45703.877418981487</v>
      </c>
      <c r="D261" t="s">
        <v>84</v>
      </c>
      <c r="E261" s="4">
        <v>94.926000000000002</v>
      </c>
      <c r="F261" s="4">
        <v>437808.72899999999</v>
      </c>
      <c r="G261" s="4">
        <v>437903.65500000003</v>
      </c>
      <c r="H261" s="5">
        <f>6519 / 86400</f>
        <v>7.5451388888888887E-2</v>
      </c>
      <c r="I261" t="s">
        <v>111</v>
      </c>
      <c r="J261" t="s">
        <v>20</v>
      </c>
      <c r="K261" s="5">
        <f>19437 / 86400</f>
        <v>0.22496527777777778</v>
      </c>
      <c r="L261" s="5">
        <f>1185 / 86400</f>
        <v>1.3715277777777778E-2</v>
      </c>
    </row>
    <row r="262" spans="1:12" x14ac:dyDescent="0.25">
      <c r="A262" s="3">
        <v>45703.891134259262</v>
      </c>
      <c r="B262" t="s">
        <v>84</v>
      </c>
      <c r="C262" s="3">
        <v>45703.897118055553</v>
      </c>
      <c r="D262" t="s">
        <v>46</v>
      </c>
      <c r="E262" s="4">
        <v>0.98199999999999998</v>
      </c>
      <c r="F262" s="4">
        <v>437903.65500000003</v>
      </c>
      <c r="G262" s="4">
        <v>437904.63699999999</v>
      </c>
      <c r="H262" s="5">
        <f>260 / 86400</f>
        <v>3.0092592592592593E-3</v>
      </c>
      <c r="I262" t="s">
        <v>197</v>
      </c>
      <c r="J262" t="s">
        <v>60</v>
      </c>
      <c r="K262" s="5">
        <f>516 / 86400</f>
        <v>5.9722222222222225E-3</v>
      </c>
      <c r="L262" s="5">
        <f>8888 / 86400</f>
        <v>0.10287037037037038</v>
      </c>
    </row>
    <row r="263" spans="1:12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1:1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1:12" s="10" customFormat="1" ht="20.100000000000001" customHeight="1" x14ac:dyDescent="0.35">
      <c r="A265" s="15" t="s">
        <v>296</v>
      </c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2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1:12" ht="30" x14ac:dyDescent="0.25">
      <c r="A267" s="2" t="s">
        <v>6</v>
      </c>
      <c r="B267" s="2" t="s">
        <v>7</v>
      </c>
      <c r="C267" s="2" t="s">
        <v>8</v>
      </c>
      <c r="D267" s="2" t="s">
        <v>9</v>
      </c>
      <c r="E267" s="2" t="s">
        <v>10</v>
      </c>
      <c r="F267" s="2" t="s">
        <v>11</v>
      </c>
      <c r="G267" s="2" t="s">
        <v>12</v>
      </c>
      <c r="H267" s="2" t="s">
        <v>13</v>
      </c>
      <c r="I267" s="2" t="s">
        <v>14</v>
      </c>
      <c r="J267" s="2" t="s">
        <v>15</v>
      </c>
      <c r="K267" s="2" t="s">
        <v>16</v>
      </c>
      <c r="L267" s="2" t="s">
        <v>17</v>
      </c>
    </row>
    <row r="268" spans="1:12" x14ac:dyDescent="0.25">
      <c r="A268" s="3">
        <v>45703.13354166667</v>
      </c>
      <c r="B268" t="s">
        <v>21</v>
      </c>
      <c r="C268" s="3">
        <v>45703.313206018516</v>
      </c>
      <c r="D268" t="s">
        <v>126</v>
      </c>
      <c r="E268" s="4">
        <v>107.72499999999999</v>
      </c>
      <c r="F268" s="4">
        <v>54589.991000000002</v>
      </c>
      <c r="G268" s="4">
        <v>54697.716</v>
      </c>
      <c r="H268" s="5">
        <f>2901 / 86400</f>
        <v>3.3576388888888892E-2</v>
      </c>
      <c r="I268" t="s">
        <v>49</v>
      </c>
      <c r="J268" t="s">
        <v>148</v>
      </c>
      <c r="K268" s="5">
        <f>15523 / 86400</f>
        <v>0.17966435185185184</v>
      </c>
      <c r="L268" s="5">
        <f>11825 / 86400</f>
        <v>0.13686342592592593</v>
      </c>
    </row>
    <row r="269" spans="1:12" x14ac:dyDescent="0.25">
      <c r="A269" s="3">
        <v>45703.316527777773</v>
      </c>
      <c r="B269" t="s">
        <v>126</v>
      </c>
      <c r="C269" s="3">
        <v>45703.316631944443</v>
      </c>
      <c r="D269" t="s">
        <v>126</v>
      </c>
      <c r="E269" s="4">
        <v>0</v>
      </c>
      <c r="F269" s="4">
        <v>54697.716</v>
      </c>
      <c r="G269" s="4">
        <v>54697.716</v>
      </c>
      <c r="H269" s="5">
        <f>0 / 86400</f>
        <v>0</v>
      </c>
      <c r="I269" t="s">
        <v>44</v>
      </c>
      <c r="J269" t="s">
        <v>44</v>
      </c>
      <c r="K269" s="5">
        <f>9 / 86400</f>
        <v>1.0416666666666667E-4</v>
      </c>
      <c r="L269" s="5">
        <f>570 / 86400</f>
        <v>6.5972222222222222E-3</v>
      </c>
    </row>
    <row r="270" spans="1:12" x14ac:dyDescent="0.25">
      <c r="A270" s="3">
        <v>45703.323229166665</v>
      </c>
      <c r="B270" t="s">
        <v>126</v>
      </c>
      <c r="C270" s="3">
        <v>45703.549849537041</v>
      </c>
      <c r="D270" t="s">
        <v>84</v>
      </c>
      <c r="E270" s="4">
        <v>101.495</v>
      </c>
      <c r="F270" s="4">
        <v>54697.716</v>
      </c>
      <c r="G270" s="4">
        <v>54799.211000000003</v>
      </c>
      <c r="H270" s="5">
        <f>5583 / 86400</f>
        <v>6.4618055555555554E-2</v>
      </c>
      <c r="I270" t="s">
        <v>32</v>
      </c>
      <c r="J270" t="s">
        <v>26</v>
      </c>
      <c r="K270" s="5">
        <f>19580 / 86400</f>
        <v>0.22662037037037036</v>
      </c>
      <c r="L270" s="5">
        <f>339 / 86400</f>
        <v>3.9236111111111112E-3</v>
      </c>
    </row>
    <row r="271" spans="1:12" x14ac:dyDescent="0.25">
      <c r="A271" s="3">
        <v>45703.553773148145</v>
      </c>
      <c r="B271" t="s">
        <v>84</v>
      </c>
      <c r="C271" s="3">
        <v>45703.554502314815</v>
      </c>
      <c r="D271" t="s">
        <v>149</v>
      </c>
      <c r="E271" s="4">
        <v>0.19400000000000001</v>
      </c>
      <c r="F271" s="4">
        <v>54799.211000000003</v>
      </c>
      <c r="G271" s="4">
        <v>54799.404999999999</v>
      </c>
      <c r="H271" s="5">
        <f>0 / 86400</f>
        <v>0</v>
      </c>
      <c r="I271" t="s">
        <v>23</v>
      </c>
      <c r="J271" t="s">
        <v>102</v>
      </c>
      <c r="K271" s="5">
        <f>63 / 86400</f>
        <v>7.291666666666667E-4</v>
      </c>
      <c r="L271" s="5">
        <f>250 / 86400</f>
        <v>2.8935185185185184E-3</v>
      </c>
    </row>
    <row r="272" spans="1:12" x14ac:dyDescent="0.25">
      <c r="A272" s="3">
        <v>45703.557395833333</v>
      </c>
      <c r="B272" t="s">
        <v>149</v>
      </c>
      <c r="C272" s="3">
        <v>45703.558368055557</v>
      </c>
      <c r="D272" t="s">
        <v>149</v>
      </c>
      <c r="E272" s="4">
        <v>9.9000000000000005E-2</v>
      </c>
      <c r="F272" s="4">
        <v>54799.404999999999</v>
      </c>
      <c r="G272" s="4">
        <v>54799.504000000001</v>
      </c>
      <c r="H272" s="5">
        <f>40 / 86400</f>
        <v>4.6296296296296298E-4</v>
      </c>
      <c r="I272" t="s">
        <v>150</v>
      </c>
      <c r="J272" t="s">
        <v>154</v>
      </c>
      <c r="K272" s="5">
        <f>83 / 86400</f>
        <v>9.6064814814814819E-4</v>
      </c>
      <c r="L272" s="5">
        <f>788 / 86400</f>
        <v>9.1203703703703707E-3</v>
      </c>
    </row>
    <row r="273" spans="1:12" x14ac:dyDescent="0.25">
      <c r="A273" s="3">
        <v>45703.567488425921</v>
      </c>
      <c r="B273" t="s">
        <v>149</v>
      </c>
      <c r="C273" s="3">
        <v>45703.577372685184</v>
      </c>
      <c r="D273" t="s">
        <v>198</v>
      </c>
      <c r="E273" s="4">
        <v>4.5570000000000004</v>
      </c>
      <c r="F273" s="4">
        <v>54799.504000000001</v>
      </c>
      <c r="G273" s="4">
        <v>54804.061000000002</v>
      </c>
      <c r="H273" s="5">
        <f>100 / 86400</f>
        <v>1.1574074074074073E-3</v>
      </c>
      <c r="I273" t="s">
        <v>69</v>
      </c>
      <c r="J273" t="s">
        <v>26</v>
      </c>
      <c r="K273" s="5">
        <f>853 / 86400</f>
        <v>9.8726851851851857E-3</v>
      </c>
      <c r="L273" s="5">
        <f>651 / 86400</f>
        <v>7.5347222222222222E-3</v>
      </c>
    </row>
    <row r="274" spans="1:12" x14ac:dyDescent="0.25">
      <c r="A274" s="3">
        <v>45703.584907407407</v>
      </c>
      <c r="B274" t="s">
        <v>198</v>
      </c>
      <c r="C274" s="3">
        <v>45703.585902777777</v>
      </c>
      <c r="D274" t="s">
        <v>198</v>
      </c>
      <c r="E274" s="4">
        <v>0</v>
      </c>
      <c r="F274" s="4">
        <v>54804.061000000002</v>
      </c>
      <c r="G274" s="4">
        <v>54804.061000000002</v>
      </c>
      <c r="H274" s="5">
        <f>79 / 86400</f>
        <v>9.1435185185185185E-4</v>
      </c>
      <c r="I274" t="s">
        <v>44</v>
      </c>
      <c r="J274" t="s">
        <v>44</v>
      </c>
      <c r="K274" s="5">
        <f>86 / 86400</f>
        <v>9.9537037037037042E-4</v>
      </c>
      <c r="L274" s="5">
        <f>4 / 86400</f>
        <v>4.6296296296296294E-5</v>
      </c>
    </row>
    <row r="275" spans="1:12" x14ac:dyDescent="0.25">
      <c r="A275" s="3">
        <v>45703.58594907407</v>
      </c>
      <c r="B275" t="s">
        <v>198</v>
      </c>
      <c r="C275" s="3">
        <v>45703.588391203702</v>
      </c>
      <c r="D275" t="s">
        <v>198</v>
      </c>
      <c r="E275" s="4">
        <v>0</v>
      </c>
      <c r="F275" s="4">
        <v>54804.061000000002</v>
      </c>
      <c r="G275" s="4">
        <v>54804.061000000002</v>
      </c>
      <c r="H275" s="5">
        <f>209 / 86400</f>
        <v>2.4189814814814816E-3</v>
      </c>
      <c r="I275" t="s">
        <v>44</v>
      </c>
      <c r="J275" t="s">
        <v>44</v>
      </c>
      <c r="K275" s="5">
        <f>211 / 86400</f>
        <v>2.4421296296296296E-3</v>
      </c>
      <c r="L275" s="5">
        <f>4 / 86400</f>
        <v>4.6296296296296294E-5</v>
      </c>
    </row>
    <row r="276" spans="1:12" x14ac:dyDescent="0.25">
      <c r="A276" s="3">
        <v>45703.588437500002</v>
      </c>
      <c r="B276" t="s">
        <v>198</v>
      </c>
      <c r="C276" s="3">
        <v>45703.590324074074</v>
      </c>
      <c r="D276" t="s">
        <v>198</v>
      </c>
      <c r="E276" s="4">
        <v>0</v>
      </c>
      <c r="F276" s="4">
        <v>54804.061000000002</v>
      </c>
      <c r="G276" s="4">
        <v>54804.061000000002</v>
      </c>
      <c r="H276" s="5">
        <f>154 / 86400</f>
        <v>1.7824074074074075E-3</v>
      </c>
      <c r="I276" t="s">
        <v>44</v>
      </c>
      <c r="J276" t="s">
        <v>44</v>
      </c>
      <c r="K276" s="5">
        <f>163 / 86400</f>
        <v>1.8865740740740742E-3</v>
      </c>
      <c r="L276" s="5">
        <f>2 / 86400</f>
        <v>2.3148148148148147E-5</v>
      </c>
    </row>
    <row r="277" spans="1:12" x14ac:dyDescent="0.25">
      <c r="A277" s="3">
        <v>45703.590347222227</v>
      </c>
      <c r="B277" t="s">
        <v>198</v>
      </c>
      <c r="C277" s="3">
        <v>45703.593530092592</v>
      </c>
      <c r="D277" t="s">
        <v>198</v>
      </c>
      <c r="E277" s="4">
        <v>0</v>
      </c>
      <c r="F277" s="4">
        <v>54804.061000000002</v>
      </c>
      <c r="G277" s="4">
        <v>54804.061000000002</v>
      </c>
      <c r="H277" s="5">
        <f>269 / 86400</f>
        <v>3.1134259259259257E-3</v>
      </c>
      <c r="I277" t="s">
        <v>44</v>
      </c>
      <c r="J277" t="s">
        <v>44</v>
      </c>
      <c r="K277" s="5">
        <f>275 / 86400</f>
        <v>3.1828703703703702E-3</v>
      </c>
      <c r="L277" s="5">
        <f>1952 / 86400</f>
        <v>2.2592592592592591E-2</v>
      </c>
    </row>
    <row r="278" spans="1:12" x14ac:dyDescent="0.25">
      <c r="A278" s="3">
        <v>45703.616122685184</v>
      </c>
      <c r="B278" t="s">
        <v>198</v>
      </c>
      <c r="C278" s="3">
        <v>45703.719351851847</v>
      </c>
      <c r="D278" t="s">
        <v>65</v>
      </c>
      <c r="E278" s="4">
        <v>43.07</v>
      </c>
      <c r="F278" s="4">
        <v>54804.061000000002</v>
      </c>
      <c r="G278" s="4">
        <v>54847.131000000001</v>
      </c>
      <c r="H278" s="5">
        <f>3442 / 86400</f>
        <v>3.9837962962962964E-2</v>
      </c>
      <c r="I278" t="s">
        <v>111</v>
      </c>
      <c r="J278" t="s">
        <v>33</v>
      </c>
      <c r="K278" s="5">
        <f>8919 / 86400</f>
        <v>0.10322916666666666</v>
      </c>
      <c r="L278" s="5">
        <f>76 / 86400</f>
        <v>8.7962962962962962E-4</v>
      </c>
    </row>
    <row r="279" spans="1:12" x14ac:dyDescent="0.25">
      <c r="A279" s="3">
        <v>45703.720231481479</v>
      </c>
      <c r="B279" t="s">
        <v>65</v>
      </c>
      <c r="C279" s="3">
        <v>45703.850451388891</v>
      </c>
      <c r="D279" t="s">
        <v>149</v>
      </c>
      <c r="E279" s="4">
        <v>46.465000000000003</v>
      </c>
      <c r="F279" s="4">
        <v>54847.131000000001</v>
      </c>
      <c r="G279" s="4">
        <v>54893.595999999998</v>
      </c>
      <c r="H279" s="5">
        <f>4159 / 86400</f>
        <v>4.8136574074074075E-2</v>
      </c>
      <c r="I279" t="s">
        <v>158</v>
      </c>
      <c r="J279" t="s">
        <v>29</v>
      </c>
      <c r="K279" s="5">
        <f>11250 / 86400</f>
        <v>0.13020833333333334</v>
      </c>
      <c r="L279" s="5">
        <f>686 / 86400</f>
        <v>7.9398148148148145E-3</v>
      </c>
    </row>
    <row r="280" spans="1:12" x14ac:dyDescent="0.25">
      <c r="A280" s="3">
        <v>45703.858391203699</v>
      </c>
      <c r="B280" t="s">
        <v>149</v>
      </c>
      <c r="C280" s="3">
        <v>45703.873356481483</v>
      </c>
      <c r="D280" t="s">
        <v>48</v>
      </c>
      <c r="E280" s="4">
        <v>4.8029999999999999</v>
      </c>
      <c r="F280" s="4">
        <v>54893.595999999998</v>
      </c>
      <c r="G280" s="4">
        <v>54898.398999999998</v>
      </c>
      <c r="H280" s="5">
        <f>220 / 86400</f>
        <v>2.5462962962962965E-3</v>
      </c>
      <c r="I280" t="s">
        <v>76</v>
      </c>
      <c r="J280" t="s">
        <v>122</v>
      </c>
      <c r="K280" s="5">
        <f>1293 / 86400</f>
        <v>1.4965277777777777E-2</v>
      </c>
      <c r="L280" s="5">
        <f>10941 / 86400</f>
        <v>0.12663194444444445</v>
      </c>
    </row>
    <row r="281" spans="1:12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1:12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1:12" s="10" customFormat="1" ht="20.100000000000001" customHeight="1" x14ac:dyDescent="0.35">
      <c r="A283" s="15" t="s">
        <v>297</v>
      </c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2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1:12" ht="30" x14ac:dyDescent="0.25">
      <c r="A285" s="2" t="s">
        <v>6</v>
      </c>
      <c r="B285" s="2" t="s">
        <v>7</v>
      </c>
      <c r="C285" s="2" t="s">
        <v>8</v>
      </c>
      <c r="D285" s="2" t="s">
        <v>9</v>
      </c>
      <c r="E285" s="2" t="s">
        <v>10</v>
      </c>
      <c r="F285" s="2" t="s">
        <v>11</v>
      </c>
      <c r="G285" s="2" t="s">
        <v>12</v>
      </c>
      <c r="H285" s="2" t="s">
        <v>13</v>
      </c>
      <c r="I285" s="2" t="s">
        <v>14</v>
      </c>
      <c r="J285" s="2" t="s">
        <v>15</v>
      </c>
      <c r="K285" s="2" t="s">
        <v>16</v>
      </c>
      <c r="L285" s="2" t="s">
        <v>17</v>
      </c>
    </row>
    <row r="286" spans="1:12" x14ac:dyDescent="0.25">
      <c r="A286" s="3">
        <v>45703.25744212963</v>
      </c>
      <c r="B286" t="s">
        <v>50</v>
      </c>
      <c r="C286" s="3">
        <v>45703.52416666667</v>
      </c>
      <c r="D286" t="s">
        <v>126</v>
      </c>
      <c r="E286" s="4">
        <v>103.566</v>
      </c>
      <c r="F286" s="4">
        <v>216508.79699999999</v>
      </c>
      <c r="G286" s="4">
        <v>216612.36300000001</v>
      </c>
      <c r="H286" s="5">
        <f>7921 / 86400</f>
        <v>9.1678240740740741E-2</v>
      </c>
      <c r="I286" t="s">
        <v>25</v>
      </c>
      <c r="J286" t="s">
        <v>36</v>
      </c>
      <c r="K286" s="5">
        <f>23044 / 86400</f>
        <v>0.26671296296296299</v>
      </c>
      <c r="L286" s="5">
        <f>22600 / 86400</f>
        <v>0.26157407407407407</v>
      </c>
    </row>
    <row r="287" spans="1:12" x14ac:dyDescent="0.25">
      <c r="A287" s="3">
        <v>45703.528298611112</v>
      </c>
      <c r="B287" t="s">
        <v>126</v>
      </c>
      <c r="C287" s="3">
        <v>45703.53125</v>
      </c>
      <c r="D287" t="s">
        <v>149</v>
      </c>
      <c r="E287" s="4">
        <v>1.085</v>
      </c>
      <c r="F287" s="4">
        <v>216612.36300000001</v>
      </c>
      <c r="G287" s="4">
        <v>216613.448</v>
      </c>
      <c r="H287" s="5">
        <f>19 / 86400</f>
        <v>2.199074074074074E-4</v>
      </c>
      <c r="I287" t="s">
        <v>175</v>
      </c>
      <c r="J287" t="s">
        <v>29</v>
      </c>
      <c r="K287" s="5">
        <f>254 / 86400</f>
        <v>2.9398148148148148E-3</v>
      </c>
      <c r="L287" s="5">
        <f>132 / 86400</f>
        <v>1.5277777777777779E-3</v>
      </c>
    </row>
    <row r="288" spans="1:12" x14ac:dyDescent="0.25">
      <c r="A288" s="3">
        <v>45703.532777777778</v>
      </c>
      <c r="B288" t="s">
        <v>149</v>
      </c>
      <c r="C288" s="3">
        <v>45703.53392361111</v>
      </c>
      <c r="D288" t="s">
        <v>144</v>
      </c>
      <c r="E288" s="4">
        <v>6.9000000000000006E-2</v>
      </c>
      <c r="F288" s="4">
        <v>216613.448</v>
      </c>
      <c r="G288" s="4">
        <v>216613.51699999999</v>
      </c>
      <c r="H288" s="5">
        <f>60 / 86400</f>
        <v>6.9444444444444447E-4</v>
      </c>
      <c r="I288" t="s">
        <v>130</v>
      </c>
      <c r="J288" t="s">
        <v>139</v>
      </c>
      <c r="K288" s="5">
        <f>99 / 86400</f>
        <v>1.1458333333333333E-3</v>
      </c>
      <c r="L288" s="5">
        <f>31 / 86400</f>
        <v>3.5879629629629629E-4</v>
      </c>
    </row>
    <row r="289" spans="1:12" x14ac:dyDescent="0.25">
      <c r="A289" s="3">
        <v>45703.534282407403</v>
      </c>
      <c r="B289" t="s">
        <v>144</v>
      </c>
      <c r="C289" s="3">
        <v>45703.536678240736</v>
      </c>
      <c r="D289" t="s">
        <v>144</v>
      </c>
      <c r="E289" s="4">
        <v>8.7999999999999995E-2</v>
      </c>
      <c r="F289" s="4">
        <v>216613.51699999999</v>
      </c>
      <c r="G289" s="4">
        <v>216613.60500000001</v>
      </c>
      <c r="H289" s="5">
        <f>139 / 86400</f>
        <v>1.6087962962962963E-3</v>
      </c>
      <c r="I289" t="s">
        <v>60</v>
      </c>
      <c r="J289" t="s">
        <v>135</v>
      </c>
      <c r="K289" s="5">
        <f>206 / 86400</f>
        <v>2.3842592592592591E-3</v>
      </c>
      <c r="L289" s="5">
        <f>1158 / 86400</f>
        <v>1.3402777777777777E-2</v>
      </c>
    </row>
    <row r="290" spans="1:12" x14ac:dyDescent="0.25">
      <c r="A290" s="3">
        <v>45703.550081018519</v>
      </c>
      <c r="B290" t="s">
        <v>144</v>
      </c>
      <c r="C290" s="3">
        <v>45703.550127314811</v>
      </c>
      <c r="D290" t="s">
        <v>144</v>
      </c>
      <c r="E290" s="4">
        <v>0</v>
      </c>
      <c r="F290" s="4">
        <v>216613.60500000001</v>
      </c>
      <c r="G290" s="4">
        <v>216613.60500000001</v>
      </c>
      <c r="H290" s="5">
        <f>0 / 86400</f>
        <v>0</v>
      </c>
      <c r="I290" t="s">
        <v>44</v>
      </c>
      <c r="J290" t="s">
        <v>44</v>
      </c>
      <c r="K290" s="5">
        <f>3 / 86400</f>
        <v>3.4722222222222222E-5</v>
      </c>
      <c r="L290" s="5">
        <f>74 / 86400</f>
        <v>8.564814814814815E-4</v>
      </c>
    </row>
    <row r="291" spans="1:12" x14ac:dyDescent="0.25">
      <c r="A291" s="3">
        <v>45703.550983796296</v>
      </c>
      <c r="B291" t="s">
        <v>144</v>
      </c>
      <c r="C291" s="3">
        <v>45703.552824074075</v>
      </c>
      <c r="D291" t="s">
        <v>144</v>
      </c>
      <c r="E291" s="4">
        <v>0.13400000000000001</v>
      </c>
      <c r="F291" s="4">
        <v>216613.60500000001</v>
      </c>
      <c r="G291" s="4">
        <v>216613.739</v>
      </c>
      <c r="H291" s="5">
        <f>99 / 86400</f>
        <v>1.1458333333333333E-3</v>
      </c>
      <c r="I291" t="s">
        <v>29</v>
      </c>
      <c r="J291" t="s">
        <v>139</v>
      </c>
      <c r="K291" s="5">
        <f>158 / 86400</f>
        <v>1.8287037037037037E-3</v>
      </c>
      <c r="L291" s="5">
        <f>676 / 86400</f>
        <v>7.8240740740740736E-3</v>
      </c>
    </row>
    <row r="292" spans="1:12" x14ac:dyDescent="0.25">
      <c r="A292" s="3">
        <v>45703.560648148152</v>
      </c>
      <c r="B292" t="s">
        <v>144</v>
      </c>
      <c r="C292" s="3">
        <v>45703.561423611114</v>
      </c>
      <c r="D292" t="s">
        <v>92</v>
      </c>
      <c r="E292" s="4">
        <v>0.154</v>
      </c>
      <c r="F292" s="4">
        <v>216613.739</v>
      </c>
      <c r="G292" s="4">
        <v>216613.89300000001</v>
      </c>
      <c r="H292" s="5">
        <f>0 / 86400</f>
        <v>0</v>
      </c>
      <c r="I292" t="s">
        <v>122</v>
      </c>
      <c r="J292" t="s">
        <v>138</v>
      </c>
      <c r="K292" s="5">
        <f>67 / 86400</f>
        <v>7.7546296296296293E-4</v>
      </c>
      <c r="L292" s="5">
        <f>1911 / 86400</f>
        <v>2.2118055555555554E-2</v>
      </c>
    </row>
    <row r="293" spans="1:12" x14ac:dyDescent="0.25">
      <c r="A293" s="3">
        <v>45703.583541666667</v>
      </c>
      <c r="B293" t="s">
        <v>92</v>
      </c>
      <c r="C293" s="3">
        <v>45703.696111111116</v>
      </c>
      <c r="D293" t="s">
        <v>199</v>
      </c>
      <c r="E293" s="4">
        <v>49.857999999999997</v>
      </c>
      <c r="F293" s="4">
        <v>216613.89300000001</v>
      </c>
      <c r="G293" s="4">
        <v>216663.75099999999</v>
      </c>
      <c r="H293" s="5">
        <f>3259 / 86400</f>
        <v>3.771990740740741E-2</v>
      </c>
      <c r="I293" t="s">
        <v>58</v>
      </c>
      <c r="J293" t="s">
        <v>20</v>
      </c>
      <c r="K293" s="5">
        <f>9726 / 86400</f>
        <v>0.11256944444444444</v>
      </c>
      <c r="L293" s="5">
        <f>48 / 86400</f>
        <v>5.5555555555555556E-4</v>
      </c>
    </row>
    <row r="294" spans="1:12" x14ac:dyDescent="0.25">
      <c r="A294" s="3">
        <v>45703.69666666667</v>
      </c>
      <c r="B294" t="s">
        <v>199</v>
      </c>
      <c r="C294" s="3">
        <v>45703.698518518519</v>
      </c>
      <c r="D294" t="s">
        <v>200</v>
      </c>
      <c r="E294" s="4">
        <v>0.46400000000000002</v>
      </c>
      <c r="F294" s="4">
        <v>216663.75099999999</v>
      </c>
      <c r="G294" s="4">
        <v>216664.215</v>
      </c>
      <c r="H294" s="5">
        <f>20 / 86400</f>
        <v>2.3148148148148149E-4</v>
      </c>
      <c r="I294" t="s">
        <v>20</v>
      </c>
      <c r="J294" t="s">
        <v>102</v>
      </c>
      <c r="K294" s="5">
        <f>159 / 86400</f>
        <v>1.8402777777777777E-3</v>
      </c>
      <c r="L294" s="5">
        <f>1237 / 86400</f>
        <v>1.4317129629629629E-2</v>
      </c>
    </row>
    <row r="295" spans="1:12" x14ac:dyDescent="0.25">
      <c r="A295" s="3">
        <v>45703.712835648148</v>
      </c>
      <c r="B295" t="s">
        <v>200</v>
      </c>
      <c r="C295" s="3">
        <v>45703.862199074079</v>
      </c>
      <c r="D295" t="s">
        <v>149</v>
      </c>
      <c r="E295" s="4">
        <v>56.225000000000001</v>
      </c>
      <c r="F295" s="4">
        <v>216664.215</v>
      </c>
      <c r="G295" s="4">
        <v>216720.44</v>
      </c>
      <c r="H295" s="5">
        <f>4222 / 86400</f>
        <v>4.8865740740740737E-2</v>
      </c>
      <c r="I295" t="s">
        <v>73</v>
      </c>
      <c r="J295" t="s">
        <v>36</v>
      </c>
      <c r="K295" s="5">
        <f>12905 / 86400</f>
        <v>0.14936342592592591</v>
      </c>
      <c r="L295" s="5">
        <f>437 / 86400</f>
        <v>5.0578703703703706E-3</v>
      </c>
    </row>
    <row r="296" spans="1:12" x14ac:dyDescent="0.25">
      <c r="A296" s="3">
        <v>45703.867256944446</v>
      </c>
      <c r="B296" t="s">
        <v>149</v>
      </c>
      <c r="C296" s="3">
        <v>45703.873460648145</v>
      </c>
      <c r="D296" t="s">
        <v>50</v>
      </c>
      <c r="E296" s="4">
        <v>0.71199999999999997</v>
      </c>
      <c r="F296" s="4">
        <v>216720.44</v>
      </c>
      <c r="G296" s="4">
        <v>216721.152</v>
      </c>
      <c r="H296" s="5">
        <f>240 / 86400</f>
        <v>2.7777777777777779E-3</v>
      </c>
      <c r="I296" t="s">
        <v>26</v>
      </c>
      <c r="J296" t="s">
        <v>134</v>
      </c>
      <c r="K296" s="5">
        <f>536 / 86400</f>
        <v>6.2037037037037035E-3</v>
      </c>
      <c r="L296" s="5">
        <f>173 / 86400</f>
        <v>2.0023148148148148E-3</v>
      </c>
    </row>
    <row r="297" spans="1:12" x14ac:dyDescent="0.25">
      <c r="A297" s="3">
        <v>45703.875462962962</v>
      </c>
      <c r="B297" t="s">
        <v>50</v>
      </c>
      <c r="C297" s="3">
        <v>45703.875706018516</v>
      </c>
      <c r="D297" t="s">
        <v>50</v>
      </c>
      <c r="E297" s="4">
        <v>0</v>
      </c>
      <c r="F297" s="4">
        <v>216721.152</v>
      </c>
      <c r="G297" s="4">
        <v>216721.152</v>
      </c>
      <c r="H297" s="5">
        <f>19 / 86400</f>
        <v>2.199074074074074E-4</v>
      </c>
      <c r="I297" t="s">
        <v>44</v>
      </c>
      <c r="J297" t="s">
        <v>44</v>
      </c>
      <c r="K297" s="5">
        <f>21 / 86400</f>
        <v>2.4305555555555555E-4</v>
      </c>
      <c r="L297" s="5">
        <f>10738 / 86400</f>
        <v>0.12428240740740741</v>
      </c>
    </row>
    <row r="298" spans="1:12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1:12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</row>
    <row r="300" spans="1:12" s="10" customFormat="1" ht="20.100000000000001" customHeight="1" x14ac:dyDescent="0.35">
      <c r="A300" s="15" t="s">
        <v>298</v>
      </c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2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</row>
    <row r="302" spans="1:12" ht="30" x14ac:dyDescent="0.25">
      <c r="A302" s="2" t="s">
        <v>6</v>
      </c>
      <c r="B302" s="2" t="s">
        <v>7</v>
      </c>
      <c r="C302" s="2" t="s">
        <v>8</v>
      </c>
      <c r="D302" s="2" t="s">
        <v>9</v>
      </c>
      <c r="E302" s="2" t="s">
        <v>10</v>
      </c>
      <c r="F302" s="2" t="s">
        <v>11</v>
      </c>
      <c r="G302" s="2" t="s">
        <v>12</v>
      </c>
      <c r="H302" s="2" t="s">
        <v>13</v>
      </c>
      <c r="I302" s="2" t="s">
        <v>14</v>
      </c>
      <c r="J302" s="2" t="s">
        <v>15</v>
      </c>
      <c r="K302" s="2" t="s">
        <v>16</v>
      </c>
      <c r="L302" s="2" t="s">
        <v>17</v>
      </c>
    </row>
    <row r="303" spans="1:12" x14ac:dyDescent="0.25">
      <c r="A303" s="3">
        <v>45703.269016203703</v>
      </c>
      <c r="B303" t="s">
        <v>51</v>
      </c>
      <c r="C303" s="3">
        <v>45703.276655092588</v>
      </c>
      <c r="D303" t="s">
        <v>191</v>
      </c>
      <c r="E303" s="4">
        <v>1.5300000000596046</v>
      </c>
      <c r="F303" s="4">
        <v>525542.54799999995</v>
      </c>
      <c r="G303" s="4">
        <v>525544.07799999998</v>
      </c>
      <c r="H303" s="5">
        <f>319 / 86400</f>
        <v>3.6921296296296298E-3</v>
      </c>
      <c r="I303" t="s">
        <v>167</v>
      </c>
      <c r="J303" t="s">
        <v>138</v>
      </c>
      <c r="K303" s="5">
        <f>660 / 86400</f>
        <v>7.6388888888888886E-3</v>
      </c>
      <c r="L303" s="5">
        <f>26011 / 86400</f>
        <v>0.30105324074074075</v>
      </c>
    </row>
    <row r="304" spans="1:12" x14ac:dyDescent="0.25">
      <c r="A304" s="3">
        <v>45703.308692129634</v>
      </c>
      <c r="B304" t="s">
        <v>191</v>
      </c>
      <c r="C304" s="3">
        <v>45703.38726851852</v>
      </c>
      <c r="D304" t="s">
        <v>199</v>
      </c>
      <c r="E304" s="4">
        <v>31.097999999999999</v>
      </c>
      <c r="F304" s="4">
        <v>525544.07799999998</v>
      </c>
      <c r="G304" s="4">
        <v>525575.17599999998</v>
      </c>
      <c r="H304" s="5">
        <f>2298 / 86400</f>
        <v>2.6597222222222223E-2</v>
      </c>
      <c r="I304" t="s">
        <v>38</v>
      </c>
      <c r="J304" t="s">
        <v>36</v>
      </c>
      <c r="K304" s="5">
        <f>6789 / 86400</f>
        <v>7.857638888888889E-2</v>
      </c>
      <c r="L304" s="5">
        <f>811 / 86400</f>
        <v>9.3865740740740732E-3</v>
      </c>
    </row>
    <row r="305" spans="1:12" x14ac:dyDescent="0.25">
      <c r="A305" s="3">
        <v>45703.396655092598</v>
      </c>
      <c r="B305" t="s">
        <v>199</v>
      </c>
      <c r="C305" s="3">
        <v>45703.397118055553</v>
      </c>
      <c r="D305" t="s">
        <v>199</v>
      </c>
      <c r="E305" s="4">
        <v>5.7000000000000002E-2</v>
      </c>
      <c r="F305" s="4">
        <v>525575.17599999998</v>
      </c>
      <c r="G305" s="4">
        <v>525575.23300000001</v>
      </c>
      <c r="H305" s="5">
        <f>0 / 86400</f>
        <v>0</v>
      </c>
      <c r="I305" t="s">
        <v>150</v>
      </c>
      <c r="J305" t="s">
        <v>134</v>
      </c>
      <c r="K305" s="5">
        <f>39 / 86400</f>
        <v>4.5138888888888887E-4</v>
      </c>
      <c r="L305" s="5">
        <f>309 / 86400</f>
        <v>3.5763888888888889E-3</v>
      </c>
    </row>
    <row r="306" spans="1:12" x14ac:dyDescent="0.25">
      <c r="A306" s="3">
        <v>45703.400694444441</v>
      </c>
      <c r="B306" t="s">
        <v>199</v>
      </c>
      <c r="C306" s="3">
        <v>45703.528981481482</v>
      </c>
      <c r="D306" t="s">
        <v>201</v>
      </c>
      <c r="E306" s="4">
        <v>53.057999999940392</v>
      </c>
      <c r="F306" s="4">
        <v>525575.23300000001</v>
      </c>
      <c r="G306" s="4">
        <v>525628.29099999997</v>
      </c>
      <c r="H306" s="5">
        <f>3300 / 86400</f>
        <v>3.8194444444444448E-2</v>
      </c>
      <c r="I306" t="s">
        <v>52</v>
      </c>
      <c r="J306" t="s">
        <v>33</v>
      </c>
      <c r="K306" s="5">
        <f>11083 / 86400</f>
        <v>0.12827546296296297</v>
      </c>
      <c r="L306" s="5">
        <f>1756 / 86400</f>
        <v>2.0324074074074074E-2</v>
      </c>
    </row>
    <row r="307" spans="1:12" x14ac:dyDescent="0.25">
      <c r="A307" s="3">
        <v>45703.549305555556</v>
      </c>
      <c r="B307" t="s">
        <v>201</v>
      </c>
      <c r="C307" s="3">
        <v>45703.553252314814</v>
      </c>
      <c r="D307" t="s">
        <v>46</v>
      </c>
      <c r="E307" s="4">
        <v>0.28100000011920928</v>
      </c>
      <c r="F307" s="4">
        <v>525628.29099999997</v>
      </c>
      <c r="G307" s="4">
        <v>525628.57200000004</v>
      </c>
      <c r="H307" s="5">
        <f>239 / 86400</f>
        <v>2.7662037037037039E-3</v>
      </c>
      <c r="I307" t="s">
        <v>33</v>
      </c>
      <c r="J307" t="s">
        <v>139</v>
      </c>
      <c r="K307" s="5">
        <f>340 / 86400</f>
        <v>3.9351851851851848E-3</v>
      </c>
      <c r="L307" s="5">
        <f>4059 / 86400</f>
        <v>4.6979166666666669E-2</v>
      </c>
    </row>
    <row r="308" spans="1:12" x14ac:dyDescent="0.25">
      <c r="A308" s="3">
        <v>45703.600231481483</v>
      </c>
      <c r="B308" t="s">
        <v>46</v>
      </c>
      <c r="C308" s="3">
        <v>45703.604768518519</v>
      </c>
      <c r="D308" t="s">
        <v>84</v>
      </c>
      <c r="E308" s="4">
        <v>1.1239999999403953</v>
      </c>
      <c r="F308" s="4">
        <v>525628.57200000004</v>
      </c>
      <c r="G308" s="4">
        <v>525629.696</v>
      </c>
      <c r="H308" s="5">
        <f>60 / 86400</f>
        <v>6.9444444444444447E-4</v>
      </c>
      <c r="I308" t="s">
        <v>155</v>
      </c>
      <c r="J308" t="s">
        <v>130</v>
      </c>
      <c r="K308" s="5">
        <f>391 / 86400</f>
        <v>4.5254629629629629E-3</v>
      </c>
      <c r="L308" s="5">
        <f>642 / 86400</f>
        <v>7.4305555555555557E-3</v>
      </c>
    </row>
    <row r="309" spans="1:12" x14ac:dyDescent="0.25">
      <c r="A309" s="3">
        <v>45703.612199074079</v>
      </c>
      <c r="B309" t="s">
        <v>84</v>
      </c>
      <c r="C309" s="3">
        <v>45703.612800925926</v>
      </c>
      <c r="D309" t="s">
        <v>84</v>
      </c>
      <c r="E309" s="4">
        <v>3.2000000000000001E-2</v>
      </c>
      <c r="F309" s="4">
        <v>525629.696</v>
      </c>
      <c r="G309" s="4">
        <v>525629.728</v>
      </c>
      <c r="H309" s="5">
        <f>0 / 86400</f>
        <v>0</v>
      </c>
      <c r="I309" t="s">
        <v>134</v>
      </c>
      <c r="J309" t="s">
        <v>135</v>
      </c>
      <c r="K309" s="5">
        <f>51 / 86400</f>
        <v>5.9027777777777778E-4</v>
      </c>
      <c r="L309" s="5">
        <f>108 / 86400</f>
        <v>1.25E-3</v>
      </c>
    </row>
    <row r="310" spans="1:12" x14ac:dyDescent="0.25">
      <c r="A310" s="3">
        <v>45703.614050925928</v>
      </c>
      <c r="B310" t="s">
        <v>84</v>
      </c>
      <c r="C310" s="3">
        <v>45703.615902777776</v>
      </c>
      <c r="D310" t="s">
        <v>84</v>
      </c>
      <c r="E310" s="4">
        <v>0.17000000005960464</v>
      </c>
      <c r="F310" s="4">
        <v>525629.728</v>
      </c>
      <c r="G310" s="4">
        <v>525629.89800000004</v>
      </c>
      <c r="H310" s="5">
        <f>40 / 86400</f>
        <v>4.6296296296296298E-4</v>
      </c>
      <c r="I310" t="s">
        <v>60</v>
      </c>
      <c r="J310" t="s">
        <v>154</v>
      </c>
      <c r="K310" s="5">
        <f>160 / 86400</f>
        <v>1.8518518518518519E-3</v>
      </c>
      <c r="L310" s="5">
        <f>776 / 86400</f>
        <v>8.9814814814814809E-3</v>
      </c>
    </row>
    <row r="311" spans="1:12" x14ac:dyDescent="0.25">
      <c r="A311" s="3">
        <v>45703.624884259261</v>
      </c>
      <c r="B311" t="s">
        <v>84</v>
      </c>
      <c r="C311" s="3">
        <v>45703.632685185185</v>
      </c>
      <c r="D311" t="s">
        <v>144</v>
      </c>
      <c r="E311" s="4">
        <v>0.46499999994039537</v>
      </c>
      <c r="F311" s="4">
        <v>525629.89800000004</v>
      </c>
      <c r="G311" s="4">
        <v>525630.36300000001</v>
      </c>
      <c r="H311" s="5">
        <f>419 / 86400</f>
        <v>4.8495370370370368E-3</v>
      </c>
      <c r="I311" t="s">
        <v>23</v>
      </c>
      <c r="J311" t="s">
        <v>135</v>
      </c>
      <c r="K311" s="5">
        <f>674 / 86400</f>
        <v>7.8009259259259256E-3</v>
      </c>
      <c r="L311" s="5">
        <f>1035 / 86400</f>
        <v>1.1979166666666667E-2</v>
      </c>
    </row>
    <row r="312" spans="1:12" x14ac:dyDescent="0.25">
      <c r="A312" s="3">
        <v>45703.64466435185</v>
      </c>
      <c r="B312" t="s">
        <v>144</v>
      </c>
      <c r="C312" s="3">
        <v>45703.647303240738</v>
      </c>
      <c r="D312" t="s">
        <v>163</v>
      </c>
      <c r="E312" s="4">
        <v>0.79500000005960469</v>
      </c>
      <c r="F312" s="4">
        <v>525630.36300000001</v>
      </c>
      <c r="G312" s="4">
        <v>525631.15800000005</v>
      </c>
      <c r="H312" s="5">
        <f>38 / 86400</f>
        <v>4.3981481481481481E-4</v>
      </c>
      <c r="I312" t="s">
        <v>56</v>
      </c>
      <c r="J312" t="s">
        <v>122</v>
      </c>
      <c r="K312" s="5">
        <f>228 / 86400</f>
        <v>2.638888888888889E-3</v>
      </c>
      <c r="L312" s="5">
        <f>441 / 86400</f>
        <v>5.1041666666666666E-3</v>
      </c>
    </row>
    <row r="313" spans="1:12" x14ac:dyDescent="0.25">
      <c r="A313" s="3">
        <v>45703.652407407411</v>
      </c>
      <c r="B313" t="s">
        <v>133</v>
      </c>
      <c r="C313" s="3">
        <v>45703.652569444443</v>
      </c>
      <c r="D313" t="s">
        <v>133</v>
      </c>
      <c r="E313" s="4">
        <v>7.0000000000000001E-3</v>
      </c>
      <c r="F313" s="4">
        <v>525631.15800000005</v>
      </c>
      <c r="G313" s="4">
        <v>525631.16500000004</v>
      </c>
      <c r="H313" s="5">
        <f>0 / 86400</f>
        <v>0</v>
      </c>
      <c r="I313" t="s">
        <v>44</v>
      </c>
      <c r="J313" t="s">
        <v>135</v>
      </c>
      <c r="K313" s="5">
        <f>13 / 86400</f>
        <v>1.5046296296296297E-4</v>
      </c>
      <c r="L313" s="5">
        <f>374 / 86400</f>
        <v>4.3287037037037035E-3</v>
      </c>
    </row>
    <row r="314" spans="1:12" x14ac:dyDescent="0.25">
      <c r="A314" s="3">
        <v>45703.656898148147</v>
      </c>
      <c r="B314" t="s">
        <v>133</v>
      </c>
      <c r="C314" s="3">
        <v>45703.657129629632</v>
      </c>
      <c r="D314" t="s">
        <v>133</v>
      </c>
      <c r="E314" s="4">
        <v>5.9999999403953551E-3</v>
      </c>
      <c r="F314" s="4">
        <v>525631.16500000004</v>
      </c>
      <c r="G314" s="4">
        <v>525631.17099999997</v>
      </c>
      <c r="H314" s="5">
        <f>0 / 86400</f>
        <v>0</v>
      </c>
      <c r="I314" t="s">
        <v>44</v>
      </c>
      <c r="J314" t="s">
        <v>43</v>
      </c>
      <c r="K314" s="5">
        <f>19 / 86400</f>
        <v>2.199074074074074E-4</v>
      </c>
      <c r="L314" s="5">
        <f>366 / 86400</f>
        <v>4.2361111111111115E-3</v>
      </c>
    </row>
    <row r="315" spans="1:12" x14ac:dyDescent="0.25">
      <c r="A315" s="3">
        <v>45703.661365740743</v>
      </c>
      <c r="B315" t="s">
        <v>133</v>
      </c>
      <c r="C315" s="3">
        <v>45703.661736111113</v>
      </c>
      <c r="D315" t="s">
        <v>133</v>
      </c>
      <c r="E315" s="4">
        <v>6.0000000000000001E-3</v>
      </c>
      <c r="F315" s="4">
        <v>525631.17099999997</v>
      </c>
      <c r="G315" s="4">
        <v>525631.17700000003</v>
      </c>
      <c r="H315" s="5">
        <f>19 / 86400</f>
        <v>2.199074074074074E-4</v>
      </c>
      <c r="I315" t="s">
        <v>44</v>
      </c>
      <c r="J315" t="s">
        <v>43</v>
      </c>
      <c r="K315" s="5">
        <f>32 / 86400</f>
        <v>3.7037037037037035E-4</v>
      </c>
      <c r="L315" s="5">
        <f>374 / 86400</f>
        <v>4.3287037037037035E-3</v>
      </c>
    </row>
    <row r="316" spans="1:12" x14ac:dyDescent="0.25">
      <c r="A316" s="3">
        <v>45703.66606481481</v>
      </c>
      <c r="B316" t="s">
        <v>163</v>
      </c>
      <c r="C316" s="3">
        <v>45703.875914351855</v>
      </c>
      <c r="D316" t="s">
        <v>51</v>
      </c>
      <c r="E316" s="4">
        <v>81.461000000059599</v>
      </c>
      <c r="F316" s="4">
        <v>525631.17700000003</v>
      </c>
      <c r="G316" s="4">
        <v>525712.63800000004</v>
      </c>
      <c r="H316" s="5">
        <f>6060 / 86400</f>
        <v>7.013888888888889E-2</v>
      </c>
      <c r="I316" t="s">
        <v>143</v>
      </c>
      <c r="J316" t="s">
        <v>36</v>
      </c>
      <c r="K316" s="5">
        <f>18130 / 86400</f>
        <v>0.20983796296296298</v>
      </c>
      <c r="L316" s="5">
        <f>10720 / 86400</f>
        <v>0.12407407407407407</v>
      </c>
    </row>
    <row r="317" spans="1:12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</row>
    <row r="318" spans="1:12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</row>
    <row r="319" spans="1:12" s="10" customFormat="1" ht="20.100000000000001" customHeight="1" x14ac:dyDescent="0.35">
      <c r="A319" s="15" t="s">
        <v>299</v>
      </c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2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1:12" ht="30" x14ac:dyDescent="0.25">
      <c r="A321" s="2" t="s">
        <v>6</v>
      </c>
      <c r="B321" s="2" t="s">
        <v>7</v>
      </c>
      <c r="C321" s="2" t="s">
        <v>8</v>
      </c>
      <c r="D321" s="2" t="s">
        <v>9</v>
      </c>
      <c r="E321" s="2" t="s">
        <v>10</v>
      </c>
      <c r="F321" s="2" t="s">
        <v>11</v>
      </c>
      <c r="G321" s="2" t="s">
        <v>12</v>
      </c>
      <c r="H321" s="2" t="s">
        <v>13</v>
      </c>
      <c r="I321" s="2" t="s">
        <v>14</v>
      </c>
      <c r="J321" s="2" t="s">
        <v>15</v>
      </c>
      <c r="K321" s="2" t="s">
        <v>16</v>
      </c>
      <c r="L321" s="2" t="s">
        <v>17</v>
      </c>
    </row>
    <row r="322" spans="1:12" x14ac:dyDescent="0.25">
      <c r="A322" s="3">
        <v>45703.257847222223</v>
      </c>
      <c r="B322" t="s">
        <v>53</v>
      </c>
      <c r="C322" s="3">
        <v>45703.359548611115</v>
      </c>
      <c r="D322" t="s">
        <v>199</v>
      </c>
      <c r="E322" s="4">
        <v>50.055</v>
      </c>
      <c r="F322" s="4">
        <v>345095.44400000002</v>
      </c>
      <c r="G322" s="4">
        <v>345145.49900000001</v>
      </c>
      <c r="H322" s="5">
        <f>2280 / 86400</f>
        <v>2.6388888888888889E-2</v>
      </c>
      <c r="I322" t="s">
        <v>25</v>
      </c>
      <c r="J322" t="s">
        <v>202</v>
      </c>
      <c r="K322" s="5">
        <f>8787 / 86400</f>
        <v>0.10170138888888888</v>
      </c>
      <c r="L322" s="5">
        <f>23175 / 86400</f>
        <v>0.26822916666666669</v>
      </c>
    </row>
    <row r="323" spans="1:12" x14ac:dyDescent="0.25">
      <c r="A323" s="3">
        <v>45703.369930555556</v>
      </c>
      <c r="B323" t="s">
        <v>199</v>
      </c>
      <c r="C323" s="3">
        <v>45703.487997685181</v>
      </c>
      <c r="D323" t="s">
        <v>126</v>
      </c>
      <c r="E323" s="4">
        <v>50.636000000000003</v>
      </c>
      <c r="F323" s="4">
        <v>345145.49900000001</v>
      </c>
      <c r="G323" s="4">
        <v>345196.13500000001</v>
      </c>
      <c r="H323" s="5">
        <f>2960 / 86400</f>
        <v>3.425925925925926E-2</v>
      </c>
      <c r="I323" t="s">
        <v>25</v>
      </c>
      <c r="J323" t="s">
        <v>20</v>
      </c>
      <c r="K323" s="5">
        <f>10201 / 86400</f>
        <v>0.11806712962962963</v>
      </c>
      <c r="L323" s="5">
        <f>195 / 86400</f>
        <v>2.2569444444444442E-3</v>
      </c>
    </row>
    <row r="324" spans="1:12" x14ac:dyDescent="0.25">
      <c r="A324" s="3">
        <v>45703.490254629629</v>
      </c>
      <c r="B324" t="s">
        <v>126</v>
      </c>
      <c r="C324" s="3">
        <v>45703.493668981479</v>
      </c>
      <c r="D324" t="s">
        <v>84</v>
      </c>
      <c r="E324" s="4">
        <v>1.228</v>
      </c>
      <c r="F324" s="4">
        <v>345196.13500000001</v>
      </c>
      <c r="G324" s="4">
        <v>345197.36300000001</v>
      </c>
      <c r="H324" s="5">
        <f>40 / 86400</f>
        <v>4.6296296296296298E-4</v>
      </c>
      <c r="I324" t="s">
        <v>76</v>
      </c>
      <c r="J324" t="s">
        <v>29</v>
      </c>
      <c r="K324" s="5">
        <f>295 / 86400</f>
        <v>3.414351851851852E-3</v>
      </c>
      <c r="L324" s="5">
        <f>1842 / 86400</f>
        <v>2.1319444444444443E-2</v>
      </c>
    </row>
    <row r="325" spans="1:12" x14ac:dyDescent="0.25">
      <c r="A325" s="3">
        <v>45703.51498842593</v>
      </c>
      <c r="B325" t="s">
        <v>84</v>
      </c>
      <c r="C325" s="3">
        <v>45703.51734953704</v>
      </c>
      <c r="D325" t="s">
        <v>149</v>
      </c>
      <c r="E325" s="4">
        <v>0.2</v>
      </c>
      <c r="F325" s="4">
        <v>345197.36300000001</v>
      </c>
      <c r="G325" s="4">
        <v>345197.56300000002</v>
      </c>
      <c r="H325" s="5">
        <f>99 / 86400</f>
        <v>1.1458333333333333E-3</v>
      </c>
      <c r="I325" t="s">
        <v>26</v>
      </c>
      <c r="J325" t="s">
        <v>154</v>
      </c>
      <c r="K325" s="5">
        <f>203 / 86400</f>
        <v>2.3495370370370371E-3</v>
      </c>
      <c r="L325" s="5">
        <f>232 / 86400</f>
        <v>2.685185185185185E-3</v>
      </c>
    </row>
    <row r="326" spans="1:12" x14ac:dyDescent="0.25">
      <c r="A326" s="3">
        <v>45703.520034722227</v>
      </c>
      <c r="B326" t="s">
        <v>149</v>
      </c>
      <c r="C326" s="3">
        <v>45703.521574074075</v>
      </c>
      <c r="D326" t="s">
        <v>144</v>
      </c>
      <c r="E326" s="4">
        <v>8.8999999999999996E-2</v>
      </c>
      <c r="F326" s="4">
        <v>345197.56300000002</v>
      </c>
      <c r="G326" s="4">
        <v>345197.652</v>
      </c>
      <c r="H326" s="5">
        <f>20 / 86400</f>
        <v>2.3148148148148149E-4</v>
      </c>
      <c r="I326" t="s">
        <v>60</v>
      </c>
      <c r="J326" t="s">
        <v>135</v>
      </c>
      <c r="K326" s="5">
        <f>132 / 86400</f>
        <v>1.5277777777777779E-3</v>
      </c>
      <c r="L326" s="5">
        <f>121 / 86400</f>
        <v>1.4004629629629629E-3</v>
      </c>
    </row>
    <row r="327" spans="1:12" x14ac:dyDescent="0.25">
      <c r="A327" s="3">
        <v>45703.522974537038</v>
      </c>
      <c r="B327" t="s">
        <v>144</v>
      </c>
      <c r="C327" s="3">
        <v>45703.52716435185</v>
      </c>
      <c r="D327" t="s">
        <v>203</v>
      </c>
      <c r="E327" s="4">
        <v>0.60699999999999998</v>
      </c>
      <c r="F327" s="4">
        <v>345197.652</v>
      </c>
      <c r="G327" s="4">
        <v>345198.25900000002</v>
      </c>
      <c r="H327" s="5">
        <f>239 / 86400</f>
        <v>2.7662037037037039E-3</v>
      </c>
      <c r="I327" t="s">
        <v>197</v>
      </c>
      <c r="J327" t="s">
        <v>57</v>
      </c>
      <c r="K327" s="5">
        <f>361 / 86400</f>
        <v>4.178240740740741E-3</v>
      </c>
      <c r="L327" s="5">
        <f>3164 / 86400</f>
        <v>3.6620370370370373E-2</v>
      </c>
    </row>
    <row r="328" spans="1:12" x14ac:dyDescent="0.25">
      <c r="A328" s="3">
        <v>45703.563784722224</v>
      </c>
      <c r="B328" t="s">
        <v>203</v>
      </c>
      <c r="C328" s="3">
        <v>45703.682326388887</v>
      </c>
      <c r="D328" t="s">
        <v>199</v>
      </c>
      <c r="E328" s="4">
        <v>49.433999999999997</v>
      </c>
      <c r="F328" s="4">
        <v>345198.25900000002</v>
      </c>
      <c r="G328" s="4">
        <v>345247.69300000003</v>
      </c>
      <c r="H328" s="5">
        <f>3698 / 86400</f>
        <v>4.2800925925925923E-2</v>
      </c>
      <c r="I328" t="s">
        <v>73</v>
      </c>
      <c r="J328" t="s">
        <v>33</v>
      </c>
      <c r="K328" s="5">
        <f>10241 / 86400</f>
        <v>0.11853009259259259</v>
      </c>
      <c r="L328" s="5">
        <f>81 / 86400</f>
        <v>9.3749999999999997E-4</v>
      </c>
    </row>
    <row r="329" spans="1:12" x14ac:dyDescent="0.25">
      <c r="A329" s="3">
        <v>45703.683263888888</v>
      </c>
      <c r="B329" t="s">
        <v>199</v>
      </c>
      <c r="C329" s="3">
        <v>45703.811898148153</v>
      </c>
      <c r="D329" t="s">
        <v>84</v>
      </c>
      <c r="E329" s="4">
        <v>50.326999999999998</v>
      </c>
      <c r="F329" s="4">
        <v>345247.69300000003</v>
      </c>
      <c r="G329" s="4">
        <v>345298.02</v>
      </c>
      <c r="H329" s="5">
        <f>3719 / 86400</f>
        <v>4.3043981481481482E-2</v>
      </c>
      <c r="I329" t="s">
        <v>38</v>
      </c>
      <c r="J329" t="s">
        <v>36</v>
      </c>
      <c r="K329" s="5">
        <f>11114 / 86400</f>
        <v>0.12863425925925925</v>
      </c>
      <c r="L329" s="5">
        <f>297 / 86400</f>
        <v>3.4375E-3</v>
      </c>
    </row>
    <row r="330" spans="1:12" x14ac:dyDescent="0.25">
      <c r="A330" s="3">
        <v>45703.815335648149</v>
      </c>
      <c r="B330" t="s">
        <v>84</v>
      </c>
      <c r="C330" s="3">
        <v>45703.816250000003</v>
      </c>
      <c r="D330" t="s">
        <v>149</v>
      </c>
      <c r="E330" s="4">
        <v>0.20699999999999999</v>
      </c>
      <c r="F330" s="4">
        <v>345298.02</v>
      </c>
      <c r="G330" s="4">
        <v>345298.22700000001</v>
      </c>
      <c r="H330" s="5">
        <f>0 / 86400</f>
        <v>0</v>
      </c>
      <c r="I330" t="s">
        <v>23</v>
      </c>
      <c r="J330" t="s">
        <v>130</v>
      </c>
      <c r="K330" s="5">
        <f>78 / 86400</f>
        <v>9.0277777777777774E-4</v>
      </c>
      <c r="L330" s="5">
        <f>687 / 86400</f>
        <v>7.951388888888888E-3</v>
      </c>
    </row>
    <row r="331" spans="1:12" x14ac:dyDescent="0.25">
      <c r="A331" s="3">
        <v>45703.824201388888</v>
      </c>
      <c r="B331" t="s">
        <v>149</v>
      </c>
      <c r="C331" s="3">
        <v>45703.877314814818</v>
      </c>
      <c r="D331" t="s">
        <v>204</v>
      </c>
      <c r="E331" s="4">
        <v>30.472000000000001</v>
      </c>
      <c r="F331" s="4">
        <v>345298.22700000001</v>
      </c>
      <c r="G331" s="4">
        <v>345328.69900000002</v>
      </c>
      <c r="H331" s="5">
        <f>1241 / 86400</f>
        <v>1.4363425925925925E-2</v>
      </c>
      <c r="I331" t="s">
        <v>47</v>
      </c>
      <c r="J331" t="s">
        <v>127</v>
      </c>
      <c r="K331" s="5">
        <f>4589 / 86400</f>
        <v>5.3113425925925925E-2</v>
      </c>
      <c r="L331" s="5">
        <f>302 / 86400</f>
        <v>3.4953703703703705E-3</v>
      </c>
    </row>
    <row r="332" spans="1:12" x14ac:dyDescent="0.25">
      <c r="A332" s="3">
        <v>45703.88081018519</v>
      </c>
      <c r="B332" t="s">
        <v>204</v>
      </c>
      <c r="C332" s="3">
        <v>45703.882326388892</v>
      </c>
      <c r="D332" t="s">
        <v>54</v>
      </c>
      <c r="E332" s="4">
        <v>3.5000000000000003E-2</v>
      </c>
      <c r="F332" s="4">
        <v>345328.69900000002</v>
      </c>
      <c r="G332" s="4">
        <v>345328.734</v>
      </c>
      <c r="H332" s="5">
        <f>59 / 86400</f>
        <v>6.8287037037037036E-4</v>
      </c>
      <c r="I332" t="s">
        <v>43</v>
      </c>
      <c r="J332" t="s">
        <v>43</v>
      </c>
      <c r="K332" s="5">
        <f>131 / 86400</f>
        <v>1.5162037037037036E-3</v>
      </c>
      <c r="L332" s="5">
        <f>10166 / 86400</f>
        <v>0.11766203703703704</v>
      </c>
    </row>
    <row r="333" spans="1:12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1:12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1:12" s="10" customFormat="1" ht="20.100000000000001" customHeight="1" x14ac:dyDescent="0.35">
      <c r="A335" s="15" t="s">
        <v>300</v>
      </c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1:12" ht="30" x14ac:dyDescent="0.25">
      <c r="A337" s="2" t="s">
        <v>6</v>
      </c>
      <c r="B337" s="2" t="s">
        <v>7</v>
      </c>
      <c r="C337" s="2" t="s">
        <v>8</v>
      </c>
      <c r="D337" s="2" t="s">
        <v>9</v>
      </c>
      <c r="E337" s="2" t="s">
        <v>10</v>
      </c>
      <c r="F337" s="2" t="s">
        <v>11</v>
      </c>
      <c r="G337" s="2" t="s">
        <v>12</v>
      </c>
      <c r="H337" s="2" t="s">
        <v>13</v>
      </c>
      <c r="I337" s="2" t="s">
        <v>14</v>
      </c>
      <c r="J337" s="2" t="s">
        <v>15</v>
      </c>
      <c r="K337" s="2" t="s">
        <v>16</v>
      </c>
      <c r="L337" s="2" t="s">
        <v>17</v>
      </c>
    </row>
    <row r="338" spans="1:12" x14ac:dyDescent="0.25">
      <c r="A338" s="3">
        <v>45703.393009259264</v>
      </c>
      <c r="B338" t="s">
        <v>55</v>
      </c>
      <c r="C338" s="3">
        <v>45703.399178240739</v>
      </c>
      <c r="D338" t="s">
        <v>205</v>
      </c>
      <c r="E338" s="4">
        <v>0.34599999999999997</v>
      </c>
      <c r="F338" s="4">
        <v>426297.685</v>
      </c>
      <c r="G338" s="4">
        <v>426298.03100000002</v>
      </c>
      <c r="H338" s="5">
        <f>400 / 86400</f>
        <v>4.6296296296296294E-3</v>
      </c>
      <c r="I338" t="s">
        <v>122</v>
      </c>
      <c r="J338" t="s">
        <v>135</v>
      </c>
      <c r="K338" s="5">
        <f>533 / 86400</f>
        <v>6.1689814814814819E-3</v>
      </c>
      <c r="L338" s="5">
        <f>34052 / 86400</f>
        <v>0.39412037037037034</v>
      </c>
    </row>
    <row r="339" spans="1:12" x14ac:dyDescent="0.25">
      <c r="A339" s="3">
        <v>45703.400289351848</v>
      </c>
      <c r="B339" t="s">
        <v>205</v>
      </c>
      <c r="C339" s="3">
        <v>45703.405787037038</v>
      </c>
      <c r="D339" t="s">
        <v>206</v>
      </c>
      <c r="E339" s="4">
        <v>1.2669999999999999</v>
      </c>
      <c r="F339" s="4">
        <v>426298.03100000002</v>
      </c>
      <c r="G339" s="4">
        <v>426299.29800000001</v>
      </c>
      <c r="H339" s="5">
        <f>200 / 86400</f>
        <v>2.3148148148148147E-3</v>
      </c>
      <c r="I339" t="s">
        <v>175</v>
      </c>
      <c r="J339" t="s">
        <v>130</v>
      </c>
      <c r="K339" s="5">
        <f>475 / 86400</f>
        <v>5.4976851851851853E-3</v>
      </c>
      <c r="L339" s="5">
        <f>4501 / 86400</f>
        <v>5.2094907407407409E-2</v>
      </c>
    </row>
    <row r="340" spans="1:12" x14ac:dyDescent="0.25">
      <c r="A340" s="3">
        <v>45703.457881944443</v>
      </c>
      <c r="B340" t="s">
        <v>206</v>
      </c>
      <c r="C340" s="3">
        <v>45703.458113425921</v>
      </c>
      <c r="D340" t="s">
        <v>206</v>
      </c>
      <c r="E340" s="4">
        <v>1E-3</v>
      </c>
      <c r="F340" s="4">
        <v>426299.29800000001</v>
      </c>
      <c r="G340" s="4">
        <v>426299.299</v>
      </c>
      <c r="H340" s="5">
        <f>19 / 86400</f>
        <v>2.199074074074074E-4</v>
      </c>
      <c r="I340" t="s">
        <v>44</v>
      </c>
      <c r="J340" t="s">
        <v>44</v>
      </c>
      <c r="K340" s="5">
        <f>20 / 86400</f>
        <v>2.3148148148148149E-4</v>
      </c>
      <c r="L340" s="5">
        <f>2995 / 86400</f>
        <v>3.4664351851851849E-2</v>
      </c>
    </row>
    <row r="341" spans="1:12" x14ac:dyDescent="0.25">
      <c r="A341" s="3">
        <v>45703.492777777778</v>
      </c>
      <c r="B341" t="s">
        <v>206</v>
      </c>
      <c r="C341" s="3">
        <v>45703.494756944448</v>
      </c>
      <c r="D341" t="s">
        <v>18</v>
      </c>
      <c r="E341" s="4">
        <v>3.6999999999999998E-2</v>
      </c>
      <c r="F341" s="4">
        <v>426299.299</v>
      </c>
      <c r="G341" s="4">
        <v>426299.33600000001</v>
      </c>
      <c r="H341" s="5">
        <f>119 / 86400</f>
        <v>1.3773148148148147E-3</v>
      </c>
      <c r="I341" t="s">
        <v>135</v>
      </c>
      <c r="J341" t="s">
        <v>43</v>
      </c>
      <c r="K341" s="5">
        <f>171 / 86400</f>
        <v>1.9791666666666668E-3</v>
      </c>
      <c r="L341" s="5">
        <f>148 / 86400</f>
        <v>1.712962962962963E-3</v>
      </c>
    </row>
    <row r="342" spans="1:12" x14ac:dyDescent="0.25">
      <c r="A342" s="3">
        <v>45703.496469907404</v>
      </c>
      <c r="B342" t="s">
        <v>18</v>
      </c>
      <c r="C342" s="3">
        <v>45703.496921296297</v>
      </c>
      <c r="D342" t="s">
        <v>18</v>
      </c>
      <c r="E342" s="4">
        <v>0</v>
      </c>
      <c r="F342" s="4">
        <v>426299.33600000001</v>
      </c>
      <c r="G342" s="4">
        <v>426299.33600000001</v>
      </c>
      <c r="H342" s="5">
        <f>19 / 86400</f>
        <v>2.199074074074074E-4</v>
      </c>
      <c r="I342" t="s">
        <v>44</v>
      </c>
      <c r="J342" t="s">
        <v>44</v>
      </c>
      <c r="K342" s="5">
        <f>39 / 86400</f>
        <v>4.5138888888888887E-4</v>
      </c>
      <c r="L342" s="5">
        <f>121 / 86400</f>
        <v>1.4004629629629629E-3</v>
      </c>
    </row>
    <row r="343" spans="1:12" x14ac:dyDescent="0.25">
      <c r="A343" s="3">
        <v>45703.49832175926</v>
      </c>
      <c r="B343" t="s">
        <v>18</v>
      </c>
      <c r="C343" s="3">
        <v>45703.49900462963</v>
      </c>
      <c r="D343" t="s">
        <v>18</v>
      </c>
      <c r="E343" s="4">
        <v>1E-3</v>
      </c>
      <c r="F343" s="4">
        <v>426299.33600000001</v>
      </c>
      <c r="G343" s="4">
        <v>426299.337</v>
      </c>
      <c r="H343" s="5">
        <f>39 / 86400</f>
        <v>4.5138888888888887E-4</v>
      </c>
      <c r="I343" t="s">
        <v>44</v>
      </c>
      <c r="J343" t="s">
        <v>44</v>
      </c>
      <c r="K343" s="5">
        <f>59 / 86400</f>
        <v>6.8287037037037036E-4</v>
      </c>
      <c r="L343" s="5">
        <f>44 / 86400</f>
        <v>5.0925925925925921E-4</v>
      </c>
    </row>
    <row r="344" spans="1:12" x14ac:dyDescent="0.25">
      <c r="A344" s="3">
        <v>45703.499513888892</v>
      </c>
      <c r="B344" t="s">
        <v>18</v>
      </c>
      <c r="C344" s="3">
        <v>45703.507928240739</v>
      </c>
      <c r="D344" t="s">
        <v>207</v>
      </c>
      <c r="E344" s="4">
        <v>2.456</v>
      </c>
      <c r="F344" s="4">
        <v>426299.337</v>
      </c>
      <c r="G344" s="4">
        <v>426301.79300000001</v>
      </c>
      <c r="H344" s="5">
        <f>140 / 86400</f>
        <v>1.6203703703703703E-3</v>
      </c>
      <c r="I344" t="s">
        <v>175</v>
      </c>
      <c r="J344" t="s">
        <v>77</v>
      </c>
      <c r="K344" s="5">
        <f>727 / 86400</f>
        <v>8.4143518518518517E-3</v>
      </c>
      <c r="L344" s="5">
        <f>1234 / 86400</f>
        <v>1.4282407407407407E-2</v>
      </c>
    </row>
    <row r="345" spans="1:12" x14ac:dyDescent="0.25">
      <c r="A345" s="3">
        <v>45703.522210648152</v>
      </c>
      <c r="B345" t="s">
        <v>207</v>
      </c>
      <c r="C345" s="3">
        <v>45703.52506944444</v>
      </c>
      <c r="D345" t="s">
        <v>18</v>
      </c>
      <c r="E345" s="4">
        <v>0.51700000000000002</v>
      </c>
      <c r="F345" s="4">
        <v>426301.79300000001</v>
      </c>
      <c r="G345" s="4">
        <v>426302.31</v>
      </c>
      <c r="H345" s="5">
        <f>40 / 86400</f>
        <v>4.6296296296296298E-4</v>
      </c>
      <c r="I345" t="s">
        <v>122</v>
      </c>
      <c r="J345" t="s">
        <v>138</v>
      </c>
      <c r="K345" s="5">
        <f>247 / 86400</f>
        <v>2.8587962962962963E-3</v>
      </c>
      <c r="L345" s="5">
        <f>297 / 86400</f>
        <v>3.4375E-3</v>
      </c>
    </row>
    <row r="346" spans="1:12" x14ac:dyDescent="0.25">
      <c r="A346" s="3">
        <v>45703.528506944444</v>
      </c>
      <c r="B346" t="s">
        <v>18</v>
      </c>
      <c r="C346" s="3">
        <v>45703.530578703707</v>
      </c>
      <c r="D346" t="s">
        <v>18</v>
      </c>
      <c r="E346" s="4">
        <v>0.27600000000000002</v>
      </c>
      <c r="F346" s="4">
        <v>426302.31</v>
      </c>
      <c r="G346" s="4">
        <v>426302.58600000001</v>
      </c>
      <c r="H346" s="5">
        <f>60 / 86400</f>
        <v>6.9444444444444447E-4</v>
      </c>
      <c r="I346" t="s">
        <v>102</v>
      </c>
      <c r="J346" t="s">
        <v>57</v>
      </c>
      <c r="K346" s="5">
        <f>179 / 86400</f>
        <v>2.0717592592592593E-3</v>
      </c>
      <c r="L346" s="5">
        <f>9713 / 86400</f>
        <v>0.11241898148148148</v>
      </c>
    </row>
    <row r="347" spans="1:12" x14ac:dyDescent="0.25">
      <c r="A347" s="3">
        <v>45703.642997685187</v>
      </c>
      <c r="B347" t="s">
        <v>18</v>
      </c>
      <c r="C347" s="3">
        <v>45703.651064814811</v>
      </c>
      <c r="D347" t="s">
        <v>55</v>
      </c>
      <c r="E347" s="4">
        <v>1.079</v>
      </c>
      <c r="F347" s="4">
        <v>426302.58600000001</v>
      </c>
      <c r="G347" s="4">
        <v>426303.66499999998</v>
      </c>
      <c r="H347" s="5">
        <f>400 / 86400</f>
        <v>4.6296296296296294E-3</v>
      </c>
      <c r="I347" t="s">
        <v>56</v>
      </c>
      <c r="J347" t="s">
        <v>57</v>
      </c>
      <c r="K347" s="5">
        <f>697 / 86400</f>
        <v>8.067129629629629E-3</v>
      </c>
      <c r="L347" s="5">
        <f>152 / 86400</f>
        <v>1.7592592592592592E-3</v>
      </c>
    </row>
    <row r="348" spans="1:12" x14ac:dyDescent="0.25">
      <c r="A348" s="3">
        <v>45703.652824074074</v>
      </c>
      <c r="B348" t="s">
        <v>55</v>
      </c>
      <c r="C348" s="3">
        <v>45703.653067129635</v>
      </c>
      <c r="D348" t="s">
        <v>55</v>
      </c>
      <c r="E348" s="4">
        <v>0</v>
      </c>
      <c r="F348" s="4">
        <v>426303.66499999998</v>
      </c>
      <c r="G348" s="4">
        <v>426303.66499999998</v>
      </c>
      <c r="H348" s="5">
        <f>19 / 86400</f>
        <v>2.199074074074074E-4</v>
      </c>
      <c r="I348" t="s">
        <v>44</v>
      </c>
      <c r="J348" t="s">
        <v>44</v>
      </c>
      <c r="K348" s="5">
        <f>21 / 86400</f>
        <v>2.4305555555555555E-4</v>
      </c>
      <c r="L348" s="5">
        <f>11208 / 86400</f>
        <v>0.12972222222222221</v>
      </c>
    </row>
    <row r="349" spans="1:12" x14ac:dyDescent="0.25">
      <c r="A349" s="3">
        <v>45703.782789351855</v>
      </c>
      <c r="B349" t="s">
        <v>55</v>
      </c>
      <c r="C349" s="3">
        <v>45703.783194444448</v>
      </c>
      <c r="D349" t="s">
        <v>55</v>
      </c>
      <c r="E349" s="4">
        <v>0</v>
      </c>
      <c r="F349" s="4">
        <v>426303.66499999998</v>
      </c>
      <c r="G349" s="4">
        <v>426303.66499999998</v>
      </c>
      <c r="H349" s="5">
        <f>19 / 86400</f>
        <v>2.199074074074074E-4</v>
      </c>
      <c r="I349" t="s">
        <v>44</v>
      </c>
      <c r="J349" t="s">
        <v>44</v>
      </c>
      <c r="K349" s="5">
        <f>34 / 86400</f>
        <v>3.9351851851851852E-4</v>
      </c>
      <c r="L349" s="5">
        <f>11 / 86400</f>
        <v>1.273148148148148E-4</v>
      </c>
    </row>
    <row r="350" spans="1:12" x14ac:dyDescent="0.25">
      <c r="A350" s="3">
        <v>45703.783321759256</v>
      </c>
      <c r="B350" t="s">
        <v>55</v>
      </c>
      <c r="C350" s="3">
        <v>45703.784641203703</v>
      </c>
      <c r="D350" t="s">
        <v>55</v>
      </c>
      <c r="E350" s="4">
        <v>2.3E-2</v>
      </c>
      <c r="F350" s="4">
        <v>426303.66499999998</v>
      </c>
      <c r="G350" s="4">
        <v>426303.68800000002</v>
      </c>
      <c r="H350" s="5">
        <f>59 / 86400</f>
        <v>6.8287037037037036E-4</v>
      </c>
      <c r="I350" t="s">
        <v>43</v>
      </c>
      <c r="J350" t="s">
        <v>43</v>
      </c>
      <c r="K350" s="5">
        <f>113 / 86400</f>
        <v>1.3078703703703703E-3</v>
      </c>
      <c r="L350" s="5">
        <f>294 / 86400</f>
        <v>3.4027777777777776E-3</v>
      </c>
    </row>
    <row r="351" spans="1:12" x14ac:dyDescent="0.25">
      <c r="A351" s="3">
        <v>45703.788043981476</v>
      </c>
      <c r="B351" t="s">
        <v>55</v>
      </c>
      <c r="C351" s="3">
        <v>45703.789942129632</v>
      </c>
      <c r="D351" t="s">
        <v>55</v>
      </c>
      <c r="E351" s="4">
        <v>1.7000000000000001E-2</v>
      </c>
      <c r="F351" s="4">
        <v>426303.68800000002</v>
      </c>
      <c r="G351" s="4">
        <v>426303.70500000002</v>
      </c>
      <c r="H351" s="5">
        <f>140 / 86400</f>
        <v>1.6203703703703703E-3</v>
      </c>
      <c r="I351" t="s">
        <v>135</v>
      </c>
      <c r="J351" t="s">
        <v>44</v>
      </c>
      <c r="K351" s="5">
        <f>163 / 86400</f>
        <v>1.8865740740740742E-3</v>
      </c>
      <c r="L351" s="5">
        <f>18148 / 86400</f>
        <v>0.21004629629629629</v>
      </c>
    </row>
    <row r="352" spans="1:1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1:1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2" s="10" customFormat="1" ht="20.100000000000001" customHeight="1" x14ac:dyDescent="0.35">
      <c r="A354" s="15" t="s">
        <v>301</v>
      </c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2" ht="30" x14ac:dyDescent="0.25">
      <c r="A356" s="2" t="s">
        <v>6</v>
      </c>
      <c r="B356" s="2" t="s">
        <v>7</v>
      </c>
      <c r="C356" s="2" t="s">
        <v>8</v>
      </c>
      <c r="D356" s="2" t="s">
        <v>9</v>
      </c>
      <c r="E356" s="2" t="s">
        <v>10</v>
      </c>
      <c r="F356" s="2" t="s">
        <v>11</v>
      </c>
      <c r="G356" s="2" t="s">
        <v>12</v>
      </c>
      <c r="H356" s="2" t="s">
        <v>13</v>
      </c>
      <c r="I356" s="2" t="s">
        <v>14</v>
      </c>
      <c r="J356" s="2" t="s">
        <v>15</v>
      </c>
      <c r="K356" s="2" t="s">
        <v>16</v>
      </c>
      <c r="L356" s="2" t="s">
        <v>17</v>
      </c>
    </row>
    <row r="357" spans="1:12" x14ac:dyDescent="0.25">
      <c r="A357" s="3">
        <v>45703.228449074071</v>
      </c>
      <c r="B357" t="s">
        <v>27</v>
      </c>
      <c r="C357" s="3">
        <v>45703.317418981482</v>
      </c>
      <c r="D357" t="s">
        <v>208</v>
      </c>
      <c r="E357" s="4">
        <v>30.777000000000001</v>
      </c>
      <c r="F357" s="4">
        <v>13003.519</v>
      </c>
      <c r="G357" s="4">
        <v>13034.296</v>
      </c>
      <c r="H357" s="5">
        <f>2999 / 86400</f>
        <v>3.471064814814815E-2</v>
      </c>
      <c r="I357" t="s">
        <v>173</v>
      </c>
      <c r="J357" t="s">
        <v>88</v>
      </c>
      <c r="K357" s="5">
        <f>7686 / 86400</f>
        <v>8.8958333333333334E-2</v>
      </c>
      <c r="L357" s="5">
        <f>19815 / 86400</f>
        <v>0.22934027777777777</v>
      </c>
    </row>
    <row r="358" spans="1:12" x14ac:dyDescent="0.25">
      <c r="A358" s="3">
        <v>45703.31831018519</v>
      </c>
      <c r="B358" t="s">
        <v>208</v>
      </c>
      <c r="C358" s="3">
        <v>45703.402303240742</v>
      </c>
      <c r="D358" t="s">
        <v>37</v>
      </c>
      <c r="E358" s="4">
        <v>34.133000000000003</v>
      </c>
      <c r="F358" s="4">
        <v>13034.296</v>
      </c>
      <c r="G358" s="4">
        <v>13068.429</v>
      </c>
      <c r="H358" s="5">
        <f>2779 / 86400</f>
        <v>3.2164351851851854E-2</v>
      </c>
      <c r="I358" t="s">
        <v>161</v>
      </c>
      <c r="J358" t="s">
        <v>33</v>
      </c>
      <c r="K358" s="5">
        <f>7256 / 86400</f>
        <v>8.3981481481481476E-2</v>
      </c>
      <c r="L358" s="5">
        <f>64 / 86400</f>
        <v>7.407407407407407E-4</v>
      </c>
    </row>
    <row r="359" spans="1:12" x14ac:dyDescent="0.25">
      <c r="A359" s="3">
        <v>45703.403043981481</v>
      </c>
      <c r="B359" t="s">
        <v>37</v>
      </c>
      <c r="C359" s="3">
        <v>45703.432835648149</v>
      </c>
      <c r="D359" t="s">
        <v>84</v>
      </c>
      <c r="E359" s="4">
        <v>15.295999999999999</v>
      </c>
      <c r="F359" s="4">
        <v>13068.429</v>
      </c>
      <c r="G359" s="4">
        <v>13083.725</v>
      </c>
      <c r="H359" s="5">
        <f>660 / 86400</f>
        <v>7.6388888888888886E-3</v>
      </c>
      <c r="I359" t="s">
        <v>173</v>
      </c>
      <c r="J359" t="s">
        <v>202</v>
      </c>
      <c r="K359" s="5">
        <f>2573 / 86400</f>
        <v>2.9780092592592594E-2</v>
      </c>
      <c r="L359" s="5">
        <f>154 / 86400</f>
        <v>1.7824074074074075E-3</v>
      </c>
    </row>
    <row r="360" spans="1:12" x14ac:dyDescent="0.25">
      <c r="A360" s="3">
        <v>45703.434618055559</v>
      </c>
      <c r="B360" t="s">
        <v>84</v>
      </c>
      <c r="C360" s="3">
        <v>45703.436539351853</v>
      </c>
      <c r="D360" t="s">
        <v>203</v>
      </c>
      <c r="E360" s="4">
        <v>0.69899999999999995</v>
      </c>
      <c r="F360" s="4">
        <v>13083.725</v>
      </c>
      <c r="G360" s="4">
        <v>13084.424000000001</v>
      </c>
      <c r="H360" s="5">
        <f>19 / 86400</f>
        <v>2.199074074074074E-4</v>
      </c>
      <c r="I360" t="s">
        <v>197</v>
      </c>
      <c r="J360" t="s">
        <v>29</v>
      </c>
      <c r="K360" s="5">
        <f>166 / 86400</f>
        <v>1.9212962962962964E-3</v>
      </c>
      <c r="L360" s="5">
        <f>1560 / 86400</f>
        <v>1.8055555555555554E-2</v>
      </c>
    </row>
    <row r="361" spans="1:12" x14ac:dyDescent="0.25">
      <c r="A361" s="3">
        <v>45703.454594907409</v>
      </c>
      <c r="B361" t="s">
        <v>203</v>
      </c>
      <c r="C361" s="3">
        <v>45703.458969907406</v>
      </c>
      <c r="D361" t="s">
        <v>126</v>
      </c>
      <c r="E361" s="4">
        <v>1.028</v>
      </c>
      <c r="F361" s="4">
        <v>13084.424000000001</v>
      </c>
      <c r="G361" s="4">
        <v>13085.451999999999</v>
      </c>
      <c r="H361" s="5">
        <f>80 / 86400</f>
        <v>9.2592592592592596E-4</v>
      </c>
      <c r="I361" t="s">
        <v>148</v>
      </c>
      <c r="J361" t="s">
        <v>130</v>
      </c>
      <c r="K361" s="5">
        <f>378 / 86400</f>
        <v>4.3750000000000004E-3</v>
      </c>
      <c r="L361" s="5">
        <f>514 / 86400</f>
        <v>5.9490740740740745E-3</v>
      </c>
    </row>
    <row r="362" spans="1:12" x14ac:dyDescent="0.25">
      <c r="A362" s="3">
        <v>45703.464918981481</v>
      </c>
      <c r="B362" t="s">
        <v>126</v>
      </c>
      <c r="C362" s="3">
        <v>45703.589386574073</v>
      </c>
      <c r="D362" t="s">
        <v>209</v>
      </c>
      <c r="E362" s="4">
        <v>50.101999999999997</v>
      </c>
      <c r="F362" s="4">
        <v>13085.451999999999</v>
      </c>
      <c r="G362" s="4">
        <v>13135.554</v>
      </c>
      <c r="H362" s="5">
        <f>4739 / 86400</f>
        <v>5.4849537037037037E-2</v>
      </c>
      <c r="I362" t="s">
        <v>58</v>
      </c>
      <c r="J362" t="s">
        <v>33</v>
      </c>
      <c r="K362" s="5">
        <f>10754 / 86400</f>
        <v>0.12446759259259259</v>
      </c>
      <c r="L362" s="5">
        <f>47 / 86400</f>
        <v>5.4398148148148144E-4</v>
      </c>
    </row>
    <row r="363" spans="1:12" x14ac:dyDescent="0.25">
      <c r="A363" s="3">
        <v>45703.58993055555</v>
      </c>
      <c r="B363" t="s">
        <v>210</v>
      </c>
      <c r="C363" s="3">
        <v>45703.710636574076</v>
      </c>
      <c r="D363" t="s">
        <v>86</v>
      </c>
      <c r="E363" s="4">
        <v>38.845999999999997</v>
      </c>
      <c r="F363" s="4">
        <v>13135.554</v>
      </c>
      <c r="G363" s="4">
        <v>13174.4</v>
      </c>
      <c r="H363" s="5">
        <f>4920 / 86400</f>
        <v>5.6944444444444443E-2</v>
      </c>
      <c r="I363" t="s">
        <v>211</v>
      </c>
      <c r="J363" t="s">
        <v>122</v>
      </c>
      <c r="K363" s="5">
        <f>10429 / 86400</f>
        <v>0.12070601851851852</v>
      </c>
      <c r="L363" s="5">
        <f>110 / 86400</f>
        <v>1.2731481481481483E-3</v>
      </c>
    </row>
    <row r="364" spans="1:12" x14ac:dyDescent="0.25">
      <c r="A364" s="3">
        <v>45703.711909722224</v>
      </c>
      <c r="B364" t="s">
        <v>86</v>
      </c>
      <c r="C364" s="3">
        <v>45703.712199074071</v>
      </c>
      <c r="D364" t="s">
        <v>86</v>
      </c>
      <c r="E364" s="4">
        <v>5.8000000000000003E-2</v>
      </c>
      <c r="F364" s="4">
        <v>13174.4</v>
      </c>
      <c r="G364" s="4">
        <v>13174.458000000001</v>
      </c>
      <c r="H364" s="5">
        <f>0 / 86400</f>
        <v>0</v>
      </c>
      <c r="I364" t="s">
        <v>102</v>
      </c>
      <c r="J364" t="s">
        <v>150</v>
      </c>
      <c r="K364" s="5">
        <f>24 / 86400</f>
        <v>2.7777777777777778E-4</v>
      </c>
      <c r="L364" s="5">
        <f>424 / 86400</f>
        <v>4.9074074074074072E-3</v>
      </c>
    </row>
    <row r="365" spans="1:12" x14ac:dyDescent="0.25">
      <c r="A365" s="3">
        <v>45703.717106481483</v>
      </c>
      <c r="B365" t="s">
        <v>86</v>
      </c>
      <c r="C365" s="3">
        <v>45703.721701388888</v>
      </c>
      <c r="D365" t="s">
        <v>27</v>
      </c>
      <c r="E365" s="4">
        <v>2.016</v>
      </c>
      <c r="F365" s="4">
        <v>13174.458000000001</v>
      </c>
      <c r="G365" s="4">
        <v>13176.474</v>
      </c>
      <c r="H365" s="5">
        <f>40 / 86400</f>
        <v>4.6296296296296298E-4</v>
      </c>
      <c r="I365" t="s">
        <v>76</v>
      </c>
      <c r="J365" t="s">
        <v>20</v>
      </c>
      <c r="K365" s="5">
        <f>396 / 86400</f>
        <v>4.5833333333333334E-3</v>
      </c>
      <c r="L365" s="5">
        <f>197 / 86400</f>
        <v>2.2800925925925927E-3</v>
      </c>
    </row>
    <row r="366" spans="1:12" x14ac:dyDescent="0.25">
      <c r="A366" s="3">
        <v>45703.723981481482</v>
      </c>
      <c r="B366" t="s">
        <v>27</v>
      </c>
      <c r="C366" s="3">
        <v>45703.725023148145</v>
      </c>
      <c r="D366" t="s">
        <v>27</v>
      </c>
      <c r="E366" s="4">
        <v>7.0000000000000001E-3</v>
      </c>
      <c r="F366" s="4">
        <v>13176.474</v>
      </c>
      <c r="G366" s="4">
        <v>13176.481</v>
      </c>
      <c r="H366" s="5">
        <f>79 / 86400</f>
        <v>9.1435185185185185E-4</v>
      </c>
      <c r="I366" t="s">
        <v>44</v>
      </c>
      <c r="J366" t="s">
        <v>44</v>
      </c>
      <c r="K366" s="5">
        <f>89 / 86400</f>
        <v>1.0300925925925926E-3</v>
      </c>
      <c r="L366" s="5">
        <f>23757 / 86400</f>
        <v>0.27496527777777779</v>
      </c>
    </row>
    <row r="367" spans="1:12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1:12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1:12" s="10" customFormat="1" ht="20.100000000000001" customHeight="1" x14ac:dyDescent="0.35">
      <c r="A369" s="15" t="s">
        <v>302</v>
      </c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1:12" ht="30" x14ac:dyDescent="0.25">
      <c r="A371" s="2" t="s">
        <v>6</v>
      </c>
      <c r="B371" s="2" t="s">
        <v>7</v>
      </c>
      <c r="C371" s="2" t="s">
        <v>8</v>
      </c>
      <c r="D371" s="2" t="s">
        <v>9</v>
      </c>
      <c r="E371" s="2" t="s">
        <v>10</v>
      </c>
      <c r="F371" s="2" t="s">
        <v>11</v>
      </c>
      <c r="G371" s="2" t="s">
        <v>12</v>
      </c>
      <c r="H371" s="2" t="s">
        <v>13</v>
      </c>
      <c r="I371" s="2" t="s">
        <v>14</v>
      </c>
      <c r="J371" s="2" t="s">
        <v>15</v>
      </c>
      <c r="K371" s="2" t="s">
        <v>16</v>
      </c>
      <c r="L371" s="2" t="s">
        <v>17</v>
      </c>
    </row>
    <row r="372" spans="1:12" x14ac:dyDescent="0.25">
      <c r="A372" s="3">
        <v>45703.228912037041</v>
      </c>
      <c r="B372" t="s">
        <v>27</v>
      </c>
      <c r="C372" s="3">
        <v>45703.231249999997</v>
      </c>
      <c r="D372" t="s">
        <v>27</v>
      </c>
      <c r="E372" s="4">
        <v>0</v>
      </c>
      <c r="F372" s="4">
        <v>5961.9319999999998</v>
      </c>
      <c r="G372" s="4">
        <v>5961.9319999999998</v>
      </c>
      <c r="H372" s="5">
        <f>199 / 86400</f>
        <v>2.3032407407407407E-3</v>
      </c>
      <c r="I372" t="s">
        <v>44</v>
      </c>
      <c r="J372" t="s">
        <v>44</v>
      </c>
      <c r="K372" s="5">
        <f>201 / 86400</f>
        <v>2.3263888888888887E-3</v>
      </c>
      <c r="L372" s="5">
        <f>21893 / 86400</f>
        <v>0.25339120370370372</v>
      </c>
    </row>
    <row r="373" spans="1:12" x14ac:dyDescent="0.25">
      <c r="A373" s="3">
        <v>45703.255729166667</v>
      </c>
      <c r="B373" t="s">
        <v>27</v>
      </c>
      <c r="C373" s="3">
        <v>45703.256562499999</v>
      </c>
      <c r="D373" t="s">
        <v>27</v>
      </c>
      <c r="E373" s="4">
        <v>4.2000000000000003E-2</v>
      </c>
      <c r="F373" s="4">
        <v>5961.9319999999998</v>
      </c>
      <c r="G373" s="4">
        <v>5961.9740000000002</v>
      </c>
      <c r="H373" s="5">
        <f>0 / 86400</f>
        <v>0</v>
      </c>
      <c r="I373" t="s">
        <v>60</v>
      </c>
      <c r="J373" t="s">
        <v>135</v>
      </c>
      <c r="K373" s="5">
        <f>72 / 86400</f>
        <v>8.3333333333333339E-4</v>
      </c>
      <c r="L373" s="5">
        <f>5677 / 86400</f>
        <v>6.5706018518518525E-2</v>
      </c>
    </row>
    <row r="374" spans="1:12" x14ac:dyDescent="0.25">
      <c r="A374" s="3">
        <v>45703.322268518517</v>
      </c>
      <c r="B374" t="s">
        <v>27</v>
      </c>
      <c r="C374" s="3">
        <v>45703.334814814814</v>
      </c>
      <c r="D374" t="s">
        <v>27</v>
      </c>
      <c r="E374" s="4">
        <v>2.169</v>
      </c>
      <c r="F374" s="4">
        <v>5961.9740000000002</v>
      </c>
      <c r="G374" s="4">
        <v>5964.143</v>
      </c>
      <c r="H374" s="5">
        <f>559 / 86400</f>
        <v>6.4699074074074077E-3</v>
      </c>
      <c r="I374" t="s">
        <v>59</v>
      </c>
      <c r="J374" t="s">
        <v>60</v>
      </c>
      <c r="K374" s="5">
        <f>1084 / 86400</f>
        <v>1.2546296296296297E-2</v>
      </c>
      <c r="L374" s="5">
        <f>1057 / 86400</f>
        <v>1.2233796296296296E-2</v>
      </c>
    </row>
    <row r="375" spans="1:12" x14ac:dyDescent="0.25">
      <c r="A375" s="3">
        <v>45703.347048611111</v>
      </c>
      <c r="B375" t="s">
        <v>27</v>
      </c>
      <c r="C375" s="3">
        <v>45703.355671296296</v>
      </c>
      <c r="D375" t="s">
        <v>212</v>
      </c>
      <c r="E375" s="4">
        <v>1.9690000000000001</v>
      </c>
      <c r="F375" s="4">
        <v>5964.143</v>
      </c>
      <c r="G375" s="4">
        <v>5966.1120000000001</v>
      </c>
      <c r="H375" s="5">
        <f>299 / 86400</f>
        <v>3.460648148148148E-3</v>
      </c>
      <c r="I375" t="s">
        <v>56</v>
      </c>
      <c r="J375" t="s">
        <v>130</v>
      </c>
      <c r="K375" s="5">
        <f>745 / 86400</f>
        <v>8.6226851851851846E-3</v>
      </c>
      <c r="L375" s="5">
        <f>314 / 86400</f>
        <v>3.6342592592592594E-3</v>
      </c>
    </row>
    <row r="376" spans="1:12" x14ac:dyDescent="0.25">
      <c r="A376" s="3">
        <v>45703.359305555554</v>
      </c>
      <c r="B376" t="s">
        <v>212</v>
      </c>
      <c r="C376" s="3">
        <v>45703.361608796295</v>
      </c>
      <c r="D376" t="s">
        <v>213</v>
      </c>
      <c r="E376" s="4">
        <v>6.4000000000000001E-2</v>
      </c>
      <c r="F376" s="4">
        <v>5966.1120000000001</v>
      </c>
      <c r="G376" s="4">
        <v>5966.1760000000004</v>
      </c>
      <c r="H376" s="5">
        <f>139 / 86400</f>
        <v>1.6087962962962963E-3</v>
      </c>
      <c r="I376" t="s">
        <v>150</v>
      </c>
      <c r="J376" t="s">
        <v>43</v>
      </c>
      <c r="K376" s="5">
        <f>199 / 86400</f>
        <v>2.3032407407407407E-3</v>
      </c>
      <c r="L376" s="5">
        <f>1454 / 86400</f>
        <v>1.6828703703703703E-2</v>
      </c>
    </row>
    <row r="377" spans="1:12" x14ac:dyDescent="0.25">
      <c r="A377" s="3">
        <v>45703.378437499996</v>
      </c>
      <c r="B377" t="s">
        <v>212</v>
      </c>
      <c r="C377" s="3">
        <v>45703.381678240738</v>
      </c>
      <c r="D377" t="s">
        <v>213</v>
      </c>
      <c r="E377" s="4">
        <v>3.6999999999999998E-2</v>
      </c>
      <c r="F377" s="4">
        <v>5966.1760000000004</v>
      </c>
      <c r="G377" s="4">
        <v>5966.2129999999997</v>
      </c>
      <c r="H377" s="5">
        <f>239 / 86400</f>
        <v>2.7662037037037039E-3</v>
      </c>
      <c r="I377" t="s">
        <v>150</v>
      </c>
      <c r="J377" t="s">
        <v>44</v>
      </c>
      <c r="K377" s="5">
        <f>279 / 86400</f>
        <v>3.2291666666666666E-3</v>
      </c>
      <c r="L377" s="5">
        <f>28 / 86400</f>
        <v>3.2407407407407406E-4</v>
      </c>
    </row>
    <row r="378" spans="1:12" x14ac:dyDescent="0.25">
      <c r="A378" s="3">
        <v>45703.382002314815</v>
      </c>
      <c r="B378" t="s">
        <v>213</v>
      </c>
      <c r="C378" s="3">
        <v>45703.391782407409</v>
      </c>
      <c r="D378" t="s">
        <v>27</v>
      </c>
      <c r="E378" s="4">
        <v>3.222</v>
      </c>
      <c r="F378" s="4">
        <v>5966.2129999999997</v>
      </c>
      <c r="G378" s="4">
        <v>5969.4350000000004</v>
      </c>
      <c r="H378" s="5">
        <f>240 / 86400</f>
        <v>2.7777777777777779E-3</v>
      </c>
      <c r="I378" t="s">
        <v>174</v>
      </c>
      <c r="J378" t="s">
        <v>88</v>
      </c>
      <c r="K378" s="5">
        <f>844 / 86400</f>
        <v>9.7685185185185184E-3</v>
      </c>
      <c r="L378" s="5">
        <f>33989 / 86400</f>
        <v>0.39339120370370373</v>
      </c>
    </row>
    <row r="379" spans="1:12" x14ac:dyDescent="0.25">
      <c r="A379" s="3">
        <v>45703.785173611112</v>
      </c>
      <c r="B379" t="s">
        <v>27</v>
      </c>
      <c r="C379" s="3">
        <v>45703.789016203707</v>
      </c>
      <c r="D379" t="s">
        <v>27</v>
      </c>
      <c r="E379" s="4">
        <v>0.114</v>
      </c>
      <c r="F379" s="4">
        <v>5969.4350000000004</v>
      </c>
      <c r="G379" s="4">
        <v>5969.549</v>
      </c>
      <c r="H379" s="5">
        <f>159 / 86400</f>
        <v>1.8402777777777777E-3</v>
      </c>
      <c r="I379" t="s">
        <v>57</v>
      </c>
      <c r="J379" t="s">
        <v>43</v>
      </c>
      <c r="K379" s="5">
        <f>332 / 86400</f>
        <v>3.8425925925925928E-3</v>
      </c>
      <c r="L379" s="5">
        <f>18228 / 86400</f>
        <v>0.21097222222222223</v>
      </c>
    </row>
    <row r="380" spans="1:1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2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</row>
    <row r="382" spans="1:12" s="10" customFormat="1" ht="20.100000000000001" customHeight="1" x14ac:dyDescent="0.35">
      <c r="A382" s="15" t="s">
        <v>303</v>
      </c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2" ht="30" x14ac:dyDescent="0.25">
      <c r="A384" s="2" t="s">
        <v>6</v>
      </c>
      <c r="B384" s="2" t="s">
        <v>7</v>
      </c>
      <c r="C384" s="2" t="s">
        <v>8</v>
      </c>
      <c r="D384" s="2" t="s">
        <v>9</v>
      </c>
      <c r="E384" s="2" t="s">
        <v>10</v>
      </c>
      <c r="F384" s="2" t="s">
        <v>11</v>
      </c>
      <c r="G384" s="2" t="s">
        <v>12</v>
      </c>
      <c r="H384" s="2" t="s">
        <v>13</v>
      </c>
      <c r="I384" s="2" t="s">
        <v>14</v>
      </c>
      <c r="J384" s="2" t="s">
        <v>15</v>
      </c>
      <c r="K384" s="2" t="s">
        <v>16</v>
      </c>
      <c r="L384" s="2" t="s">
        <v>17</v>
      </c>
    </row>
    <row r="385" spans="1:12" x14ac:dyDescent="0.25">
      <c r="A385" s="3">
        <v>45703.211377314816</v>
      </c>
      <c r="B385" t="s">
        <v>37</v>
      </c>
      <c r="C385" s="3">
        <v>45703.211412037039</v>
      </c>
      <c r="D385" t="s">
        <v>37</v>
      </c>
      <c r="E385" s="4">
        <v>0</v>
      </c>
      <c r="F385" s="4">
        <v>387169.40600000002</v>
      </c>
      <c r="G385" s="4">
        <v>387169.40600000002</v>
      </c>
      <c r="H385" s="5">
        <f>0 / 86400</f>
        <v>0</v>
      </c>
      <c r="I385" t="s">
        <v>44</v>
      </c>
      <c r="J385" t="s">
        <v>44</v>
      </c>
      <c r="K385" s="5">
        <f>2 / 86400</f>
        <v>2.3148148148148147E-5</v>
      </c>
      <c r="L385" s="5">
        <f>18264 / 86400</f>
        <v>0.21138888888888888</v>
      </c>
    </row>
    <row r="386" spans="1:12" x14ac:dyDescent="0.25">
      <c r="A386" s="3">
        <v>45703.211423611108</v>
      </c>
      <c r="B386" t="s">
        <v>37</v>
      </c>
      <c r="C386" s="3">
        <v>45703.211446759262</v>
      </c>
      <c r="D386" t="s">
        <v>37</v>
      </c>
      <c r="E386" s="4">
        <v>0</v>
      </c>
      <c r="F386" s="4">
        <v>387169.40600000002</v>
      </c>
      <c r="G386" s="4">
        <v>387169.40600000002</v>
      </c>
      <c r="H386" s="5">
        <f>0 / 86400</f>
        <v>0</v>
      </c>
      <c r="I386" t="s">
        <v>44</v>
      </c>
      <c r="J386" t="s">
        <v>44</v>
      </c>
      <c r="K386" s="5">
        <f>2 / 86400</f>
        <v>2.3148148148148147E-5</v>
      </c>
      <c r="L386" s="5">
        <f>48 / 86400</f>
        <v>5.5555555555555556E-4</v>
      </c>
    </row>
    <row r="387" spans="1:12" x14ac:dyDescent="0.25">
      <c r="A387" s="3">
        <v>45703.212002314816</v>
      </c>
      <c r="B387" t="s">
        <v>37</v>
      </c>
      <c r="C387" s="3">
        <v>45703.212094907409</v>
      </c>
      <c r="D387" t="s">
        <v>37</v>
      </c>
      <c r="E387" s="4">
        <v>0</v>
      </c>
      <c r="F387" s="4">
        <v>387169.40600000002</v>
      </c>
      <c r="G387" s="4">
        <v>387169.40600000002</v>
      </c>
      <c r="H387" s="5">
        <f>0 / 86400</f>
        <v>0</v>
      </c>
      <c r="I387" t="s">
        <v>44</v>
      </c>
      <c r="J387" t="s">
        <v>44</v>
      </c>
      <c r="K387" s="5">
        <f>7 / 86400</f>
        <v>8.1018518518518516E-5</v>
      </c>
      <c r="L387" s="5">
        <f>2 / 86400</f>
        <v>2.3148148148148147E-5</v>
      </c>
    </row>
    <row r="388" spans="1:12" x14ac:dyDescent="0.25">
      <c r="A388" s="3">
        <v>45703.212118055555</v>
      </c>
      <c r="B388" t="s">
        <v>37</v>
      </c>
      <c r="C388" s="3">
        <v>45703.212141203709</v>
      </c>
      <c r="D388" t="s">
        <v>37</v>
      </c>
      <c r="E388" s="4">
        <v>0</v>
      </c>
      <c r="F388" s="4">
        <v>387169.40600000002</v>
      </c>
      <c r="G388" s="4">
        <v>387169.40600000002</v>
      </c>
      <c r="H388" s="5">
        <f>0 / 86400</f>
        <v>0</v>
      </c>
      <c r="I388" t="s">
        <v>44</v>
      </c>
      <c r="J388" t="s">
        <v>44</v>
      </c>
      <c r="K388" s="5">
        <f>2 / 86400</f>
        <v>2.3148148148148147E-5</v>
      </c>
      <c r="L388" s="5">
        <f>6 / 86400</f>
        <v>6.9444444444444444E-5</v>
      </c>
    </row>
    <row r="389" spans="1:12" x14ac:dyDescent="0.25">
      <c r="A389" s="3">
        <v>45703.212210648147</v>
      </c>
      <c r="B389" t="s">
        <v>37</v>
      </c>
      <c r="C389" s="3">
        <v>45703.212233796294</v>
      </c>
      <c r="D389" t="s">
        <v>37</v>
      </c>
      <c r="E389" s="4">
        <v>0</v>
      </c>
      <c r="F389" s="4">
        <v>387169.40600000002</v>
      </c>
      <c r="G389" s="4">
        <v>387169.40600000002</v>
      </c>
      <c r="H389" s="5">
        <f>0 / 86400</f>
        <v>0</v>
      </c>
      <c r="I389" t="s">
        <v>44</v>
      </c>
      <c r="J389" t="s">
        <v>44</v>
      </c>
      <c r="K389" s="5">
        <f>2 / 86400</f>
        <v>2.3148148148148147E-5</v>
      </c>
      <c r="L389" s="5">
        <f>131 / 86400</f>
        <v>1.5162037037037036E-3</v>
      </c>
    </row>
    <row r="390" spans="1:12" x14ac:dyDescent="0.25">
      <c r="A390" s="3">
        <v>45703.213749999995</v>
      </c>
      <c r="B390" t="s">
        <v>37</v>
      </c>
      <c r="C390" s="3">
        <v>45703.418611111112</v>
      </c>
      <c r="D390" t="s">
        <v>46</v>
      </c>
      <c r="E390" s="4">
        <v>89.015000000000001</v>
      </c>
      <c r="F390" s="4">
        <v>387169.40600000002</v>
      </c>
      <c r="G390" s="4">
        <v>387258.42099999997</v>
      </c>
      <c r="H390" s="5">
        <f>5377 / 86400</f>
        <v>6.2233796296296294E-2</v>
      </c>
      <c r="I390" t="s">
        <v>61</v>
      </c>
      <c r="J390" t="s">
        <v>20</v>
      </c>
      <c r="K390" s="5">
        <f>17699 / 86400</f>
        <v>0.20484953703703704</v>
      </c>
      <c r="L390" s="5">
        <f>3 / 86400</f>
        <v>3.4722222222222222E-5</v>
      </c>
    </row>
    <row r="391" spans="1:12" x14ac:dyDescent="0.25">
      <c r="A391" s="3">
        <v>45703.418645833328</v>
      </c>
      <c r="B391" t="s">
        <v>46</v>
      </c>
      <c r="C391" s="3">
        <v>45703.418761574074</v>
      </c>
      <c r="D391" t="s">
        <v>46</v>
      </c>
      <c r="E391" s="4">
        <v>0</v>
      </c>
      <c r="F391" s="4">
        <v>387258.42099999997</v>
      </c>
      <c r="G391" s="4">
        <v>387258.42099999997</v>
      </c>
      <c r="H391" s="5">
        <f>0 / 86400</f>
        <v>0</v>
      </c>
      <c r="I391" t="s">
        <v>44</v>
      </c>
      <c r="J391" t="s">
        <v>44</v>
      </c>
      <c r="K391" s="5">
        <f>10 / 86400</f>
        <v>1.1574074074074075E-4</v>
      </c>
      <c r="L391" s="5">
        <f>2033 / 86400</f>
        <v>2.3530092592592592E-2</v>
      </c>
    </row>
    <row r="392" spans="1:12" x14ac:dyDescent="0.25">
      <c r="A392" s="3">
        <v>45703.442291666666</v>
      </c>
      <c r="B392" t="s">
        <v>46</v>
      </c>
      <c r="C392" s="3">
        <v>45703.443090277782</v>
      </c>
      <c r="D392" t="s">
        <v>46</v>
      </c>
      <c r="E392" s="4">
        <v>0.108</v>
      </c>
      <c r="F392" s="4">
        <v>387258.42099999997</v>
      </c>
      <c r="G392" s="4">
        <v>387258.52899999998</v>
      </c>
      <c r="H392" s="5">
        <f>19 / 86400</f>
        <v>2.199074074074074E-4</v>
      </c>
      <c r="I392" t="s">
        <v>150</v>
      </c>
      <c r="J392" t="s">
        <v>57</v>
      </c>
      <c r="K392" s="5">
        <f>68 / 86400</f>
        <v>7.8703703703703705E-4</v>
      </c>
      <c r="L392" s="5">
        <f>495 / 86400</f>
        <v>5.7291666666666663E-3</v>
      </c>
    </row>
    <row r="393" spans="1:12" x14ac:dyDescent="0.25">
      <c r="A393" s="3">
        <v>45703.448819444442</v>
      </c>
      <c r="B393" t="s">
        <v>46</v>
      </c>
      <c r="C393" s="3">
        <v>45703.448981481481</v>
      </c>
      <c r="D393" t="s">
        <v>46</v>
      </c>
      <c r="E393" s="4">
        <v>2E-3</v>
      </c>
      <c r="F393" s="4">
        <v>387258.52899999998</v>
      </c>
      <c r="G393" s="4">
        <v>387258.53100000002</v>
      </c>
      <c r="H393" s="5">
        <f>0 / 86400</f>
        <v>0</v>
      </c>
      <c r="I393" t="s">
        <v>44</v>
      </c>
      <c r="J393" t="s">
        <v>43</v>
      </c>
      <c r="K393" s="5">
        <f>14 / 86400</f>
        <v>1.6203703703703703E-4</v>
      </c>
      <c r="L393" s="5">
        <f>9475 / 86400</f>
        <v>0.10966435185185185</v>
      </c>
    </row>
    <row r="394" spans="1:12" x14ac:dyDescent="0.25">
      <c r="A394" s="3">
        <v>45703.558645833335</v>
      </c>
      <c r="B394" t="s">
        <v>46</v>
      </c>
      <c r="C394" s="3">
        <v>45703.772870370369</v>
      </c>
      <c r="D394" t="s">
        <v>214</v>
      </c>
      <c r="E394" s="4">
        <v>97.308999999999997</v>
      </c>
      <c r="F394" s="4">
        <v>387258.53100000002</v>
      </c>
      <c r="G394" s="4">
        <v>387355.84</v>
      </c>
      <c r="H394" s="5">
        <f>5580 / 86400</f>
        <v>6.458333333333334E-2</v>
      </c>
      <c r="I394" t="s">
        <v>61</v>
      </c>
      <c r="J394" t="s">
        <v>26</v>
      </c>
      <c r="K394" s="5">
        <f>18509 / 86400</f>
        <v>0.21422453703703703</v>
      </c>
      <c r="L394" s="5">
        <f>115 / 86400</f>
        <v>1.3310185185185185E-3</v>
      </c>
    </row>
    <row r="395" spans="1:12" x14ac:dyDescent="0.25">
      <c r="A395" s="3">
        <v>45703.774201388893</v>
      </c>
      <c r="B395" t="s">
        <v>214</v>
      </c>
      <c r="C395" s="3">
        <v>45703.832951388889</v>
      </c>
      <c r="D395" t="s">
        <v>81</v>
      </c>
      <c r="E395" s="4">
        <v>24.510999999999999</v>
      </c>
      <c r="F395" s="4">
        <v>387355.84</v>
      </c>
      <c r="G395" s="4">
        <v>387380.35100000002</v>
      </c>
      <c r="H395" s="5">
        <f>1560 / 86400</f>
        <v>1.8055555555555554E-2</v>
      </c>
      <c r="I395" t="s">
        <v>164</v>
      </c>
      <c r="J395" t="s">
        <v>33</v>
      </c>
      <c r="K395" s="5">
        <f>5075 / 86400</f>
        <v>5.8738425925925923E-2</v>
      </c>
      <c r="L395" s="5">
        <f>537 / 86400</f>
        <v>6.2152777777777779E-3</v>
      </c>
    </row>
    <row r="396" spans="1:12" x14ac:dyDescent="0.25">
      <c r="A396" s="3">
        <v>45703.839166666672</v>
      </c>
      <c r="B396" t="s">
        <v>37</v>
      </c>
      <c r="C396" s="3">
        <v>45703.849537037036</v>
      </c>
      <c r="D396" t="s">
        <v>37</v>
      </c>
      <c r="E396" s="4">
        <v>1.3380000000000001</v>
      </c>
      <c r="F396" s="4">
        <v>387380.35100000002</v>
      </c>
      <c r="G396" s="4">
        <v>387381.68900000001</v>
      </c>
      <c r="H396" s="5">
        <f>620 / 86400</f>
        <v>7.1759259259259259E-3</v>
      </c>
      <c r="I396" t="s">
        <v>176</v>
      </c>
      <c r="J396" t="s">
        <v>134</v>
      </c>
      <c r="K396" s="5">
        <f>895 / 86400</f>
        <v>1.0358796296296297E-2</v>
      </c>
      <c r="L396" s="5">
        <f>12999 / 86400</f>
        <v>0.1504513888888889</v>
      </c>
    </row>
    <row r="397" spans="1:1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1:12" s="10" customFormat="1" ht="20.100000000000001" customHeight="1" x14ac:dyDescent="0.35">
      <c r="A399" s="15" t="s">
        <v>304</v>
      </c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2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</row>
    <row r="401" spans="1:12" ht="30" x14ac:dyDescent="0.25">
      <c r="A401" s="2" t="s">
        <v>6</v>
      </c>
      <c r="B401" s="2" t="s">
        <v>7</v>
      </c>
      <c r="C401" s="2" t="s">
        <v>8</v>
      </c>
      <c r="D401" s="2" t="s">
        <v>9</v>
      </c>
      <c r="E401" s="2" t="s">
        <v>10</v>
      </c>
      <c r="F401" s="2" t="s">
        <v>11</v>
      </c>
      <c r="G401" s="2" t="s">
        <v>12</v>
      </c>
      <c r="H401" s="2" t="s">
        <v>13</v>
      </c>
      <c r="I401" s="2" t="s">
        <v>14</v>
      </c>
      <c r="J401" s="2" t="s">
        <v>15</v>
      </c>
      <c r="K401" s="2" t="s">
        <v>16</v>
      </c>
      <c r="L401" s="2" t="s">
        <v>17</v>
      </c>
    </row>
    <row r="402" spans="1:12" x14ac:dyDescent="0.25">
      <c r="A402" s="3">
        <v>45703.146770833337</v>
      </c>
      <c r="B402" t="s">
        <v>62</v>
      </c>
      <c r="C402" s="3">
        <v>45703.30537037037</v>
      </c>
      <c r="D402" t="s">
        <v>128</v>
      </c>
      <c r="E402" s="4">
        <v>80.885999999999996</v>
      </c>
      <c r="F402" s="4">
        <v>523568.76199999999</v>
      </c>
      <c r="G402" s="4">
        <v>523649.64799999999</v>
      </c>
      <c r="H402" s="5">
        <f>3159 / 86400</f>
        <v>3.6562499999999998E-2</v>
      </c>
      <c r="I402" t="s">
        <v>215</v>
      </c>
      <c r="J402" t="s">
        <v>202</v>
      </c>
      <c r="K402" s="5">
        <f>13703 / 86400</f>
        <v>0.15859953703703702</v>
      </c>
      <c r="L402" s="5">
        <f>14507 / 86400</f>
        <v>0.16790509259259259</v>
      </c>
    </row>
    <row r="403" spans="1:12" x14ac:dyDescent="0.25">
      <c r="A403" s="3">
        <v>45703.326504629629</v>
      </c>
      <c r="B403" t="s">
        <v>128</v>
      </c>
      <c r="C403" s="3">
        <v>45703.559791666667</v>
      </c>
      <c r="D403" t="s">
        <v>84</v>
      </c>
      <c r="E403" s="4">
        <v>100.65600000000001</v>
      </c>
      <c r="F403" s="4">
        <v>523649.64799999999</v>
      </c>
      <c r="G403" s="4">
        <v>523750.304</v>
      </c>
      <c r="H403" s="5">
        <f>6103 / 86400</f>
        <v>7.0636574074074074E-2</v>
      </c>
      <c r="I403" t="s">
        <v>63</v>
      </c>
      <c r="J403" t="s">
        <v>20</v>
      </c>
      <c r="K403" s="5">
        <f>20155 / 86400</f>
        <v>0.23327546296296298</v>
      </c>
      <c r="L403" s="5">
        <f>2074 / 86400</f>
        <v>2.4004629629629629E-2</v>
      </c>
    </row>
    <row r="404" spans="1:12" x14ac:dyDescent="0.25">
      <c r="A404" s="3">
        <v>45703.583796296298</v>
      </c>
      <c r="B404" t="s">
        <v>84</v>
      </c>
      <c r="C404" s="3">
        <v>45703.633506944447</v>
      </c>
      <c r="D404" t="s">
        <v>24</v>
      </c>
      <c r="E404" s="4">
        <v>26.84</v>
      </c>
      <c r="F404" s="4">
        <v>523750.304</v>
      </c>
      <c r="G404" s="4">
        <v>523777.14399999997</v>
      </c>
      <c r="H404" s="5">
        <f>800 / 86400</f>
        <v>9.2592592592592587E-3</v>
      </c>
      <c r="I404" t="s">
        <v>35</v>
      </c>
      <c r="J404" t="s">
        <v>80</v>
      </c>
      <c r="K404" s="5">
        <f>4294 / 86400</f>
        <v>4.9699074074074076E-2</v>
      </c>
      <c r="L404" s="5">
        <f>490 / 86400</f>
        <v>5.6712962962962967E-3</v>
      </c>
    </row>
    <row r="405" spans="1:12" x14ac:dyDescent="0.25">
      <c r="A405" s="3">
        <v>45703.639178240745</v>
      </c>
      <c r="B405" t="s">
        <v>24</v>
      </c>
      <c r="C405" s="3">
        <v>45703.644594907411</v>
      </c>
      <c r="D405" t="s">
        <v>62</v>
      </c>
      <c r="E405" s="4">
        <v>1.9650000000000001</v>
      </c>
      <c r="F405" s="4">
        <v>523777.14399999997</v>
      </c>
      <c r="G405" s="4">
        <v>523779.109</v>
      </c>
      <c r="H405" s="5">
        <f>19 / 86400</f>
        <v>2.199074074074074E-4</v>
      </c>
      <c r="I405" t="s">
        <v>76</v>
      </c>
      <c r="J405" t="s">
        <v>29</v>
      </c>
      <c r="K405" s="5">
        <f>467 / 86400</f>
        <v>5.4050925925925924E-3</v>
      </c>
      <c r="L405" s="5">
        <f>6077 / 86400</f>
        <v>7.0335648148148147E-2</v>
      </c>
    </row>
    <row r="406" spans="1:12" x14ac:dyDescent="0.25">
      <c r="A406" s="3">
        <v>45703.71493055555</v>
      </c>
      <c r="B406" t="s">
        <v>62</v>
      </c>
      <c r="C406" s="3">
        <v>45703.717141203699</v>
      </c>
      <c r="D406" t="s">
        <v>86</v>
      </c>
      <c r="E406" s="4">
        <v>1.105</v>
      </c>
      <c r="F406" s="4">
        <v>523779.109</v>
      </c>
      <c r="G406" s="4">
        <v>523780.21399999998</v>
      </c>
      <c r="H406" s="5">
        <f>20 / 86400</f>
        <v>2.3148148148148149E-4</v>
      </c>
      <c r="I406" t="s">
        <v>216</v>
      </c>
      <c r="J406" t="s">
        <v>202</v>
      </c>
      <c r="K406" s="5">
        <f>191 / 86400</f>
        <v>2.2106481481481482E-3</v>
      </c>
      <c r="L406" s="5">
        <f>42 / 86400</f>
        <v>4.861111111111111E-4</v>
      </c>
    </row>
    <row r="407" spans="1:12" x14ac:dyDescent="0.25">
      <c r="A407" s="3">
        <v>45703.717627314814</v>
      </c>
      <c r="B407" t="s">
        <v>86</v>
      </c>
      <c r="C407" s="3">
        <v>45703.76734953704</v>
      </c>
      <c r="D407" t="s">
        <v>144</v>
      </c>
      <c r="E407" s="4">
        <v>22.783999999999999</v>
      </c>
      <c r="F407" s="4">
        <v>523780.21399999998</v>
      </c>
      <c r="G407" s="4">
        <v>523802.99800000002</v>
      </c>
      <c r="H407" s="5">
        <f>899 / 86400</f>
        <v>1.0405092592592593E-2</v>
      </c>
      <c r="I407" t="s">
        <v>170</v>
      </c>
      <c r="J407" t="s">
        <v>26</v>
      </c>
      <c r="K407" s="5">
        <f>4296 / 86400</f>
        <v>4.9722222222222223E-2</v>
      </c>
      <c r="L407" s="5">
        <f>182 / 86400</f>
        <v>2.1064814814814813E-3</v>
      </c>
    </row>
    <row r="408" spans="1:12" x14ac:dyDescent="0.25">
      <c r="A408" s="3">
        <v>45703.769456018519</v>
      </c>
      <c r="B408" t="s">
        <v>144</v>
      </c>
      <c r="C408" s="3">
        <v>45703.820185185185</v>
      </c>
      <c r="D408" t="s">
        <v>217</v>
      </c>
      <c r="E408" s="4">
        <v>23.256</v>
      </c>
      <c r="F408" s="4">
        <v>523802.99800000002</v>
      </c>
      <c r="G408" s="4">
        <v>523826.25400000002</v>
      </c>
      <c r="H408" s="5">
        <f>1141 / 86400</f>
        <v>1.3206018518518518E-2</v>
      </c>
      <c r="I408" t="s">
        <v>73</v>
      </c>
      <c r="J408" t="s">
        <v>26</v>
      </c>
      <c r="K408" s="5">
        <f>4383 / 86400</f>
        <v>5.0729166666666665E-2</v>
      </c>
      <c r="L408" s="5">
        <f>188 / 86400</f>
        <v>2.1759259259259258E-3</v>
      </c>
    </row>
    <row r="409" spans="1:12" x14ac:dyDescent="0.25">
      <c r="A409" s="3">
        <v>45703.82236111111</v>
      </c>
      <c r="B409" t="s">
        <v>217</v>
      </c>
      <c r="C409" s="3">
        <v>45703.826261574075</v>
      </c>
      <c r="D409" t="s">
        <v>62</v>
      </c>
      <c r="E409" s="4">
        <v>0.38600000000000001</v>
      </c>
      <c r="F409" s="4">
        <v>523826.25400000002</v>
      </c>
      <c r="G409" s="4">
        <v>523826.64</v>
      </c>
      <c r="H409" s="5">
        <f>161 / 86400</f>
        <v>1.8634259259259259E-3</v>
      </c>
      <c r="I409" t="s">
        <v>77</v>
      </c>
      <c r="J409" t="s">
        <v>154</v>
      </c>
      <c r="K409" s="5">
        <f>337 / 86400</f>
        <v>3.9004629629629628E-3</v>
      </c>
      <c r="L409" s="5">
        <f>4779 / 86400</f>
        <v>5.5312500000000001E-2</v>
      </c>
    </row>
    <row r="410" spans="1:12" x14ac:dyDescent="0.25">
      <c r="A410" s="3">
        <v>45703.881574074076</v>
      </c>
      <c r="B410" t="s">
        <v>62</v>
      </c>
      <c r="C410" s="3">
        <v>45703.881851851853</v>
      </c>
      <c r="D410" t="s">
        <v>62</v>
      </c>
      <c r="E410" s="4">
        <v>1.0999999999999999E-2</v>
      </c>
      <c r="F410" s="4">
        <v>523826.64</v>
      </c>
      <c r="G410" s="4">
        <v>523826.65100000001</v>
      </c>
      <c r="H410" s="5">
        <f>0 / 86400</f>
        <v>0</v>
      </c>
      <c r="I410" t="s">
        <v>139</v>
      </c>
      <c r="J410" t="s">
        <v>135</v>
      </c>
      <c r="K410" s="5">
        <f>24 / 86400</f>
        <v>2.7777777777777778E-4</v>
      </c>
      <c r="L410" s="5">
        <f>538 / 86400</f>
        <v>6.2268518518518515E-3</v>
      </c>
    </row>
    <row r="411" spans="1:12" x14ac:dyDescent="0.25">
      <c r="A411" s="3">
        <v>45703.888078703705</v>
      </c>
      <c r="B411" t="s">
        <v>62</v>
      </c>
      <c r="C411" s="3">
        <v>45703.888796296298</v>
      </c>
      <c r="D411" t="s">
        <v>62</v>
      </c>
      <c r="E411" s="4">
        <v>1.0999999999999999E-2</v>
      </c>
      <c r="F411" s="4">
        <v>523826.65100000001</v>
      </c>
      <c r="G411" s="4">
        <v>523826.66200000001</v>
      </c>
      <c r="H411" s="5">
        <f>40 / 86400</f>
        <v>4.6296296296296298E-4</v>
      </c>
      <c r="I411" t="s">
        <v>43</v>
      </c>
      <c r="J411" t="s">
        <v>43</v>
      </c>
      <c r="K411" s="5">
        <f>61 / 86400</f>
        <v>7.0601851851851847E-4</v>
      </c>
      <c r="L411" s="5">
        <f>9607 / 86400</f>
        <v>0.11119212962962963</v>
      </c>
    </row>
    <row r="412" spans="1:12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1:12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1:12" s="10" customFormat="1" ht="20.100000000000001" customHeight="1" x14ac:dyDescent="0.35">
      <c r="A414" s="15" t="s">
        <v>305</v>
      </c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2" ht="30" x14ac:dyDescent="0.25">
      <c r="A416" s="2" t="s">
        <v>6</v>
      </c>
      <c r="B416" s="2" t="s">
        <v>7</v>
      </c>
      <c r="C416" s="2" t="s">
        <v>8</v>
      </c>
      <c r="D416" s="2" t="s">
        <v>9</v>
      </c>
      <c r="E416" s="2" t="s">
        <v>10</v>
      </c>
      <c r="F416" s="2" t="s">
        <v>11</v>
      </c>
      <c r="G416" s="2" t="s">
        <v>12</v>
      </c>
      <c r="H416" s="2" t="s">
        <v>13</v>
      </c>
      <c r="I416" s="2" t="s">
        <v>14</v>
      </c>
      <c r="J416" s="2" t="s">
        <v>15</v>
      </c>
      <c r="K416" s="2" t="s">
        <v>16</v>
      </c>
      <c r="L416" s="2" t="s">
        <v>17</v>
      </c>
    </row>
    <row r="417" spans="1:12" x14ac:dyDescent="0.25">
      <c r="A417" s="3">
        <v>45703</v>
      </c>
      <c r="B417" t="s">
        <v>64</v>
      </c>
      <c r="C417" s="3">
        <v>45703.078379629631</v>
      </c>
      <c r="D417" t="s">
        <v>144</v>
      </c>
      <c r="E417" s="4">
        <v>41.718000000000004</v>
      </c>
      <c r="F417" s="4">
        <v>412119.451</v>
      </c>
      <c r="G417" s="4">
        <v>412161.16899999999</v>
      </c>
      <c r="H417" s="5">
        <f>1401 / 86400</f>
        <v>1.6215277777777776E-2</v>
      </c>
      <c r="I417" t="s">
        <v>218</v>
      </c>
      <c r="J417" t="s">
        <v>145</v>
      </c>
      <c r="K417" s="5">
        <f>6772 / 86400</f>
        <v>7.8379629629629632E-2</v>
      </c>
      <c r="L417" s="5">
        <f>3059 / 86400</f>
        <v>3.5405092592592592E-2</v>
      </c>
    </row>
    <row r="418" spans="1:12" x14ac:dyDescent="0.25">
      <c r="A418" s="3">
        <v>45703.113784722227</v>
      </c>
      <c r="B418" t="s">
        <v>144</v>
      </c>
      <c r="C418" s="3">
        <v>45703.123148148152</v>
      </c>
      <c r="D418" t="s">
        <v>219</v>
      </c>
      <c r="E418" s="4">
        <v>2.0009999999999999</v>
      </c>
      <c r="F418" s="4">
        <v>412161.16899999999</v>
      </c>
      <c r="G418" s="4">
        <v>412163.17</v>
      </c>
      <c r="H418" s="5">
        <f>194 / 86400</f>
        <v>2.2453703703703702E-3</v>
      </c>
      <c r="I418" t="s">
        <v>26</v>
      </c>
      <c r="J418" t="s">
        <v>150</v>
      </c>
      <c r="K418" s="5">
        <f>809 / 86400</f>
        <v>9.3634259259259261E-3</v>
      </c>
      <c r="L418" s="5">
        <f>38081 / 86400</f>
        <v>0.44075231481481481</v>
      </c>
    </row>
    <row r="419" spans="1:12" x14ac:dyDescent="0.25">
      <c r="A419" s="3">
        <v>45703.563900462963</v>
      </c>
      <c r="B419" t="s">
        <v>219</v>
      </c>
      <c r="C419" s="3">
        <v>45703.575208333335</v>
      </c>
      <c r="D419" t="s">
        <v>84</v>
      </c>
      <c r="E419" s="4">
        <v>2.1840000000000002</v>
      </c>
      <c r="F419" s="4">
        <v>412163.17</v>
      </c>
      <c r="G419" s="4">
        <v>412165.35399999999</v>
      </c>
      <c r="H419" s="5">
        <f>399 / 86400</f>
        <v>4.6180555555555558E-3</v>
      </c>
      <c r="I419" t="s">
        <v>141</v>
      </c>
      <c r="J419" t="s">
        <v>138</v>
      </c>
      <c r="K419" s="5">
        <f>977 / 86400</f>
        <v>1.1307870370370371E-2</v>
      </c>
      <c r="L419" s="5">
        <f>414 / 86400</f>
        <v>4.7916666666666663E-3</v>
      </c>
    </row>
    <row r="420" spans="1:12" x14ac:dyDescent="0.25">
      <c r="A420" s="3">
        <v>45703.58</v>
      </c>
      <c r="B420" t="s">
        <v>84</v>
      </c>
      <c r="C420" s="3">
        <v>45703.58090277778</v>
      </c>
      <c r="D420" t="s">
        <v>84</v>
      </c>
      <c r="E420" s="4">
        <v>8.1000000000000003E-2</v>
      </c>
      <c r="F420" s="4">
        <v>412165.35399999999</v>
      </c>
      <c r="G420" s="4">
        <v>412165.435</v>
      </c>
      <c r="H420" s="5">
        <f>20 / 86400</f>
        <v>2.3148148148148149E-4</v>
      </c>
      <c r="I420" t="s">
        <v>60</v>
      </c>
      <c r="J420" t="s">
        <v>154</v>
      </c>
      <c r="K420" s="5">
        <f>78 / 86400</f>
        <v>9.0277777777777774E-4</v>
      </c>
      <c r="L420" s="5">
        <f>392 / 86400</f>
        <v>4.5370370370370373E-3</v>
      </c>
    </row>
    <row r="421" spans="1:12" x14ac:dyDescent="0.25">
      <c r="A421" s="3">
        <v>45703.585439814815</v>
      </c>
      <c r="B421" t="s">
        <v>84</v>
      </c>
      <c r="C421" s="3">
        <v>45703.587372685186</v>
      </c>
      <c r="D421" t="s">
        <v>84</v>
      </c>
      <c r="E421" s="4">
        <v>0.11</v>
      </c>
      <c r="F421" s="4">
        <v>412165.435</v>
      </c>
      <c r="G421" s="4">
        <v>412165.54499999998</v>
      </c>
      <c r="H421" s="5">
        <f>79 / 86400</f>
        <v>9.1435185185185185E-4</v>
      </c>
      <c r="I421" t="s">
        <v>102</v>
      </c>
      <c r="J421" t="s">
        <v>135</v>
      </c>
      <c r="K421" s="5">
        <f>167 / 86400</f>
        <v>1.9328703703703704E-3</v>
      </c>
      <c r="L421" s="5">
        <f>168 / 86400</f>
        <v>1.9444444444444444E-3</v>
      </c>
    </row>
    <row r="422" spans="1:12" x14ac:dyDescent="0.25">
      <c r="A422" s="3">
        <v>45703.589317129634</v>
      </c>
      <c r="B422" t="s">
        <v>84</v>
      </c>
      <c r="C422" s="3">
        <v>45703.590451388889</v>
      </c>
      <c r="D422" t="s">
        <v>84</v>
      </c>
      <c r="E422" s="4">
        <v>0.122</v>
      </c>
      <c r="F422" s="4">
        <v>412165.54499999998</v>
      </c>
      <c r="G422" s="4">
        <v>412165.66700000002</v>
      </c>
      <c r="H422" s="5">
        <f>59 / 86400</f>
        <v>6.8287037037037036E-4</v>
      </c>
      <c r="I422" t="s">
        <v>60</v>
      </c>
      <c r="J422" t="s">
        <v>154</v>
      </c>
      <c r="K422" s="5">
        <f>98 / 86400</f>
        <v>1.1342592592592593E-3</v>
      </c>
      <c r="L422" s="5">
        <f>373 / 86400</f>
        <v>4.31712962962963E-3</v>
      </c>
    </row>
    <row r="423" spans="1:12" x14ac:dyDescent="0.25">
      <c r="A423" s="3">
        <v>45703.594768518524</v>
      </c>
      <c r="B423" t="s">
        <v>84</v>
      </c>
      <c r="C423" s="3">
        <v>45703.595995370371</v>
      </c>
      <c r="D423" t="s">
        <v>149</v>
      </c>
      <c r="E423" s="4">
        <v>0.13100000000000001</v>
      </c>
      <c r="F423" s="4">
        <v>412165.66700000002</v>
      </c>
      <c r="G423" s="4">
        <v>412165.79800000001</v>
      </c>
      <c r="H423" s="5">
        <f>59 / 86400</f>
        <v>6.8287037037037036E-4</v>
      </c>
      <c r="I423" t="s">
        <v>33</v>
      </c>
      <c r="J423" t="s">
        <v>154</v>
      </c>
      <c r="K423" s="5">
        <f>106 / 86400</f>
        <v>1.2268518518518518E-3</v>
      </c>
      <c r="L423" s="5">
        <f>146 / 86400</f>
        <v>1.6898148148148148E-3</v>
      </c>
    </row>
    <row r="424" spans="1:12" x14ac:dyDescent="0.25">
      <c r="A424" s="3">
        <v>45703.597685185188</v>
      </c>
      <c r="B424" t="s">
        <v>149</v>
      </c>
      <c r="C424" s="3">
        <v>45703.600706018522</v>
      </c>
      <c r="D424" t="s">
        <v>203</v>
      </c>
      <c r="E424" s="4">
        <v>0.84899999999999998</v>
      </c>
      <c r="F424" s="4">
        <v>412165.79800000001</v>
      </c>
      <c r="G424" s="4">
        <v>412166.647</v>
      </c>
      <c r="H424" s="5">
        <f>20 / 86400</f>
        <v>2.3148148148148149E-4</v>
      </c>
      <c r="I424" t="s">
        <v>197</v>
      </c>
      <c r="J424" t="s">
        <v>77</v>
      </c>
      <c r="K424" s="5">
        <f>260 / 86400</f>
        <v>3.0092592592592593E-3</v>
      </c>
      <c r="L424" s="5">
        <f>3597 / 86400</f>
        <v>4.1631944444444444E-2</v>
      </c>
    </row>
    <row r="425" spans="1:12" x14ac:dyDescent="0.25">
      <c r="A425" s="3">
        <v>45703.642337962963</v>
      </c>
      <c r="B425" t="s">
        <v>203</v>
      </c>
      <c r="C425" s="3">
        <v>45703.99998842593</v>
      </c>
      <c r="D425" t="s">
        <v>65</v>
      </c>
      <c r="E425" s="4">
        <v>147.79599999999999</v>
      </c>
      <c r="F425" s="4">
        <v>412166.647</v>
      </c>
      <c r="G425" s="4">
        <v>412314.44300000003</v>
      </c>
      <c r="H425" s="5">
        <f>8631 / 86400</f>
        <v>9.9895833333333336E-2</v>
      </c>
      <c r="I425" t="s">
        <v>66</v>
      </c>
      <c r="J425" t="s">
        <v>33</v>
      </c>
      <c r="K425" s="5">
        <f>30901 / 86400</f>
        <v>0.35765046296296299</v>
      </c>
      <c r="L425" s="5">
        <f>0 / 86400</f>
        <v>0</v>
      </c>
    </row>
    <row r="426" spans="1:1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1:1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2" s="10" customFormat="1" ht="20.100000000000001" customHeight="1" x14ac:dyDescent="0.35">
      <c r="A428" s="15" t="s">
        <v>306</v>
      </c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2" ht="30" x14ac:dyDescent="0.25">
      <c r="A430" s="2" t="s">
        <v>6</v>
      </c>
      <c r="B430" s="2" t="s">
        <v>7</v>
      </c>
      <c r="C430" s="2" t="s">
        <v>8</v>
      </c>
      <c r="D430" s="2" t="s">
        <v>9</v>
      </c>
      <c r="E430" s="2" t="s">
        <v>10</v>
      </c>
      <c r="F430" s="2" t="s">
        <v>11</v>
      </c>
      <c r="G430" s="2" t="s">
        <v>12</v>
      </c>
      <c r="H430" s="2" t="s">
        <v>13</v>
      </c>
      <c r="I430" s="2" t="s">
        <v>14</v>
      </c>
      <c r="J430" s="2" t="s">
        <v>15</v>
      </c>
      <c r="K430" s="2" t="s">
        <v>16</v>
      </c>
      <c r="L430" s="2" t="s">
        <v>17</v>
      </c>
    </row>
    <row r="431" spans="1:12" x14ac:dyDescent="0.25">
      <c r="A431" s="3">
        <v>45703.320474537039</v>
      </c>
      <c r="B431" t="s">
        <v>67</v>
      </c>
      <c r="C431" s="3">
        <v>45703.32130787037</v>
      </c>
      <c r="D431" t="s">
        <v>67</v>
      </c>
      <c r="E431" s="4">
        <v>3.1E-2</v>
      </c>
      <c r="F431" s="4">
        <v>403146.984</v>
      </c>
      <c r="G431" s="4">
        <v>403147.01500000001</v>
      </c>
      <c r="H431" s="5">
        <f>19 / 86400</f>
        <v>2.199074074074074E-4</v>
      </c>
      <c r="I431" t="s">
        <v>139</v>
      </c>
      <c r="J431" t="s">
        <v>135</v>
      </c>
      <c r="K431" s="5">
        <f>72 / 86400</f>
        <v>8.3333333333333339E-4</v>
      </c>
      <c r="L431" s="5">
        <f>27756 / 86400</f>
        <v>0.32124999999999998</v>
      </c>
    </row>
    <row r="432" spans="1:12" x14ac:dyDescent="0.25">
      <c r="A432" s="3">
        <v>45703.322083333333</v>
      </c>
      <c r="B432" t="s">
        <v>67</v>
      </c>
      <c r="C432" s="3">
        <v>45703.323749999996</v>
      </c>
      <c r="D432" t="s">
        <v>97</v>
      </c>
      <c r="E432" s="4">
        <v>0.188</v>
      </c>
      <c r="F432" s="4">
        <v>403147.01500000001</v>
      </c>
      <c r="G432" s="4">
        <v>403147.20299999998</v>
      </c>
      <c r="H432" s="5">
        <f>40 / 86400</f>
        <v>4.6296296296296298E-4</v>
      </c>
      <c r="I432" t="s">
        <v>130</v>
      </c>
      <c r="J432" t="s">
        <v>134</v>
      </c>
      <c r="K432" s="5">
        <f>143 / 86400</f>
        <v>1.6550925925925926E-3</v>
      </c>
      <c r="L432" s="5">
        <f>2816 / 86400</f>
        <v>3.259259259259259E-2</v>
      </c>
    </row>
    <row r="433" spans="1:12" x14ac:dyDescent="0.25">
      <c r="A433" s="3">
        <v>45703.356342592597</v>
      </c>
      <c r="B433" t="s">
        <v>97</v>
      </c>
      <c r="C433" s="3">
        <v>45703.356724537036</v>
      </c>
      <c r="D433" t="s">
        <v>97</v>
      </c>
      <c r="E433" s="4">
        <v>7.0000000000000001E-3</v>
      </c>
      <c r="F433" s="4">
        <v>403147.20299999998</v>
      </c>
      <c r="G433" s="4">
        <v>403147.21</v>
      </c>
      <c r="H433" s="5">
        <f>0 / 86400</f>
        <v>0</v>
      </c>
      <c r="I433" t="s">
        <v>43</v>
      </c>
      <c r="J433" t="s">
        <v>43</v>
      </c>
      <c r="K433" s="5">
        <f>32 / 86400</f>
        <v>3.7037037037037035E-4</v>
      </c>
      <c r="L433" s="5">
        <f>160 / 86400</f>
        <v>1.8518518518518519E-3</v>
      </c>
    </row>
    <row r="434" spans="1:12" x14ac:dyDescent="0.25">
      <c r="A434" s="3">
        <v>45703.358576388884</v>
      </c>
      <c r="B434" t="s">
        <v>97</v>
      </c>
      <c r="C434" s="3">
        <v>45703.359085648146</v>
      </c>
      <c r="D434" t="s">
        <v>97</v>
      </c>
      <c r="E434" s="4">
        <v>1.9E-2</v>
      </c>
      <c r="F434" s="4">
        <v>403147.21</v>
      </c>
      <c r="G434" s="4">
        <v>403147.22899999999</v>
      </c>
      <c r="H434" s="5">
        <f>20 / 86400</f>
        <v>2.3148148148148149E-4</v>
      </c>
      <c r="I434" t="s">
        <v>139</v>
      </c>
      <c r="J434" t="s">
        <v>135</v>
      </c>
      <c r="K434" s="5">
        <f>43 / 86400</f>
        <v>4.9768518518518521E-4</v>
      </c>
      <c r="L434" s="5">
        <f>6980 / 86400</f>
        <v>8.0787037037037032E-2</v>
      </c>
    </row>
    <row r="435" spans="1:12" x14ac:dyDescent="0.25">
      <c r="A435" s="3">
        <v>45703.439872685187</v>
      </c>
      <c r="B435" t="s">
        <v>97</v>
      </c>
      <c r="C435" s="3">
        <v>45703.44222222222</v>
      </c>
      <c r="D435" t="s">
        <v>97</v>
      </c>
      <c r="E435" s="4">
        <v>0</v>
      </c>
      <c r="F435" s="4">
        <v>403147.22899999999</v>
      </c>
      <c r="G435" s="4">
        <v>403147.22899999999</v>
      </c>
      <c r="H435" s="5">
        <f>199 / 86400</f>
        <v>2.3032407407407407E-3</v>
      </c>
      <c r="I435" t="s">
        <v>44</v>
      </c>
      <c r="J435" t="s">
        <v>44</v>
      </c>
      <c r="K435" s="5">
        <f>203 / 86400</f>
        <v>2.3495370370370371E-3</v>
      </c>
      <c r="L435" s="5">
        <f>95 / 86400</f>
        <v>1.0995370370370371E-3</v>
      </c>
    </row>
    <row r="436" spans="1:12" x14ac:dyDescent="0.25">
      <c r="A436" s="3">
        <v>45703.44332175926</v>
      </c>
      <c r="B436" t="s">
        <v>97</v>
      </c>
      <c r="C436" s="3">
        <v>45703.44368055556</v>
      </c>
      <c r="D436" t="s">
        <v>97</v>
      </c>
      <c r="E436" s="4">
        <v>0</v>
      </c>
      <c r="F436" s="4">
        <v>403147.22899999999</v>
      </c>
      <c r="G436" s="4">
        <v>403147.22899999999</v>
      </c>
      <c r="H436" s="5">
        <f>19 / 86400</f>
        <v>2.199074074074074E-4</v>
      </c>
      <c r="I436" t="s">
        <v>44</v>
      </c>
      <c r="J436" t="s">
        <v>44</v>
      </c>
      <c r="K436" s="5">
        <f>31 / 86400</f>
        <v>3.5879629629629629E-4</v>
      </c>
      <c r="L436" s="5">
        <f>201 / 86400</f>
        <v>2.3263888888888887E-3</v>
      </c>
    </row>
    <row r="437" spans="1:12" x14ac:dyDescent="0.25">
      <c r="A437" s="3">
        <v>45703.446006944447</v>
      </c>
      <c r="B437" t="s">
        <v>97</v>
      </c>
      <c r="C437" s="3">
        <v>45703.448854166665</v>
      </c>
      <c r="D437" t="s">
        <v>149</v>
      </c>
      <c r="E437" s="4">
        <v>0.76400000000000001</v>
      </c>
      <c r="F437" s="4">
        <v>403147.22899999999</v>
      </c>
      <c r="G437" s="4">
        <v>403147.99300000002</v>
      </c>
      <c r="H437" s="5">
        <f>59 / 86400</f>
        <v>6.8287037037037036E-4</v>
      </c>
      <c r="I437" t="s">
        <v>69</v>
      </c>
      <c r="J437" t="s">
        <v>102</v>
      </c>
      <c r="K437" s="5">
        <f>246 / 86400</f>
        <v>2.8472222222222223E-3</v>
      </c>
      <c r="L437" s="5">
        <f>67 / 86400</f>
        <v>7.7546296296296293E-4</v>
      </c>
    </row>
    <row r="438" spans="1:12" x14ac:dyDescent="0.25">
      <c r="A438" s="3">
        <v>45703.449629629627</v>
      </c>
      <c r="B438" t="s">
        <v>149</v>
      </c>
      <c r="C438" s="3">
        <v>45703.452349537038</v>
      </c>
      <c r="D438" t="s">
        <v>67</v>
      </c>
      <c r="E438" s="4">
        <v>0.96499999999999997</v>
      </c>
      <c r="F438" s="4">
        <v>403147.99300000002</v>
      </c>
      <c r="G438" s="4">
        <v>403148.95799999998</v>
      </c>
      <c r="H438" s="5">
        <f>20 / 86400</f>
        <v>2.3148148148148149E-4</v>
      </c>
      <c r="I438" t="s">
        <v>160</v>
      </c>
      <c r="J438" t="s">
        <v>29</v>
      </c>
      <c r="K438" s="5">
        <f>234 / 86400</f>
        <v>2.7083333333333334E-3</v>
      </c>
      <c r="L438" s="5">
        <f>131 / 86400</f>
        <v>1.5162037037037036E-3</v>
      </c>
    </row>
    <row r="439" spans="1:12" x14ac:dyDescent="0.25">
      <c r="A439" s="3">
        <v>45703.453865740739</v>
      </c>
      <c r="B439" t="s">
        <v>67</v>
      </c>
      <c r="C439" s="3">
        <v>45703.454942129625</v>
      </c>
      <c r="D439" t="s">
        <v>68</v>
      </c>
      <c r="E439" s="4">
        <v>0.02</v>
      </c>
      <c r="F439" s="4">
        <v>403148.95799999998</v>
      </c>
      <c r="G439" s="4">
        <v>403148.978</v>
      </c>
      <c r="H439" s="5">
        <f>60 / 86400</f>
        <v>6.9444444444444447E-4</v>
      </c>
      <c r="I439" t="s">
        <v>60</v>
      </c>
      <c r="J439" t="s">
        <v>43</v>
      </c>
      <c r="K439" s="5">
        <f>92 / 86400</f>
        <v>1.0648148148148149E-3</v>
      </c>
      <c r="L439" s="5">
        <f>15816 / 86400</f>
        <v>0.18305555555555555</v>
      </c>
    </row>
    <row r="440" spans="1:12" x14ac:dyDescent="0.25">
      <c r="A440" s="3">
        <v>45703.637997685189</v>
      </c>
      <c r="B440" t="s">
        <v>68</v>
      </c>
      <c r="C440" s="3">
        <v>45703.638310185182</v>
      </c>
      <c r="D440" t="s">
        <v>68</v>
      </c>
      <c r="E440" s="4">
        <v>0</v>
      </c>
      <c r="F440" s="4">
        <v>403148.978</v>
      </c>
      <c r="G440" s="4">
        <v>403148.978</v>
      </c>
      <c r="H440" s="5">
        <f>15 / 86400</f>
        <v>1.7361111111111112E-4</v>
      </c>
      <c r="I440" t="s">
        <v>44</v>
      </c>
      <c r="J440" t="s">
        <v>44</v>
      </c>
      <c r="K440" s="5">
        <f>27 / 86400</f>
        <v>3.1250000000000001E-4</v>
      </c>
      <c r="L440" s="5">
        <f>827 / 86400</f>
        <v>9.571759259259259E-3</v>
      </c>
    </row>
    <row r="441" spans="1:12" x14ac:dyDescent="0.25">
      <c r="A441" s="3">
        <v>45703.647881944446</v>
      </c>
      <c r="B441" t="s">
        <v>68</v>
      </c>
      <c r="C441" s="3">
        <v>45703.648206018523</v>
      </c>
      <c r="D441" t="s">
        <v>68</v>
      </c>
      <c r="E441" s="4">
        <v>0</v>
      </c>
      <c r="F441" s="4">
        <v>403148.978</v>
      </c>
      <c r="G441" s="4">
        <v>403148.978</v>
      </c>
      <c r="H441" s="5">
        <f>19 / 86400</f>
        <v>2.199074074074074E-4</v>
      </c>
      <c r="I441" t="s">
        <v>44</v>
      </c>
      <c r="J441" t="s">
        <v>44</v>
      </c>
      <c r="K441" s="5">
        <f>27 / 86400</f>
        <v>3.1250000000000001E-4</v>
      </c>
      <c r="L441" s="5">
        <f>5346 / 86400</f>
        <v>6.1874999999999999E-2</v>
      </c>
    </row>
    <row r="442" spans="1:12" x14ac:dyDescent="0.25">
      <c r="A442" s="3">
        <v>45703.710081018522</v>
      </c>
      <c r="B442" t="s">
        <v>68</v>
      </c>
      <c r="C442" s="3">
        <v>45703.710324074069</v>
      </c>
      <c r="D442" t="s">
        <v>68</v>
      </c>
      <c r="E442" s="4">
        <v>0</v>
      </c>
      <c r="F442" s="4">
        <v>403148.978</v>
      </c>
      <c r="G442" s="4">
        <v>403148.978</v>
      </c>
      <c r="H442" s="5">
        <f>19 / 86400</f>
        <v>2.199074074074074E-4</v>
      </c>
      <c r="I442" t="s">
        <v>44</v>
      </c>
      <c r="J442" t="s">
        <v>44</v>
      </c>
      <c r="K442" s="5">
        <f>21 / 86400</f>
        <v>2.4305555555555555E-4</v>
      </c>
      <c r="L442" s="5">
        <f>25027 / 86400</f>
        <v>0.28966435185185185</v>
      </c>
    </row>
    <row r="443" spans="1:1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1:12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1:12" s="10" customFormat="1" ht="20.100000000000001" customHeight="1" x14ac:dyDescent="0.35">
      <c r="A445" s="15" t="s">
        <v>307</v>
      </c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2" ht="30" x14ac:dyDescent="0.25">
      <c r="A447" s="2" t="s">
        <v>6</v>
      </c>
      <c r="B447" s="2" t="s">
        <v>7</v>
      </c>
      <c r="C447" s="2" t="s">
        <v>8</v>
      </c>
      <c r="D447" s="2" t="s">
        <v>9</v>
      </c>
      <c r="E447" s="2" t="s">
        <v>10</v>
      </c>
      <c r="F447" s="2" t="s">
        <v>11</v>
      </c>
      <c r="G447" s="2" t="s">
        <v>12</v>
      </c>
      <c r="H447" s="2" t="s">
        <v>13</v>
      </c>
      <c r="I447" s="2" t="s">
        <v>14</v>
      </c>
      <c r="J447" s="2" t="s">
        <v>15</v>
      </c>
      <c r="K447" s="2" t="s">
        <v>16</v>
      </c>
      <c r="L447" s="2" t="s">
        <v>17</v>
      </c>
    </row>
    <row r="448" spans="1:12" x14ac:dyDescent="0.25">
      <c r="A448" s="3">
        <v>45703.278240740736</v>
      </c>
      <c r="B448" t="s">
        <v>70</v>
      </c>
      <c r="C448" s="3">
        <v>45703.282395833332</v>
      </c>
      <c r="D448" t="s">
        <v>70</v>
      </c>
      <c r="E448" s="4">
        <v>0</v>
      </c>
      <c r="F448" s="4">
        <v>407624.58899999998</v>
      </c>
      <c r="G448" s="4">
        <v>407624.58899999998</v>
      </c>
      <c r="H448" s="5">
        <f>339 / 86400</f>
        <v>3.9236111111111112E-3</v>
      </c>
      <c r="I448" t="s">
        <v>44</v>
      </c>
      <c r="J448" t="s">
        <v>44</v>
      </c>
      <c r="K448" s="5">
        <f>359 / 86400</f>
        <v>4.1550925925925922E-3</v>
      </c>
      <c r="L448" s="5">
        <f>24190 / 86400</f>
        <v>0.27997685185185184</v>
      </c>
    </row>
    <row r="449" spans="1:12" x14ac:dyDescent="0.25">
      <c r="A449" s="3">
        <v>45703.284131944441</v>
      </c>
      <c r="B449" t="s">
        <v>70</v>
      </c>
      <c r="C449" s="3">
        <v>45703.359768518523</v>
      </c>
      <c r="D449" t="s">
        <v>126</v>
      </c>
      <c r="E449" s="4">
        <v>39.784999999999997</v>
      </c>
      <c r="F449" s="4">
        <v>407624.58899999998</v>
      </c>
      <c r="G449" s="4">
        <v>407664.37400000001</v>
      </c>
      <c r="H449" s="5">
        <f>1221 / 86400</f>
        <v>1.4131944444444445E-2</v>
      </c>
      <c r="I449" t="s">
        <v>25</v>
      </c>
      <c r="J449" t="s">
        <v>145</v>
      </c>
      <c r="K449" s="5">
        <f>6534 / 86400</f>
        <v>7.5624999999999998E-2</v>
      </c>
      <c r="L449" s="5">
        <f>203 / 86400</f>
        <v>2.3495370370370371E-3</v>
      </c>
    </row>
    <row r="450" spans="1:12" x14ac:dyDescent="0.25">
      <c r="A450" s="3">
        <v>45703.362118055556</v>
      </c>
      <c r="B450" t="s">
        <v>126</v>
      </c>
      <c r="C450" s="3">
        <v>45703.472060185188</v>
      </c>
      <c r="D450" t="s">
        <v>220</v>
      </c>
      <c r="E450" s="4">
        <v>51.082000000000001</v>
      </c>
      <c r="F450" s="4">
        <v>407664.37400000001</v>
      </c>
      <c r="G450" s="4">
        <v>407715.45600000001</v>
      </c>
      <c r="H450" s="5">
        <f>3020 / 86400</f>
        <v>3.4953703703703702E-2</v>
      </c>
      <c r="I450" t="s">
        <v>31</v>
      </c>
      <c r="J450" t="s">
        <v>26</v>
      </c>
      <c r="K450" s="5">
        <f>9498 / 86400</f>
        <v>0.10993055555555556</v>
      </c>
      <c r="L450" s="5">
        <f>288 / 86400</f>
        <v>3.3333333333333335E-3</v>
      </c>
    </row>
    <row r="451" spans="1:12" x14ac:dyDescent="0.25">
      <c r="A451" s="3">
        <v>45703.475393518514</v>
      </c>
      <c r="B451" t="s">
        <v>221</v>
      </c>
      <c r="C451" s="3">
        <v>45703.59207175926</v>
      </c>
      <c r="D451" t="s">
        <v>144</v>
      </c>
      <c r="E451" s="4">
        <v>50.293999999999997</v>
      </c>
      <c r="F451" s="4">
        <v>407715.45600000001</v>
      </c>
      <c r="G451" s="4">
        <v>407765.75</v>
      </c>
      <c r="H451" s="5">
        <f>2955 / 86400</f>
        <v>3.4201388888888892E-2</v>
      </c>
      <c r="I451" t="s">
        <v>85</v>
      </c>
      <c r="J451" t="s">
        <v>20</v>
      </c>
      <c r="K451" s="5">
        <f>10081 / 86400</f>
        <v>0.11667824074074074</v>
      </c>
      <c r="L451" s="5">
        <f>816 / 86400</f>
        <v>9.4444444444444445E-3</v>
      </c>
    </row>
    <row r="452" spans="1:12" x14ac:dyDescent="0.25">
      <c r="A452" s="3">
        <v>45703.601516203707</v>
      </c>
      <c r="B452" t="s">
        <v>144</v>
      </c>
      <c r="C452" s="3">
        <v>45703.601990740739</v>
      </c>
      <c r="D452" t="s">
        <v>84</v>
      </c>
      <c r="E452" s="4">
        <v>4.8000000000000001E-2</v>
      </c>
      <c r="F452" s="4">
        <v>407765.75</v>
      </c>
      <c r="G452" s="4">
        <v>407765.79800000001</v>
      </c>
      <c r="H452" s="5">
        <f>0 / 86400</f>
        <v>0</v>
      </c>
      <c r="I452" t="s">
        <v>130</v>
      </c>
      <c r="J452" t="s">
        <v>154</v>
      </c>
      <c r="K452" s="5">
        <f>40 / 86400</f>
        <v>4.6296296296296298E-4</v>
      </c>
      <c r="L452" s="5">
        <f>419 / 86400</f>
        <v>4.8495370370370368E-3</v>
      </c>
    </row>
    <row r="453" spans="1:12" x14ac:dyDescent="0.25">
      <c r="A453" s="3">
        <v>45703.606840277775</v>
      </c>
      <c r="B453" t="s">
        <v>84</v>
      </c>
      <c r="C453" s="3">
        <v>45703.607557870375</v>
      </c>
      <c r="D453" t="s">
        <v>144</v>
      </c>
      <c r="E453" s="4">
        <v>6.3E-2</v>
      </c>
      <c r="F453" s="4">
        <v>407765.79800000001</v>
      </c>
      <c r="G453" s="4">
        <v>407765.86099999998</v>
      </c>
      <c r="H453" s="5">
        <f>20 / 86400</f>
        <v>2.3148148148148149E-4</v>
      </c>
      <c r="I453" t="s">
        <v>150</v>
      </c>
      <c r="J453" t="s">
        <v>154</v>
      </c>
      <c r="K453" s="5">
        <f>62 / 86400</f>
        <v>7.1759259259259259E-4</v>
      </c>
      <c r="L453" s="5">
        <f>266 / 86400</f>
        <v>3.0787037037037037E-3</v>
      </c>
    </row>
    <row r="454" spans="1:12" x14ac:dyDescent="0.25">
      <c r="A454" s="3">
        <v>45703.610636574071</v>
      </c>
      <c r="B454" t="s">
        <v>144</v>
      </c>
      <c r="C454" s="3">
        <v>45703.611157407402</v>
      </c>
      <c r="D454" t="s">
        <v>144</v>
      </c>
      <c r="E454" s="4">
        <v>1.7999999999999999E-2</v>
      </c>
      <c r="F454" s="4">
        <v>407765.86099999998</v>
      </c>
      <c r="G454" s="4">
        <v>407765.87900000002</v>
      </c>
      <c r="H454" s="5">
        <f>0 / 86400</f>
        <v>0</v>
      </c>
      <c r="I454" t="s">
        <v>134</v>
      </c>
      <c r="J454" t="s">
        <v>43</v>
      </c>
      <c r="K454" s="5">
        <f>45 / 86400</f>
        <v>5.2083333333333333E-4</v>
      </c>
      <c r="L454" s="5">
        <f>1036 / 86400</f>
        <v>1.1990740740740741E-2</v>
      </c>
    </row>
    <row r="455" spans="1:12" x14ac:dyDescent="0.25">
      <c r="A455" s="3">
        <v>45703.623148148152</v>
      </c>
      <c r="B455" t="s">
        <v>144</v>
      </c>
      <c r="C455" s="3">
        <v>45703.629305555558</v>
      </c>
      <c r="D455" t="s">
        <v>84</v>
      </c>
      <c r="E455" s="4">
        <v>6.2E-2</v>
      </c>
      <c r="F455" s="4">
        <v>407765.87900000002</v>
      </c>
      <c r="G455" s="4">
        <v>407765.94099999999</v>
      </c>
      <c r="H455" s="5">
        <f>479 / 86400</f>
        <v>5.5439814814814813E-3</v>
      </c>
      <c r="I455" t="s">
        <v>150</v>
      </c>
      <c r="J455" t="s">
        <v>44</v>
      </c>
      <c r="K455" s="5">
        <f>531 / 86400</f>
        <v>6.145833333333333E-3</v>
      </c>
      <c r="L455" s="5">
        <f>1066 / 86400</f>
        <v>1.2337962962962964E-2</v>
      </c>
    </row>
    <row r="456" spans="1:12" x14ac:dyDescent="0.25">
      <c r="A456" s="3">
        <v>45703.641643518524</v>
      </c>
      <c r="B456" t="s">
        <v>84</v>
      </c>
      <c r="C456" s="3">
        <v>45703.643958333334</v>
      </c>
      <c r="D456" t="s">
        <v>149</v>
      </c>
      <c r="E456" s="4">
        <v>0.28499999999999998</v>
      </c>
      <c r="F456" s="4">
        <v>407765.94099999999</v>
      </c>
      <c r="G456" s="4">
        <v>407766.22600000002</v>
      </c>
      <c r="H456" s="5">
        <f>59 / 86400</f>
        <v>6.8287037037037036E-4</v>
      </c>
      <c r="I456" t="s">
        <v>23</v>
      </c>
      <c r="J456" t="s">
        <v>134</v>
      </c>
      <c r="K456" s="5">
        <f>199 / 86400</f>
        <v>2.3032407407407407E-3</v>
      </c>
      <c r="L456" s="5">
        <f>437 / 86400</f>
        <v>5.0578703703703706E-3</v>
      </c>
    </row>
    <row r="457" spans="1:12" x14ac:dyDescent="0.25">
      <c r="A457" s="3">
        <v>45703.649016203708</v>
      </c>
      <c r="B457" t="s">
        <v>149</v>
      </c>
      <c r="C457" s="3">
        <v>45703.65143518518</v>
      </c>
      <c r="D457" t="s">
        <v>203</v>
      </c>
      <c r="E457" s="4">
        <v>0.59399999999999997</v>
      </c>
      <c r="F457" s="4">
        <v>407766.22600000002</v>
      </c>
      <c r="G457" s="4">
        <v>407766.82</v>
      </c>
      <c r="H457" s="5">
        <f>80 / 86400</f>
        <v>9.2592592592592596E-4</v>
      </c>
      <c r="I457" t="s">
        <v>197</v>
      </c>
      <c r="J457" t="s">
        <v>130</v>
      </c>
      <c r="K457" s="5">
        <f>208 / 86400</f>
        <v>2.4074074074074076E-3</v>
      </c>
      <c r="L457" s="5">
        <f>877 / 86400</f>
        <v>1.0150462962962964E-2</v>
      </c>
    </row>
    <row r="458" spans="1:12" x14ac:dyDescent="0.25">
      <c r="A458" s="3">
        <v>45703.661585648151</v>
      </c>
      <c r="B458" t="s">
        <v>203</v>
      </c>
      <c r="C458" s="3">
        <v>45703.662106481483</v>
      </c>
      <c r="D458" t="s">
        <v>203</v>
      </c>
      <c r="E458" s="4">
        <v>0.01</v>
      </c>
      <c r="F458" s="4">
        <v>407766.82</v>
      </c>
      <c r="G458" s="4">
        <v>407766.83</v>
      </c>
      <c r="H458" s="5">
        <f>39 / 86400</f>
        <v>4.5138888888888887E-4</v>
      </c>
      <c r="I458" t="s">
        <v>44</v>
      </c>
      <c r="J458" t="s">
        <v>43</v>
      </c>
      <c r="K458" s="5">
        <f>45 / 86400</f>
        <v>5.2083333333333333E-4</v>
      </c>
      <c r="L458" s="5">
        <f>1828 / 86400</f>
        <v>2.1157407407407406E-2</v>
      </c>
    </row>
    <row r="459" spans="1:12" x14ac:dyDescent="0.25">
      <c r="A459" s="3">
        <v>45703.683263888888</v>
      </c>
      <c r="B459" t="s">
        <v>203</v>
      </c>
      <c r="C459" s="3">
        <v>45703.76284722222</v>
      </c>
      <c r="D459" t="s">
        <v>222</v>
      </c>
      <c r="E459" s="4">
        <v>33.890999999999998</v>
      </c>
      <c r="F459" s="4">
        <v>407766.83</v>
      </c>
      <c r="G459" s="4">
        <v>407800.72100000002</v>
      </c>
      <c r="H459" s="5">
        <f>2536 / 86400</f>
        <v>2.9351851851851851E-2</v>
      </c>
      <c r="I459" t="s">
        <v>61</v>
      </c>
      <c r="J459" t="s">
        <v>20</v>
      </c>
      <c r="K459" s="5">
        <f>6875 / 86400</f>
        <v>7.9571759259259259E-2</v>
      </c>
      <c r="L459" s="5">
        <f>86 / 86400</f>
        <v>9.9537037037037042E-4</v>
      </c>
    </row>
    <row r="460" spans="1:12" x14ac:dyDescent="0.25">
      <c r="A460" s="3">
        <v>45703.763842592598</v>
      </c>
      <c r="B460" t="s">
        <v>206</v>
      </c>
      <c r="C460" s="3">
        <v>45703.768020833333</v>
      </c>
      <c r="D460" t="s">
        <v>18</v>
      </c>
      <c r="E460" s="4">
        <v>1.095</v>
      </c>
      <c r="F460" s="4">
        <v>407800.72100000002</v>
      </c>
      <c r="G460" s="4">
        <v>407801.81599999999</v>
      </c>
      <c r="H460" s="5">
        <f>60 / 86400</f>
        <v>6.9444444444444447E-4</v>
      </c>
      <c r="I460" t="s">
        <v>137</v>
      </c>
      <c r="J460" t="s">
        <v>102</v>
      </c>
      <c r="K460" s="5">
        <f>361 / 86400</f>
        <v>4.178240740740741E-3</v>
      </c>
      <c r="L460" s="5">
        <f>3601 / 86400</f>
        <v>4.1678240740740738E-2</v>
      </c>
    </row>
    <row r="461" spans="1:12" x14ac:dyDescent="0.25">
      <c r="A461" s="3">
        <v>45703.809699074074</v>
      </c>
      <c r="B461" t="s">
        <v>18</v>
      </c>
      <c r="C461" s="3">
        <v>45703.835613425923</v>
      </c>
      <c r="D461" t="s">
        <v>71</v>
      </c>
      <c r="E461" s="4">
        <v>10.103999999999999</v>
      </c>
      <c r="F461" s="4">
        <v>407801.81599999999</v>
      </c>
      <c r="G461" s="4">
        <v>407811.92</v>
      </c>
      <c r="H461" s="5">
        <f>769 / 86400</f>
        <v>8.9004629629629625E-3</v>
      </c>
      <c r="I461" t="s">
        <v>85</v>
      </c>
      <c r="J461" t="s">
        <v>36</v>
      </c>
      <c r="K461" s="5">
        <f>2238 / 86400</f>
        <v>2.5902777777777778E-2</v>
      </c>
      <c r="L461" s="5">
        <f>14202 / 86400</f>
        <v>0.16437499999999999</v>
      </c>
    </row>
    <row r="462" spans="1:1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2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 spans="1:12" s="10" customFormat="1" ht="20.100000000000001" customHeight="1" x14ac:dyDescent="0.35">
      <c r="A464" s="15" t="s">
        <v>308</v>
      </c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1:12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 spans="1:12" ht="30" x14ac:dyDescent="0.25">
      <c r="A466" s="2" t="s">
        <v>6</v>
      </c>
      <c r="B466" s="2" t="s">
        <v>7</v>
      </c>
      <c r="C466" s="2" t="s">
        <v>8</v>
      </c>
      <c r="D466" s="2" t="s">
        <v>9</v>
      </c>
      <c r="E466" s="2" t="s">
        <v>10</v>
      </c>
      <c r="F466" s="2" t="s">
        <v>11</v>
      </c>
      <c r="G466" s="2" t="s">
        <v>12</v>
      </c>
      <c r="H466" s="2" t="s">
        <v>13</v>
      </c>
      <c r="I466" s="2" t="s">
        <v>14</v>
      </c>
      <c r="J466" s="2" t="s">
        <v>15</v>
      </c>
      <c r="K466" s="2" t="s">
        <v>16</v>
      </c>
      <c r="L466" s="2" t="s">
        <v>17</v>
      </c>
    </row>
    <row r="467" spans="1:12" x14ac:dyDescent="0.25">
      <c r="A467" s="3">
        <v>45703.303726851853</v>
      </c>
      <c r="B467" t="s">
        <v>72</v>
      </c>
      <c r="C467" s="3">
        <v>45703.372743055559</v>
      </c>
      <c r="D467" t="s">
        <v>223</v>
      </c>
      <c r="E467" s="4">
        <v>32.104999999999997</v>
      </c>
      <c r="F467" s="4">
        <v>348362.11499999999</v>
      </c>
      <c r="G467" s="4">
        <v>348394.22</v>
      </c>
      <c r="H467" s="5">
        <f>1139 / 86400</f>
        <v>1.3182870370370371E-2</v>
      </c>
      <c r="I467" t="s">
        <v>101</v>
      </c>
      <c r="J467" t="s">
        <v>26</v>
      </c>
      <c r="K467" s="5">
        <f>5963 / 86400</f>
        <v>6.9016203703703705E-2</v>
      </c>
      <c r="L467" s="5">
        <f>26331 / 86400</f>
        <v>0.30475694444444446</v>
      </c>
    </row>
    <row r="468" spans="1:12" x14ac:dyDescent="0.25">
      <c r="A468" s="3">
        <v>45703.373773148152</v>
      </c>
      <c r="B468" t="s">
        <v>223</v>
      </c>
      <c r="C468" s="3">
        <v>45703.374016203699</v>
      </c>
      <c r="D468" t="s">
        <v>223</v>
      </c>
      <c r="E468" s="4">
        <v>1.9E-2</v>
      </c>
      <c r="F468" s="4">
        <v>348394.22</v>
      </c>
      <c r="G468" s="4">
        <v>348394.239</v>
      </c>
      <c r="H468" s="5">
        <f>0 / 86400</f>
        <v>0</v>
      </c>
      <c r="I468" t="s">
        <v>57</v>
      </c>
      <c r="J468" t="s">
        <v>139</v>
      </c>
      <c r="K468" s="5">
        <f>21 / 86400</f>
        <v>2.4305555555555555E-4</v>
      </c>
      <c r="L468" s="5">
        <f>143 / 86400</f>
        <v>1.6550925925925926E-3</v>
      </c>
    </row>
    <row r="469" spans="1:12" x14ac:dyDescent="0.25">
      <c r="A469" s="3">
        <v>45703.375671296293</v>
      </c>
      <c r="B469" t="s">
        <v>223</v>
      </c>
      <c r="C469" s="3">
        <v>45703.376145833332</v>
      </c>
      <c r="D469" t="s">
        <v>224</v>
      </c>
      <c r="E469" s="4">
        <v>6.8000000000000005E-2</v>
      </c>
      <c r="F469" s="4">
        <v>348394.239</v>
      </c>
      <c r="G469" s="4">
        <v>348394.30699999997</v>
      </c>
      <c r="H469" s="5">
        <f>0 / 86400</f>
        <v>0</v>
      </c>
      <c r="I469" t="s">
        <v>150</v>
      </c>
      <c r="J469" t="s">
        <v>57</v>
      </c>
      <c r="K469" s="5">
        <f>41 / 86400</f>
        <v>4.7453703703703704E-4</v>
      </c>
      <c r="L469" s="5">
        <f>570 / 86400</f>
        <v>6.5972222222222222E-3</v>
      </c>
    </row>
    <row r="470" spans="1:12" x14ac:dyDescent="0.25">
      <c r="A470" s="3">
        <v>45703.382743055554</v>
      </c>
      <c r="B470" t="s">
        <v>224</v>
      </c>
      <c r="C470" s="3">
        <v>45703.436111111107</v>
      </c>
      <c r="D470" t="s">
        <v>72</v>
      </c>
      <c r="E470" s="4">
        <v>25.738</v>
      </c>
      <c r="F470" s="4">
        <v>348394.30699999997</v>
      </c>
      <c r="G470" s="4">
        <v>348420.04499999998</v>
      </c>
      <c r="H470" s="5">
        <f>1038 / 86400</f>
        <v>1.2013888888888888E-2</v>
      </c>
      <c r="I470" t="s">
        <v>73</v>
      </c>
      <c r="J470" t="s">
        <v>23</v>
      </c>
      <c r="K470" s="5">
        <f>4611 / 86400</f>
        <v>5.3368055555555557E-2</v>
      </c>
      <c r="L470" s="5">
        <f>48719 / 86400</f>
        <v>0.56387731481481485</v>
      </c>
    </row>
    <row r="471" spans="1:1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2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 spans="1:12" s="10" customFormat="1" ht="20.100000000000001" customHeight="1" x14ac:dyDescent="0.35">
      <c r="A473" s="15" t="s">
        <v>309</v>
      </c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1:1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2" ht="30" x14ac:dyDescent="0.25">
      <c r="A475" s="2" t="s">
        <v>6</v>
      </c>
      <c r="B475" s="2" t="s">
        <v>7</v>
      </c>
      <c r="C475" s="2" t="s">
        <v>8</v>
      </c>
      <c r="D475" s="2" t="s">
        <v>9</v>
      </c>
      <c r="E475" s="2" t="s">
        <v>10</v>
      </c>
      <c r="F475" s="2" t="s">
        <v>11</v>
      </c>
      <c r="G475" s="2" t="s">
        <v>12</v>
      </c>
      <c r="H475" s="2" t="s">
        <v>13</v>
      </c>
      <c r="I475" s="2" t="s">
        <v>14</v>
      </c>
      <c r="J475" s="2" t="s">
        <v>15</v>
      </c>
      <c r="K475" s="2" t="s">
        <v>16</v>
      </c>
      <c r="L475" s="2" t="s">
        <v>17</v>
      </c>
    </row>
    <row r="476" spans="1:12" x14ac:dyDescent="0.25">
      <c r="A476" s="3">
        <v>45703</v>
      </c>
      <c r="B476" t="s">
        <v>74</v>
      </c>
      <c r="C476" s="3">
        <v>45703.005497685182</v>
      </c>
      <c r="D476" t="s">
        <v>75</v>
      </c>
      <c r="E476" s="4">
        <v>1.8129999999999999</v>
      </c>
      <c r="F476" s="4">
        <v>41468.625999999997</v>
      </c>
      <c r="G476" s="4">
        <v>41470.438999999998</v>
      </c>
      <c r="H476" s="5">
        <f>40 / 86400</f>
        <v>4.6296296296296298E-4</v>
      </c>
      <c r="I476" t="s">
        <v>76</v>
      </c>
      <c r="J476" t="s">
        <v>88</v>
      </c>
      <c r="K476" s="5">
        <f>475 / 86400</f>
        <v>5.4976851851851853E-3</v>
      </c>
      <c r="L476" s="5">
        <f>67001 / 86400</f>
        <v>0.77547453703703706</v>
      </c>
    </row>
    <row r="477" spans="1:12" x14ac:dyDescent="0.25">
      <c r="A477" s="3">
        <v>45703.780972222223</v>
      </c>
      <c r="B477" t="s">
        <v>75</v>
      </c>
      <c r="C477" s="3">
        <v>45703.781643518523</v>
      </c>
      <c r="D477" t="s">
        <v>75</v>
      </c>
      <c r="E477" s="4">
        <v>0</v>
      </c>
      <c r="F477" s="4">
        <v>41470.438999999998</v>
      </c>
      <c r="G477" s="4">
        <v>41470.438999999998</v>
      </c>
      <c r="H477" s="5">
        <f>39 / 86400</f>
        <v>4.5138888888888887E-4</v>
      </c>
      <c r="I477" t="s">
        <v>44</v>
      </c>
      <c r="J477" t="s">
        <v>44</v>
      </c>
      <c r="K477" s="5">
        <f>57 / 86400</f>
        <v>6.5972222222222224E-4</v>
      </c>
      <c r="L477" s="5">
        <f>18865 / 86400</f>
        <v>0.21834490740740742</v>
      </c>
    </row>
    <row r="478" spans="1:1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</row>
    <row r="479" spans="1:1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 spans="1:12" s="10" customFormat="1" ht="20.100000000000001" customHeight="1" x14ac:dyDescent="0.35">
      <c r="A480" s="15" t="s">
        <v>310</v>
      </c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1:1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 spans="1:12" ht="30" x14ac:dyDescent="0.25">
      <c r="A482" s="2" t="s">
        <v>6</v>
      </c>
      <c r="B482" s="2" t="s">
        <v>7</v>
      </c>
      <c r="C482" s="2" t="s">
        <v>8</v>
      </c>
      <c r="D482" s="2" t="s">
        <v>9</v>
      </c>
      <c r="E482" s="2" t="s">
        <v>10</v>
      </c>
      <c r="F482" s="2" t="s">
        <v>11</v>
      </c>
      <c r="G482" s="2" t="s">
        <v>12</v>
      </c>
      <c r="H482" s="2" t="s">
        <v>13</v>
      </c>
      <c r="I482" s="2" t="s">
        <v>14</v>
      </c>
      <c r="J482" s="2" t="s">
        <v>15</v>
      </c>
      <c r="K482" s="2" t="s">
        <v>16</v>
      </c>
      <c r="L482" s="2" t="s">
        <v>17</v>
      </c>
    </row>
    <row r="483" spans="1:12" x14ac:dyDescent="0.25">
      <c r="A483" s="3">
        <v>45703</v>
      </c>
      <c r="B483" t="s">
        <v>78</v>
      </c>
      <c r="C483" s="3">
        <v>45703.032511574071</v>
      </c>
      <c r="D483" t="s">
        <v>37</v>
      </c>
      <c r="E483" s="4">
        <v>11.973000000000001</v>
      </c>
      <c r="F483" s="4">
        <v>46819.459000000003</v>
      </c>
      <c r="G483" s="4">
        <v>46831.432000000001</v>
      </c>
      <c r="H483" s="5">
        <f>1080 / 86400</f>
        <v>1.2500000000000001E-2</v>
      </c>
      <c r="I483" t="s">
        <v>184</v>
      </c>
      <c r="J483" t="s">
        <v>29</v>
      </c>
      <c r="K483" s="5">
        <f>2809 / 86400</f>
        <v>3.2511574074074075E-2</v>
      </c>
      <c r="L483" s="5">
        <f>891 / 86400</f>
        <v>1.03125E-2</v>
      </c>
    </row>
    <row r="484" spans="1:12" x14ac:dyDescent="0.25">
      <c r="A484" s="3">
        <v>45703.042824074073</v>
      </c>
      <c r="B484" t="s">
        <v>81</v>
      </c>
      <c r="C484" s="3">
        <v>45703.045092592598</v>
      </c>
      <c r="D484" t="s">
        <v>225</v>
      </c>
      <c r="E484" s="4">
        <v>7.6999999999999999E-2</v>
      </c>
      <c r="F484" s="4">
        <v>46831.432000000001</v>
      </c>
      <c r="G484" s="4">
        <v>46831.508999999998</v>
      </c>
      <c r="H484" s="5">
        <f>140 / 86400</f>
        <v>1.6203703703703703E-3</v>
      </c>
      <c r="I484" t="s">
        <v>138</v>
      </c>
      <c r="J484" t="s">
        <v>43</v>
      </c>
      <c r="K484" s="5">
        <f>196 / 86400</f>
        <v>2.2685185185185187E-3</v>
      </c>
      <c r="L484" s="5">
        <f>1235 / 86400</f>
        <v>1.4293981481481482E-2</v>
      </c>
    </row>
    <row r="485" spans="1:12" x14ac:dyDescent="0.25">
      <c r="A485" s="3">
        <v>45703.059386574074</v>
      </c>
      <c r="B485" t="s">
        <v>225</v>
      </c>
      <c r="C485" s="3">
        <v>45703.064097222217</v>
      </c>
      <c r="D485" t="s">
        <v>191</v>
      </c>
      <c r="E485" s="4">
        <v>0.89700000000000002</v>
      </c>
      <c r="F485" s="4">
        <v>46831.508999999998</v>
      </c>
      <c r="G485" s="4">
        <v>46832.406000000003</v>
      </c>
      <c r="H485" s="5">
        <f>300 / 86400</f>
        <v>3.472222222222222E-3</v>
      </c>
      <c r="I485" t="s">
        <v>226</v>
      </c>
      <c r="J485" t="s">
        <v>138</v>
      </c>
      <c r="K485" s="5">
        <f>407 / 86400</f>
        <v>4.7106481481481478E-3</v>
      </c>
      <c r="L485" s="5">
        <f>242 / 86400</f>
        <v>2.8009259259259259E-3</v>
      </c>
    </row>
    <row r="486" spans="1:12" x14ac:dyDescent="0.25">
      <c r="A486" s="3">
        <v>45703.066898148143</v>
      </c>
      <c r="B486" t="s">
        <v>191</v>
      </c>
      <c r="C486" s="3">
        <v>45703.071053240739</v>
      </c>
      <c r="D486" t="s">
        <v>227</v>
      </c>
      <c r="E486" s="4">
        <v>0.33400000000000002</v>
      </c>
      <c r="F486" s="4">
        <v>46832.406000000003</v>
      </c>
      <c r="G486" s="4">
        <v>46832.74</v>
      </c>
      <c r="H486" s="5">
        <f>200 / 86400</f>
        <v>2.3148148148148147E-3</v>
      </c>
      <c r="I486" t="s">
        <v>77</v>
      </c>
      <c r="J486" t="s">
        <v>139</v>
      </c>
      <c r="K486" s="5">
        <f>359 / 86400</f>
        <v>4.1550925925925922E-3</v>
      </c>
      <c r="L486" s="5">
        <f>9170 / 86400</f>
        <v>0.10613425925925926</v>
      </c>
    </row>
    <row r="487" spans="1:12" x14ac:dyDescent="0.25">
      <c r="A487" s="3">
        <v>45703.177187499998</v>
      </c>
      <c r="B487" t="s">
        <v>227</v>
      </c>
      <c r="C487" s="3">
        <v>45703.345972222218</v>
      </c>
      <c r="D487" t="s">
        <v>84</v>
      </c>
      <c r="E487" s="4">
        <v>84.977999999999994</v>
      </c>
      <c r="F487" s="4">
        <v>46832.74</v>
      </c>
      <c r="G487" s="4">
        <v>46917.718000000001</v>
      </c>
      <c r="H487" s="5">
        <f>3886 / 86400</f>
        <v>4.4976851851851851E-2</v>
      </c>
      <c r="I487" t="s">
        <v>19</v>
      </c>
      <c r="J487" t="s">
        <v>202</v>
      </c>
      <c r="K487" s="5">
        <f>14582 / 86400</f>
        <v>0.16877314814814814</v>
      </c>
      <c r="L487" s="5">
        <f>405 / 86400</f>
        <v>4.6874999999999998E-3</v>
      </c>
    </row>
    <row r="488" spans="1:12" x14ac:dyDescent="0.25">
      <c r="A488" s="3">
        <v>45703.350659722222</v>
      </c>
      <c r="B488" t="s">
        <v>144</v>
      </c>
      <c r="C488" s="3">
        <v>45703.356006944443</v>
      </c>
      <c r="D488" t="s">
        <v>50</v>
      </c>
      <c r="E488" s="4">
        <v>0.78300000000000003</v>
      </c>
      <c r="F488" s="4">
        <v>46917.718000000001</v>
      </c>
      <c r="G488" s="4">
        <v>46918.500999999997</v>
      </c>
      <c r="H488" s="5">
        <f>339 / 86400</f>
        <v>3.9236111111111112E-3</v>
      </c>
      <c r="I488" t="s">
        <v>174</v>
      </c>
      <c r="J488" t="s">
        <v>57</v>
      </c>
      <c r="K488" s="5">
        <f>462 / 86400</f>
        <v>5.347222222222222E-3</v>
      </c>
      <c r="L488" s="5">
        <f>1810 / 86400</f>
        <v>2.0949074074074075E-2</v>
      </c>
    </row>
    <row r="489" spans="1:12" x14ac:dyDescent="0.25">
      <c r="A489" s="3">
        <v>45703.376956018517</v>
      </c>
      <c r="B489" t="s">
        <v>50</v>
      </c>
      <c r="C489" s="3">
        <v>45703.379976851851</v>
      </c>
      <c r="D489" t="s">
        <v>84</v>
      </c>
      <c r="E489" s="4">
        <v>0.91400000000000003</v>
      </c>
      <c r="F489" s="4">
        <v>46918.500999999997</v>
      </c>
      <c r="G489" s="4">
        <v>46919.415000000001</v>
      </c>
      <c r="H489" s="5">
        <f>80 / 86400</f>
        <v>9.2592592592592596E-4</v>
      </c>
      <c r="I489" t="s">
        <v>226</v>
      </c>
      <c r="J489" t="s">
        <v>122</v>
      </c>
      <c r="K489" s="5">
        <f>260 / 86400</f>
        <v>3.0092592592592593E-3</v>
      </c>
      <c r="L489" s="5">
        <f>617 / 86400</f>
        <v>7.1412037037037034E-3</v>
      </c>
    </row>
    <row r="490" spans="1:12" x14ac:dyDescent="0.25">
      <c r="A490" s="3">
        <v>45703.387118055558</v>
      </c>
      <c r="B490" t="s">
        <v>84</v>
      </c>
      <c r="C490" s="3">
        <v>45703.393055555556</v>
      </c>
      <c r="D490" t="s">
        <v>144</v>
      </c>
      <c r="E490" s="4">
        <v>5.3999999999999999E-2</v>
      </c>
      <c r="F490" s="4">
        <v>46919.415000000001</v>
      </c>
      <c r="G490" s="4">
        <v>46919.468999999997</v>
      </c>
      <c r="H490" s="5">
        <f>459 / 86400</f>
        <v>5.3125000000000004E-3</v>
      </c>
      <c r="I490" t="s">
        <v>134</v>
      </c>
      <c r="J490" t="s">
        <v>44</v>
      </c>
      <c r="K490" s="5">
        <f>513 / 86400</f>
        <v>5.9375000000000001E-3</v>
      </c>
      <c r="L490" s="5">
        <f>2 / 86400</f>
        <v>2.3148148148148147E-5</v>
      </c>
    </row>
    <row r="491" spans="1:12" x14ac:dyDescent="0.25">
      <c r="A491" s="3">
        <v>45703.393078703702</v>
      </c>
      <c r="B491" t="s">
        <v>144</v>
      </c>
      <c r="C491" s="3">
        <v>45703.408206018517</v>
      </c>
      <c r="D491" t="s">
        <v>84</v>
      </c>
      <c r="E491" s="4">
        <v>6.5000000000000002E-2</v>
      </c>
      <c r="F491" s="4">
        <v>46919.468999999997</v>
      </c>
      <c r="G491" s="4">
        <v>46919.534</v>
      </c>
      <c r="H491" s="5">
        <f>1244 / 86400</f>
        <v>1.4398148148148148E-2</v>
      </c>
      <c r="I491" t="s">
        <v>60</v>
      </c>
      <c r="J491" t="s">
        <v>44</v>
      </c>
      <c r="K491" s="5">
        <f>1307 / 86400</f>
        <v>1.5127314814814816E-2</v>
      </c>
      <c r="L491" s="5">
        <f>9 / 86400</f>
        <v>1.0416666666666667E-4</v>
      </c>
    </row>
    <row r="492" spans="1:12" x14ac:dyDescent="0.25">
      <c r="A492" s="3">
        <v>45703.408310185187</v>
      </c>
      <c r="B492" t="s">
        <v>84</v>
      </c>
      <c r="C492" s="3">
        <v>45703.416412037041</v>
      </c>
      <c r="D492" t="s">
        <v>144</v>
      </c>
      <c r="E492" s="4">
        <v>0.14899999999999999</v>
      </c>
      <c r="F492" s="4">
        <v>46919.534</v>
      </c>
      <c r="G492" s="4">
        <v>46919.682999999997</v>
      </c>
      <c r="H492" s="5">
        <f>582 / 86400</f>
        <v>6.7361111111111111E-3</v>
      </c>
      <c r="I492" t="s">
        <v>150</v>
      </c>
      <c r="J492" t="s">
        <v>43</v>
      </c>
      <c r="K492" s="5">
        <f>700 / 86400</f>
        <v>8.1018518518518514E-3</v>
      </c>
      <c r="L492" s="5">
        <f>2 / 86400</f>
        <v>2.3148148148148147E-5</v>
      </c>
    </row>
    <row r="493" spans="1:12" x14ac:dyDescent="0.25">
      <c r="A493" s="3">
        <v>45703.416435185187</v>
      </c>
      <c r="B493" t="s">
        <v>144</v>
      </c>
      <c r="C493" s="3">
        <v>45703.418240740742</v>
      </c>
      <c r="D493" t="s">
        <v>144</v>
      </c>
      <c r="E493" s="4">
        <v>0</v>
      </c>
      <c r="F493" s="4">
        <v>46919.686999999998</v>
      </c>
      <c r="G493" s="4">
        <v>46919.686999999998</v>
      </c>
      <c r="H493" s="5">
        <f>153 / 86400</f>
        <v>1.7708333333333332E-3</v>
      </c>
      <c r="I493" t="s">
        <v>57</v>
      </c>
      <c r="J493" t="s">
        <v>44</v>
      </c>
      <c r="K493" s="5">
        <f>156 / 86400</f>
        <v>1.8055555555555555E-3</v>
      </c>
      <c r="L493" s="5">
        <f>2063 / 86400</f>
        <v>2.3877314814814816E-2</v>
      </c>
    </row>
    <row r="494" spans="1:12" x14ac:dyDescent="0.25">
      <c r="A494" s="3">
        <v>45703.442118055551</v>
      </c>
      <c r="B494" t="s">
        <v>144</v>
      </c>
      <c r="C494" s="3">
        <v>45703.442256944443</v>
      </c>
      <c r="D494" t="s">
        <v>144</v>
      </c>
      <c r="E494" s="4">
        <v>0</v>
      </c>
      <c r="F494" s="4">
        <v>46919.686999999998</v>
      </c>
      <c r="G494" s="4">
        <v>46919.686999999998</v>
      </c>
      <c r="H494" s="5">
        <f>0 / 86400</f>
        <v>0</v>
      </c>
      <c r="I494" t="s">
        <v>44</v>
      </c>
      <c r="J494" t="s">
        <v>44</v>
      </c>
      <c r="K494" s="5">
        <f>11 / 86400</f>
        <v>1.273148148148148E-4</v>
      </c>
      <c r="L494" s="5">
        <f>304 / 86400</f>
        <v>3.5185185185185185E-3</v>
      </c>
    </row>
    <row r="495" spans="1:12" x14ac:dyDescent="0.25">
      <c r="A495" s="3">
        <v>45703.445775462962</v>
      </c>
      <c r="B495" t="s">
        <v>144</v>
      </c>
      <c r="C495" s="3">
        <v>45703.445960648147</v>
      </c>
      <c r="D495" t="s">
        <v>144</v>
      </c>
      <c r="E495" s="4">
        <v>0</v>
      </c>
      <c r="F495" s="4">
        <v>46919.686999999998</v>
      </c>
      <c r="G495" s="4">
        <v>46919.686999999998</v>
      </c>
      <c r="H495" s="5">
        <f>0 / 86400</f>
        <v>0</v>
      </c>
      <c r="I495" t="s">
        <v>44</v>
      </c>
      <c r="J495" t="s">
        <v>44</v>
      </c>
      <c r="K495" s="5">
        <f>15 / 86400</f>
        <v>1.7361111111111112E-4</v>
      </c>
      <c r="L495" s="5">
        <f>1635 / 86400</f>
        <v>1.892361111111111E-2</v>
      </c>
    </row>
    <row r="496" spans="1:12" x14ac:dyDescent="0.25">
      <c r="A496" s="3">
        <v>45703.464884259258</v>
      </c>
      <c r="B496" t="s">
        <v>144</v>
      </c>
      <c r="C496" s="3">
        <v>45703.531157407408</v>
      </c>
      <c r="D496" t="s">
        <v>171</v>
      </c>
      <c r="E496" s="4">
        <v>33.302999999999997</v>
      </c>
      <c r="F496" s="4">
        <v>46919.686999999998</v>
      </c>
      <c r="G496" s="4">
        <v>46952.99</v>
      </c>
      <c r="H496" s="5">
        <f>1440 / 86400</f>
        <v>1.6666666666666666E-2</v>
      </c>
      <c r="I496" t="s">
        <v>35</v>
      </c>
      <c r="J496" t="s">
        <v>202</v>
      </c>
      <c r="K496" s="5">
        <f>5725 / 86400</f>
        <v>6.626157407407407E-2</v>
      </c>
      <c r="L496" s="5">
        <f>77 / 86400</f>
        <v>8.9120370370370373E-4</v>
      </c>
    </row>
    <row r="497" spans="1:12" x14ac:dyDescent="0.25">
      <c r="A497" s="3">
        <v>45703.532048611116</v>
      </c>
      <c r="B497" t="s">
        <v>171</v>
      </c>
      <c r="C497" s="3">
        <v>45703.540231481486</v>
      </c>
      <c r="D497" t="s">
        <v>18</v>
      </c>
      <c r="E497" s="4">
        <v>7.4999999999999997E-2</v>
      </c>
      <c r="F497" s="4">
        <v>46952.99</v>
      </c>
      <c r="G497" s="4">
        <v>46953.065000000002</v>
      </c>
      <c r="H497" s="5">
        <f>619 / 86400</f>
        <v>7.1643518518518514E-3</v>
      </c>
      <c r="I497" t="s">
        <v>57</v>
      </c>
      <c r="J497" t="s">
        <v>44</v>
      </c>
      <c r="K497" s="5">
        <f>706 / 86400</f>
        <v>8.1712962962962963E-3</v>
      </c>
      <c r="L497" s="5">
        <f>2 / 86400</f>
        <v>2.3148148148148147E-5</v>
      </c>
    </row>
    <row r="498" spans="1:12" x14ac:dyDescent="0.25">
      <c r="A498" s="3">
        <v>45703.540254629625</v>
      </c>
      <c r="B498" t="s">
        <v>18</v>
      </c>
      <c r="C498" s="3">
        <v>45703.553796296299</v>
      </c>
      <c r="D498" t="s">
        <v>228</v>
      </c>
      <c r="E498" s="4">
        <v>3.1659999999999999</v>
      </c>
      <c r="F498" s="4">
        <v>46953.065000000002</v>
      </c>
      <c r="G498" s="4">
        <v>46956.231</v>
      </c>
      <c r="H498" s="5">
        <f>613 / 86400</f>
        <v>7.0949074074074074E-3</v>
      </c>
      <c r="I498" t="s">
        <v>229</v>
      </c>
      <c r="J498" t="s">
        <v>130</v>
      </c>
      <c r="K498" s="5">
        <f>1170 / 86400</f>
        <v>1.3541666666666667E-2</v>
      </c>
      <c r="L498" s="5">
        <f>72 / 86400</f>
        <v>8.3333333333333339E-4</v>
      </c>
    </row>
    <row r="499" spans="1:12" x14ac:dyDescent="0.25">
      <c r="A499" s="3">
        <v>45703.554629629631</v>
      </c>
      <c r="B499" t="s">
        <v>228</v>
      </c>
      <c r="C499" s="3">
        <v>45703.597800925927</v>
      </c>
      <c r="D499" t="s">
        <v>230</v>
      </c>
      <c r="E499" s="4">
        <v>20.530999999999999</v>
      </c>
      <c r="F499" s="4">
        <v>46956.231</v>
      </c>
      <c r="G499" s="4">
        <v>46976.762000000002</v>
      </c>
      <c r="H499" s="5">
        <f>1019 / 86400</f>
        <v>1.1793981481481482E-2</v>
      </c>
      <c r="I499" t="s">
        <v>184</v>
      </c>
      <c r="J499" t="s">
        <v>23</v>
      </c>
      <c r="K499" s="5">
        <f>3729 / 86400</f>
        <v>4.3159722222222224E-2</v>
      </c>
      <c r="L499" s="5">
        <f>414 / 86400</f>
        <v>4.7916666666666663E-3</v>
      </c>
    </row>
    <row r="500" spans="1:12" x14ac:dyDescent="0.25">
      <c r="A500" s="3">
        <v>45703.602592592593</v>
      </c>
      <c r="B500" t="s">
        <v>230</v>
      </c>
      <c r="C500" s="3">
        <v>45703.612337962964</v>
      </c>
      <c r="D500" t="s">
        <v>37</v>
      </c>
      <c r="E500" s="4">
        <v>5.1790000000000003</v>
      </c>
      <c r="F500" s="4">
        <v>46976.762000000002</v>
      </c>
      <c r="G500" s="4">
        <v>46981.940999999999</v>
      </c>
      <c r="H500" s="5">
        <f>180 / 86400</f>
        <v>2.0833333333333333E-3</v>
      </c>
      <c r="I500" t="s">
        <v>196</v>
      </c>
      <c r="J500" t="s">
        <v>145</v>
      </c>
      <c r="K500" s="5">
        <f>842 / 86400</f>
        <v>9.7453703703703695E-3</v>
      </c>
      <c r="L500" s="5">
        <f>23010 / 86400</f>
        <v>0.26631944444444444</v>
      </c>
    </row>
    <row r="501" spans="1:12" x14ac:dyDescent="0.25">
      <c r="A501" s="3">
        <v>45703.878657407404</v>
      </c>
      <c r="B501" t="s">
        <v>37</v>
      </c>
      <c r="C501" s="3">
        <v>45703.89130787037</v>
      </c>
      <c r="D501" t="s">
        <v>231</v>
      </c>
      <c r="E501" s="4">
        <v>0.94599999999999995</v>
      </c>
      <c r="F501" s="4">
        <v>46981.940999999999</v>
      </c>
      <c r="G501" s="4">
        <v>46982.887000000002</v>
      </c>
      <c r="H501" s="5">
        <f>739 / 86400</f>
        <v>8.5532407407407415E-3</v>
      </c>
      <c r="I501" t="s">
        <v>160</v>
      </c>
      <c r="J501" t="s">
        <v>139</v>
      </c>
      <c r="K501" s="5">
        <f>1093 / 86400</f>
        <v>1.2650462962962962E-2</v>
      </c>
      <c r="L501" s="5">
        <f>1547 / 86400</f>
        <v>1.7905092592592594E-2</v>
      </c>
    </row>
    <row r="502" spans="1:12" x14ac:dyDescent="0.25">
      <c r="A502" s="3">
        <v>45703.909212962964</v>
      </c>
      <c r="B502" t="s">
        <v>232</v>
      </c>
      <c r="C502" s="3">
        <v>45703.99998842593</v>
      </c>
      <c r="D502" t="s">
        <v>79</v>
      </c>
      <c r="E502" s="4">
        <v>115.92700000000001</v>
      </c>
      <c r="F502" s="4">
        <v>46982.887000000002</v>
      </c>
      <c r="G502" s="4">
        <v>47098.813999999998</v>
      </c>
      <c r="H502" s="5">
        <f>839 / 86400</f>
        <v>9.7106481481481488E-3</v>
      </c>
      <c r="I502" t="s">
        <v>22</v>
      </c>
      <c r="J502" t="s">
        <v>218</v>
      </c>
      <c r="K502" s="5">
        <f>7843 / 86400</f>
        <v>9.0775462962962961E-2</v>
      </c>
      <c r="L502" s="5">
        <f>0 / 86400</f>
        <v>0</v>
      </c>
    </row>
    <row r="503" spans="1:1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 spans="1:1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2" s="10" customFormat="1" ht="20.100000000000001" customHeight="1" x14ac:dyDescent="0.35">
      <c r="A505" s="15" t="s">
        <v>311</v>
      </c>
      <c r="B505" s="15"/>
      <c r="C505" s="15"/>
      <c r="D505" s="15"/>
      <c r="E505" s="15"/>
      <c r="F505" s="15"/>
      <c r="G505" s="15"/>
      <c r="H505" s="15"/>
      <c r="I505" s="15"/>
      <c r="J505" s="15"/>
    </row>
    <row r="506" spans="1:12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2" ht="30" x14ac:dyDescent="0.25">
      <c r="A507" s="2" t="s">
        <v>6</v>
      </c>
      <c r="B507" s="2" t="s">
        <v>7</v>
      </c>
      <c r="C507" s="2" t="s">
        <v>8</v>
      </c>
      <c r="D507" s="2" t="s">
        <v>9</v>
      </c>
      <c r="E507" s="2" t="s">
        <v>10</v>
      </c>
      <c r="F507" s="2" t="s">
        <v>11</v>
      </c>
      <c r="G507" s="2" t="s">
        <v>12</v>
      </c>
      <c r="H507" s="2" t="s">
        <v>13</v>
      </c>
      <c r="I507" s="2" t="s">
        <v>14</v>
      </c>
      <c r="J507" s="2" t="s">
        <v>15</v>
      </c>
      <c r="K507" s="2" t="s">
        <v>16</v>
      </c>
      <c r="L507" s="2" t="s">
        <v>17</v>
      </c>
    </row>
    <row r="508" spans="1:12" x14ac:dyDescent="0.25">
      <c r="A508" s="3">
        <v>45703.236828703702</v>
      </c>
      <c r="B508" t="s">
        <v>81</v>
      </c>
      <c r="C508" s="3">
        <v>45703.402094907404</v>
      </c>
      <c r="D508" t="s">
        <v>46</v>
      </c>
      <c r="E508" s="4">
        <v>82.930999999999997</v>
      </c>
      <c r="F508" s="4">
        <v>528380.15300000005</v>
      </c>
      <c r="G508" s="4">
        <v>528463.08400000003</v>
      </c>
      <c r="H508" s="5">
        <f>4200 / 86400</f>
        <v>4.8611111111111112E-2</v>
      </c>
      <c r="I508" t="s">
        <v>111</v>
      </c>
      <c r="J508" t="s">
        <v>202</v>
      </c>
      <c r="K508" s="5">
        <f>14278 / 86400</f>
        <v>0.16525462962962964</v>
      </c>
      <c r="L508" s="5">
        <f>22361 / 86400</f>
        <v>0.2588078703703704</v>
      </c>
    </row>
    <row r="509" spans="1:12" x14ac:dyDescent="0.25">
      <c r="A509" s="3">
        <v>45703.424074074079</v>
      </c>
      <c r="B509" t="s">
        <v>46</v>
      </c>
      <c r="C509" s="3">
        <v>45703.425254629634</v>
      </c>
      <c r="D509" t="s">
        <v>46</v>
      </c>
      <c r="E509" s="4">
        <v>0.19199999988079072</v>
      </c>
      <c r="F509" s="4">
        <v>528463.08400000003</v>
      </c>
      <c r="G509" s="4">
        <v>528463.27599999995</v>
      </c>
      <c r="H509" s="5">
        <f>20 / 86400</f>
        <v>2.3148148148148149E-4</v>
      </c>
      <c r="I509" t="s">
        <v>202</v>
      </c>
      <c r="J509" t="s">
        <v>60</v>
      </c>
      <c r="K509" s="5">
        <f>101 / 86400</f>
        <v>1.1689814814814816E-3</v>
      </c>
      <c r="L509" s="5">
        <f>2225 / 86400</f>
        <v>2.5752314814814815E-2</v>
      </c>
    </row>
    <row r="510" spans="1:12" x14ac:dyDescent="0.25">
      <c r="A510" s="3">
        <v>45703.451006944444</v>
      </c>
      <c r="B510" t="s">
        <v>46</v>
      </c>
      <c r="C510" s="3">
        <v>45703.452372685184</v>
      </c>
      <c r="D510" t="s">
        <v>46</v>
      </c>
      <c r="E510" s="4">
        <v>4.7000000059604648E-2</v>
      </c>
      <c r="F510" s="4">
        <v>528463.27599999995</v>
      </c>
      <c r="G510" s="4">
        <v>528463.32299999997</v>
      </c>
      <c r="H510" s="5">
        <f>59 / 86400</f>
        <v>6.8287037037037036E-4</v>
      </c>
      <c r="I510" t="s">
        <v>134</v>
      </c>
      <c r="J510" t="s">
        <v>43</v>
      </c>
      <c r="K510" s="5">
        <f>118 / 86400</f>
        <v>1.3657407407407407E-3</v>
      </c>
      <c r="L510" s="5">
        <f>434 / 86400</f>
        <v>5.0231481481481481E-3</v>
      </c>
    </row>
    <row r="511" spans="1:12" x14ac:dyDescent="0.25">
      <c r="A511" s="3">
        <v>45703.457395833335</v>
      </c>
      <c r="B511" t="s">
        <v>46</v>
      </c>
      <c r="C511" s="3">
        <v>45703.461377314816</v>
      </c>
      <c r="D511" t="s">
        <v>126</v>
      </c>
      <c r="E511" s="4">
        <v>0.92</v>
      </c>
      <c r="F511" s="4">
        <v>528463.32299999997</v>
      </c>
      <c r="G511" s="4">
        <v>528464.24300000002</v>
      </c>
      <c r="H511" s="5">
        <f>100 / 86400</f>
        <v>1.1574074074074073E-3</v>
      </c>
      <c r="I511" t="s">
        <v>127</v>
      </c>
      <c r="J511" t="s">
        <v>130</v>
      </c>
      <c r="K511" s="5">
        <f>344 / 86400</f>
        <v>3.9814814814814817E-3</v>
      </c>
      <c r="L511" s="5">
        <f>266 / 86400</f>
        <v>3.0787037037037037E-3</v>
      </c>
    </row>
    <row r="512" spans="1:12" x14ac:dyDescent="0.25">
      <c r="A512" s="3">
        <v>45703.464456018519</v>
      </c>
      <c r="B512" t="s">
        <v>126</v>
      </c>
      <c r="C512" s="3">
        <v>45703.59438657407</v>
      </c>
      <c r="D512" t="s">
        <v>233</v>
      </c>
      <c r="E512" s="4">
        <v>49.652999999940398</v>
      </c>
      <c r="F512" s="4">
        <v>528464.24300000002</v>
      </c>
      <c r="G512" s="4">
        <v>528513.89599999995</v>
      </c>
      <c r="H512" s="5">
        <f>4660 / 86400</f>
        <v>5.3935185185185183E-2</v>
      </c>
      <c r="I512" t="s">
        <v>215</v>
      </c>
      <c r="J512" t="s">
        <v>36</v>
      </c>
      <c r="K512" s="5">
        <f>11225 / 86400</f>
        <v>0.12991898148148148</v>
      </c>
      <c r="L512" s="5">
        <f>73 / 86400</f>
        <v>8.4490740740740739E-4</v>
      </c>
    </row>
    <row r="513" spans="1:12" x14ac:dyDescent="0.25">
      <c r="A513" s="3">
        <v>45703.595231481479</v>
      </c>
      <c r="B513" t="s">
        <v>234</v>
      </c>
      <c r="C513" s="3">
        <v>45703.715104166666</v>
      </c>
      <c r="D513" t="s">
        <v>119</v>
      </c>
      <c r="E513" s="4">
        <v>46.122000000119208</v>
      </c>
      <c r="F513" s="4">
        <v>528513.89599999995</v>
      </c>
      <c r="G513" s="4">
        <v>528560.01800000004</v>
      </c>
      <c r="H513" s="5">
        <f>4280 / 86400</f>
        <v>4.9537037037037039E-2</v>
      </c>
      <c r="I513" t="s">
        <v>215</v>
      </c>
      <c r="J513" t="s">
        <v>36</v>
      </c>
      <c r="K513" s="5">
        <f>10357 / 86400</f>
        <v>0.11987268518518518</v>
      </c>
      <c r="L513" s="5">
        <f>460 / 86400</f>
        <v>5.324074074074074E-3</v>
      </c>
    </row>
    <row r="514" spans="1:12" x14ac:dyDescent="0.25">
      <c r="A514" s="3">
        <v>45703.72042824074</v>
      </c>
      <c r="B514" t="s">
        <v>119</v>
      </c>
      <c r="C514" s="3">
        <v>45703.830335648148</v>
      </c>
      <c r="D514" t="s">
        <v>235</v>
      </c>
      <c r="E514" s="4">
        <v>36.875</v>
      </c>
      <c r="F514" s="4">
        <v>528560.01800000004</v>
      </c>
      <c r="G514" s="4">
        <v>528596.89300000004</v>
      </c>
      <c r="H514" s="5">
        <f>4459 / 86400</f>
        <v>5.1608796296296298E-2</v>
      </c>
      <c r="I514" t="s">
        <v>82</v>
      </c>
      <c r="J514" t="s">
        <v>88</v>
      </c>
      <c r="K514" s="5">
        <f>9495 / 86400</f>
        <v>0.10989583333333333</v>
      </c>
      <c r="L514" s="5">
        <f>500 / 86400</f>
        <v>5.7870370370370367E-3</v>
      </c>
    </row>
    <row r="515" spans="1:12" x14ac:dyDescent="0.25">
      <c r="A515" s="3">
        <v>45703.836122685185</v>
      </c>
      <c r="B515" t="s">
        <v>236</v>
      </c>
      <c r="C515" s="3">
        <v>45703.91569444444</v>
      </c>
      <c r="D515" t="s">
        <v>237</v>
      </c>
      <c r="E515" s="4">
        <v>36.224999999940394</v>
      </c>
      <c r="F515" s="4">
        <v>528596.89300000004</v>
      </c>
      <c r="G515" s="4">
        <v>528633.11800000002</v>
      </c>
      <c r="H515" s="5">
        <f>2278 / 86400</f>
        <v>2.6365740740740742E-2</v>
      </c>
      <c r="I515" t="s">
        <v>35</v>
      </c>
      <c r="J515" t="s">
        <v>26</v>
      </c>
      <c r="K515" s="5">
        <f>6875 / 86400</f>
        <v>7.9571759259259259E-2</v>
      </c>
      <c r="L515" s="5">
        <f>3910 / 86400</f>
        <v>4.5254629629629631E-2</v>
      </c>
    </row>
    <row r="516" spans="1:12" x14ac:dyDescent="0.25">
      <c r="A516" s="3">
        <v>45703.96094907407</v>
      </c>
      <c r="B516" t="s">
        <v>237</v>
      </c>
      <c r="C516" s="3">
        <v>45703.961168981477</v>
      </c>
      <c r="D516" t="s">
        <v>237</v>
      </c>
      <c r="E516" s="4">
        <v>0</v>
      </c>
      <c r="F516" s="4">
        <v>528633.11800000002</v>
      </c>
      <c r="G516" s="4">
        <v>528633.11800000002</v>
      </c>
      <c r="H516" s="5">
        <f>0 / 86400</f>
        <v>0</v>
      </c>
      <c r="I516" t="s">
        <v>44</v>
      </c>
      <c r="J516" t="s">
        <v>44</v>
      </c>
      <c r="K516" s="5">
        <f>19 / 86400</f>
        <v>2.199074074074074E-4</v>
      </c>
      <c r="L516" s="5">
        <f>290 / 86400</f>
        <v>3.3564814814814816E-3</v>
      </c>
    </row>
    <row r="517" spans="1:12" x14ac:dyDescent="0.25">
      <c r="A517" s="3">
        <v>45703.964525462958</v>
      </c>
      <c r="B517" t="s">
        <v>237</v>
      </c>
      <c r="C517" s="3">
        <v>45703.964629629627</v>
      </c>
      <c r="D517" t="s">
        <v>237</v>
      </c>
      <c r="E517" s="4">
        <v>2E-3</v>
      </c>
      <c r="F517" s="4">
        <v>528633.11800000002</v>
      </c>
      <c r="G517" s="4">
        <v>528633.12</v>
      </c>
      <c r="H517" s="5">
        <f>0 / 86400</f>
        <v>0</v>
      </c>
      <c r="I517" t="s">
        <v>44</v>
      </c>
      <c r="J517" t="s">
        <v>43</v>
      </c>
      <c r="K517" s="5">
        <f>9 / 86400</f>
        <v>1.0416666666666667E-4</v>
      </c>
      <c r="L517" s="5">
        <f>245 / 86400</f>
        <v>2.8356481481481483E-3</v>
      </c>
    </row>
    <row r="518" spans="1:12" x14ac:dyDescent="0.25">
      <c r="A518" s="3">
        <v>45703.967465277776</v>
      </c>
      <c r="B518" t="s">
        <v>237</v>
      </c>
      <c r="C518" s="3">
        <v>45703.968124999999</v>
      </c>
      <c r="D518" t="s">
        <v>237</v>
      </c>
      <c r="E518" s="4">
        <v>1.2E-2</v>
      </c>
      <c r="F518" s="4">
        <v>528633.12</v>
      </c>
      <c r="G518" s="4">
        <v>528633.13199999998</v>
      </c>
      <c r="H518" s="5">
        <f>39 / 86400</f>
        <v>4.5138888888888887E-4</v>
      </c>
      <c r="I518" t="s">
        <v>43</v>
      </c>
      <c r="J518" t="s">
        <v>43</v>
      </c>
      <c r="K518" s="5">
        <f>56 / 86400</f>
        <v>6.4814814814814813E-4</v>
      </c>
      <c r="L518" s="5">
        <f>302 / 86400</f>
        <v>3.4953703703703705E-3</v>
      </c>
    </row>
    <row r="519" spans="1:12" x14ac:dyDescent="0.25">
      <c r="A519" s="3">
        <v>45703.971620370372</v>
      </c>
      <c r="B519" t="s">
        <v>237</v>
      </c>
      <c r="C519" s="3">
        <v>45703.971759259264</v>
      </c>
      <c r="D519" t="s">
        <v>237</v>
      </c>
      <c r="E519" s="4">
        <v>4.0000000596046451E-3</v>
      </c>
      <c r="F519" s="4">
        <v>528633.13199999998</v>
      </c>
      <c r="G519" s="4">
        <v>528633.13600000006</v>
      </c>
      <c r="H519" s="5">
        <f>0 / 86400</f>
        <v>0</v>
      </c>
      <c r="I519" t="s">
        <v>44</v>
      </c>
      <c r="J519" t="s">
        <v>43</v>
      </c>
      <c r="K519" s="5">
        <f>11 / 86400</f>
        <v>1.273148148148148E-4</v>
      </c>
      <c r="L519" s="5">
        <f>312 / 86400</f>
        <v>3.6111111111111109E-3</v>
      </c>
    </row>
    <row r="520" spans="1:12" x14ac:dyDescent="0.25">
      <c r="A520" s="3">
        <v>45703.975370370375</v>
      </c>
      <c r="B520" t="s">
        <v>237</v>
      </c>
      <c r="C520" s="3">
        <v>45703.99998842593</v>
      </c>
      <c r="D520" t="s">
        <v>74</v>
      </c>
      <c r="E520" s="4">
        <v>9.6949999999403946</v>
      </c>
      <c r="F520" s="4">
        <v>528633.13600000006</v>
      </c>
      <c r="G520" s="4">
        <v>528642.83100000001</v>
      </c>
      <c r="H520" s="5">
        <f>1079 / 86400</f>
        <v>1.2488425925925925E-2</v>
      </c>
      <c r="I520" t="s">
        <v>117</v>
      </c>
      <c r="J520" t="s">
        <v>36</v>
      </c>
      <c r="K520" s="5">
        <f>2127 / 86400</f>
        <v>2.4618055555555556E-2</v>
      </c>
      <c r="L520" s="5">
        <f>0 / 86400</f>
        <v>0</v>
      </c>
    </row>
    <row r="521" spans="1:12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</row>
    <row r="522" spans="1:12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</row>
    <row r="523" spans="1:12" s="10" customFormat="1" ht="20.100000000000001" customHeight="1" x14ac:dyDescent="0.35">
      <c r="A523" s="15" t="s">
        <v>312</v>
      </c>
      <c r="B523" s="15"/>
      <c r="C523" s="15"/>
      <c r="D523" s="15"/>
      <c r="E523" s="15"/>
      <c r="F523" s="15"/>
      <c r="G523" s="15"/>
      <c r="H523" s="15"/>
      <c r="I523" s="15"/>
      <c r="J523" s="15"/>
    </row>
    <row r="524" spans="1:12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</row>
    <row r="525" spans="1:12" ht="30" x14ac:dyDescent="0.25">
      <c r="A525" s="2" t="s">
        <v>6</v>
      </c>
      <c r="B525" s="2" t="s">
        <v>7</v>
      </c>
      <c r="C525" s="2" t="s">
        <v>8</v>
      </c>
      <c r="D525" s="2" t="s">
        <v>9</v>
      </c>
      <c r="E525" s="2" t="s">
        <v>10</v>
      </c>
      <c r="F525" s="2" t="s">
        <v>11</v>
      </c>
      <c r="G525" s="2" t="s">
        <v>12</v>
      </c>
      <c r="H525" s="2" t="s">
        <v>13</v>
      </c>
      <c r="I525" s="2" t="s">
        <v>14</v>
      </c>
      <c r="J525" s="2" t="s">
        <v>15</v>
      </c>
      <c r="K525" s="2" t="s">
        <v>16</v>
      </c>
      <c r="L525" s="2" t="s">
        <v>17</v>
      </c>
    </row>
    <row r="526" spans="1:12" x14ac:dyDescent="0.25">
      <c r="A526" s="3">
        <v>45703.217430555553</v>
      </c>
      <c r="B526" t="s">
        <v>37</v>
      </c>
      <c r="C526" s="3">
        <v>45703.218842592592</v>
      </c>
      <c r="D526" t="s">
        <v>238</v>
      </c>
      <c r="E526" s="4">
        <v>0.40500000000000003</v>
      </c>
      <c r="F526" s="4">
        <v>568366.67599999998</v>
      </c>
      <c r="G526" s="4">
        <v>568367.08100000001</v>
      </c>
      <c r="H526" s="5">
        <f>19 / 86400</f>
        <v>2.199074074074074E-4</v>
      </c>
      <c r="I526" t="s">
        <v>76</v>
      </c>
      <c r="J526" t="s">
        <v>77</v>
      </c>
      <c r="K526" s="5">
        <f>121 / 86400</f>
        <v>1.4004629629629629E-3</v>
      </c>
      <c r="L526" s="5">
        <f>18853 / 86400</f>
        <v>0.21820601851851851</v>
      </c>
    </row>
    <row r="527" spans="1:12" x14ac:dyDescent="0.25">
      <c r="A527" s="3">
        <v>45703.219618055555</v>
      </c>
      <c r="B527" t="s">
        <v>239</v>
      </c>
      <c r="C527" s="3">
        <v>45703.222326388888</v>
      </c>
      <c r="D527" t="s">
        <v>239</v>
      </c>
      <c r="E527" s="4">
        <v>8.0000000000000002E-3</v>
      </c>
      <c r="F527" s="4">
        <v>568367.08100000001</v>
      </c>
      <c r="G527" s="4">
        <v>568367.08900000004</v>
      </c>
      <c r="H527" s="5">
        <f>199 / 86400</f>
        <v>2.3032407407407407E-3</v>
      </c>
      <c r="I527" t="s">
        <v>135</v>
      </c>
      <c r="J527" t="s">
        <v>44</v>
      </c>
      <c r="K527" s="5">
        <f>234 / 86400</f>
        <v>2.7083333333333334E-3</v>
      </c>
      <c r="L527" s="5">
        <f>148 / 86400</f>
        <v>1.712962962962963E-3</v>
      </c>
    </row>
    <row r="528" spans="1:12" x14ac:dyDescent="0.25">
      <c r="A528" s="3">
        <v>45703.224039351851</v>
      </c>
      <c r="B528" t="s">
        <v>239</v>
      </c>
      <c r="C528" s="3">
        <v>45703.22446759259</v>
      </c>
      <c r="D528" t="s">
        <v>239</v>
      </c>
      <c r="E528" s="4">
        <v>4.0000000000000001E-3</v>
      </c>
      <c r="F528" s="4">
        <v>568367.08900000004</v>
      </c>
      <c r="G528" s="4">
        <v>568367.09299999999</v>
      </c>
      <c r="H528" s="5">
        <f>19 / 86400</f>
        <v>2.199074074074074E-4</v>
      </c>
      <c r="I528" t="s">
        <v>44</v>
      </c>
      <c r="J528" t="s">
        <v>44</v>
      </c>
      <c r="K528" s="5">
        <f>37 / 86400</f>
        <v>4.2824074074074075E-4</v>
      </c>
      <c r="L528" s="5">
        <f>465 / 86400</f>
        <v>5.3819444444444444E-3</v>
      </c>
    </row>
    <row r="529" spans="1:12" x14ac:dyDescent="0.25">
      <c r="A529" s="3">
        <v>45703.229849537034</v>
      </c>
      <c r="B529" t="s">
        <v>239</v>
      </c>
      <c r="C529" s="3">
        <v>45703.313275462962</v>
      </c>
      <c r="D529" t="s">
        <v>240</v>
      </c>
      <c r="E529" s="4">
        <v>31.489000000000001</v>
      </c>
      <c r="F529" s="4">
        <v>568367.09299999999</v>
      </c>
      <c r="G529" s="4">
        <v>568398.58200000005</v>
      </c>
      <c r="H529" s="5">
        <f>2739 / 86400</f>
        <v>3.170138888888889E-2</v>
      </c>
      <c r="I529" t="s">
        <v>164</v>
      </c>
      <c r="J529" t="s">
        <v>36</v>
      </c>
      <c r="K529" s="5">
        <f>7208 / 86400</f>
        <v>8.3425925925925931E-2</v>
      </c>
      <c r="L529" s="5">
        <f>107 / 86400</f>
        <v>1.238425925925926E-3</v>
      </c>
    </row>
    <row r="530" spans="1:12" x14ac:dyDescent="0.25">
      <c r="A530" s="3">
        <v>45703.314513888894</v>
      </c>
      <c r="B530" t="s">
        <v>240</v>
      </c>
      <c r="C530" s="3">
        <v>45703.442905092597</v>
      </c>
      <c r="D530" t="s">
        <v>46</v>
      </c>
      <c r="E530" s="4">
        <v>50.03</v>
      </c>
      <c r="F530" s="4">
        <v>568398.58200000005</v>
      </c>
      <c r="G530" s="4">
        <v>568448.61199999996</v>
      </c>
      <c r="H530" s="5">
        <f>3819 / 86400</f>
        <v>4.4201388888888887E-2</v>
      </c>
      <c r="I530" t="s">
        <v>161</v>
      </c>
      <c r="J530" t="s">
        <v>36</v>
      </c>
      <c r="K530" s="5">
        <f>11093 / 86400</f>
        <v>0.12839120370370372</v>
      </c>
      <c r="L530" s="5">
        <f>2929 / 86400</f>
        <v>3.3900462962962966E-2</v>
      </c>
    </row>
    <row r="531" spans="1:12" x14ac:dyDescent="0.25">
      <c r="A531" s="3">
        <v>45703.476805555554</v>
      </c>
      <c r="B531" t="s">
        <v>46</v>
      </c>
      <c r="C531" s="3">
        <v>45703.603020833332</v>
      </c>
      <c r="D531" t="s">
        <v>199</v>
      </c>
      <c r="E531" s="4">
        <v>50.276000000000003</v>
      </c>
      <c r="F531" s="4">
        <v>568448.61199999996</v>
      </c>
      <c r="G531" s="4">
        <v>568498.88800000004</v>
      </c>
      <c r="H531" s="5">
        <f>3720 / 86400</f>
        <v>4.3055555555555555E-2</v>
      </c>
      <c r="I531" t="s">
        <v>38</v>
      </c>
      <c r="J531" t="s">
        <v>33</v>
      </c>
      <c r="K531" s="5">
        <f>10905 / 86400</f>
        <v>0.12621527777777777</v>
      </c>
      <c r="L531" s="5">
        <f>34 / 86400</f>
        <v>3.9351851851851852E-4</v>
      </c>
    </row>
    <row r="532" spans="1:12" x14ac:dyDescent="0.25">
      <c r="A532" s="3">
        <v>45703.603414351848</v>
      </c>
      <c r="B532" t="s">
        <v>199</v>
      </c>
      <c r="C532" s="3">
        <v>45703.60465277778</v>
      </c>
      <c r="D532" t="s">
        <v>241</v>
      </c>
      <c r="E532" s="4">
        <v>6.4000000000000001E-2</v>
      </c>
      <c r="F532" s="4">
        <v>568498.88800000004</v>
      </c>
      <c r="G532" s="4">
        <v>568498.95200000005</v>
      </c>
      <c r="H532" s="5">
        <f>60 / 86400</f>
        <v>6.9444444444444447E-4</v>
      </c>
      <c r="I532" t="s">
        <v>138</v>
      </c>
      <c r="J532" t="s">
        <v>135</v>
      </c>
      <c r="K532" s="5">
        <f>107 / 86400</f>
        <v>1.238425925925926E-3</v>
      </c>
      <c r="L532" s="5">
        <f>306 / 86400</f>
        <v>3.5416666666666665E-3</v>
      </c>
    </row>
    <row r="533" spans="1:12" x14ac:dyDescent="0.25">
      <c r="A533" s="3">
        <v>45703.608194444445</v>
      </c>
      <c r="B533" t="s">
        <v>221</v>
      </c>
      <c r="C533" s="3">
        <v>45703.609178240746</v>
      </c>
      <c r="D533" t="s">
        <v>221</v>
      </c>
      <c r="E533" s="4">
        <v>6.0000000000000001E-3</v>
      </c>
      <c r="F533" s="4">
        <v>568498.95200000005</v>
      </c>
      <c r="G533" s="4">
        <v>568498.95799999998</v>
      </c>
      <c r="H533" s="5">
        <f>59 / 86400</f>
        <v>6.8287037037037036E-4</v>
      </c>
      <c r="I533" t="s">
        <v>135</v>
      </c>
      <c r="J533" t="s">
        <v>44</v>
      </c>
      <c r="K533" s="5">
        <f>85 / 86400</f>
        <v>9.837962962962962E-4</v>
      </c>
      <c r="L533" s="5">
        <f>108 / 86400</f>
        <v>1.25E-3</v>
      </c>
    </row>
    <row r="534" spans="1:12" x14ac:dyDescent="0.25">
      <c r="A534" s="3">
        <v>45703.61042824074</v>
      </c>
      <c r="B534" t="s">
        <v>221</v>
      </c>
      <c r="C534" s="3">
        <v>45703.80086805555</v>
      </c>
      <c r="D534" t="s">
        <v>177</v>
      </c>
      <c r="E534" s="4">
        <v>65.891999999999996</v>
      </c>
      <c r="F534" s="4">
        <v>568498.95799999998</v>
      </c>
      <c r="G534" s="4">
        <v>568564.85</v>
      </c>
      <c r="H534" s="5">
        <f>6400 / 86400</f>
        <v>7.407407407407407E-2</v>
      </c>
      <c r="I534" t="s">
        <v>242</v>
      </c>
      <c r="J534" t="s">
        <v>88</v>
      </c>
      <c r="K534" s="5">
        <f>16454 / 86400</f>
        <v>0.19043981481481481</v>
      </c>
      <c r="L534" s="5">
        <f>295 / 86400</f>
        <v>3.414351851851852E-3</v>
      </c>
    </row>
    <row r="535" spans="1:12" x14ac:dyDescent="0.25">
      <c r="A535" s="3">
        <v>45703.804282407407</v>
      </c>
      <c r="B535" t="s">
        <v>177</v>
      </c>
      <c r="C535" s="3">
        <v>45703.805879629625</v>
      </c>
      <c r="D535" t="s">
        <v>177</v>
      </c>
      <c r="E535" s="4">
        <v>0.14299999999999999</v>
      </c>
      <c r="F535" s="4">
        <v>568564.85</v>
      </c>
      <c r="G535" s="4">
        <v>568564.99300000002</v>
      </c>
      <c r="H535" s="5">
        <f>79 / 86400</f>
        <v>9.1435185185185185E-4</v>
      </c>
      <c r="I535" t="s">
        <v>122</v>
      </c>
      <c r="J535" t="s">
        <v>154</v>
      </c>
      <c r="K535" s="5">
        <f>138 / 86400</f>
        <v>1.5972222222222223E-3</v>
      </c>
      <c r="L535" s="5">
        <f>406 / 86400</f>
        <v>4.6990740740740743E-3</v>
      </c>
    </row>
    <row r="536" spans="1:12" x14ac:dyDescent="0.25">
      <c r="A536" s="3">
        <v>45703.810578703706</v>
      </c>
      <c r="B536" t="s">
        <v>177</v>
      </c>
      <c r="C536" s="3">
        <v>45703.818495370375</v>
      </c>
      <c r="D536" t="s">
        <v>27</v>
      </c>
      <c r="E536" s="4">
        <v>2.3050000000000002</v>
      </c>
      <c r="F536" s="4">
        <v>568564.99300000002</v>
      </c>
      <c r="G536" s="4">
        <v>568567.29799999995</v>
      </c>
      <c r="H536" s="5">
        <f>169 / 86400</f>
        <v>1.9560185185185184E-3</v>
      </c>
      <c r="I536" t="s">
        <v>148</v>
      </c>
      <c r="J536" t="s">
        <v>77</v>
      </c>
      <c r="K536" s="5">
        <f>684 / 86400</f>
        <v>7.9166666666666673E-3</v>
      </c>
      <c r="L536" s="5">
        <f>445 / 86400</f>
        <v>5.1504629629629626E-3</v>
      </c>
    </row>
    <row r="537" spans="1:12" x14ac:dyDescent="0.25">
      <c r="A537" s="3">
        <v>45703.823645833334</v>
      </c>
      <c r="B537" t="s">
        <v>27</v>
      </c>
      <c r="C537" s="3">
        <v>45703.824467592596</v>
      </c>
      <c r="D537" t="s">
        <v>27</v>
      </c>
      <c r="E537" s="4">
        <v>0.129</v>
      </c>
      <c r="F537" s="4">
        <v>568567.29799999995</v>
      </c>
      <c r="G537" s="4">
        <v>568567.42700000003</v>
      </c>
      <c r="H537" s="5">
        <f>0 / 86400</f>
        <v>0</v>
      </c>
      <c r="I537" t="s">
        <v>138</v>
      </c>
      <c r="J537" t="s">
        <v>60</v>
      </c>
      <c r="K537" s="5">
        <f>71 / 86400</f>
        <v>8.2175925925925927E-4</v>
      </c>
      <c r="L537" s="5">
        <f>1993 / 86400</f>
        <v>2.3067129629629628E-2</v>
      </c>
    </row>
    <row r="538" spans="1:12" x14ac:dyDescent="0.25">
      <c r="A538" s="3">
        <v>45703.847534722227</v>
      </c>
      <c r="B538" t="s">
        <v>27</v>
      </c>
      <c r="C538" s="3">
        <v>45703.848217592589</v>
      </c>
      <c r="D538" t="s">
        <v>27</v>
      </c>
      <c r="E538" s="4">
        <v>3.5999999999999997E-2</v>
      </c>
      <c r="F538" s="4">
        <v>568567.42700000003</v>
      </c>
      <c r="G538" s="4">
        <v>568567.46299999999</v>
      </c>
      <c r="H538" s="5">
        <f>39 / 86400</f>
        <v>4.5138888888888887E-4</v>
      </c>
      <c r="I538" t="s">
        <v>57</v>
      </c>
      <c r="J538" t="s">
        <v>135</v>
      </c>
      <c r="K538" s="5">
        <f>59 / 86400</f>
        <v>6.8287037037037036E-4</v>
      </c>
      <c r="L538" s="5">
        <f>13113 / 86400</f>
        <v>0.15177083333333333</v>
      </c>
    </row>
    <row r="539" spans="1:1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 spans="1:12" s="10" customFormat="1" ht="20.100000000000001" customHeight="1" x14ac:dyDescent="0.35">
      <c r="A541" s="15" t="s">
        <v>313</v>
      </c>
      <c r="B541" s="15"/>
      <c r="C541" s="15"/>
      <c r="D541" s="15"/>
      <c r="E541" s="15"/>
      <c r="F541" s="15"/>
      <c r="G541" s="15"/>
      <c r="H541" s="15"/>
      <c r="I541" s="15"/>
      <c r="J541" s="15"/>
    </row>
    <row r="542" spans="1:1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2" ht="30" x14ac:dyDescent="0.25">
      <c r="A543" s="2" t="s">
        <v>6</v>
      </c>
      <c r="B543" s="2" t="s">
        <v>7</v>
      </c>
      <c r="C543" s="2" t="s">
        <v>8</v>
      </c>
      <c r="D543" s="2" t="s">
        <v>9</v>
      </c>
      <c r="E543" s="2" t="s">
        <v>10</v>
      </c>
      <c r="F543" s="2" t="s">
        <v>11</v>
      </c>
      <c r="G543" s="2" t="s">
        <v>12</v>
      </c>
      <c r="H543" s="2" t="s">
        <v>13</v>
      </c>
      <c r="I543" s="2" t="s">
        <v>14</v>
      </c>
      <c r="J543" s="2" t="s">
        <v>15</v>
      </c>
      <c r="K543" s="2" t="s">
        <v>16</v>
      </c>
      <c r="L543" s="2" t="s">
        <v>17</v>
      </c>
    </row>
    <row r="544" spans="1:12" x14ac:dyDescent="0.25">
      <c r="A544" s="3">
        <v>45703.254270833335</v>
      </c>
      <c r="B544" t="s">
        <v>83</v>
      </c>
      <c r="C544" s="3">
        <v>45703.260196759264</v>
      </c>
      <c r="D544" t="s">
        <v>228</v>
      </c>
      <c r="E544" s="4">
        <v>2.15</v>
      </c>
      <c r="F544" s="4">
        <v>435715.05300000001</v>
      </c>
      <c r="G544" s="4">
        <v>435717.20299999998</v>
      </c>
      <c r="H544" s="5">
        <f>139 / 86400</f>
        <v>1.6087962962962963E-3</v>
      </c>
      <c r="I544" t="s">
        <v>180</v>
      </c>
      <c r="J544" t="s">
        <v>29</v>
      </c>
      <c r="K544" s="5">
        <f>511 / 86400</f>
        <v>5.9143518518518521E-3</v>
      </c>
      <c r="L544" s="5">
        <f>22247 / 86400</f>
        <v>0.25748842592592591</v>
      </c>
    </row>
    <row r="545" spans="1:12" x14ac:dyDescent="0.25">
      <c r="A545" s="3">
        <v>45703.263414351852</v>
      </c>
      <c r="B545" t="s">
        <v>228</v>
      </c>
      <c r="C545" s="3">
        <v>45703.327476851853</v>
      </c>
      <c r="D545" t="s">
        <v>243</v>
      </c>
      <c r="E545" s="4">
        <v>35.210999999999999</v>
      </c>
      <c r="F545" s="4">
        <v>435717.20299999998</v>
      </c>
      <c r="G545" s="4">
        <v>435752.41399999999</v>
      </c>
      <c r="H545" s="5">
        <f>1059 / 86400</f>
        <v>1.2256944444444445E-2</v>
      </c>
      <c r="I545" t="s">
        <v>32</v>
      </c>
      <c r="J545" t="s">
        <v>80</v>
      </c>
      <c r="K545" s="5">
        <f>5534 / 86400</f>
        <v>6.4050925925925928E-2</v>
      </c>
      <c r="L545" s="5">
        <f>131 / 86400</f>
        <v>1.5162037037037036E-3</v>
      </c>
    </row>
    <row r="546" spans="1:12" x14ac:dyDescent="0.25">
      <c r="A546" s="3">
        <v>45703.328993055555</v>
      </c>
      <c r="B546" t="s">
        <v>243</v>
      </c>
      <c r="C546" s="3">
        <v>45703.330810185187</v>
      </c>
      <c r="D546" t="s">
        <v>126</v>
      </c>
      <c r="E546" s="4">
        <v>0.38800000000000001</v>
      </c>
      <c r="F546" s="4">
        <v>435752.41399999999</v>
      </c>
      <c r="G546" s="4">
        <v>435752.80200000003</v>
      </c>
      <c r="H546" s="5">
        <f>20 / 86400</f>
        <v>2.3148148148148149E-4</v>
      </c>
      <c r="I546" t="s">
        <v>80</v>
      </c>
      <c r="J546" t="s">
        <v>150</v>
      </c>
      <c r="K546" s="5">
        <f>157 / 86400</f>
        <v>1.8171296296296297E-3</v>
      </c>
      <c r="L546" s="5">
        <f>1334 / 86400</f>
        <v>1.5439814814814814E-2</v>
      </c>
    </row>
    <row r="547" spans="1:12" x14ac:dyDescent="0.25">
      <c r="A547" s="3">
        <v>45703.346250000002</v>
      </c>
      <c r="B547" t="s">
        <v>126</v>
      </c>
      <c r="C547" s="3">
        <v>45703.349375000005</v>
      </c>
      <c r="D547" t="s">
        <v>132</v>
      </c>
      <c r="E547" s="4">
        <v>0.66800000000000004</v>
      </c>
      <c r="F547" s="4">
        <v>435752.80200000003</v>
      </c>
      <c r="G547" s="4">
        <v>435753.47</v>
      </c>
      <c r="H547" s="5">
        <f>79 / 86400</f>
        <v>9.1435185185185185E-4</v>
      </c>
      <c r="I547" t="s">
        <v>202</v>
      </c>
      <c r="J547" t="s">
        <v>150</v>
      </c>
      <c r="K547" s="5">
        <f>270 / 86400</f>
        <v>3.1250000000000002E-3</v>
      </c>
      <c r="L547" s="5">
        <f>2760 / 86400</f>
        <v>3.1944444444444442E-2</v>
      </c>
    </row>
    <row r="548" spans="1:12" x14ac:dyDescent="0.25">
      <c r="A548" s="3">
        <v>45703.381319444445</v>
      </c>
      <c r="B548" t="s">
        <v>132</v>
      </c>
      <c r="C548" s="3">
        <v>45703.61791666667</v>
      </c>
      <c r="D548" t="s">
        <v>84</v>
      </c>
      <c r="E548" s="4">
        <v>99.861000000000004</v>
      </c>
      <c r="F548" s="4">
        <v>435753.47</v>
      </c>
      <c r="G548" s="4">
        <v>435853.33100000001</v>
      </c>
      <c r="H548" s="5">
        <f>5900 / 86400</f>
        <v>6.8287037037037035E-2</v>
      </c>
      <c r="I548" t="s">
        <v>85</v>
      </c>
      <c r="J548" t="s">
        <v>20</v>
      </c>
      <c r="K548" s="5">
        <f>20441 / 86400</f>
        <v>0.23658564814814814</v>
      </c>
      <c r="L548" s="5">
        <f>8027 / 86400</f>
        <v>9.2905092592592595E-2</v>
      </c>
    </row>
    <row r="549" spans="1:12" x14ac:dyDescent="0.25">
      <c r="A549" s="3">
        <v>45703.710821759261</v>
      </c>
      <c r="B549" t="s">
        <v>84</v>
      </c>
      <c r="C549" s="3">
        <v>45703.711655092593</v>
      </c>
      <c r="D549" t="s">
        <v>84</v>
      </c>
      <c r="E549" s="4">
        <v>2.7E-2</v>
      </c>
      <c r="F549" s="4">
        <v>435853.33100000001</v>
      </c>
      <c r="G549" s="4">
        <v>435853.35800000001</v>
      </c>
      <c r="H549" s="5">
        <f>0 / 86400</f>
        <v>0</v>
      </c>
      <c r="I549" t="s">
        <v>60</v>
      </c>
      <c r="J549" t="s">
        <v>43</v>
      </c>
      <c r="K549" s="5">
        <f>72 / 86400</f>
        <v>8.3333333333333339E-4</v>
      </c>
      <c r="L549" s="5">
        <f>763 / 86400</f>
        <v>8.8310185185185193E-3</v>
      </c>
    </row>
    <row r="550" spans="1:12" x14ac:dyDescent="0.25">
      <c r="A550" s="3">
        <v>45703.720486111109</v>
      </c>
      <c r="B550" t="s">
        <v>84</v>
      </c>
      <c r="C550" s="3">
        <v>45703.80395833333</v>
      </c>
      <c r="D550" t="s">
        <v>71</v>
      </c>
      <c r="E550" s="4">
        <v>26.818999999999999</v>
      </c>
      <c r="F550" s="4">
        <v>435853.35800000001</v>
      </c>
      <c r="G550" s="4">
        <v>435880.17700000003</v>
      </c>
      <c r="H550" s="5">
        <f>2938 / 86400</f>
        <v>3.4004629629629628E-2</v>
      </c>
      <c r="I550" t="s">
        <v>242</v>
      </c>
      <c r="J550" t="s">
        <v>122</v>
      </c>
      <c r="K550" s="5">
        <f>7212 / 86400</f>
        <v>8.3472222222222225E-2</v>
      </c>
      <c r="L550" s="5">
        <f>16937 / 86400</f>
        <v>0.1960300925925926</v>
      </c>
    </row>
    <row r="551" spans="1:1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 spans="1:1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2" s="10" customFormat="1" ht="20.100000000000001" customHeight="1" x14ac:dyDescent="0.35">
      <c r="A553" s="15" t="s">
        <v>314</v>
      </c>
      <c r="B553" s="15"/>
      <c r="C553" s="15"/>
      <c r="D553" s="15"/>
      <c r="E553" s="15"/>
      <c r="F553" s="15"/>
      <c r="G553" s="15"/>
      <c r="H553" s="15"/>
      <c r="I553" s="15"/>
      <c r="J553" s="15"/>
    </row>
    <row r="554" spans="1:1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2" ht="30" x14ac:dyDescent="0.25">
      <c r="A555" s="2" t="s">
        <v>6</v>
      </c>
      <c r="B555" s="2" t="s">
        <v>7</v>
      </c>
      <c r="C555" s="2" t="s">
        <v>8</v>
      </c>
      <c r="D555" s="2" t="s">
        <v>9</v>
      </c>
      <c r="E555" s="2" t="s">
        <v>10</v>
      </c>
      <c r="F555" s="2" t="s">
        <v>11</v>
      </c>
      <c r="G555" s="2" t="s">
        <v>12</v>
      </c>
      <c r="H555" s="2" t="s">
        <v>13</v>
      </c>
      <c r="I555" s="2" t="s">
        <v>14</v>
      </c>
      <c r="J555" s="2" t="s">
        <v>15</v>
      </c>
      <c r="K555" s="2" t="s">
        <v>16</v>
      </c>
      <c r="L555" s="2" t="s">
        <v>17</v>
      </c>
    </row>
    <row r="556" spans="1:12" x14ac:dyDescent="0.25">
      <c r="A556" s="3">
        <v>45703.245196759264</v>
      </c>
      <c r="B556" t="s">
        <v>50</v>
      </c>
      <c r="C556" s="3">
        <v>45703.245324074072</v>
      </c>
      <c r="D556" t="s">
        <v>50</v>
      </c>
      <c r="E556" s="4">
        <v>0</v>
      </c>
      <c r="F556" s="4">
        <v>515827.64500000002</v>
      </c>
      <c r="G556" s="4">
        <v>515827.64500000002</v>
      </c>
      <c r="H556" s="5">
        <f>0 / 86400</f>
        <v>0</v>
      </c>
      <c r="I556" t="s">
        <v>44</v>
      </c>
      <c r="J556" t="s">
        <v>44</v>
      </c>
      <c r="K556" s="5">
        <f>11 / 86400</f>
        <v>1.273148148148148E-4</v>
      </c>
      <c r="L556" s="5">
        <f>21189 / 86400</f>
        <v>0.24524305555555556</v>
      </c>
    </row>
    <row r="557" spans="1:12" x14ac:dyDescent="0.25">
      <c r="A557" s="3">
        <v>45703.245370370365</v>
      </c>
      <c r="B557" t="s">
        <v>50</v>
      </c>
      <c r="C557" s="3">
        <v>45703.245891203704</v>
      </c>
      <c r="D557" t="s">
        <v>50</v>
      </c>
      <c r="E557" s="4">
        <v>1.6E-2</v>
      </c>
      <c r="F557" s="4">
        <v>515827.64500000002</v>
      </c>
      <c r="G557" s="4">
        <v>515827.66100000002</v>
      </c>
      <c r="H557" s="5">
        <f>15 / 86400</f>
        <v>1.7361111111111112E-4</v>
      </c>
      <c r="I557" t="s">
        <v>57</v>
      </c>
      <c r="J557" t="s">
        <v>43</v>
      </c>
      <c r="K557" s="5">
        <f>45 / 86400</f>
        <v>5.2083333333333333E-4</v>
      </c>
      <c r="L557" s="5">
        <f>9 / 86400</f>
        <v>1.0416666666666667E-4</v>
      </c>
    </row>
    <row r="558" spans="1:12" x14ac:dyDescent="0.25">
      <c r="A558" s="3">
        <v>45703.245995370366</v>
      </c>
      <c r="B558" t="s">
        <v>50</v>
      </c>
      <c r="C558" s="3">
        <v>45703.24600694445</v>
      </c>
      <c r="D558" t="s">
        <v>50</v>
      </c>
      <c r="E558" s="4">
        <v>0</v>
      </c>
      <c r="F558" s="4">
        <v>515827.66399999999</v>
      </c>
      <c r="G558" s="4">
        <v>515827.66399999999</v>
      </c>
      <c r="H558" s="5">
        <f>0 / 86400</f>
        <v>0</v>
      </c>
      <c r="I558" t="s">
        <v>134</v>
      </c>
      <c r="J558" t="s">
        <v>44</v>
      </c>
      <c r="K558" s="5">
        <f>1 / 86400</f>
        <v>1.1574074074074073E-5</v>
      </c>
      <c r="L558" s="5">
        <f>14 / 86400</f>
        <v>1.6203703703703703E-4</v>
      </c>
    </row>
    <row r="559" spans="1:12" x14ac:dyDescent="0.25">
      <c r="A559" s="3">
        <v>45703.246168981481</v>
      </c>
      <c r="B559" t="s">
        <v>50</v>
      </c>
      <c r="C559" s="3">
        <v>45703.246331018519</v>
      </c>
      <c r="D559" t="s">
        <v>50</v>
      </c>
      <c r="E559" s="4">
        <v>1.0999999999999999E-2</v>
      </c>
      <c r="F559" s="4">
        <v>515827.67</v>
      </c>
      <c r="G559" s="4">
        <v>515827.68099999998</v>
      </c>
      <c r="H559" s="5">
        <f>0 / 86400</f>
        <v>0</v>
      </c>
      <c r="I559" t="s">
        <v>57</v>
      </c>
      <c r="J559" t="s">
        <v>139</v>
      </c>
      <c r="K559" s="5">
        <f>14 / 86400</f>
        <v>1.6203703703703703E-4</v>
      </c>
      <c r="L559" s="5">
        <f>48 / 86400</f>
        <v>5.5555555555555556E-4</v>
      </c>
    </row>
    <row r="560" spans="1:12" x14ac:dyDescent="0.25">
      <c r="A560" s="3">
        <v>45703.246886574074</v>
      </c>
      <c r="B560" t="s">
        <v>244</v>
      </c>
      <c r="C560" s="3">
        <v>45703.247060185182</v>
      </c>
      <c r="D560" t="s">
        <v>50</v>
      </c>
      <c r="E560" s="4">
        <v>5.6000000000000001E-2</v>
      </c>
      <c r="F560" s="4">
        <v>515827.68800000002</v>
      </c>
      <c r="G560" s="4">
        <v>515827.74400000001</v>
      </c>
      <c r="H560" s="5">
        <f>0 / 86400</f>
        <v>0</v>
      </c>
      <c r="I560" t="s">
        <v>33</v>
      </c>
      <c r="J560" t="s">
        <v>122</v>
      </c>
      <c r="K560" s="5">
        <f>15 / 86400</f>
        <v>1.7361111111111112E-4</v>
      </c>
      <c r="L560" s="5">
        <f>12 / 86400</f>
        <v>1.3888888888888889E-4</v>
      </c>
    </row>
    <row r="561" spans="1:12" x14ac:dyDescent="0.25">
      <c r="A561" s="3">
        <v>45703.247199074074</v>
      </c>
      <c r="B561" t="s">
        <v>50</v>
      </c>
      <c r="C561" s="3">
        <v>45703.247291666667</v>
      </c>
      <c r="D561" t="s">
        <v>50</v>
      </c>
      <c r="E561" s="4">
        <v>3.4000000000000002E-2</v>
      </c>
      <c r="F561" s="4">
        <v>515827.75300000003</v>
      </c>
      <c r="G561" s="4">
        <v>515827.78700000001</v>
      </c>
      <c r="H561" s="5">
        <f>0 / 86400</f>
        <v>0</v>
      </c>
      <c r="I561" t="s">
        <v>23</v>
      </c>
      <c r="J561" t="s">
        <v>29</v>
      </c>
      <c r="K561" s="5">
        <f>8 / 86400</f>
        <v>9.2592592592592588E-5</v>
      </c>
      <c r="L561" s="5">
        <f>7 / 86400</f>
        <v>8.1018518518518516E-5</v>
      </c>
    </row>
    <row r="562" spans="1:12" x14ac:dyDescent="0.25">
      <c r="A562" s="3">
        <v>45703.247372685189</v>
      </c>
      <c r="B562" t="s">
        <v>244</v>
      </c>
      <c r="C562" s="3">
        <v>45703.357627314814</v>
      </c>
      <c r="D562" t="s">
        <v>245</v>
      </c>
      <c r="E562" s="4">
        <v>47.087000000000003</v>
      </c>
      <c r="F562" s="4">
        <v>515827.79100000003</v>
      </c>
      <c r="G562" s="4">
        <v>515874.87800000003</v>
      </c>
      <c r="H562" s="5">
        <f>3271 / 86400</f>
        <v>3.7858796296296293E-2</v>
      </c>
      <c r="I562" t="s">
        <v>85</v>
      </c>
      <c r="J562" t="s">
        <v>20</v>
      </c>
      <c r="K562" s="5">
        <f>9526 / 86400</f>
        <v>0.11025462962962963</v>
      </c>
      <c r="L562" s="5">
        <f>9 / 86400</f>
        <v>1.0416666666666667E-4</v>
      </c>
    </row>
    <row r="563" spans="1:12" x14ac:dyDescent="0.25">
      <c r="A563" s="3">
        <v>45703.357731481483</v>
      </c>
      <c r="B563" t="s">
        <v>246</v>
      </c>
      <c r="C563" s="3">
        <v>45703.495034722218</v>
      </c>
      <c r="D563" t="s">
        <v>133</v>
      </c>
      <c r="E563" s="4">
        <v>53.276000000000003</v>
      </c>
      <c r="F563" s="4">
        <v>515874.96399999998</v>
      </c>
      <c r="G563" s="4">
        <v>515928.24</v>
      </c>
      <c r="H563" s="5">
        <f>4201 / 86400</f>
        <v>4.8622685185185185E-2</v>
      </c>
      <c r="I563" t="s">
        <v>229</v>
      </c>
      <c r="J563" t="s">
        <v>36</v>
      </c>
      <c r="K563" s="5">
        <f>11863 / 86400</f>
        <v>0.13730324074074074</v>
      </c>
      <c r="L563" s="5">
        <f>17 / 86400</f>
        <v>1.9675925925925926E-4</v>
      </c>
    </row>
    <row r="564" spans="1:12" x14ac:dyDescent="0.25">
      <c r="A564" s="3">
        <v>45703.49523148148</v>
      </c>
      <c r="B564" t="s">
        <v>133</v>
      </c>
      <c r="C564" s="3">
        <v>45703.498564814814</v>
      </c>
      <c r="D564" t="s">
        <v>126</v>
      </c>
      <c r="E564" s="4">
        <v>0.86899999999999999</v>
      </c>
      <c r="F564" s="4">
        <v>515928.25</v>
      </c>
      <c r="G564" s="4">
        <v>515929.11900000001</v>
      </c>
      <c r="H564" s="5">
        <f>60 / 86400</f>
        <v>6.9444444444444447E-4</v>
      </c>
      <c r="I564" t="s">
        <v>247</v>
      </c>
      <c r="J564" t="s">
        <v>102</v>
      </c>
      <c r="K564" s="5">
        <f>288 / 86400</f>
        <v>3.3333333333333335E-3</v>
      </c>
      <c r="L564" s="5">
        <f>558 / 86400</f>
        <v>6.4583333333333333E-3</v>
      </c>
    </row>
    <row r="565" spans="1:12" x14ac:dyDescent="0.25">
      <c r="A565" s="3">
        <v>45703.505023148144</v>
      </c>
      <c r="B565" t="s">
        <v>126</v>
      </c>
      <c r="C565" s="3">
        <v>45703.50744212963</v>
      </c>
      <c r="D565" t="s">
        <v>50</v>
      </c>
      <c r="E565" s="4">
        <v>0.76300000000000001</v>
      </c>
      <c r="F565" s="4">
        <v>515929.11900000001</v>
      </c>
      <c r="G565" s="4">
        <v>515929.88199999998</v>
      </c>
      <c r="H565" s="5">
        <f>2 / 86400</f>
        <v>2.3148148148148147E-5</v>
      </c>
      <c r="I565" t="s">
        <v>127</v>
      </c>
      <c r="J565" t="s">
        <v>122</v>
      </c>
      <c r="K565" s="5">
        <f>209 / 86400</f>
        <v>2.4189814814814816E-3</v>
      </c>
      <c r="L565" s="5">
        <f>2021 / 86400</f>
        <v>2.3391203703703702E-2</v>
      </c>
    </row>
    <row r="566" spans="1:12" x14ac:dyDescent="0.25">
      <c r="A566" s="3">
        <v>45703.530833333338</v>
      </c>
      <c r="B566" t="s">
        <v>50</v>
      </c>
      <c r="C566" s="3">
        <v>45703.534317129626</v>
      </c>
      <c r="D566" t="s">
        <v>144</v>
      </c>
      <c r="E566" s="4">
        <v>0.86699999999999999</v>
      </c>
      <c r="F566" s="4">
        <v>515929.88199999998</v>
      </c>
      <c r="G566" s="4">
        <v>515930.74900000001</v>
      </c>
      <c r="H566" s="5">
        <f>89 / 86400</f>
        <v>1.0300925925925926E-3</v>
      </c>
      <c r="I566" t="s">
        <v>69</v>
      </c>
      <c r="J566" t="s">
        <v>130</v>
      </c>
      <c r="K566" s="5">
        <f>301 / 86400</f>
        <v>3.4837962962962965E-3</v>
      </c>
      <c r="L566" s="5">
        <f>604 / 86400</f>
        <v>6.9907407407407409E-3</v>
      </c>
    </row>
    <row r="567" spans="1:12" x14ac:dyDescent="0.25">
      <c r="A567" s="3">
        <v>45703.541307870371</v>
      </c>
      <c r="B567" t="s">
        <v>144</v>
      </c>
      <c r="C567" s="3">
        <v>45703.636423611111</v>
      </c>
      <c r="D567" t="s">
        <v>248</v>
      </c>
      <c r="E567" s="4">
        <v>43.533000000000001</v>
      </c>
      <c r="F567" s="4">
        <v>515930.74900000001</v>
      </c>
      <c r="G567" s="4">
        <v>515974.28200000001</v>
      </c>
      <c r="H567" s="5">
        <f>2819 / 86400</f>
        <v>3.2627314814814817E-2</v>
      </c>
      <c r="I567" t="s">
        <v>85</v>
      </c>
      <c r="J567" t="s">
        <v>26</v>
      </c>
      <c r="K567" s="5">
        <f>8218 / 86400</f>
        <v>9.5115740740740737E-2</v>
      </c>
      <c r="L567" s="5">
        <f>30 / 86400</f>
        <v>3.4722222222222224E-4</v>
      </c>
    </row>
    <row r="568" spans="1:12" x14ac:dyDescent="0.25">
      <c r="A568" s="3">
        <v>45703.636770833335</v>
      </c>
      <c r="B568" t="s">
        <v>249</v>
      </c>
      <c r="C568" s="3">
        <v>45703.672025462962</v>
      </c>
      <c r="D568" t="s">
        <v>199</v>
      </c>
      <c r="E568" s="4">
        <v>7.6539999999999999</v>
      </c>
      <c r="F568" s="4">
        <v>515974.397</v>
      </c>
      <c r="G568" s="4">
        <v>515982.05099999998</v>
      </c>
      <c r="H568" s="5">
        <f>1530 / 86400</f>
        <v>1.7708333333333333E-2</v>
      </c>
      <c r="I568" t="s">
        <v>85</v>
      </c>
      <c r="J568" t="s">
        <v>150</v>
      </c>
      <c r="K568" s="5">
        <f>3046 / 86400</f>
        <v>3.5254629629629629E-2</v>
      </c>
      <c r="L568" s="5">
        <f>641 / 86400</f>
        <v>7.4189814814814813E-3</v>
      </c>
    </row>
    <row r="569" spans="1:12" x14ac:dyDescent="0.25">
      <c r="A569" s="3">
        <v>45703.679444444446</v>
      </c>
      <c r="B569" t="s">
        <v>199</v>
      </c>
      <c r="C569" s="3">
        <v>45703.713275462964</v>
      </c>
      <c r="D569" t="s">
        <v>250</v>
      </c>
      <c r="E569" s="4">
        <v>8.0449999999999999</v>
      </c>
      <c r="F569" s="4">
        <v>515982.05099999998</v>
      </c>
      <c r="G569" s="4">
        <v>515990.09600000002</v>
      </c>
      <c r="H569" s="5">
        <f>1200 / 86400</f>
        <v>1.3888888888888888E-2</v>
      </c>
      <c r="I569" t="s">
        <v>59</v>
      </c>
      <c r="J569" t="s">
        <v>130</v>
      </c>
      <c r="K569" s="5">
        <f>2923 / 86400</f>
        <v>3.3831018518518517E-2</v>
      </c>
      <c r="L569" s="5">
        <f>2 / 86400</f>
        <v>2.3148148148148147E-5</v>
      </c>
    </row>
    <row r="570" spans="1:12" x14ac:dyDescent="0.25">
      <c r="A570" s="3">
        <v>45703.71329861111</v>
      </c>
      <c r="B570" t="s">
        <v>250</v>
      </c>
      <c r="C570" s="3">
        <v>45703.819618055553</v>
      </c>
      <c r="D570" t="s">
        <v>84</v>
      </c>
      <c r="E570" s="4">
        <v>43.844999999999999</v>
      </c>
      <c r="F570" s="4">
        <v>515990.10600000003</v>
      </c>
      <c r="G570" s="4">
        <v>516033.951</v>
      </c>
      <c r="H570" s="5">
        <f>2881 / 86400</f>
        <v>3.3344907407407406E-2</v>
      </c>
      <c r="I570" t="s">
        <v>35</v>
      </c>
      <c r="J570" t="s">
        <v>33</v>
      </c>
      <c r="K570" s="5">
        <f>9186 / 86400</f>
        <v>0.10631944444444444</v>
      </c>
      <c r="L570" s="5">
        <f>485 / 86400</f>
        <v>5.6134259259259262E-3</v>
      </c>
    </row>
    <row r="571" spans="1:12" x14ac:dyDescent="0.25">
      <c r="A571" s="3">
        <v>45703.825231481482</v>
      </c>
      <c r="B571" t="s">
        <v>84</v>
      </c>
      <c r="C571" s="3">
        <v>45703.828356481477</v>
      </c>
      <c r="D571" t="s">
        <v>144</v>
      </c>
      <c r="E571" s="4">
        <v>0.20499999999999999</v>
      </c>
      <c r="F571" s="4">
        <v>516033.951</v>
      </c>
      <c r="G571" s="4">
        <v>516034.15600000002</v>
      </c>
      <c r="H571" s="5">
        <f>181 / 86400</f>
        <v>2.0949074074074073E-3</v>
      </c>
      <c r="I571" t="s">
        <v>77</v>
      </c>
      <c r="J571" t="s">
        <v>139</v>
      </c>
      <c r="K571" s="5">
        <f>270 / 86400</f>
        <v>3.1250000000000002E-3</v>
      </c>
      <c r="L571" s="5">
        <f>552 / 86400</f>
        <v>6.3888888888888893E-3</v>
      </c>
    </row>
    <row r="572" spans="1:12" x14ac:dyDescent="0.25">
      <c r="A572" s="3">
        <v>45703.834745370375</v>
      </c>
      <c r="B572" t="s">
        <v>144</v>
      </c>
      <c r="C572" s="3">
        <v>45703.835601851853</v>
      </c>
      <c r="D572" t="s">
        <v>144</v>
      </c>
      <c r="E572" s="4">
        <v>0.13</v>
      </c>
      <c r="F572" s="4">
        <v>516034.15600000002</v>
      </c>
      <c r="G572" s="4">
        <v>516034.28600000002</v>
      </c>
      <c r="H572" s="5">
        <f>1 / 86400</f>
        <v>1.1574074074074073E-5</v>
      </c>
      <c r="I572" t="s">
        <v>77</v>
      </c>
      <c r="J572" t="s">
        <v>57</v>
      </c>
      <c r="K572" s="5">
        <f>74 / 86400</f>
        <v>8.564814814814815E-4</v>
      </c>
      <c r="L572" s="5">
        <f>4 / 86400</f>
        <v>4.6296296296296294E-5</v>
      </c>
    </row>
    <row r="573" spans="1:12" x14ac:dyDescent="0.25">
      <c r="A573" s="3">
        <v>45703.835648148146</v>
      </c>
      <c r="B573" t="s">
        <v>144</v>
      </c>
      <c r="C573" s="3">
        <v>45703.836284722223</v>
      </c>
      <c r="D573" t="s">
        <v>84</v>
      </c>
      <c r="E573" s="4">
        <v>0.26400000000000001</v>
      </c>
      <c r="F573" s="4">
        <v>516034.30099999998</v>
      </c>
      <c r="G573" s="4">
        <v>516034.565</v>
      </c>
      <c r="H573" s="5">
        <f>0 / 86400</f>
        <v>0</v>
      </c>
      <c r="I573" t="s">
        <v>23</v>
      </c>
      <c r="J573" t="s">
        <v>33</v>
      </c>
      <c r="K573" s="5">
        <f>55 / 86400</f>
        <v>6.3657407407407413E-4</v>
      </c>
      <c r="L573" s="5">
        <f>5 / 86400</f>
        <v>5.7870370370370373E-5</v>
      </c>
    </row>
    <row r="574" spans="1:12" x14ac:dyDescent="0.25">
      <c r="A574" s="3">
        <v>45703.836342592593</v>
      </c>
      <c r="B574" t="s">
        <v>84</v>
      </c>
      <c r="C574" s="3">
        <v>45703.836851851855</v>
      </c>
      <c r="D574" t="s">
        <v>84</v>
      </c>
      <c r="E574" s="4">
        <v>0.05</v>
      </c>
      <c r="F574" s="4">
        <v>516034.57500000001</v>
      </c>
      <c r="G574" s="4">
        <v>516034.625</v>
      </c>
      <c r="H574" s="5">
        <f>0 / 86400</f>
        <v>0</v>
      </c>
      <c r="I574" t="s">
        <v>102</v>
      </c>
      <c r="J574" t="s">
        <v>154</v>
      </c>
      <c r="K574" s="5">
        <f>44 / 86400</f>
        <v>5.0925925925925921E-4</v>
      </c>
      <c r="L574" s="5">
        <f>14095 / 86400</f>
        <v>0.16313657407407409</v>
      </c>
    </row>
    <row r="575" spans="1:12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</row>
    <row r="576" spans="1:1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2" s="10" customFormat="1" ht="20.100000000000001" customHeight="1" x14ac:dyDescent="0.35">
      <c r="A577" s="15" t="s">
        <v>315</v>
      </c>
      <c r="B577" s="15"/>
      <c r="C577" s="15"/>
      <c r="D577" s="15"/>
      <c r="E577" s="15"/>
      <c r="F577" s="15"/>
      <c r="G577" s="15"/>
      <c r="H577" s="15"/>
      <c r="I577" s="15"/>
      <c r="J577" s="15"/>
    </row>
    <row r="578" spans="1:12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</row>
    <row r="579" spans="1:12" ht="30" x14ac:dyDescent="0.25">
      <c r="A579" s="2" t="s">
        <v>6</v>
      </c>
      <c r="B579" s="2" t="s">
        <v>7</v>
      </c>
      <c r="C579" s="2" t="s">
        <v>8</v>
      </c>
      <c r="D579" s="2" t="s">
        <v>9</v>
      </c>
      <c r="E579" s="2" t="s">
        <v>10</v>
      </c>
      <c r="F579" s="2" t="s">
        <v>11</v>
      </c>
      <c r="G579" s="2" t="s">
        <v>12</v>
      </c>
      <c r="H579" s="2" t="s">
        <v>13</v>
      </c>
      <c r="I579" s="2" t="s">
        <v>14</v>
      </c>
      <c r="J579" s="2" t="s">
        <v>15</v>
      </c>
      <c r="K579" s="2" t="s">
        <v>16</v>
      </c>
      <c r="L579" s="2" t="s">
        <v>17</v>
      </c>
    </row>
    <row r="580" spans="1:12" x14ac:dyDescent="0.25">
      <c r="A580" s="3">
        <v>45703.239259259259</v>
      </c>
      <c r="B580" t="s">
        <v>86</v>
      </c>
      <c r="C580" s="3">
        <v>45703.547615740739</v>
      </c>
      <c r="D580" t="s">
        <v>126</v>
      </c>
      <c r="E580" s="4">
        <v>85.117999999999995</v>
      </c>
      <c r="F580" s="4">
        <v>505675.88799999998</v>
      </c>
      <c r="G580" s="4">
        <v>505761.00599999999</v>
      </c>
      <c r="H580" s="5">
        <f>14589 / 86400</f>
        <v>0.16885416666666667</v>
      </c>
      <c r="I580" t="s">
        <v>85</v>
      </c>
      <c r="J580" t="s">
        <v>77</v>
      </c>
      <c r="K580" s="5">
        <f>26642 / 86400</f>
        <v>0.30835648148148148</v>
      </c>
      <c r="L580" s="5">
        <f>20721 / 86400</f>
        <v>0.23982638888888888</v>
      </c>
    </row>
    <row r="581" spans="1:12" x14ac:dyDescent="0.25">
      <c r="A581" s="3">
        <v>45703.548182870371</v>
      </c>
      <c r="B581" t="s">
        <v>126</v>
      </c>
      <c r="C581" s="3">
        <v>45703.548217592594</v>
      </c>
      <c r="D581" t="s">
        <v>126</v>
      </c>
      <c r="E581" s="4">
        <v>0</v>
      </c>
      <c r="F581" s="4">
        <v>505761.00599999999</v>
      </c>
      <c r="G581" s="4">
        <v>505761.00599999999</v>
      </c>
      <c r="H581" s="5">
        <f>1 / 86400</f>
        <v>1.1574074074074073E-5</v>
      </c>
      <c r="I581" t="s">
        <v>44</v>
      </c>
      <c r="J581" t="s">
        <v>44</v>
      </c>
      <c r="K581" s="5">
        <f>2 / 86400</f>
        <v>2.3148148148148147E-5</v>
      </c>
      <c r="L581" s="5">
        <f>17 / 86400</f>
        <v>1.9675925925925926E-4</v>
      </c>
    </row>
    <row r="582" spans="1:12" x14ac:dyDescent="0.25">
      <c r="A582" s="3">
        <v>45703.548414351855</v>
      </c>
      <c r="B582" t="s">
        <v>126</v>
      </c>
      <c r="C582" s="3">
        <v>45703.828645833331</v>
      </c>
      <c r="D582" t="s">
        <v>87</v>
      </c>
      <c r="E582" s="4">
        <v>118.27800000000001</v>
      </c>
      <c r="F582" s="4">
        <v>505761.00599999999</v>
      </c>
      <c r="G582" s="4">
        <v>505879.28399999999</v>
      </c>
      <c r="H582" s="5">
        <f>8097 / 86400</f>
        <v>9.3715277777777772E-2</v>
      </c>
      <c r="I582" t="s">
        <v>32</v>
      </c>
      <c r="J582" t="s">
        <v>20</v>
      </c>
      <c r="K582" s="5">
        <f>24211 / 86400</f>
        <v>0.28021990740740743</v>
      </c>
      <c r="L582" s="5">
        <f>14804 / 86400</f>
        <v>0.1713425925925926</v>
      </c>
    </row>
    <row r="583" spans="1:1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 spans="1:1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 spans="1:12" s="10" customFormat="1" ht="20.100000000000001" customHeight="1" x14ac:dyDescent="0.35">
      <c r="A585" s="15" t="s">
        <v>316</v>
      </c>
      <c r="B585" s="15"/>
      <c r="C585" s="15"/>
      <c r="D585" s="15"/>
      <c r="E585" s="15"/>
      <c r="F585" s="15"/>
      <c r="G585" s="15"/>
      <c r="H585" s="15"/>
      <c r="I585" s="15"/>
      <c r="J585" s="15"/>
    </row>
    <row r="586" spans="1:1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2" ht="30" x14ac:dyDescent="0.25">
      <c r="A587" s="2" t="s">
        <v>6</v>
      </c>
      <c r="B587" s="2" t="s">
        <v>7</v>
      </c>
      <c r="C587" s="2" t="s">
        <v>8</v>
      </c>
      <c r="D587" s="2" t="s">
        <v>9</v>
      </c>
      <c r="E587" s="2" t="s">
        <v>10</v>
      </c>
      <c r="F587" s="2" t="s">
        <v>11</v>
      </c>
      <c r="G587" s="2" t="s">
        <v>12</v>
      </c>
      <c r="H587" s="2" t="s">
        <v>13</v>
      </c>
      <c r="I587" s="2" t="s">
        <v>14</v>
      </c>
      <c r="J587" s="2" t="s">
        <v>15</v>
      </c>
      <c r="K587" s="2" t="s">
        <v>16</v>
      </c>
      <c r="L587" s="2" t="s">
        <v>17</v>
      </c>
    </row>
    <row r="588" spans="1:12" x14ac:dyDescent="0.25">
      <c r="A588" s="3">
        <v>45703.217638888891</v>
      </c>
      <c r="B588" t="s">
        <v>89</v>
      </c>
      <c r="C588" s="3">
        <v>45703.217939814815</v>
      </c>
      <c r="D588" t="s">
        <v>89</v>
      </c>
      <c r="E588" s="4">
        <v>0</v>
      </c>
      <c r="F588" s="4">
        <v>411244.13699999999</v>
      </c>
      <c r="G588" s="4">
        <v>411244.13699999999</v>
      </c>
      <c r="H588" s="5">
        <f>19 / 86400</f>
        <v>2.199074074074074E-4</v>
      </c>
      <c r="I588" t="s">
        <v>44</v>
      </c>
      <c r="J588" t="s">
        <v>44</v>
      </c>
      <c r="K588" s="5">
        <f>25 / 86400</f>
        <v>2.8935185185185184E-4</v>
      </c>
      <c r="L588" s="5">
        <f>18849 / 86400</f>
        <v>0.21815972222222221</v>
      </c>
    </row>
    <row r="589" spans="1:12" x14ac:dyDescent="0.25">
      <c r="A589" s="3">
        <v>45703.218460648146</v>
      </c>
      <c r="B589" t="s">
        <v>89</v>
      </c>
      <c r="C589" s="3">
        <v>45703.233715277776</v>
      </c>
      <c r="D589" t="s">
        <v>223</v>
      </c>
      <c r="E589" s="4">
        <v>9.7520000000000007</v>
      </c>
      <c r="F589" s="4">
        <v>411244.13699999999</v>
      </c>
      <c r="G589" s="4">
        <v>411253.88900000002</v>
      </c>
      <c r="H589" s="5">
        <f>239 / 86400</f>
        <v>2.7662037037037039E-3</v>
      </c>
      <c r="I589" t="s">
        <v>170</v>
      </c>
      <c r="J589" t="s">
        <v>141</v>
      </c>
      <c r="K589" s="5">
        <f>1317 / 86400</f>
        <v>1.5243055555555555E-2</v>
      </c>
      <c r="L589" s="5">
        <f>964 / 86400</f>
        <v>1.1157407407407408E-2</v>
      </c>
    </row>
    <row r="590" spans="1:12" x14ac:dyDescent="0.25">
      <c r="A590" s="3">
        <v>45703.244872685187</v>
      </c>
      <c r="B590" t="s">
        <v>224</v>
      </c>
      <c r="C590" s="3">
        <v>45703.468124999999</v>
      </c>
      <c r="D590" t="s">
        <v>50</v>
      </c>
      <c r="E590" s="4">
        <v>85.754000000000005</v>
      </c>
      <c r="F590" s="4">
        <v>411253.88900000002</v>
      </c>
      <c r="G590" s="4">
        <v>411339.64299999998</v>
      </c>
      <c r="H590" s="5">
        <f>7197 / 86400</f>
        <v>8.3298611111111115E-2</v>
      </c>
      <c r="I590" t="s">
        <v>158</v>
      </c>
      <c r="J590" t="s">
        <v>36</v>
      </c>
      <c r="K590" s="5">
        <f>19288 / 86400</f>
        <v>0.22324074074074074</v>
      </c>
      <c r="L590" s="5">
        <f>1806 / 86400</f>
        <v>2.0902777777777777E-2</v>
      </c>
    </row>
    <row r="591" spans="1:12" x14ac:dyDescent="0.25">
      <c r="A591" s="3">
        <v>45703.489027777774</v>
      </c>
      <c r="B591" t="s">
        <v>50</v>
      </c>
      <c r="C591" s="3">
        <v>45703.492395833338</v>
      </c>
      <c r="D591" t="s">
        <v>126</v>
      </c>
      <c r="E591" s="4">
        <v>0.80400000000000005</v>
      </c>
      <c r="F591" s="4">
        <v>411339.64299999998</v>
      </c>
      <c r="G591" s="4">
        <v>411340.44699999999</v>
      </c>
      <c r="H591" s="5">
        <f>80 / 86400</f>
        <v>9.2592592592592596E-4</v>
      </c>
      <c r="I591" t="s">
        <v>202</v>
      </c>
      <c r="J591" t="s">
        <v>130</v>
      </c>
      <c r="K591" s="5">
        <f>290 / 86400</f>
        <v>3.3564814814814816E-3</v>
      </c>
      <c r="L591" s="5">
        <f>2236 / 86400</f>
        <v>2.5879629629629631E-2</v>
      </c>
    </row>
    <row r="592" spans="1:12" x14ac:dyDescent="0.25">
      <c r="A592" s="3">
        <v>45703.518275462964</v>
      </c>
      <c r="B592" t="s">
        <v>126</v>
      </c>
      <c r="C592" s="3">
        <v>45703.784895833334</v>
      </c>
      <c r="D592" t="s">
        <v>89</v>
      </c>
      <c r="E592" s="4">
        <v>112.78100000000001</v>
      </c>
      <c r="F592" s="4">
        <v>411340.44699999999</v>
      </c>
      <c r="G592" s="4">
        <v>411453.228</v>
      </c>
      <c r="H592" s="5">
        <f>6921 / 86400</f>
        <v>8.0104166666666671E-2</v>
      </c>
      <c r="I592" t="s">
        <v>28</v>
      </c>
      <c r="J592" t="s">
        <v>20</v>
      </c>
      <c r="K592" s="5">
        <f>23036 / 86400</f>
        <v>0.2666203703703704</v>
      </c>
      <c r="L592" s="5">
        <f>18584 / 86400</f>
        <v>0.21509259259259259</v>
      </c>
    </row>
    <row r="593" spans="1:1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</row>
    <row r="594" spans="1:1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2" s="10" customFormat="1" ht="20.100000000000001" customHeight="1" x14ac:dyDescent="0.35">
      <c r="A595" s="15" t="s">
        <v>317</v>
      </c>
      <c r="B595" s="15"/>
      <c r="C595" s="15"/>
      <c r="D595" s="15"/>
      <c r="E595" s="15"/>
      <c r="F595" s="15"/>
      <c r="G595" s="15"/>
      <c r="H595" s="15"/>
      <c r="I595" s="15"/>
      <c r="J595" s="15"/>
    </row>
    <row r="596" spans="1:1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2" ht="30" x14ac:dyDescent="0.25">
      <c r="A597" s="2" t="s">
        <v>6</v>
      </c>
      <c r="B597" s="2" t="s">
        <v>7</v>
      </c>
      <c r="C597" s="2" t="s">
        <v>8</v>
      </c>
      <c r="D597" s="2" t="s">
        <v>9</v>
      </c>
      <c r="E597" s="2" t="s">
        <v>10</v>
      </c>
      <c r="F597" s="2" t="s">
        <v>11</v>
      </c>
      <c r="G597" s="2" t="s">
        <v>12</v>
      </c>
      <c r="H597" s="2" t="s">
        <v>13</v>
      </c>
      <c r="I597" s="2" t="s">
        <v>14</v>
      </c>
      <c r="J597" s="2" t="s">
        <v>15</v>
      </c>
      <c r="K597" s="2" t="s">
        <v>16</v>
      </c>
      <c r="L597" s="2" t="s">
        <v>17</v>
      </c>
    </row>
    <row r="598" spans="1:12" x14ac:dyDescent="0.25">
      <c r="A598" s="3">
        <v>45703.151597222226</v>
      </c>
      <c r="B598" t="s">
        <v>27</v>
      </c>
      <c r="C598" s="3">
        <v>45703.225520833337</v>
      </c>
      <c r="D598" t="s">
        <v>199</v>
      </c>
      <c r="E598" s="4">
        <v>34.575000000000003</v>
      </c>
      <c r="F598" s="4">
        <v>442211.429</v>
      </c>
      <c r="G598" s="4">
        <v>442246.00400000002</v>
      </c>
      <c r="H598" s="5">
        <f>1405 / 86400</f>
        <v>1.6261574074074074E-2</v>
      </c>
      <c r="I598" t="s">
        <v>32</v>
      </c>
      <c r="J598" t="s">
        <v>26</v>
      </c>
      <c r="K598" s="5">
        <f>6387 / 86400</f>
        <v>7.3923611111111107E-2</v>
      </c>
      <c r="L598" s="5">
        <f>13753 / 86400</f>
        <v>0.15917824074074075</v>
      </c>
    </row>
    <row r="599" spans="1:12" x14ac:dyDescent="0.25">
      <c r="A599" s="3">
        <v>45703.233101851853</v>
      </c>
      <c r="B599" t="s">
        <v>199</v>
      </c>
      <c r="C599" s="3">
        <v>45703.337858796294</v>
      </c>
      <c r="D599" t="s">
        <v>126</v>
      </c>
      <c r="E599" s="4">
        <v>50.707000000000001</v>
      </c>
      <c r="F599" s="4">
        <v>442246.00400000002</v>
      </c>
      <c r="G599" s="4">
        <v>442296.71100000001</v>
      </c>
      <c r="H599" s="5">
        <f>1980 / 86400</f>
        <v>2.2916666666666665E-2</v>
      </c>
      <c r="I599" t="s">
        <v>58</v>
      </c>
      <c r="J599" t="s">
        <v>23</v>
      </c>
      <c r="K599" s="5">
        <f>9050 / 86400</f>
        <v>0.10474537037037036</v>
      </c>
      <c r="L599" s="5">
        <f>1877 / 86400</f>
        <v>2.1724537037037039E-2</v>
      </c>
    </row>
    <row r="600" spans="1:12" x14ac:dyDescent="0.25">
      <c r="A600" s="3">
        <v>45703.359583333338</v>
      </c>
      <c r="B600" t="s">
        <v>126</v>
      </c>
      <c r="C600" s="3">
        <v>45703.3668287037</v>
      </c>
      <c r="D600" t="s">
        <v>251</v>
      </c>
      <c r="E600" s="4">
        <v>1.444</v>
      </c>
      <c r="F600" s="4">
        <v>442296.71100000001</v>
      </c>
      <c r="G600" s="4">
        <v>442298.15500000003</v>
      </c>
      <c r="H600" s="5">
        <f>280 / 86400</f>
        <v>3.2407407407407406E-3</v>
      </c>
      <c r="I600" t="s">
        <v>76</v>
      </c>
      <c r="J600" t="s">
        <v>138</v>
      </c>
      <c r="K600" s="5">
        <f>625 / 86400</f>
        <v>7.2337962962962963E-3</v>
      </c>
      <c r="L600" s="5">
        <f>1902 / 86400</f>
        <v>2.2013888888888888E-2</v>
      </c>
    </row>
    <row r="601" spans="1:12" x14ac:dyDescent="0.25">
      <c r="A601" s="3">
        <v>45703.388842592598</v>
      </c>
      <c r="B601" t="s">
        <v>144</v>
      </c>
      <c r="C601" s="3">
        <v>45703.505578703705</v>
      </c>
      <c r="D601" t="s">
        <v>162</v>
      </c>
      <c r="E601" s="4">
        <v>48.915999999999997</v>
      </c>
      <c r="F601" s="4">
        <v>442298.15500000003</v>
      </c>
      <c r="G601" s="4">
        <v>442347.071</v>
      </c>
      <c r="H601" s="5">
        <f>3540 / 86400</f>
        <v>4.0972222222222222E-2</v>
      </c>
      <c r="I601" t="s">
        <v>73</v>
      </c>
      <c r="J601" t="s">
        <v>33</v>
      </c>
      <c r="K601" s="5">
        <f>10085 / 86400</f>
        <v>0.11672453703703704</v>
      </c>
      <c r="L601" s="5">
        <f>3407 / 86400</f>
        <v>3.9432870370370368E-2</v>
      </c>
    </row>
    <row r="602" spans="1:12" x14ac:dyDescent="0.25">
      <c r="A602" s="3">
        <v>45703.545011574075</v>
      </c>
      <c r="B602" t="s">
        <v>162</v>
      </c>
      <c r="C602" s="3">
        <v>45703.647326388891</v>
      </c>
      <c r="D602" t="s">
        <v>91</v>
      </c>
      <c r="E602" s="4">
        <v>31.291</v>
      </c>
      <c r="F602" s="4">
        <v>442347.071</v>
      </c>
      <c r="G602" s="4">
        <v>442378.36200000002</v>
      </c>
      <c r="H602" s="5">
        <f>2977 / 86400</f>
        <v>3.4456018518518518E-2</v>
      </c>
      <c r="I602" t="s">
        <v>229</v>
      </c>
      <c r="J602" t="s">
        <v>122</v>
      </c>
      <c r="K602" s="5">
        <f>8839 / 86400</f>
        <v>0.10230324074074074</v>
      </c>
      <c r="L602" s="5">
        <f>328 / 86400</f>
        <v>3.7962962962962963E-3</v>
      </c>
    </row>
    <row r="603" spans="1:12" x14ac:dyDescent="0.25">
      <c r="A603" s="3">
        <v>45703.651122685187</v>
      </c>
      <c r="B603" t="s">
        <v>91</v>
      </c>
      <c r="C603" s="3">
        <v>45703.66128472222</v>
      </c>
      <c r="D603" t="s">
        <v>24</v>
      </c>
      <c r="E603" s="4">
        <v>2.4369999999999998</v>
      </c>
      <c r="F603" s="4">
        <v>442378.36200000002</v>
      </c>
      <c r="G603" s="4">
        <v>442380.799</v>
      </c>
      <c r="H603" s="5">
        <f>279 / 86400</f>
        <v>3.2291666666666666E-3</v>
      </c>
      <c r="I603" t="s">
        <v>167</v>
      </c>
      <c r="J603" t="s">
        <v>130</v>
      </c>
      <c r="K603" s="5">
        <f>877 / 86400</f>
        <v>1.0150462962962964E-2</v>
      </c>
      <c r="L603" s="5">
        <f>77 / 86400</f>
        <v>8.9120370370370373E-4</v>
      </c>
    </row>
    <row r="604" spans="1:12" x14ac:dyDescent="0.25">
      <c r="A604" s="3">
        <v>45703.662175925929</v>
      </c>
      <c r="B604" t="s">
        <v>24</v>
      </c>
      <c r="C604" s="3">
        <v>45703.663483796292</v>
      </c>
      <c r="D604" t="s">
        <v>24</v>
      </c>
      <c r="E604" s="4">
        <v>0.122</v>
      </c>
      <c r="F604" s="4">
        <v>442380.799</v>
      </c>
      <c r="G604" s="4">
        <v>442380.92099999997</v>
      </c>
      <c r="H604" s="5">
        <f>40 / 86400</f>
        <v>4.6296296296296298E-4</v>
      </c>
      <c r="I604" t="s">
        <v>150</v>
      </c>
      <c r="J604" t="s">
        <v>154</v>
      </c>
      <c r="K604" s="5">
        <f>113 / 86400</f>
        <v>1.3078703703703703E-3</v>
      </c>
      <c r="L604" s="5">
        <f>960 / 86400</f>
        <v>1.1111111111111112E-2</v>
      </c>
    </row>
    <row r="605" spans="1:12" x14ac:dyDescent="0.25">
      <c r="A605" s="3">
        <v>45703.67459490741</v>
      </c>
      <c r="B605" t="s">
        <v>24</v>
      </c>
      <c r="C605" s="3">
        <v>45703.681192129632</v>
      </c>
      <c r="D605" t="s">
        <v>86</v>
      </c>
      <c r="E605" s="4">
        <v>2.0379999999999998</v>
      </c>
      <c r="F605" s="4">
        <v>442380.92099999997</v>
      </c>
      <c r="G605" s="4">
        <v>442382.95899999997</v>
      </c>
      <c r="H605" s="5">
        <f>100 / 86400</f>
        <v>1.1574074074074073E-3</v>
      </c>
      <c r="I605" t="s">
        <v>76</v>
      </c>
      <c r="J605" t="s">
        <v>122</v>
      </c>
      <c r="K605" s="5">
        <f>570 / 86400</f>
        <v>6.5972222222222222E-3</v>
      </c>
      <c r="L605" s="5">
        <f>2208 / 86400</f>
        <v>2.5555555555555557E-2</v>
      </c>
    </row>
    <row r="606" spans="1:12" x14ac:dyDescent="0.25">
      <c r="A606" s="3">
        <v>45703.706747685181</v>
      </c>
      <c r="B606" t="s">
        <v>86</v>
      </c>
      <c r="C606" s="3">
        <v>45703.710694444446</v>
      </c>
      <c r="D606" t="s">
        <v>24</v>
      </c>
      <c r="E606" s="4">
        <v>1.474</v>
      </c>
      <c r="F606" s="4">
        <v>442382.95899999997</v>
      </c>
      <c r="G606" s="4">
        <v>442384.43300000002</v>
      </c>
      <c r="H606" s="5">
        <f>20 / 86400</f>
        <v>2.3148148148148149E-4</v>
      </c>
      <c r="I606" t="s">
        <v>69</v>
      </c>
      <c r="J606" t="s">
        <v>36</v>
      </c>
      <c r="K606" s="5">
        <f>341 / 86400</f>
        <v>3.9467592592592592E-3</v>
      </c>
      <c r="L606" s="5">
        <f>7645 / 86400</f>
        <v>8.8483796296296297E-2</v>
      </c>
    </row>
    <row r="607" spans="1:12" x14ac:dyDescent="0.25">
      <c r="A607" s="3">
        <v>45703.799178240741</v>
      </c>
      <c r="B607" t="s">
        <v>24</v>
      </c>
      <c r="C607" s="3">
        <v>45703.813333333332</v>
      </c>
      <c r="D607" t="s">
        <v>27</v>
      </c>
      <c r="E607" s="4">
        <v>5.23</v>
      </c>
      <c r="F607" s="4">
        <v>442384.43300000002</v>
      </c>
      <c r="G607" s="4">
        <v>442389.663</v>
      </c>
      <c r="H607" s="5">
        <f>259 / 86400</f>
        <v>2.9976851851851853E-3</v>
      </c>
      <c r="I607" t="s">
        <v>247</v>
      </c>
      <c r="J607" t="s">
        <v>29</v>
      </c>
      <c r="K607" s="5">
        <f>1222 / 86400</f>
        <v>1.4143518518518519E-2</v>
      </c>
      <c r="L607" s="5">
        <f>181 / 86400</f>
        <v>2.0949074074074073E-3</v>
      </c>
    </row>
    <row r="608" spans="1:12" x14ac:dyDescent="0.25">
      <c r="A608" s="3">
        <v>45703.815428240741</v>
      </c>
      <c r="B608" t="s">
        <v>27</v>
      </c>
      <c r="C608" s="3">
        <v>45703.817002314812</v>
      </c>
      <c r="D608" t="s">
        <v>27</v>
      </c>
      <c r="E608" s="4">
        <v>4.0000000000000001E-3</v>
      </c>
      <c r="F608" s="4">
        <v>442389.663</v>
      </c>
      <c r="G608" s="4">
        <v>442389.66700000002</v>
      </c>
      <c r="H608" s="5">
        <f>99 / 86400</f>
        <v>1.1458333333333333E-3</v>
      </c>
      <c r="I608" t="s">
        <v>43</v>
      </c>
      <c r="J608" t="s">
        <v>44</v>
      </c>
      <c r="K608" s="5">
        <f>135 / 86400</f>
        <v>1.5625000000000001E-3</v>
      </c>
      <c r="L608" s="5">
        <f>15810 / 86400</f>
        <v>0.1829861111111111</v>
      </c>
    </row>
    <row r="609" spans="1:1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2" s="10" customFormat="1" ht="20.100000000000001" customHeight="1" x14ac:dyDescent="0.35">
      <c r="A611" s="15" t="s">
        <v>318</v>
      </c>
      <c r="B611" s="15"/>
      <c r="C611" s="15"/>
      <c r="D611" s="15"/>
      <c r="E611" s="15"/>
      <c r="F611" s="15"/>
      <c r="G611" s="15"/>
      <c r="H611" s="15"/>
      <c r="I611" s="15"/>
      <c r="J611" s="15"/>
    </row>
    <row r="612" spans="1:1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2" ht="30" x14ac:dyDescent="0.25">
      <c r="A613" s="2" t="s">
        <v>6</v>
      </c>
      <c r="B613" s="2" t="s">
        <v>7</v>
      </c>
      <c r="C613" s="2" t="s">
        <v>8</v>
      </c>
      <c r="D613" s="2" t="s">
        <v>9</v>
      </c>
      <c r="E613" s="2" t="s">
        <v>10</v>
      </c>
      <c r="F613" s="2" t="s">
        <v>11</v>
      </c>
      <c r="G613" s="2" t="s">
        <v>12</v>
      </c>
      <c r="H613" s="2" t="s">
        <v>13</v>
      </c>
      <c r="I613" s="2" t="s">
        <v>14</v>
      </c>
      <c r="J613" s="2" t="s">
        <v>15</v>
      </c>
      <c r="K613" s="2" t="s">
        <v>16</v>
      </c>
      <c r="L613" s="2" t="s">
        <v>17</v>
      </c>
    </row>
    <row r="614" spans="1:12" x14ac:dyDescent="0.25">
      <c r="A614" s="3">
        <v>45703</v>
      </c>
      <c r="B614" t="s">
        <v>78</v>
      </c>
      <c r="C614" s="3">
        <v>45703.024548611109</v>
      </c>
      <c r="D614" t="s">
        <v>86</v>
      </c>
      <c r="E614" s="4">
        <v>8.9860000000000007</v>
      </c>
      <c r="F614" s="4">
        <v>414429.32799999998</v>
      </c>
      <c r="G614" s="4">
        <v>414438.31400000001</v>
      </c>
      <c r="H614" s="5">
        <f>620 / 86400</f>
        <v>7.1759259259259259E-3</v>
      </c>
      <c r="I614" t="s">
        <v>242</v>
      </c>
      <c r="J614" t="s">
        <v>29</v>
      </c>
      <c r="K614" s="5">
        <f>2121 / 86400</f>
        <v>2.4548611111111111E-2</v>
      </c>
      <c r="L614" s="5">
        <f>610 / 86400</f>
        <v>7.060185185185185E-3</v>
      </c>
    </row>
    <row r="615" spans="1:12" x14ac:dyDescent="0.25">
      <c r="A615" s="3">
        <v>45703.0316087963</v>
      </c>
      <c r="B615" t="s">
        <v>86</v>
      </c>
      <c r="C615" s="3">
        <v>45703.03197916667</v>
      </c>
      <c r="D615" t="s">
        <v>86</v>
      </c>
      <c r="E615" s="4">
        <v>5.5E-2</v>
      </c>
      <c r="F615" s="4">
        <v>414438.31400000001</v>
      </c>
      <c r="G615" s="4">
        <v>414438.36900000001</v>
      </c>
      <c r="H615" s="5">
        <f>0 / 86400</f>
        <v>0</v>
      </c>
      <c r="I615" t="s">
        <v>60</v>
      </c>
      <c r="J615" t="s">
        <v>57</v>
      </c>
      <c r="K615" s="5">
        <f>31 / 86400</f>
        <v>3.5879629629629629E-4</v>
      </c>
      <c r="L615" s="5">
        <f>1095 / 86400</f>
        <v>1.2673611111111111E-2</v>
      </c>
    </row>
    <row r="616" spans="1:12" x14ac:dyDescent="0.25">
      <c r="A616" s="3">
        <v>45703.044652777782</v>
      </c>
      <c r="B616" t="s">
        <v>86</v>
      </c>
      <c r="C616" s="3">
        <v>45703.050347222219</v>
      </c>
      <c r="D616" t="s">
        <v>87</v>
      </c>
      <c r="E616" s="4">
        <v>1.492</v>
      </c>
      <c r="F616" s="4">
        <v>414438.36900000001</v>
      </c>
      <c r="G616" s="4">
        <v>414439.86099999998</v>
      </c>
      <c r="H616" s="5">
        <f>180 / 86400</f>
        <v>2.0833333333333333E-3</v>
      </c>
      <c r="I616" t="s">
        <v>59</v>
      </c>
      <c r="J616" t="s">
        <v>102</v>
      </c>
      <c r="K616" s="5">
        <f>492 / 86400</f>
        <v>5.6944444444444447E-3</v>
      </c>
      <c r="L616" s="5">
        <f>19725 / 86400</f>
        <v>0.2282986111111111</v>
      </c>
    </row>
    <row r="617" spans="1:12" x14ac:dyDescent="0.25">
      <c r="A617" s="3">
        <v>45703.278645833328</v>
      </c>
      <c r="B617" t="s">
        <v>87</v>
      </c>
      <c r="C617" s="3">
        <v>45703.308287037042</v>
      </c>
      <c r="D617" t="s">
        <v>94</v>
      </c>
      <c r="E617" s="4">
        <v>9.8409999999999993</v>
      </c>
      <c r="F617" s="4">
        <v>414439.86099999998</v>
      </c>
      <c r="G617" s="4">
        <v>414449.70199999999</v>
      </c>
      <c r="H617" s="5">
        <f>1119 / 86400</f>
        <v>1.2951388888888889E-2</v>
      </c>
      <c r="I617" t="s">
        <v>41</v>
      </c>
      <c r="J617" t="s">
        <v>88</v>
      </c>
      <c r="K617" s="5">
        <f>2560 / 86400</f>
        <v>2.9629629629629631E-2</v>
      </c>
      <c r="L617" s="5">
        <f>918 / 86400</f>
        <v>1.0625000000000001E-2</v>
      </c>
    </row>
    <row r="618" spans="1:12" x14ac:dyDescent="0.25">
      <c r="A618" s="3">
        <v>45703.318912037037</v>
      </c>
      <c r="B618" t="s">
        <v>94</v>
      </c>
      <c r="C618" s="3">
        <v>45703.319178240738</v>
      </c>
      <c r="D618" t="s">
        <v>94</v>
      </c>
      <c r="E618" s="4">
        <v>8.9999999999999993E-3</v>
      </c>
      <c r="F618" s="4">
        <v>414449.70199999999</v>
      </c>
      <c r="G618" s="4">
        <v>414449.71100000001</v>
      </c>
      <c r="H618" s="5">
        <f>19 / 86400</f>
        <v>2.199074074074074E-4</v>
      </c>
      <c r="I618" t="s">
        <v>44</v>
      </c>
      <c r="J618" t="s">
        <v>43</v>
      </c>
      <c r="K618" s="5">
        <f>22 / 86400</f>
        <v>2.5462962962962961E-4</v>
      </c>
      <c r="L618" s="5">
        <f>1539 / 86400</f>
        <v>1.7812499999999998E-2</v>
      </c>
    </row>
    <row r="619" spans="1:12" x14ac:dyDescent="0.25">
      <c r="A619" s="3">
        <v>45703.33699074074</v>
      </c>
      <c r="B619" t="s">
        <v>94</v>
      </c>
      <c r="C619" s="3">
        <v>45703.337835648148</v>
      </c>
      <c r="D619" t="s">
        <v>94</v>
      </c>
      <c r="E619" s="4">
        <v>2.1000000000000001E-2</v>
      </c>
      <c r="F619" s="4">
        <v>414449.71100000001</v>
      </c>
      <c r="G619" s="4">
        <v>414449.73200000002</v>
      </c>
      <c r="H619" s="5">
        <f>39 / 86400</f>
        <v>4.5138888888888887E-4</v>
      </c>
      <c r="I619" t="s">
        <v>134</v>
      </c>
      <c r="J619" t="s">
        <v>43</v>
      </c>
      <c r="K619" s="5">
        <f>73 / 86400</f>
        <v>8.4490740740740739E-4</v>
      </c>
      <c r="L619" s="5">
        <f>881 / 86400</f>
        <v>1.019675925925926E-2</v>
      </c>
    </row>
    <row r="620" spans="1:12" x14ac:dyDescent="0.25">
      <c r="A620" s="3">
        <v>45703.348032407404</v>
      </c>
      <c r="B620" t="s">
        <v>94</v>
      </c>
      <c r="C620" s="3">
        <v>45703.348530092597</v>
      </c>
      <c r="D620" t="s">
        <v>94</v>
      </c>
      <c r="E620" s="4">
        <v>1.4E-2</v>
      </c>
      <c r="F620" s="4">
        <v>414449.73200000002</v>
      </c>
      <c r="G620" s="4">
        <v>414449.74599999998</v>
      </c>
      <c r="H620" s="5">
        <f>39 / 86400</f>
        <v>4.5138888888888887E-4</v>
      </c>
      <c r="I620" t="s">
        <v>44</v>
      </c>
      <c r="J620" t="s">
        <v>43</v>
      </c>
      <c r="K620" s="5">
        <f>43 / 86400</f>
        <v>4.9768518518518521E-4</v>
      </c>
      <c r="L620" s="5">
        <f>2934 / 86400</f>
        <v>3.3958333333333333E-2</v>
      </c>
    </row>
    <row r="621" spans="1:12" x14ac:dyDescent="0.25">
      <c r="A621" s="3">
        <v>45703.382488425923</v>
      </c>
      <c r="B621" t="s">
        <v>94</v>
      </c>
      <c r="C621" s="3">
        <v>45703.384560185186</v>
      </c>
      <c r="D621" t="s">
        <v>252</v>
      </c>
      <c r="E621" s="4">
        <v>0.13700000000000001</v>
      </c>
      <c r="F621" s="4">
        <v>414449.74599999998</v>
      </c>
      <c r="G621" s="4">
        <v>414449.88299999997</v>
      </c>
      <c r="H621" s="5">
        <f>119 / 86400</f>
        <v>1.3773148148148147E-3</v>
      </c>
      <c r="I621" t="s">
        <v>102</v>
      </c>
      <c r="J621" t="s">
        <v>139</v>
      </c>
      <c r="K621" s="5">
        <f>179 / 86400</f>
        <v>2.0717592592592593E-3</v>
      </c>
      <c r="L621" s="5">
        <f>4495 / 86400</f>
        <v>5.2025462962962961E-2</v>
      </c>
    </row>
    <row r="622" spans="1:12" x14ac:dyDescent="0.25">
      <c r="A622" s="3">
        <v>45703.436585648145</v>
      </c>
      <c r="B622" t="s">
        <v>252</v>
      </c>
      <c r="C622" s="3">
        <v>45703.437094907407</v>
      </c>
      <c r="D622" t="s">
        <v>252</v>
      </c>
      <c r="E622" s="4">
        <v>0</v>
      </c>
      <c r="F622" s="4">
        <v>414449.88299999997</v>
      </c>
      <c r="G622" s="4">
        <v>414449.88299999997</v>
      </c>
      <c r="H622" s="5">
        <f>39 / 86400</f>
        <v>4.5138888888888887E-4</v>
      </c>
      <c r="I622" t="s">
        <v>44</v>
      </c>
      <c r="J622" t="s">
        <v>44</v>
      </c>
      <c r="K622" s="5">
        <f>44 / 86400</f>
        <v>5.0925925925925921E-4</v>
      </c>
      <c r="L622" s="5">
        <f>336 / 86400</f>
        <v>3.8888888888888888E-3</v>
      </c>
    </row>
    <row r="623" spans="1:12" x14ac:dyDescent="0.25">
      <c r="A623" s="3">
        <v>45703.440983796296</v>
      </c>
      <c r="B623" t="s">
        <v>252</v>
      </c>
      <c r="C623" s="3">
        <v>45703.459270833337</v>
      </c>
      <c r="D623" t="s">
        <v>78</v>
      </c>
      <c r="E623" s="4">
        <v>3.04</v>
      </c>
      <c r="F623" s="4">
        <v>414449.88299999997</v>
      </c>
      <c r="G623" s="4">
        <v>414452.92300000001</v>
      </c>
      <c r="H623" s="5">
        <f>260 / 86400</f>
        <v>3.0092592592592593E-3</v>
      </c>
      <c r="I623" t="s">
        <v>77</v>
      </c>
      <c r="J623" t="s">
        <v>60</v>
      </c>
      <c r="K623" s="5">
        <f>1580 / 86400</f>
        <v>1.8287037037037036E-2</v>
      </c>
      <c r="L623" s="5">
        <f>508 / 86400</f>
        <v>5.8796296296296296E-3</v>
      </c>
    </row>
    <row r="624" spans="1:12" x14ac:dyDescent="0.25">
      <c r="A624" s="3">
        <v>45703.465150462958</v>
      </c>
      <c r="B624" t="s">
        <v>78</v>
      </c>
      <c r="C624" s="3">
        <v>45703.469363425931</v>
      </c>
      <c r="D624" t="s">
        <v>78</v>
      </c>
      <c r="E624" s="4">
        <v>0.41599999999999998</v>
      </c>
      <c r="F624" s="4">
        <v>414452.92300000001</v>
      </c>
      <c r="G624" s="4">
        <v>414453.33899999998</v>
      </c>
      <c r="H624" s="5">
        <f>219 / 86400</f>
        <v>2.5347222222222221E-3</v>
      </c>
      <c r="I624" t="s">
        <v>138</v>
      </c>
      <c r="J624" t="s">
        <v>154</v>
      </c>
      <c r="K624" s="5">
        <f>363 / 86400</f>
        <v>4.2013888888888891E-3</v>
      </c>
      <c r="L624" s="5">
        <f>2084 / 86400</f>
        <v>2.4120370370370372E-2</v>
      </c>
    </row>
    <row r="625" spans="1:12" x14ac:dyDescent="0.25">
      <c r="A625" s="3">
        <v>45703.493483796294</v>
      </c>
      <c r="B625" t="s">
        <v>78</v>
      </c>
      <c r="C625" s="3">
        <v>45703.493634259255</v>
      </c>
      <c r="D625" t="s">
        <v>78</v>
      </c>
      <c r="E625" s="4">
        <v>0</v>
      </c>
      <c r="F625" s="4">
        <v>414453.33899999998</v>
      </c>
      <c r="G625" s="4">
        <v>414453.33899999998</v>
      </c>
      <c r="H625" s="5">
        <f>0 / 86400</f>
        <v>0</v>
      </c>
      <c r="I625" t="s">
        <v>44</v>
      </c>
      <c r="J625" t="s">
        <v>44</v>
      </c>
      <c r="K625" s="5">
        <f>13 / 86400</f>
        <v>1.5046296296296297E-4</v>
      </c>
      <c r="L625" s="5">
        <f>7970 / 86400</f>
        <v>9.2245370370370366E-2</v>
      </c>
    </row>
    <row r="626" spans="1:12" x14ac:dyDescent="0.25">
      <c r="A626" s="3">
        <v>45703.585879629631</v>
      </c>
      <c r="B626" t="s">
        <v>78</v>
      </c>
      <c r="C626" s="3">
        <v>45703.586712962962</v>
      </c>
      <c r="D626" t="s">
        <v>78</v>
      </c>
      <c r="E626" s="4">
        <v>1E-3</v>
      </c>
      <c r="F626" s="4">
        <v>414453.33899999998</v>
      </c>
      <c r="G626" s="4">
        <v>414453.34</v>
      </c>
      <c r="H626" s="5">
        <f>59 / 86400</f>
        <v>6.8287037037037036E-4</v>
      </c>
      <c r="I626" t="s">
        <v>44</v>
      </c>
      <c r="J626" t="s">
        <v>44</v>
      </c>
      <c r="K626" s="5">
        <f>72 / 86400</f>
        <v>8.3333333333333339E-4</v>
      </c>
      <c r="L626" s="5">
        <f>56 / 86400</f>
        <v>6.4814814814814813E-4</v>
      </c>
    </row>
    <row r="627" spans="1:12" x14ac:dyDescent="0.25">
      <c r="A627" s="3">
        <v>45703.587361111116</v>
      </c>
      <c r="B627" t="s">
        <v>78</v>
      </c>
      <c r="C627" s="3">
        <v>45703.588344907403</v>
      </c>
      <c r="D627" t="s">
        <v>78</v>
      </c>
      <c r="E627" s="4">
        <v>3.5999999999999997E-2</v>
      </c>
      <c r="F627" s="4">
        <v>414453.34</v>
      </c>
      <c r="G627" s="4">
        <v>414453.37599999999</v>
      </c>
      <c r="H627" s="5">
        <f>39 / 86400</f>
        <v>4.5138888888888887E-4</v>
      </c>
      <c r="I627" t="s">
        <v>57</v>
      </c>
      <c r="J627" t="s">
        <v>135</v>
      </c>
      <c r="K627" s="5">
        <f>84 / 86400</f>
        <v>9.7222222222222219E-4</v>
      </c>
      <c r="L627" s="5">
        <f>99 / 86400</f>
        <v>1.1458333333333333E-3</v>
      </c>
    </row>
    <row r="628" spans="1:12" x14ac:dyDescent="0.25">
      <c r="A628" s="3">
        <v>45703.589490740742</v>
      </c>
      <c r="B628" t="s">
        <v>78</v>
      </c>
      <c r="C628" s="3">
        <v>45703.604201388887</v>
      </c>
      <c r="D628" t="s">
        <v>87</v>
      </c>
      <c r="E628" s="4">
        <v>7.2249999999999996</v>
      </c>
      <c r="F628" s="4">
        <v>414453.37599999999</v>
      </c>
      <c r="G628" s="4">
        <v>414460.60100000002</v>
      </c>
      <c r="H628" s="5">
        <f>220 / 86400</f>
        <v>2.5462962962962965E-3</v>
      </c>
      <c r="I628" t="s">
        <v>253</v>
      </c>
      <c r="J628" t="s">
        <v>23</v>
      </c>
      <c r="K628" s="5">
        <f>1270 / 86400</f>
        <v>1.4699074074074074E-2</v>
      </c>
      <c r="L628" s="5">
        <f>5695 / 86400</f>
        <v>6.5914351851851849E-2</v>
      </c>
    </row>
    <row r="629" spans="1:12" x14ac:dyDescent="0.25">
      <c r="A629" s="3">
        <v>45703.670115740737</v>
      </c>
      <c r="B629" t="s">
        <v>87</v>
      </c>
      <c r="C629" s="3">
        <v>45703.671076388884</v>
      </c>
      <c r="D629" t="s">
        <v>87</v>
      </c>
      <c r="E629" s="4">
        <v>0.02</v>
      </c>
      <c r="F629" s="4">
        <v>414460.60100000002</v>
      </c>
      <c r="G629" s="4">
        <v>414460.62099999998</v>
      </c>
      <c r="H629" s="5">
        <f>59 / 86400</f>
        <v>6.8287037037037036E-4</v>
      </c>
      <c r="I629" t="s">
        <v>57</v>
      </c>
      <c r="J629" t="s">
        <v>43</v>
      </c>
      <c r="K629" s="5">
        <f>83 / 86400</f>
        <v>9.6064814814814819E-4</v>
      </c>
      <c r="L629" s="5">
        <f>28418 / 86400</f>
        <v>0.32891203703703703</v>
      </c>
    </row>
    <row r="630" spans="1:1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2" s="10" customFormat="1" ht="20.100000000000001" customHeight="1" x14ac:dyDescent="0.35">
      <c r="A632" s="15" t="s">
        <v>319</v>
      </c>
      <c r="B632" s="15"/>
      <c r="C632" s="15"/>
      <c r="D632" s="15"/>
      <c r="E632" s="15"/>
      <c r="F632" s="15"/>
      <c r="G632" s="15"/>
      <c r="H632" s="15"/>
      <c r="I632" s="15"/>
      <c r="J632" s="15"/>
    </row>
    <row r="633" spans="1:1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</row>
    <row r="634" spans="1:12" ht="30" x14ac:dyDescent="0.25">
      <c r="A634" s="2" t="s">
        <v>6</v>
      </c>
      <c r="B634" s="2" t="s">
        <v>7</v>
      </c>
      <c r="C634" s="2" t="s">
        <v>8</v>
      </c>
      <c r="D634" s="2" t="s">
        <v>9</v>
      </c>
      <c r="E634" s="2" t="s">
        <v>10</v>
      </c>
      <c r="F634" s="2" t="s">
        <v>11</v>
      </c>
      <c r="G634" s="2" t="s">
        <v>12</v>
      </c>
      <c r="H634" s="2" t="s">
        <v>13</v>
      </c>
      <c r="I634" s="2" t="s">
        <v>14</v>
      </c>
      <c r="J634" s="2" t="s">
        <v>15</v>
      </c>
      <c r="K634" s="2" t="s">
        <v>16</v>
      </c>
      <c r="L634" s="2" t="s">
        <v>17</v>
      </c>
    </row>
    <row r="635" spans="1:12" x14ac:dyDescent="0.25">
      <c r="A635" s="3">
        <v>45703.17597222222</v>
      </c>
      <c r="B635" t="s">
        <v>27</v>
      </c>
      <c r="C635" s="3">
        <v>45703.34</v>
      </c>
      <c r="D635" t="s">
        <v>46</v>
      </c>
      <c r="E635" s="4">
        <v>81.594999999999999</v>
      </c>
      <c r="F635" s="4">
        <v>328278.76500000001</v>
      </c>
      <c r="G635" s="4">
        <v>328360.36</v>
      </c>
      <c r="H635" s="5">
        <f>3380 / 86400</f>
        <v>3.9120370370370368E-2</v>
      </c>
      <c r="I635" t="s">
        <v>98</v>
      </c>
      <c r="J635" t="s">
        <v>202</v>
      </c>
      <c r="K635" s="5">
        <f>14171 / 86400</f>
        <v>0.16401620370370371</v>
      </c>
      <c r="L635" s="5">
        <f>24420 / 86400</f>
        <v>0.28263888888888888</v>
      </c>
    </row>
    <row r="636" spans="1:12" x14ac:dyDescent="0.25">
      <c r="A636" s="3">
        <v>45703.44666666667</v>
      </c>
      <c r="B636" t="s">
        <v>46</v>
      </c>
      <c r="C636" s="3">
        <v>45703.45244212963</v>
      </c>
      <c r="D636" t="s">
        <v>126</v>
      </c>
      <c r="E636" s="4">
        <v>1.2370000000000001</v>
      </c>
      <c r="F636" s="4">
        <v>328360.36</v>
      </c>
      <c r="G636" s="4">
        <v>328361.59700000001</v>
      </c>
      <c r="H636" s="5">
        <f>99 / 86400</f>
        <v>1.1458333333333333E-3</v>
      </c>
      <c r="I636" t="s">
        <v>148</v>
      </c>
      <c r="J636" t="s">
        <v>150</v>
      </c>
      <c r="K636" s="5">
        <f>499 / 86400</f>
        <v>5.7754629629629631E-3</v>
      </c>
      <c r="L636" s="5">
        <f>683 / 86400</f>
        <v>7.905092592592592E-3</v>
      </c>
    </row>
    <row r="637" spans="1:12" x14ac:dyDescent="0.25">
      <c r="A637" s="3">
        <v>45703.460347222222</v>
      </c>
      <c r="B637" t="s">
        <v>126</v>
      </c>
      <c r="C637" s="3">
        <v>45703.503020833334</v>
      </c>
      <c r="D637" t="s">
        <v>238</v>
      </c>
      <c r="E637" s="4">
        <v>22.187000000000001</v>
      </c>
      <c r="F637" s="4">
        <v>328361.59700000001</v>
      </c>
      <c r="G637" s="4">
        <v>328383.78399999999</v>
      </c>
      <c r="H637" s="5">
        <f>720 / 86400</f>
        <v>8.3333333333333332E-3</v>
      </c>
      <c r="I637" t="s">
        <v>111</v>
      </c>
      <c r="J637" t="s">
        <v>145</v>
      </c>
      <c r="K637" s="5">
        <f>3687 / 86400</f>
        <v>4.2673611111111114E-2</v>
      </c>
      <c r="L637" s="5">
        <f>294 / 86400</f>
        <v>3.4027777777777776E-3</v>
      </c>
    </row>
    <row r="638" spans="1:12" x14ac:dyDescent="0.25">
      <c r="A638" s="3">
        <v>45703.506423611107</v>
      </c>
      <c r="B638" t="s">
        <v>238</v>
      </c>
      <c r="C638" s="3">
        <v>45703.659675925926</v>
      </c>
      <c r="D638" t="s">
        <v>24</v>
      </c>
      <c r="E638" s="4">
        <v>58.561</v>
      </c>
      <c r="F638" s="4">
        <v>328383.78399999999</v>
      </c>
      <c r="G638" s="4">
        <v>328442.34499999997</v>
      </c>
      <c r="H638" s="5">
        <f>3780 / 86400</f>
        <v>4.3749999999999997E-2</v>
      </c>
      <c r="I638" t="s">
        <v>28</v>
      </c>
      <c r="J638" t="s">
        <v>36</v>
      </c>
      <c r="K638" s="5">
        <f>13241 / 86400</f>
        <v>0.15325231481481483</v>
      </c>
      <c r="L638" s="5">
        <f>329 / 86400</f>
        <v>3.8078703703703703E-3</v>
      </c>
    </row>
    <row r="639" spans="1:12" x14ac:dyDescent="0.25">
      <c r="A639" s="3">
        <v>45703.663483796292</v>
      </c>
      <c r="B639" t="s">
        <v>24</v>
      </c>
      <c r="C639" s="3">
        <v>45703.66578703704</v>
      </c>
      <c r="D639" t="s">
        <v>27</v>
      </c>
      <c r="E639" s="4">
        <v>0.51</v>
      </c>
      <c r="F639" s="4">
        <v>328442.34499999997</v>
      </c>
      <c r="G639" s="4">
        <v>328442.85499999998</v>
      </c>
      <c r="H639" s="5">
        <f>40 / 86400</f>
        <v>4.6296296296296298E-4</v>
      </c>
      <c r="I639" t="s">
        <v>145</v>
      </c>
      <c r="J639" t="s">
        <v>150</v>
      </c>
      <c r="K639" s="5">
        <f>199 / 86400</f>
        <v>2.3032407407407407E-3</v>
      </c>
      <c r="L639" s="5">
        <f>791 / 86400</f>
        <v>9.1550925925925931E-3</v>
      </c>
    </row>
    <row r="640" spans="1:12" x14ac:dyDescent="0.25">
      <c r="A640" s="3">
        <v>45703.674942129626</v>
      </c>
      <c r="B640" t="s">
        <v>27</v>
      </c>
      <c r="C640" s="3">
        <v>45703.804201388892</v>
      </c>
      <c r="D640" t="s">
        <v>254</v>
      </c>
      <c r="E640" s="4">
        <v>60.134999999999998</v>
      </c>
      <c r="F640" s="4">
        <v>328442.85499999998</v>
      </c>
      <c r="G640" s="4">
        <v>328502.99</v>
      </c>
      <c r="H640" s="5">
        <f>3320 / 86400</f>
        <v>3.8425925925925926E-2</v>
      </c>
      <c r="I640" t="s">
        <v>58</v>
      </c>
      <c r="J640" t="s">
        <v>26</v>
      </c>
      <c r="K640" s="5">
        <f>11168 / 86400</f>
        <v>0.12925925925925927</v>
      </c>
      <c r="L640" s="5">
        <f>50 / 86400</f>
        <v>5.7870370370370367E-4</v>
      </c>
    </row>
    <row r="641" spans="1:12" x14ac:dyDescent="0.25">
      <c r="A641" s="3">
        <v>45703.804780092592</v>
      </c>
      <c r="B641" t="s">
        <v>254</v>
      </c>
      <c r="C641" s="3">
        <v>45703.99998842593</v>
      </c>
      <c r="D641" t="s">
        <v>24</v>
      </c>
      <c r="E641" s="4">
        <v>86.581999999999994</v>
      </c>
      <c r="F641" s="4">
        <v>328502.99</v>
      </c>
      <c r="G641" s="4">
        <v>328589.57199999999</v>
      </c>
      <c r="H641" s="5">
        <f>5460 / 86400</f>
        <v>6.3194444444444442E-2</v>
      </c>
      <c r="I641" t="s">
        <v>90</v>
      </c>
      <c r="J641" t="s">
        <v>20</v>
      </c>
      <c r="K641" s="5">
        <f>16866 / 86400</f>
        <v>0.19520833333333334</v>
      </c>
      <c r="L641" s="5">
        <f>0 / 86400</f>
        <v>0</v>
      </c>
    </row>
    <row r="642" spans="1:1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 spans="1:1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 spans="1:12" s="10" customFormat="1" ht="20.100000000000001" customHeight="1" x14ac:dyDescent="0.35">
      <c r="A644" s="15" t="s">
        <v>320</v>
      </c>
      <c r="B644" s="15"/>
      <c r="C644" s="15"/>
      <c r="D644" s="15"/>
      <c r="E644" s="15"/>
      <c r="F644" s="15"/>
      <c r="G644" s="15"/>
      <c r="H644" s="15"/>
      <c r="I644" s="15"/>
      <c r="J644" s="15"/>
    </row>
    <row r="645" spans="1:1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</row>
    <row r="646" spans="1:12" ht="30" x14ac:dyDescent="0.25">
      <c r="A646" s="2" t="s">
        <v>6</v>
      </c>
      <c r="B646" s="2" t="s">
        <v>7</v>
      </c>
      <c r="C646" s="2" t="s">
        <v>8</v>
      </c>
      <c r="D646" s="2" t="s">
        <v>9</v>
      </c>
      <c r="E646" s="2" t="s">
        <v>10</v>
      </c>
      <c r="F646" s="2" t="s">
        <v>11</v>
      </c>
      <c r="G646" s="2" t="s">
        <v>12</v>
      </c>
      <c r="H646" s="2" t="s">
        <v>13</v>
      </c>
      <c r="I646" s="2" t="s">
        <v>14</v>
      </c>
      <c r="J646" s="2" t="s">
        <v>15</v>
      </c>
      <c r="K646" s="2" t="s">
        <v>16</v>
      </c>
      <c r="L646" s="2" t="s">
        <v>17</v>
      </c>
    </row>
    <row r="647" spans="1:12" x14ac:dyDescent="0.25">
      <c r="A647" s="3">
        <v>45703</v>
      </c>
      <c r="B647" t="s">
        <v>91</v>
      </c>
      <c r="C647" s="3">
        <v>45703.007650462961</v>
      </c>
      <c r="D647" t="s">
        <v>177</v>
      </c>
      <c r="E647" s="4">
        <v>2.3159999999999998</v>
      </c>
      <c r="F647" s="4">
        <v>360469.54800000001</v>
      </c>
      <c r="G647" s="4">
        <v>360471.864</v>
      </c>
      <c r="H647" s="5">
        <f>200 / 86400</f>
        <v>2.3148148148148147E-3</v>
      </c>
      <c r="I647" t="s">
        <v>160</v>
      </c>
      <c r="J647" t="s">
        <v>122</v>
      </c>
      <c r="K647" s="5">
        <f>661 / 86400</f>
        <v>7.6504629629629631E-3</v>
      </c>
      <c r="L647" s="5">
        <f>260 / 86400</f>
        <v>3.0092592592592593E-3</v>
      </c>
    </row>
    <row r="648" spans="1:12" x14ac:dyDescent="0.25">
      <c r="A648" s="3">
        <v>45703.010659722218</v>
      </c>
      <c r="B648" t="s">
        <v>177</v>
      </c>
      <c r="C648" s="3">
        <v>45703.011423611111</v>
      </c>
      <c r="D648" t="s">
        <v>27</v>
      </c>
      <c r="E648" s="4">
        <v>1.7999999999999999E-2</v>
      </c>
      <c r="F648" s="4">
        <v>360471.864</v>
      </c>
      <c r="G648" s="4">
        <v>360471.88199999998</v>
      </c>
      <c r="H648" s="5">
        <f>40 / 86400</f>
        <v>4.6296296296296298E-4</v>
      </c>
      <c r="I648" t="s">
        <v>60</v>
      </c>
      <c r="J648" t="s">
        <v>43</v>
      </c>
      <c r="K648" s="5">
        <f>65 / 86400</f>
        <v>7.5231481481481482E-4</v>
      </c>
      <c r="L648" s="5">
        <f>321 / 86400</f>
        <v>3.7152777777777778E-3</v>
      </c>
    </row>
    <row r="649" spans="1:12" x14ac:dyDescent="0.25">
      <c r="A649" s="3">
        <v>45703.015138888892</v>
      </c>
      <c r="B649" t="s">
        <v>177</v>
      </c>
      <c r="C649" s="3">
        <v>45703.017928240741</v>
      </c>
      <c r="D649" t="s">
        <v>27</v>
      </c>
      <c r="E649" s="4">
        <v>0.64900000000000002</v>
      </c>
      <c r="F649" s="4">
        <v>360471.88199999998</v>
      </c>
      <c r="G649" s="4">
        <v>360472.53100000002</v>
      </c>
      <c r="H649" s="5">
        <f>80 / 86400</f>
        <v>9.2592592592592596E-4</v>
      </c>
      <c r="I649" t="s">
        <v>202</v>
      </c>
      <c r="J649" t="s">
        <v>130</v>
      </c>
      <c r="K649" s="5">
        <f>241 / 86400</f>
        <v>2.7893518518518519E-3</v>
      </c>
      <c r="L649" s="5">
        <f>21313 / 86400</f>
        <v>0.24667824074074074</v>
      </c>
    </row>
    <row r="650" spans="1:12" x14ac:dyDescent="0.25">
      <c r="A650" s="3">
        <v>45703.264606481476</v>
      </c>
      <c r="B650" t="s">
        <v>27</v>
      </c>
      <c r="C650" s="3">
        <v>45703.38517361111</v>
      </c>
      <c r="D650" t="s">
        <v>46</v>
      </c>
      <c r="E650" s="4">
        <v>61.115000000000002</v>
      </c>
      <c r="F650" s="4">
        <v>360472.53100000002</v>
      </c>
      <c r="G650" s="4">
        <v>360533.64600000001</v>
      </c>
      <c r="H650" s="5">
        <f>2495 / 86400</f>
        <v>2.8877314814814814E-2</v>
      </c>
      <c r="I650" t="s">
        <v>28</v>
      </c>
      <c r="J650" t="s">
        <v>202</v>
      </c>
      <c r="K650" s="5">
        <f>10417 / 86400</f>
        <v>0.12056712962962964</v>
      </c>
      <c r="L650" s="5">
        <f>2583 / 86400</f>
        <v>2.9895833333333333E-2</v>
      </c>
    </row>
    <row r="651" spans="1:12" x14ac:dyDescent="0.25">
      <c r="A651" s="3">
        <v>45703.41506944444</v>
      </c>
      <c r="B651" t="s">
        <v>46</v>
      </c>
      <c r="C651" s="3">
        <v>45703.417199074072</v>
      </c>
      <c r="D651" t="s">
        <v>46</v>
      </c>
      <c r="E651" s="4">
        <v>0.27200000000000002</v>
      </c>
      <c r="F651" s="4">
        <v>360533.64600000001</v>
      </c>
      <c r="G651" s="4">
        <v>360533.91800000001</v>
      </c>
      <c r="H651" s="5">
        <f>39 / 86400</f>
        <v>4.5138888888888887E-4</v>
      </c>
      <c r="I651" t="s">
        <v>29</v>
      </c>
      <c r="J651" t="s">
        <v>134</v>
      </c>
      <c r="K651" s="5">
        <f>184 / 86400</f>
        <v>2.1296296296296298E-3</v>
      </c>
      <c r="L651" s="5">
        <f>781 / 86400</f>
        <v>9.0393518518518522E-3</v>
      </c>
    </row>
    <row r="652" spans="1:12" x14ac:dyDescent="0.25">
      <c r="A652" s="3">
        <v>45703.426238425927</v>
      </c>
      <c r="B652" t="s">
        <v>46</v>
      </c>
      <c r="C652" s="3">
        <v>45703.431597222225</v>
      </c>
      <c r="D652" t="s">
        <v>126</v>
      </c>
      <c r="E652" s="4">
        <v>1.226</v>
      </c>
      <c r="F652" s="4">
        <v>360533.91800000001</v>
      </c>
      <c r="G652" s="4">
        <v>360535.14399999997</v>
      </c>
      <c r="H652" s="5">
        <f>119 / 86400</f>
        <v>1.3773148148148147E-3</v>
      </c>
      <c r="I652" t="s">
        <v>56</v>
      </c>
      <c r="J652" t="s">
        <v>130</v>
      </c>
      <c r="K652" s="5">
        <f>462 / 86400</f>
        <v>5.347222222222222E-3</v>
      </c>
      <c r="L652" s="5">
        <f>1313 / 86400</f>
        <v>1.5196759259259259E-2</v>
      </c>
    </row>
    <row r="653" spans="1:12" x14ac:dyDescent="0.25">
      <c r="A653" s="3">
        <v>45703.446793981479</v>
      </c>
      <c r="B653" t="s">
        <v>126</v>
      </c>
      <c r="C653" s="3">
        <v>45703.72184027778</v>
      </c>
      <c r="D653" t="s">
        <v>50</v>
      </c>
      <c r="E653" s="4">
        <v>100.688</v>
      </c>
      <c r="F653" s="4">
        <v>360535.14399999997</v>
      </c>
      <c r="G653" s="4">
        <v>360635.83199999999</v>
      </c>
      <c r="H653" s="5">
        <f>8739 / 86400</f>
        <v>0.10114583333333334</v>
      </c>
      <c r="I653" t="s">
        <v>28</v>
      </c>
      <c r="J653" t="s">
        <v>29</v>
      </c>
      <c r="K653" s="5">
        <f>23763 / 86400</f>
        <v>0.27503472222222225</v>
      </c>
      <c r="L653" s="5">
        <f>2151 / 86400</f>
        <v>2.4895833333333332E-2</v>
      </c>
    </row>
    <row r="654" spans="1:12" x14ac:dyDescent="0.25">
      <c r="A654" s="3">
        <v>45703.746736111112</v>
      </c>
      <c r="B654" t="s">
        <v>50</v>
      </c>
      <c r="C654" s="3">
        <v>45703.749849537038</v>
      </c>
      <c r="D654" t="s">
        <v>84</v>
      </c>
      <c r="E654" s="4">
        <v>0.84</v>
      </c>
      <c r="F654" s="4">
        <v>360635.83199999999</v>
      </c>
      <c r="G654" s="4">
        <v>360636.67200000002</v>
      </c>
      <c r="H654" s="5">
        <f>60 / 86400</f>
        <v>6.9444444444444447E-4</v>
      </c>
      <c r="I654" t="s">
        <v>174</v>
      </c>
      <c r="J654" t="s">
        <v>102</v>
      </c>
      <c r="K654" s="5">
        <f>269 / 86400</f>
        <v>3.1134259259259257E-3</v>
      </c>
      <c r="L654" s="5">
        <f>694 / 86400</f>
        <v>8.0324074074074082E-3</v>
      </c>
    </row>
    <row r="655" spans="1:12" x14ac:dyDescent="0.25">
      <c r="A655" s="3">
        <v>45703.757881944446</v>
      </c>
      <c r="B655" t="s">
        <v>84</v>
      </c>
      <c r="C655" s="3">
        <v>45703.912303240737</v>
      </c>
      <c r="D655" t="s">
        <v>177</v>
      </c>
      <c r="E655" s="4">
        <v>58.515999999999998</v>
      </c>
      <c r="F655" s="4">
        <v>360636.67200000002</v>
      </c>
      <c r="G655" s="4">
        <v>360695.18800000002</v>
      </c>
      <c r="H655" s="5">
        <f>5019 / 86400</f>
        <v>5.8090277777777775E-2</v>
      </c>
      <c r="I655" t="s">
        <v>31</v>
      </c>
      <c r="J655" t="s">
        <v>36</v>
      </c>
      <c r="K655" s="5">
        <f>13341 / 86400</f>
        <v>0.15440972222222221</v>
      </c>
      <c r="L655" s="5">
        <f>570 / 86400</f>
        <v>6.5972222222222222E-3</v>
      </c>
    </row>
    <row r="656" spans="1:12" x14ac:dyDescent="0.25">
      <c r="A656" s="3">
        <v>45703.918900462959</v>
      </c>
      <c r="B656" t="s">
        <v>27</v>
      </c>
      <c r="C656" s="3">
        <v>45703.921747685185</v>
      </c>
      <c r="D656" t="s">
        <v>27</v>
      </c>
      <c r="E656" s="4">
        <v>0.68500000000000005</v>
      </c>
      <c r="F656" s="4">
        <v>360695.18800000002</v>
      </c>
      <c r="G656" s="4">
        <v>360695.87300000002</v>
      </c>
      <c r="H656" s="5">
        <f>39 / 86400</f>
        <v>4.5138888888888887E-4</v>
      </c>
      <c r="I656" t="s">
        <v>202</v>
      </c>
      <c r="J656" t="s">
        <v>130</v>
      </c>
      <c r="K656" s="5">
        <f>245 / 86400</f>
        <v>2.8356481481481483E-3</v>
      </c>
      <c r="L656" s="5">
        <f>6760 / 86400</f>
        <v>7.8240740740740736E-2</v>
      </c>
    </row>
    <row r="657" spans="1:1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2" s="10" customFormat="1" ht="20.100000000000001" customHeight="1" x14ac:dyDescent="0.35">
      <c r="A659" s="15" t="s">
        <v>321</v>
      </c>
      <c r="B659" s="15"/>
      <c r="C659" s="15"/>
      <c r="D659" s="15"/>
      <c r="E659" s="15"/>
      <c r="F659" s="15"/>
      <c r="G659" s="15"/>
      <c r="H659" s="15"/>
      <c r="I659" s="15"/>
      <c r="J659" s="15"/>
    </row>
    <row r="660" spans="1:12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</row>
    <row r="661" spans="1:12" ht="30" x14ac:dyDescent="0.25">
      <c r="A661" s="2" t="s">
        <v>6</v>
      </c>
      <c r="B661" s="2" t="s">
        <v>7</v>
      </c>
      <c r="C661" s="2" t="s">
        <v>8</v>
      </c>
      <c r="D661" s="2" t="s">
        <v>9</v>
      </c>
      <c r="E661" s="2" t="s">
        <v>10</v>
      </c>
      <c r="F661" s="2" t="s">
        <v>11</v>
      </c>
      <c r="G661" s="2" t="s">
        <v>12</v>
      </c>
      <c r="H661" s="2" t="s">
        <v>13</v>
      </c>
      <c r="I661" s="2" t="s">
        <v>14</v>
      </c>
      <c r="J661" s="2" t="s">
        <v>15</v>
      </c>
      <c r="K661" s="2" t="s">
        <v>16</v>
      </c>
      <c r="L661" s="2" t="s">
        <v>17</v>
      </c>
    </row>
    <row r="662" spans="1:12" x14ac:dyDescent="0.25">
      <c r="A662" s="3">
        <v>45703.275393518517</v>
      </c>
      <c r="B662" t="s">
        <v>92</v>
      </c>
      <c r="C662" s="3">
        <v>45703.516527777778</v>
      </c>
      <c r="D662" t="s">
        <v>255</v>
      </c>
      <c r="E662" s="4">
        <v>104.148</v>
      </c>
      <c r="F662" s="4">
        <v>81714.667000000001</v>
      </c>
      <c r="G662" s="4">
        <v>81818.815000000002</v>
      </c>
      <c r="H662" s="5">
        <f>6759 / 86400</f>
        <v>7.8229166666666669E-2</v>
      </c>
      <c r="I662" t="s">
        <v>31</v>
      </c>
      <c r="J662" t="s">
        <v>20</v>
      </c>
      <c r="K662" s="5">
        <f>20833 / 86400</f>
        <v>0.24112268518518518</v>
      </c>
      <c r="L662" s="5">
        <f>24141 / 86400</f>
        <v>0.27940972222222221</v>
      </c>
    </row>
    <row r="663" spans="1:12" x14ac:dyDescent="0.25">
      <c r="A663" s="3">
        <v>45703.520543981482</v>
      </c>
      <c r="B663" t="s">
        <v>255</v>
      </c>
      <c r="C663" s="3">
        <v>45703.522881944446</v>
      </c>
      <c r="D663" t="s">
        <v>92</v>
      </c>
      <c r="E663" s="4">
        <v>1.163</v>
      </c>
      <c r="F663" s="4">
        <v>81818.815000000002</v>
      </c>
      <c r="G663" s="4">
        <v>81819.978000000003</v>
      </c>
      <c r="H663" s="5">
        <f>0 / 86400</f>
        <v>0</v>
      </c>
      <c r="I663" t="s">
        <v>155</v>
      </c>
      <c r="J663" t="s">
        <v>202</v>
      </c>
      <c r="K663" s="5">
        <f>202 / 86400</f>
        <v>2.3379629629629631E-3</v>
      </c>
      <c r="L663" s="5">
        <f>7460 / 86400</f>
        <v>8.6342592592592596E-2</v>
      </c>
    </row>
    <row r="664" spans="1:12" x14ac:dyDescent="0.25">
      <c r="A664" s="3">
        <v>45703.609224537038</v>
      </c>
      <c r="B664" t="s">
        <v>92</v>
      </c>
      <c r="C664" s="3">
        <v>45703.831956018519</v>
      </c>
      <c r="D664" t="s">
        <v>256</v>
      </c>
      <c r="E664" s="4">
        <v>95.89</v>
      </c>
      <c r="F664" s="4">
        <v>81819.978000000003</v>
      </c>
      <c r="G664" s="4">
        <v>81915.868000000002</v>
      </c>
      <c r="H664" s="5">
        <f>6358 / 86400</f>
        <v>7.3587962962962966E-2</v>
      </c>
      <c r="I664" t="s">
        <v>98</v>
      </c>
      <c r="J664" t="s">
        <v>20</v>
      </c>
      <c r="K664" s="5">
        <f>19244 / 86400</f>
        <v>0.22273148148148147</v>
      </c>
      <c r="L664" s="5">
        <f>195 / 86400</f>
        <v>2.2569444444444442E-3</v>
      </c>
    </row>
    <row r="665" spans="1:12" x14ac:dyDescent="0.25">
      <c r="A665" s="3">
        <v>45703.83421296296</v>
      </c>
      <c r="B665" t="s">
        <v>256</v>
      </c>
      <c r="C665" s="3">
        <v>45703.834282407406</v>
      </c>
      <c r="D665" t="s">
        <v>256</v>
      </c>
      <c r="E665" s="4">
        <v>0</v>
      </c>
      <c r="F665" s="4">
        <v>81915.868000000002</v>
      </c>
      <c r="G665" s="4">
        <v>81915.868000000002</v>
      </c>
      <c r="H665" s="5">
        <f>0 / 86400</f>
        <v>0</v>
      </c>
      <c r="I665" t="s">
        <v>44</v>
      </c>
      <c r="J665" t="s">
        <v>44</v>
      </c>
      <c r="K665" s="5">
        <f>6 / 86400</f>
        <v>6.9444444444444444E-5</v>
      </c>
      <c r="L665" s="5">
        <f>105 / 86400</f>
        <v>1.2152777777777778E-3</v>
      </c>
    </row>
    <row r="666" spans="1:12" x14ac:dyDescent="0.25">
      <c r="A666" s="3">
        <v>45703.835497685184</v>
      </c>
      <c r="B666" t="s">
        <v>256</v>
      </c>
      <c r="C666" s="3">
        <v>45703.839305555557</v>
      </c>
      <c r="D666" t="s">
        <v>92</v>
      </c>
      <c r="E666" s="4">
        <v>1.2070000000000001</v>
      </c>
      <c r="F666" s="4">
        <v>81915.868000000002</v>
      </c>
      <c r="G666" s="4">
        <v>81917.074999999997</v>
      </c>
      <c r="H666" s="5">
        <f>79 / 86400</f>
        <v>9.1435185185185185E-4</v>
      </c>
      <c r="I666" t="s">
        <v>257</v>
      </c>
      <c r="J666" t="s">
        <v>122</v>
      </c>
      <c r="K666" s="5">
        <f>329 / 86400</f>
        <v>3.8078703703703703E-3</v>
      </c>
      <c r="L666" s="5">
        <f>7526 / 86400</f>
        <v>8.7106481481481479E-2</v>
      </c>
    </row>
    <row r="667" spans="1:12" x14ac:dyDescent="0.25">
      <c r="A667" s="3">
        <v>45703.926412037035</v>
      </c>
      <c r="B667" t="s">
        <v>92</v>
      </c>
      <c r="C667" s="3">
        <v>45703.930092592593</v>
      </c>
      <c r="D667" t="s">
        <v>92</v>
      </c>
      <c r="E667" s="4">
        <v>0.106</v>
      </c>
      <c r="F667" s="4">
        <v>81917.074999999997</v>
      </c>
      <c r="G667" s="4">
        <v>81917.180999999997</v>
      </c>
      <c r="H667" s="5">
        <f>179 / 86400</f>
        <v>2.0717592592592593E-3</v>
      </c>
      <c r="I667" t="s">
        <v>134</v>
      </c>
      <c r="J667" t="s">
        <v>43</v>
      </c>
      <c r="K667" s="5">
        <f>317 / 86400</f>
        <v>3.6689814814814814E-3</v>
      </c>
      <c r="L667" s="5">
        <f>6039 / 86400</f>
        <v>6.9895833333333338E-2</v>
      </c>
    </row>
    <row r="668" spans="1:1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 spans="1:12" s="10" customFormat="1" ht="20.100000000000001" customHeight="1" x14ac:dyDescent="0.35">
      <c r="A670" s="15" t="s">
        <v>322</v>
      </c>
      <c r="B670" s="15"/>
      <c r="C670" s="15"/>
      <c r="D670" s="15"/>
      <c r="E670" s="15"/>
      <c r="F670" s="15"/>
      <c r="G670" s="15"/>
      <c r="H670" s="15"/>
      <c r="I670" s="15"/>
      <c r="J670" s="15"/>
    </row>
    <row r="671" spans="1:1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2" ht="30" x14ac:dyDescent="0.25">
      <c r="A672" s="2" t="s">
        <v>6</v>
      </c>
      <c r="B672" s="2" t="s">
        <v>7</v>
      </c>
      <c r="C672" s="2" t="s">
        <v>8</v>
      </c>
      <c r="D672" s="2" t="s">
        <v>9</v>
      </c>
      <c r="E672" s="2" t="s">
        <v>10</v>
      </c>
      <c r="F672" s="2" t="s">
        <v>11</v>
      </c>
      <c r="G672" s="2" t="s">
        <v>12</v>
      </c>
      <c r="H672" s="2" t="s">
        <v>13</v>
      </c>
      <c r="I672" s="2" t="s">
        <v>14</v>
      </c>
      <c r="J672" s="2" t="s">
        <v>15</v>
      </c>
      <c r="K672" s="2" t="s">
        <v>16</v>
      </c>
      <c r="L672" s="2" t="s">
        <v>17</v>
      </c>
    </row>
    <row r="673" spans="1:12" x14ac:dyDescent="0.25">
      <c r="A673" s="3">
        <v>45703</v>
      </c>
      <c r="B673" t="s">
        <v>86</v>
      </c>
      <c r="C673" s="3">
        <v>45703.026307870372</v>
      </c>
      <c r="D673" t="s">
        <v>119</v>
      </c>
      <c r="E673" s="4">
        <v>17.047000000000001</v>
      </c>
      <c r="F673" s="4">
        <v>470071.761</v>
      </c>
      <c r="G673" s="4">
        <v>470088.80800000002</v>
      </c>
      <c r="H673" s="5">
        <f>380 / 86400</f>
        <v>4.3981481481481484E-3</v>
      </c>
      <c r="I673" t="s">
        <v>164</v>
      </c>
      <c r="J673" t="s">
        <v>141</v>
      </c>
      <c r="K673" s="5">
        <f>2273 / 86400</f>
        <v>2.630787037037037E-2</v>
      </c>
      <c r="L673" s="5">
        <f>365 / 86400</f>
        <v>4.2245370370370371E-3</v>
      </c>
    </row>
    <row r="674" spans="1:12" x14ac:dyDescent="0.25">
      <c r="A674" s="3">
        <v>45703.030532407407</v>
      </c>
      <c r="B674" t="s">
        <v>119</v>
      </c>
      <c r="C674" s="3">
        <v>45703.04387731482</v>
      </c>
      <c r="D674" t="s">
        <v>149</v>
      </c>
      <c r="E674" s="4">
        <v>4.7560000000000002</v>
      </c>
      <c r="F674" s="4">
        <v>470088.80800000002</v>
      </c>
      <c r="G674" s="4">
        <v>470093.56400000001</v>
      </c>
      <c r="H674" s="5">
        <f>420 / 86400</f>
        <v>4.8611111111111112E-3</v>
      </c>
      <c r="I674" t="s">
        <v>186</v>
      </c>
      <c r="J674" t="s">
        <v>29</v>
      </c>
      <c r="K674" s="5">
        <f>1153 / 86400</f>
        <v>1.3344907407407408E-2</v>
      </c>
      <c r="L674" s="5">
        <f>31599 / 86400</f>
        <v>0.36572916666666666</v>
      </c>
    </row>
    <row r="675" spans="1:12" x14ac:dyDescent="0.25">
      <c r="A675" s="3">
        <v>45703.40960648148</v>
      </c>
      <c r="B675" t="s">
        <v>39</v>
      </c>
      <c r="C675" s="3">
        <v>45703.411504629628</v>
      </c>
      <c r="D675" t="s">
        <v>46</v>
      </c>
      <c r="E675" s="4">
        <v>0.16</v>
      </c>
      <c r="F675" s="4">
        <v>470093.56400000001</v>
      </c>
      <c r="G675" s="4">
        <v>470093.72399999999</v>
      </c>
      <c r="H675" s="5">
        <f>79 / 86400</f>
        <v>9.1435185185185185E-4</v>
      </c>
      <c r="I675" t="s">
        <v>57</v>
      </c>
      <c r="J675" t="s">
        <v>154</v>
      </c>
      <c r="K675" s="5">
        <f>164 / 86400</f>
        <v>1.8981481481481482E-3</v>
      </c>
      <c r="L675" s="5">
        <f>347 / 86400</f>
        <v>4.0162037037037041E-3</v>
      </c>
    </row>
    <row r="676" spans="1:12" x14ac:dyDescent="0.25">
      <c r="A676" s="3">
        <v>45703.415520833332</v>
      </c>
      <c r="B676" t="s">
        <v>46</v>
      </c>
      <c r="C676" s="3">
        <v>45703.415625000001</v>
      </c>
      <c r="D676" t="s">
        <v>46</v>
      </c>
      <c r="E676" s="4">
        <v>0</v>
      </c>
      <c r="F676" s="4">
        <v>470093.72399999999</v>
      </c>
      <c r="G676" s="4">
        <v>470093.72399999999</v>
      </c>
      <c r="H676" s="5">
        <f>0 / 86400</f>
        <v>0</v>
      </c>
      <c r="I676" t="s">
        <v>44</v>
      </c>
      <c r="J676" t="s">
        <v>44</v>
      </c>
      <c r="K676" s="5">
        <f>9 / 86400</f>
        <v>1.0416666666666667E-4</v>
      </c>
      <c r="L676" s="5">
        <f>443 / 86400</f>
        <v>5.1273148148148146E-3</v>
      </c>
    </row>
    <row r="677" spans="1:12" x14ac:dyDescent="0.25">
      <c r="A677" s="3">
        <v>45703.420752314814</v>
      </c>
      <c r="B677" t="s">
        <v>46</v>
      </c>
      <c r="C677" s="3">
        <v>45703.424988425926</v>
      </c>
      <c r="D677" t="s">
        <v>50</v>
      </c>
      <c r="E677" s="4">
        <v>0.42599999999999999</v>
      </c>
      <c r="F677" s="4">
        <v>470093.72399999999</v>
      </c>
      <c r="G677" s="4">
        <v>470094.15</v>
      </c>
      <c r="H677" s="5">
        <f>220 / 86400</f>
        <v>2.5462962962962965E-3</v>
      </c>
      <c r="I677" t="s">
        <v>127</v>
      </c>
      <c r="J677" t="s">
        <v>154</v>
      </c>
      <c r="K677" s="5">
        <f>366 / 86400</f>
        <v>4.2361111111111115E-3</v>
      </c>
      <c r="L677" s="5">
        <f>947 / 86400</f>
        <v>1.0960648148148148E-2</v>
      </c>
    </row>
    <row r="678" spans="1:12" x14ac:dyDescent="0.25">
      <c r="A678" s="3">
        <v>45703.435949074075</v>
      </c>
      <c r="B678" t="s">
        <v>50</v>
      </c>
      <c r="C678" s="3">
        <v>45703.438275462962</v>
      </c>
      <c r="D678" t="s">
        <v>126</v>
      </c>
      <c r="E678" s="4">
        <v>0.57299999999999995</v>
      </c>
      <c r="F678" s="4">
        <v>470094.15</v>
      </c>
      <c r="G678" s="4">
        <v>470094.723</v>
      </c>
      <c r="H678" s="5">
        <f>0 / 86400</f>
        <v>0</v>
      </c>
      <c r="I678" t="s">
        <v>202</v>
      </c>
      <c r="J678" t="s">
        <v>130</v>
      </c>
      <c r="K678" s="5">
        <f>201 / 86400</f>
        <v>2.3263888888888887E-3</v>
      </c>
      <c r="L678" s="5">
        <f>782 / 86400</f>
        <v>9.0509259259259258E-3</v>
      </c>
    </row>
    <row r="679" spans="1:12" x14ac:dyDescent="0.25">
      <c r="A679" s="3">
        <v>45703.447326388894</v>
      </c>
      <c r="B679" t="s">
        <v>126</v>
      </c>
      <c r="C679" s="3">
        <v>45703.454097222224</v>
      </c>
      <c r="D679" t="s">
        <v>133</v>
      </c>
      <c r="E679" s="4">
        <v>0.76600000000000001</v>
      </c>
      <c r="F679" s="4">
        <v>470094.723</v>
      </c>
      <c r="G679" s="4">
        <v>470095.489</v>
      </c>
      <c r="H679" s="5">
        <f>440 / 86400</f>
        <v>5.092592592592593E-3</v>
      </c>
      <c r="I679" t="s">
        <v>155</v>
      </c>
      <c r="J679" t="s">
        <v>134</v>
      </c>
      <c r="K679" s="5">
        <f>585 / 86400</f>
        <v>6.7708333333333336E-3</v>
      </c>
      <c r="L679" s="5">
        <f>66 / 86400</f>
        <v>7.6388888888888893E-4</v>
      </c>
    </row>
    <row r="680" spans="1:12" x14ac:dyDescent="0.25">
      <c r="A680" s="3">
        <v>45703.454861111109</v>
      </c>
      <c r="B680" t="s">
        <v>133</v>
      </c>
      <c r="C680" s="3">
        <v>45703.473819444444</v>
      </c>
      <c r="D680" t="s">
        <v>157</v>
      </c>
      <c r="E680" s="4">
        <v>4.82</v>
      </c>
      <c r="F680" s="4">
        <v>470095.489</v>
      </c>
      <c r="G680" s="4">
        <v>470100.30900000001</v>
      </c>
      <c r="H680" s="5">
        <f>839 / 86400</f>
        <v>9.7106481481481488E-3</v>
      </c>
      <c r="I680" t="s">
        <v>186</v>
      </c>
      <c r="J680" t="s">
        <v>102</v>
      </c>
      <c r="K680" s="5">
        <f>1637 / 86400</f>
        <v>1.894675925925926E-2</v>
      </c>
      <c r="L680" s="5">
        <f>31 / 86400</f>
        <v>3.5879629629629629E-4</v>
      </c>
    </row>
    <row r="681" spans="1:12" x14ac:dyDescent="0.25">
      <c r="A681" s="3">
        <v>45703.474178240736</v>
      </c>
      <c r="B681" t="s">
        <v>157</v>
      </c>
      <c r="C681" s="3">
        <v>45703.703726851847</v>
      </c>
      <c r="D681" t="s">
        <v>84</v>
      </c>
      <c r="E681" s="4">
        <v>89.984999999999999</v>
      </c>
      <c r="F681" s="4">
        <v>470100.30900000001</v>
      </c>
      <c r="G681" s="4">
        <v>470190.29399999999</v>
      </c>
      <c r="H681" s="5">
        <f>6879 / 86400</f>
        <v>7.9618055555555553E-2</v>
      </c>
      <c r="I681" t="s">
        <v>19</v>
      </c>
      <c r="J681" t="s">
        <v>36</v>
      </c>
      <c r="K681" s="5">
        <f>19833 / 86400</f>
        <v>0.22954861111111111</v>
      </c>
      <c r="L681" s="5">
        <f>464 / 86400</f>
        <v>5.37037037037037E-3</v>
      </c>
    </row>
    <row r="682" spans="1:12" x14ac:dyDescent="0.25">
      <c r="A682" s="3">
        <v>45703.709097222221</v>
      </c>
      <c r="B682" t="s">
        <v>84</v>
      </c>
      <c r="C682" s="3">
        <v>45703.711736111116</v>
      </c>
      <c r="D682" t="s">
        <v>39</v>
      </c>
      <c r="E682" s="4">
        <v>1.026</v>
      </c>
      <c r="F682" s="4">
        <v>470190.29399999999</v>
      </c>
      <c r="G682" s="4">
        <v>470191.32</v>
      </c>
      <c r="H682" s="5">
        <f>0 / 86400</f>
        <v>0</v>
      </c>
      <c r="I682" t="s">
        <v>186</v>
      </c>
      <c r="J682" t="s">
        <v>36</v>
      </c>
      <c r="K682" s="5">
        <f>228 / 86400</f>
        <v>2.638888888888889E-3</v>
      </c>
      <c r="L682" s="5">
        <f>1469 / 86400</f>
        <v>1.7002314814814814E-2</v>
      </c>
    </row>
    <row r="683" spans="1:12" x14ac:dyDescent="0.25">
      <c r="A683" s="3">
        <v>45703.728738425925</v>
      </c>
      <c r="B683" t="s">
        <v>39</v>
      </c>
      <c r="C683" s="3">
        <v>45703.882766203707</v>
      </c>
      <c r="D683" t="s">
        <v>258</v>
      </c>
      <c r="E683" s="4">
        <v>51.203000000000003</v>
      </c>
      <c r="F683" s="4">
        <v>470191.32</v>
      </c>
      <c r="G683" s="4">
        <v>470242.52299999999</v>
      </c>
      <c r="H683" s="5">
        <f>5538 / 86400</f>
        <v>6.4097222222222222E-2</v>
      </c>
      <c r="I683" t="s">
        <v>32</v>
      </c>
      <c r="J683" t="s">
        <v>88</v>
      </c>
      <c r="K683" s="5">
        <f>13308 / 86400</f>
        <v>0.15402777777777779</v>
      </c>
      <c r="L683" s="5">
        <f>91 / 86400</f>
        <v>1.0532407407407407E-3</v>
      </c>
    </row>
    <row r="684" spans="1:12" x14ac:dyDescent="0.25">
      <c r="A684" s="3">
        <v>45703.88381944444</v>
      </c>
      <c r="B684" t="s">
        <v>258</v>
      </c>
      <c r="C684" s="3">
        <v>45703.99998842593</v>
      </c>
      <c r="D684" t="s">
        <v>93</v>
      </c>
      <c r="E684" s="4">
        <v>50.933</v>
      </c>
      <c r="F684" s="4">
        <v>470242.52299999999</v>
      </c>
      <c r="G684" s="4">
        <v>470293.45600000001</v>
      </c>
      <c r="H684" s="5">
        <f>3660 / 86400</f>
        <v>4.2361111111111113E-2</v>
      </c>
      <c r="I684" t="s">
        <v>114</v>
      </c>
      <c r="J684" t="s">
        <v>20</v>
      </c>
      <c r="K684" s="5">
        <f>10037 / 86400</f>
        <v>0.11616898148148148</v>
      </c>
      <c r="L684" s="5">
        <f>0 / 86400</f>
        <v>0</v>
      </c>
    </row>
    <row r="685" spans="1:1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 spans="1:1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 spans="1:12" s="10" customFormat="1" ht="20.100000000000001" customHeight="1" x14ac:dyDescent="0.35">
      <c r="A687" s="15" t="s">
        <v>323</v>
      </c>
      <c r="B687" s="15"/>
      <c r="C687" s="15"/>
      <c r="D687" s="15"/>
      <c r="E687" s="15"/>
      <c r="F687" s="15"/>
      <c r="G687" s="15"/>
      <c r="H687" s="15"/>
      <c r="I687" s="15"/>
      <c r="J687" s="15"/>
    </row>
    <row r="688" spans="1:1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</row>
    <row r="689" spans="1:12" ht="30" x14ac:dyDescent="0.25">
      <c r="A689" s="2" t="s">
        <v>6</v>
      </c>
      <c r="B689" s="2" t="s">
        <v>7</v>
      </c>
      <c r="C689" s="2" t="s">
        <v>8</v>
      </c>
      <c r="D689" s="2" t="s">
        <v>9</v>
      </c>
      <c r="E689" s="2" t="s">
        <v>10</v>
      </c>
      <c r="F689" s="2" t="s">
        <v>11</v>
      </c>
      <c r="G689" s="2" t="s">
        <v>12</v>
      </c>
      <c r="H689" s="2" t="s">
        <v>13</v>
      </c>
      <c r="I689" s="2" t="s">
        <v>14</v>
      </c>
      <c r="J689" s="2" t="s">
        <v>15</v>
      </c>
      <c r="K689" s="2" t="s">
        <v>16</v>
      </c>
      <c r="L689" s="2" t="s">
        <v>17</v>
      </c>
    </row>
    <row r="690" spans="1:12" x14ac:dyDescent="0.25">
      <c r="A690" s="3">
        <v>45703.28833333333</v>
      </c>
      <c r="B690" t="s">
        <v>78</v>
      </c>
      <c r="C690" s="3">
        <v>45703.302766203706</v>
      </c>
      <c r="D690" t="s">
        <v>78</v>
      </c>
      <c r="E690" s="4">
        <v>0</v>
      </c>
      <c r="F690" s="4">
        <v>428213.33600000001</v>
      </c>
      <c r="G690" s="4">
        <v>428213.33600000001</v>
      </c>
      <c r="H690" s="5">
        <f>1239 / 86400</f>
        <v>1.4340277777777778E-2</v>
      </c>
      <c r="I690" t="s">
        <v>44</v>
      </c>
      <c r="J690" t="s">
        <v>44</v>
      </c>
      <c r="K690" s="5">
        <f>1247 / 86400</f>
        <v>1.443287037037037E-2</v>
      </c>
      <c r="L690" s="5">
        <f>26692 / 86400</f>
        <v>0.3089351851851852</v>
      </c>
    </row>
    <row r="691" spans="1:12" x14ac:dyDescent="0.25">
      <c r="A691" s="3">
        <v>45703.323368055557</v>
      </c>
      <c r="B691" t="s">
        <v>78</v>
      </c>
      <c r="C691" s="3">
        <v>45703.323634259257</v>
      </c>
      <c r="D691" t="s">
        <v>78</v>
      </c>
      <c r="E691" s="4">
        <v>0</v>
      </c>
      <c r="F691" s="4">
        <v>428213.33600000001</v>
      </c>
      <c r="G691" s="4">
        <v>428213.33600000001</v>
      </c>
      <c r="H691" s="5">
        <f>19 / 86400</f>
        <v>2.199074074074074E-4</v>
      </c>
      <c r="I691" t="s">
        <v>44</v>
      </c>
      <c r="J691" t="s">
        <v>44</v>
      </c>
      <c r="K691" s="5">
        <f>22 / 86400</f>
        <v>2.5462962962962961E-4</v>
      </c>
      <c r="L691" s="5">
        <f>6344 / 86400</f>
        <v>7.3425925925925922E-2</v>
      </c>
    </row>
    <row r="692" spans="1:12" x14ac:dyDescent="0.25">
      <c r="A692" s="3">
        <v>45703.397060185191</v>
      </c>
      <c r="B692" t="s">
        <v>78</v>
      </c>
      <c r="C692" s="3">
        <v>45703.398333333331</v>
      </c>
      <c r="D692" t="s">
        <v>78</v>
      </c>
      <c r="E692" s="4">
        <v>0</v>
      </c>
      <c r="F692" s="4">
        <v>428213.33600000001</v>
      </c>
      <c r="G692" s="4">
        <v>428213.33600000001</v>
      </c>
      <c r="H692" s="5">
        <f>99 / 86400</f>
        <v>1.1458333333333333E-3</v>
      </c>
      <c r="I692" t="s">
        <v>44</v>
      </c>
      <c r="J692" t="s">
        <v>44</v>
      </c>
      <c r="K692" s="5">
        <f>110 / 86400</f>
        <v>1.2731481481481483E-3</v>
      </c>
      <c r="L692" s="5">
        <f>34326 / 86400</f>
        <v>0.39729166666666665</v>
      </c>
    </row>
    <row r="693" spans="1:12" x14ac:dyDescent="0.25">
      <c r="A693" s="3">
        <v>45703.795624999999</v>
      </c>
      <c r="B693" t="s">
        <v>78</v>
      </c>
      <c r="C693" s="3">
        <v>45703.796064814815</v>
      </c>
      <c r="D693" t="s">
        <v>78</v>
      </c>
      <c r="E693" s="4">
        <v>0</v>
      </c>
      <c r="F693" s="4">
        <v>428213.33600000001</v>
      </c>
      <c r="G693" s="4">
        <v>428213.33600000001</v>
      </c>
      <c r="H693" s="5">
        <f>19 / 86400</f>
        <v>2.199074074074074E-4</v>
      </c>
      <c r="I693" t="s">
        <v>44</v>
      </c>
      <c r="J693" t="s">
        <v>44</v>
      </c>
      <c r="K693" s="5">
        <f>37 / 86400</f>
        <v>4.2824074074074075E-4</v>
      </c>
      <c r="L693" s="5">
        <f>281 / 86400</f>
        <v>3.2523148148148147E-3</v>
      </c>
    </row>
    <row r="694" spans="1:12" x14ac:dyDescent="0.25">
      <c r="A694" s="3">
        <v>45703.799317129626</v>
      </c>
      <c r="B694" t="s">
        <v>78</v>
      </c>
      <c r="C694" s="3">
        <v>45703.896018518513</v>
      </c>
      <c r="D694" t="s">
        <v>78</v>
      </c>
      <c r="E694" s="4">
        <v>0</v>
      </c>
      <c r="F694" s="4">
        <v>428213.33600000001</v>
      </c>
      <c r="G694" s="4">
        <v>428213.33600000001</v>
      </c>
      <c r="H694" s="5">
        <f>8339 / 86400</f>
        <v>9.6516203703703701E-2</v>
      </c>
      <c r="I694" t="s">
        <v>44</v>
      </c>
      <c r="J694" t="s">
        <v>44</v>
      </c>
      <c r="K694" s="5">
        <f>8354 / 86400</f>
        <v>9.6689814814814812E-2</v>
      </c>
      <c r="L694" s="5">
        <f>4618 / 86400</f>
        <v>5.3449074074074072E-2</v>
      </c>
    </row>
    <row r="695" spans="1:12" x14ac:dyDescent="0.25">
      <c r="A695" s="3">
        <v>45703.949467592596</v>
      </c>
      <c r="B695" t="s">
        <v>78</v>
      </c>
      <c r="C695" s="3">
        <v>45703.959456018521</v>
      </c>
      <c r="D695" t="s">
        <v>78</v>
      </c>
      <c r="E695" s="4">
        <v>0</v>
      </c>
      <c r="F695" s="4">
        <v>428213.33600000001</v>
      </c>
      <c r="G695" s="4">
        <v>428213.33600000001</v>
      </c>
      <c r="H695" s="5">
        <f>859 / 86400</f>
        <v>9.9421296296296289E-3</v>
      </c>
      <c r="I695" t="s">
        <v>44</v>
      </c>
      <c r="J695" t="s">
        <v>44</v>
      </c>
      <c r="K695" s="5">
        <f>862 / 86400</f>
        <v>9.9768518518518513E-3</v>
      </c>
      <c r="L695" s="5">
        <f>815 / 86400</f>
        <v>9.432870370370371E-3</v>
      </c>
    </row>
    <row r="696" spans="1:12" x14ac:dyDescent="0.25">
      <c r="A696" s="3">
        <v>45703.968888888892</v>
      </c>
      <c r="B696" t="s">
        <v>78</v>
      </c>
      <c r="C696" s="3">
        <v>45703.996840277774</v>
      </c>
      <c r="D696" t="s">
        <v>78</v>
      </c>
      <c r="E696" s="4">
        <v>0</v>
      </c>
      <c r="F696" s="4">
        <v>428213.33600000001</v>
      </c>
      <c r="G696" s="4">
        <v>428213.33600000001</v>
      </c>
      <c r="H696" s="5">
        <f>2410 / 86400</f>
        <v>2.7893518518518519E-2</v>
      </c>
      <c r="I696" t="s">
        <v>44</v>
      </c>
      <c r="J696" t="s">
        <v>44</v>
      </c>
      <c r="K696" s="5">
        <f>2415 / 86400</f>
        <v>2.795138888888889E-2</v>
      </c>
      <c r="L696" s="5">
        <f>272 / 86400</f>
        <v>3.1481481481481482E-3</v>
      </c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 spans="1:12" s="10" customFormat="1" ht="20.100000000000001" customHeight="1" x14ac:dyDescent="0.35">
      <c r="A699" s="15" t="s">
        <v>324</v>
      </c>
      <c r="B699" s="15"/>
      <c r="C699" s="15"/>
      <c r="D699" s="15"/>
      <c r="E699" s="15"/>
      <c r="F699" s="15"/>
      <c r="G699" s="15"/>
      <c r="H699" s="15"/>
      <c r="I699" s="15"/>
      <c r="J699" s="15"/>
    </row>
    <row r="700" spans="1:1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2" ht="30" x14ac:dyDescent="0.25">
      <c r="A701" s="2" t="s">
        <v>6</v>
      </c>
      <c r="B701" s="2" t="s">
        <v>7</v>
      </c>
      <c r="C701" s="2" t="s">
        <v>8</v>
      </c>
      <c r="D701" s="2" t="s">
        <v>9</v>
      </c>
      <c r="E701" s="2" t="s">
        <v>10</v>
      </c>
      <c r="F701" s="2" t="s">
        <v>11</v>
      </c>
      <c r="G701" s="2" t="s">
        <v>12</v>
      </c>
      <c r="H701" s="2" t="s">
        <v>13</v>
      </c>
      <c r="I701" s="2" t="s">
        <v>14</v>
      </c>
      <c r="J701" s="2" t="s">
        <v>15</v>
      </c>
      <c r="K701" s="2" t="s">
        <v>16</v>
      </c>
      <c r="L701" s="2" t="s">
        <v>17</v>
      </c>
    </row>
    <row r="702" spans="1:12" x14ac:dyDescent="0.25">
      <c r="A702" s="3">
        <v>45703.199837962966</v>
      </c>
      <c r="B702" t="s">
        <v>27</v>
      </c>
      <c r="C702" s="3">
        <v>45703.357037037036</v>
      </c>
      <c r="D702" t="s">
        <v>129</v>
      </c>
      <c r="E702" s="4">
        <v>70.001000000000005</v>
      </c>
      <c r="F702" s="4">
        <v>575778.49100000004</v>
      </c>
      <c r="G702" s="4">
        <v>575848.49199999997</v>
      </c>
      <c r="H702" s="5">
        <f>4100 / 86400</f>
        <v>4.7453703703703706E-2</v>
      </c>
      <c r="I702" t="s">
        <v>41</v>
      </c>
      <c r="J702" t="s">
        <v>26</v>
      </c>
      <c r="K702" s="5">
        <f>13582 / 86400</f>
        <v>0.15719907407407407</v>
      </c>
      <c r="L702" s="5">
        <f>17307 / 86400</f>
        <v>0.2003125</v>
      </c>
    </row>
    <row r="703" spans="1:12" x14ac:dyDescent="0.25">
      <c r="A703" s="3">
        <v>45703.357511574075</v>
      </c>
      <c r="B703" t="s">
        <v>129</v>
      </c>
      <c r="C703" s="3">
        <v>45703.361597222218</v>
      </c>
      <c r="D703" t="s">
        <v>132</v>
      </c>
      <c r="E703" s="4">
        <v>0.44800000000000001</v>
      </c>
      <c r="F703" s="4">
        <v>575848.49199999997</v>
      </c>
      <c r="G703" s="4">
        <v>575848.93999999994</v>
      </c>
      <c r="H703" s="5">
        <f>200 / 86400</f>
        <v>2.3148148148148147E-3</v>
      </c>
      <c r="I703" t="s">
        <v>202</v>
      </c>
      <c r="J703" t="s">
        <v>134</v>
      </c>
      <c r="K703" s="5">
        <f>353 / 86400</f>
        <v>4.0856481481481481E-3</v>
      </c>
      <c r="L703" s="5">
        <f>280 / 86400</f>
        <v>3.2407407407407406E-3</v>
      </c>
    </row>
    <row r="704" spans="1:12" x14ac:dyDescent="0.25">
      <c r="A704" s="3">
        <v>45703.364837962959</v>
      </c>
      <c r="B704" t="s">
        <v>132</v>
      </c>
      <c r="C704" s="3">
        <v>45703.478321759263</v>
      </c>
      <c r="D704" t="s">
        <v>259</v>
      </c>
      <c r="E704" s="4">
        <v>50.542999999999999</v>
      </c>
      <c r="F704" s="4">
        <v>575848.93999999994</v>
      </c>
      <c r="G704" s="4">
        <v>575899.48300000001</v>
      </c>
      <c r="H704" s="5">
        <f>2535 / 86400</f>
        <v>2.9340277777777778E-2</v>
      </c>
      <c r="I704" t="s">
        <v>85</v>
      </c>
      <c r="J704" t="s">
        <v>26</v>
      </c>
      <c r="K704" s="5">
        <f>9804 / 86400</f>
        <v>0.11347222222222222</v>
      </c>
      <c r="L704" s="5">
        <f>620 / 86400</f>
        <v>7.1759259259259259E-3</v>
      </c>
    </row>
    <row r="705" spans="1:12" x14ac:dyDescent="0.25">
      <c r="A705" s="3">
        <v>45703.485497685186</v>
      </c>
      <c r="B705" t="s">
        <v>260</v>
      </c>
      <c r="C705" s="3">
        <v>45703.587546296301</v>
      </c>
      <c r="D705" t="s">
        <v>212</v>
      </c>
      <c r="E705" s="4">
        <v>33.646999999999998</v>
      </c>
      <c r="F705" s="4">
        <v>575899.48300000001</v>
      </c>
      <c r="G705" s="4">
        <v>575933.13</v>
      </c>
      <c r="H705" s="5">
        <f>2740 / 86400</f>
        <v>3.1712962962962964E-2</v>
      </c>
      <c r="I705" t="s">
        <v>173</v>
      </c>
      <c r="J705" t="s">
        <v>88</v>
      </c>
      <c r="K705" s="5">
        <f>8817 / 86400</f>
        <v>0.10204861111111112</v>
      </c>
      <c r="L705" s="5">
        <f>2916 / 86400</f>
        <v>3.3750000000000002E-2</v>
      </c>
    </row>
    <row r="706" spans="1:12" x14ac:dyDescent="0.25">
      <c r="A706" s="3">
        <v>45703.621296296296</v>
      </c>
      <c r="B706" t="s">
        <v>212</v>
      </c>
      <c r="C706" s="3">
        <v>45703.796851851846</v>
      </c>
      <c r="D706" t="s">
        <v>27</v>
      </c>
      <c r="E706" s="4">
        <v>61.152999999999999</v>
      </c>
      <c r="F706" s="4">
        <v>575933.13</v>
      </c>
      <c r="G706" s="4">
        <v>575994.28300000005</v>
      </c>
      <c r="H706" s="5">
        <f>4719 / 86400</f>
        <v>5.4618055555555559E-2</v>
      </c>
      <c r="I706" t="s">
        <v>28</v>
      </c>
      <c r="J706" t="s">
        <v>29</v>
      </c>
      <c r="K706" s="5">
        <f>15167 / 86400</f>
        <v>0.17554398148148148</v>
      </c>
      <c r="L706" s="5">
        <f>1045 / 86400</f>
        <v>1.2094907407407407E-2</v>
      </c>
    </row>
    <row r="707" spans="1:12" x14ac:dyDescent="0.25">
      <c r="A707" s="3">
        <v>45703.808946759258</v>
      </c>
      <c r="B707" t="s">
        <v>27</v>
      </c>
      <c r="C707" s="3">
        <v>45703.820833333331</v>
      </c>
      <c r="D707" t="s">
        <v>27</v>
      </c>
      <c r="E707" s="4">
        <v>0.92500000000000004</v>
      </c>
      <c r="F707" s="4">
        <v>575994.28300000005</v>
      </c>
      <c r="G707" s="4">
        <v>575995.20799999998</v>
      </c>
      <c r="H707" s="5">
        <f>479 / 86400</f>
        <v>5.5439814814814813E-3</v>
      </c>
      <c r="I707" t="s">
        <v>29</v>
      </c>
      <c r="J707" t="s">
        <v>139</v>
      </c>
      <c r="K707" s="5">
        <f>1026 / 86400</f>
        <v>1.1875E-2</v>
      </c>
      <c r="L707" s="5">
        <f>15479 / 86400</f>
        <v>0.1791550925925926</v>
      </c>
    </row>
    <row r="708" spans="1:1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2" s="10" customFormat="1" ht="20.100000000000001" customHeight="1" x14ac:dyDescent="0.35">
      <c r="A710" s="15" t="s">
        <v>325</v>
      </c>
      <c r="B710" s="15"/>
      <c r="C710" s="15"/>
      <c r="D710" s="15"/>
      <c r="E710" s="15"/>
      <c r="F710" s="15"/>
      <c r="G710" s="15"/>
      <c r="H710" s="15"/>
      <c r="I710" s="15"/>
      <c r="J710" s="15"/>
    </row>
    <row r="711" spans="1:1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2" ht="30" x14ac:dyDescent="0.25">
      <c r="A712" s="2" t="s">
        <v>6</v>
      </c>
      <c r="B712" s="2" t="s">
        <v>7</v>
      </c>
      <c r="C712" s="2" t="s">
        <v>8</v>
      </c>
      <c r="D712" s="2" t="s">
        <v>9</v>
      </c>
      <c r="E712" s="2" t="s">
        <v>10</v>
      </c>
      <c r="F712" s="2" t="s">
        <v>11</v>
      </c>
      <c r="G712" s="2" t="s">
        <v>12</v>
      </c>
      <c r="H712" s="2" t="s">
        <v>13</v>
      </c>
      <c r="I712" s="2" t="s">
        <v>14</v>
      </c>
      <c r="J712" s="2" t="s">
        <v>15</v>
      </c>
      <c r="K712" s="2" t="s">
        <v>16</v>
      </c>
      <c r="L712" s="2" t="s">
        <v>17</v>
      </c>
    </row>
    <row r="713" spans="1:12" x14ac:dyDescent="0.25">
      <c r="A713" s="3">
        <v>45703.149745370371</v>
      </c>
      <c r="B713" t="s">
        <v>94</v>
      </c>
      <c r="C713" s="3">
        <v>45703.494768518518</v>
      </c>
      <c r="D713" t="s">
        <v>94</v>
      </c>
      <c r="E713" s="4">
        <v>147.09100000000001</v>
      </c>
      <c r="F713" s="4">
        <v>416773.484</v>
      </c>
      <c r="G713" s="4">
        <v>416920.57500000001</v>
      </c>
      <c r="H713" s="5">
        <f>8938 / 86400</f>
        <v>0.10344907407407407</v>
      </c>
      <c r="I713" t="s">
        <v>41</v>
      </c>
      <c r="J713" t="s">
        <v>20</v>
      </c>
      <c r="K713" s="5">
        <f>29810 / 86400</f>
        <v>0.34502314814814816</v>
      </c>
      <c r="L713" s="5">
        <f>56589 / 86400</f>
        <v>0.6549652777777778</v>
      </c>
    </row>
    <row r="714" spans="1:1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s="10" customFormat="1" ht="20.100000000000001" customHeight="1" x14ac:dyDescent="0.35">
      <c r="A716" s="15" t="s">
        <v>326</v>
      </c>
      <c r="B716" s="15"/>
      <c r="C716" s="15"/>
      <c r="D716" s="15"/>
      <c r="E716" s="15"/>
      <c r="F716" s="15"/>
      <c r="G716" s="15"/>
      <c r="H716" s="15"/>
      <c r="I716" s="15"/>
      <c r="J716" s="15"/>
    </row>
    <row r="717" spans="1:1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</row>
    <row r="718" spans="1:12" ht="30" x14ac:dyDescent="0.25">
      <c r="A718" s="2" t="s">
        <v>6</v>
      </c>
      <c r="B718" s="2" t="s">
        <v>7</v>
      </c>
      <c r="C718" s="2" t="s">
        <v>8</v>
      </c>
      <c r="D718" s="2" t="s">
        <v>9</v>
      </c>
      <c r="E718" s="2" t="s">
        <v>10</v>
      </c>
      <c r="F718" s="2" t="s">
        <v>11</v>
      </c>
      <c r="G718" s="2" t="s">
        <v>12</v>
      </c>
      <c r="H718" s="2" t="s">
        <v>13</v>
      </c>
      <c r="I718" s="2" t="s">
        <v>14</v>
      </c>
      <c r="J718" s="2" t="s">
        <v>15</v>
      </c>
      <c r="K718" s="2" t="s">
        <v>16</v>
      </c>
      <c r="L718" s="2" t="s">
        <v>17</v>
      </c>
    </row>
    <row r="719" spans="1:12" x14ac:dyDescent="0.25">
      <c r="A719" s="3">
        <v>45703.019502314812</v>
      </c>
      <c r="B719" t="s">
        <v>95</v>
      </c>
      <c r="C719" s="3">
        <v>45703.032488425924</v>
      </c>
      <c r="D719" t="s">
        <v>96</v>
      </c>
      <c r="E719" s="4">
        <v>9.327</v>
      </c>
      <c r="F719" s="4">
        <v>400856.60600000003</v>
      </c>
      <c r="G719" s="4">
        <v>400865.93300000002</v>
      </c>
      <c r="H719" s="5">
        <f>139 / 86400</f>
        <v>1.6087962962962963E-3</v>
      </c>
      <c r="I719" t="s">
        <v>226</v>
      </c>
      <c r="J719" t="s">
        <v>76</v>
      </c>
      <c r="K719" s="5">
        <f>1121 / 86400</f>
        <v>1.2974537037037038E-2</v>
      </c>
      <c r="L719" s="5">
        <f>30116 / 86400</f>
        <v>0.34856481481481483</v>
      </c>
    </row>
    <row r="720" spans="1:12" x14ac:dyDescent="0.25">
      <c r="A720" s="3">
        <v>45703.361550925925</v>
      </c>
      <c r="B720" t="s">
        <v>96</v>
      </c>
      <c r="C720" s="3">
        <v>45703.378125000003</v>
      </c>
      <c r="D720" t="s">
        <v>84</v>
      </c>
      <c r="E720" s="4">
        <v>9.0579999999999998</v>
      </c>
      <c r="F720" s="4">
        <v>400865.93300000002</v>
      </c>
      <c r="G720" s="4">
        <v>400874.99099999998</v>
      </c>
      <c r="H720" s="5">
        <f>479 / 86400</f>
        <v>5.5439814814814813E-3</v>
      </c>
      <c r="I720" t="s">
        <v>253</v>
      </c>
      <c r="J720" t="s">
        <v>80</v>
      </c>
      <c r="K720" s="5">
        <f>1432 / 86400</f>
        <v>1.6574074074074074E-2</v>
      </c>
      <c r="L720" s="5">
        <f>209 / 86400</f>
        <v>2.4189814814814816E-3</v>
      </c>
    </row>
    <row r="721" spans="1:12" x14ac:dyDescent="0.25">
      <c r="A721" s="3">
        <v>45703.380543981482</v>
      </c>
      <c r="B721" t="s">
        <v>84</v>
      </c>
      <c r="C721" s="3">
        <v>45703.385162037041</v>
      </c>
      <c r="D721" t="s">
        <v>126</v>
      </c>
      <c r="E721" s="4">
        <v>1.409</v>
      </c>
      <c r="F721" s="4">
        <v>400874.99099999998</v>
      </c>
      <c r="G721" s="4">
        <v>400876.4</v>
      </c>
      <c r="H721" s="5">
        <f>60 / 86400</f>
        <v>6.9444444444444447E-4</v>
      </c>
      <c r="I721" t="s">
        <v>155</v>
      </c>
      <c r="J721" t="s">
        <v>122</v>
      </c>
      <c r="K721" s="5">
        <f>399 / 86400</f>
        <v>4.6180555555555558E-3</v>
      </c>
      <c r="L721" s="5">
        <f>292 / 86400</f>
        <v>3.3796296296296296E-3</v>
      </c>
    </row>
    <row r="722" spans="1:12" x14ac:dyDescent="0.25">
      <c r="A722" s="3">
        <v>45703.388541666667</v>
      </c>
      <c r="B722" t="s">
        <v>126</v>
      </c>
      <c r="C722" s="3">
        <v>45703.390243055561</v>
      </c>
      <c r="D722" t="s">
        <v>132</v>
      </c>
      <c r="E722" s="4">
        <v>0.64100000000000001</v>
      </c>
      <c r="F722" s="4">
        <v>400876.4</v>
      </c>
      <c r="G722" s="4">
        <v>400877.04100000003</v>
      </c>
      <c r="H722" s="5">
        <f>0 / 86400</f>
        <v>0</v>
      </c>
      <c r="I722" t="s">
        <v>127</v>
      </c>
      <c r="J722" t="s">
        <v>36</v>
      </c>
      <c r="K722" s="5">
        <f>146 / 86400</f>
        <v>1.6898148148148148E-3</v>
      </c>
      <c r="L722" s="5">
        <f>412 / 86400</f>
        <v>4.7685185185185183E-3</v>
      </c>
    </row>
    <row r="723" spans="1:12" x14ac:dyDescent="0.25">
      <c r="A723" s="3">
        <v>45703.395011574074</v>
      </c>
      <c r="B723" t="s">
        <v>132</v>
      </c>
      <c r="C723" s="3">
        <v>45703.395497685182</v>
      </c>
      <c r="D723" t="s">
        <v>132</v>
      </c>
      <c r="E723" s="4">
        <v>7.6999999999999999E-2</v>
      </c>
      <c r="F723" s="4">
        <v>400877.04100000003</v>
      </c>
      <c r="G723" s="4">
        <v>400877.11800000002</v>
      </c>
      <c r="H723" s="5">
        <f>20 / 86400</f>
        <v>2.3148148148148149E-4</v>
      </c>
      <c r="I723" t="s">
        <v>77</v>
      </c>
      <c r="J723" t="s">
        <v>60</v>
      </c>
      <c r="K723" s="5">
        <f>41 / 86400</f>
        <v>4.7453703703703704E-4</v>
      </c>
      <c r="L723" s="5">
        <f>1303 / 86400</f>
        <v>1.5081018518518518E-2</v>
      </c>
    </row>
    <row r="724" spans="1:12" x14ac:dyDescent="0.25">
      <c r="A724" s="3">
        <v>45703.410578703704</v>
      </c>
      <c r="B724" t="s">
        <v>132</v>
      </c>
      <c r="C724" s="3">
        <v>45703.410775462966</v>
      </c>
      <c r="D724" t="s">
        <v>133</v>
      </c>
      <c r="E724" s="4">
        <v>1.6E-2</v>
      </c>
      <c r="F724" s="4">
        <v>400877.11800000002</v>
      </c>
      <c r="G724" s="4">
        <v>400877.13400000002</v>
      </c>
      <c r="H724" s="5">
        <f>0 / 86400</f>
        <v>0</v>
      </c>
      <c r="I724" t="s">
        <v>134</v>
      </c>
      <c r="J724" t="s">
        <v>154</v>
      </c>
      <c r="K724" s="5">
        <f>16 / 86400</f>
        <v>1.8518518518518518E-4</v>
      </c>
      <c r="L724" s="5">
        <f>259 / 86400</f>
        <v>2.9976851851851853E-3</v>
      </c>
    </row>
    <row r="725" spans="1:12" x14ac:dyDescent="0.25">
      <c r="A725" s="3">
        <v>45703.413773148146</v>
      </c>
      <c r="B725" t="s">
        <v>163</v>
      </c>
      <c r="C725" s="3">
        <v>45703.413935185185</v>
      </c>
      <c r="D725" t="s">
        <v>133</v>
      </c>
      <c r="E725" s="4">
        <v>6.0000000000000001E-3</v>
      </c>
      <c r="F725" s="4">
        <v>400877.13400000002</v>
      </c>
      <c r="G725" s="4">
        <v>400877.14</v>
      </c>
      <c r="H725" s="5">
        <f>0 / 86400</f>
        <v>0</v>
      </c>
      <c r="I725" t="s">
        <v>44</v>
      </c>
      <c r="J725" t="s">
        <v>135</v>
      </c>
      <c r="K725" s="5">
        <f>13 / 86400</f>
        <v>1.5046296296296297E-4</v>
      </c>
      <c r="L725" s="5">
        <f>142 / 86400</f>
        <v>1.6435185185185185E-3</v>
      </c>
    </row>
    <row r="726" spans="1:12" x14ac:dyDescent="0.25">
      <c r="A726" s="3">
        <v>45703.415578703702</v>
      </c>
      <c r="B726" t="s">
        <v>133</v>
      </c>
      <c r="C726" s="3">
        <v>45703.717800925922</v>
      </c>
      <c r="D726" t="s">
        <v>261</v>
      </c>
      <c r="E726" s="4">
        <v>95.835999999999999</v>
      </c>
      <c r="F726" s="4">
        <v>400877.14</v>
      </c>
      <c r="G726" s="4">
        <v>400972.97600000002</v>
      </c>
      <c r="H726" s="5">
        <f>11120 / 86400</f>
        <v>0.12870370370370371</v>
      </c>
      <c r="I726" t="s">
        <v>28</v>
      </c>
      <c r="J726" t="s">
        <v>122</v>
      </c>
      <c r="K726" s="5">
        <f>26111 / 86400</f>
        <v>0.30221064814814813</v>
      </c>
      <c r="L726" s="5">
        <f>1080 / 86400</f>
        <v>1.2500000000000001E-2</v>
      </c>
    </row>
    <row r="727" spans="1:12" x14ac:dyDescent="0.25">
      <c r="A727" s="3">
        <v>45703.730300925927</v>
      </c>
      <c r="B727" t="s">
        <v>261</v>
      </c>
      <c r="C727" s="3">
        <v>45703.837858796294</v>
      </c>
      <c r="D727" t="s">
        <v>235</v>
      </c>
      <c r="E727" s="4">
        <v>35.426000000000002</v>
      </c>
      <c r="F727" s="4">
        <v>400972.97600000002</v>
      </c>
      <c r="G727" s="4">
        <v>401008.402</v>
      </c>
      <c r="H727" s="5">
        <f>3858 / 86400</f>
        <v>4.4652777777777777E-2</v>
      </c>
      <c r="I727" t="s">
        <v>262</v>
      </c>
      <c r="J727" t="s">
        <v>88</v>
      </c>
      <c r="K727" s="5">
        <f>9293 / 86400</f>
        <v>0.10755787037037037</v>
      </c>
      <c r="L727" s="5">
        <f>471 / 86400</f>
        <v>5.4513888888888893E-3</v>
      </c>
    </row>
    <row r="728" spans="1:12" x14ac:dyDescent="0.25">
      <c r="A728" s="3">
        <v>45703.843310185184</v>
      </c>
      <c r="B728" t="s">
        <v>235</v>
      </c>
      <c r="C728" s="3">
        <v>45703.960856481484</v>
      </c>
      <c r="D728" t="s">
        <v>96</v>
      </c>
      <c r="E728" s="4">
        <v>47.31</v>
      </c>
      <c r="F728" s="4">
        <v>401008.402</v>
      </c>
      <c r="G728" s="4">
        <v>401055.712</v>
      </c>
      <c r="H728" s="5">
        <f>2879 / 86400</f>
        <v>3.3321759259259259E-2</v>
      </c>
      <c r="I728" t="s">
        <v>263</v>
      </c>
      <c r="J728" t="s">
        <v>33</v>
      </c>
      <c r="K728" s="5">
        <f>10156 / 86400</f>
        <v>0.1175462962962963</v>
      </c>
      <c r="L728" s="5">
        <f>3381 / 86400</f>
        <v>3.9131944444444441E-2</v>
      </c>
    </row>
    <row r="729" spans="1:1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</row>
    <row r="730" spans="1:1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</row>
    <row r="731" spans="1:12" s="10" customFormat="1" ht="20.100000000000001" customHeight="1" x14ac:dyDescent="0.35">
      <c r="A731" s="15" t="s">
        <v>327</v>
      </c>
      <c r="B731" s="15"/>
      <c r="C731" s="15"/>
      <c r="D731" s="15"/>
      <c r="E731" s="15"/>
      <c r="F731" s="15"/>
      <c r="G731" s="15"/>
      <c r="H731" s="15"/>
      <c r="I731" s="15"/>
      <c r="J731" s="15"/>
    </row>
    <row r="732" spans="1:1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ht="30" x14ac:dyDescent="0.25">
      <c r="A733" s="2" t="s">
        <v>6</v>
      </c>
      <c r="B733" s="2" t="s">
        <v>7</v>
      </c>
      <c r="C733" s="2" t="s">
        <v>8</v>
      </c>
      <c r="D733" s="2" t="s">
        <v>9</v>
      </c>
      <c r="E733" s="2" t="s">
        <v>10</v>
      </c>
      <c r="F733" s="2" t="s">
        <v>11</v>
      </c>
      <c r="G733" s="2" t="s">
        <v>12</v>
      </c>
      <c r="H733" s="2" t="s">
        <v>13</v>
      </c>
      <c r="I733" s="2" t="s">
        <v>14</v>
      </c>
      <c r="J733" s="2" t="s">
        <v>15</v>
      </c>
      <c r="K733" s="2" t="s">
        <v>16</v>
      </c>
      <c r="L733" s="2" t="s">
        <v>17</v>
      </c>
    </row>
    <row r="734" spans="1:12" x14ac:dyDescent="0.25">
      <c r="A734" s="3">
        <v>45703.29760416667</v>
      </c>
      <c r="B734" t="s">
        <v>27</v>
      </c>
      <c r="C734" s="3">
        <v>45703.344548611116</v>
      </c>
      <c r="D734" t="s">
        <v>50</v>
      </c>
      <c r="E734" s="4">
        <v>24.547999999999998</v>
      </c>
      <c r="F734" s="4">
        <v>382844.375</v>
      </c>
      <c r="G734" s="4">
        <v>382868.92300000001</v>
      </c>
      <c r="H734" s="5">
        <f>858 / 86400</f>
        <v>9.9305555555555553E-3</v>
      </c>
      <c r="I734" t="s">
        <v>66</v>
      </c>
      <c r="J734" t="s">
        <v>145</v>
      </c>
      <c r="K734" s="5">
        <f>4056 / 86400</f>
        <v>4.6944444444444441E-2</v>
      </c>
      <c r="L734" s="5">
        <f>27494 / 86400</f>
        <v>0.31821759259259258</v>
      </c>
    </row>
    <row r="735" spans="1:12" x14ac:dyDescent="0.25">
      <c r="A735" s="3">
        <v>45703.365162037036</v>
      </c>
      <c r="B735" t="s">
        <v>50</v>
      </c>
      <c r="C735" s="3">
        <v>45703.368634259255</v>
      </c>
      <c r="D735" t="s">
        <v>144</v>
      </c>
      <c r="E735" s="4">
        <v>1.0900000000000001</v>
      </c>
      <c r="F735" s="4">
        <v>382868.92300000001</v>
      </c>
      <c r="G735" s="4">
        <v>382870.01299999998</v>
      </c>
      <c r="H735" s="5">
        <f>40 / 86400</f>
        <v>4.6296296296296298E-4</v>
      </c>
      <c r="I735" t="s">
        <v>167</v>
      </c>
      <c r="J735" t="s">
        <v>122</v>
      </c>
      <c r="K735" s="5">
        <f>300 / 86400</f>
        <v>3.472222222222222E-3</v>
      </c>
      <c r="L735" s="5">
        <f>1415 / 86400</f>
        <v>1.6377314814814813E-2</v>
      </c>
    </row>
    <row r="736" spans="1:12" x14ac:dyDescent="0.25">
      <c r="A736" s="3">
        <v>45703.385011574079</v>
      </c>
      <c r="B736" t="s">
        <v>144</v>
      </c>
      <c r="C736" s="3">
        <v>45703.421724537038</v>
      </c>
      <c r="D736" t="s">
        <v>188</v>
      </c>
      <c r="E736" s="4">
        <v>23.268999999999998</v>
      </c>
      <c r="F736" s="4">
        <v>382870.01299999998</v>
      </c>
      <c r="G736" s="4">
        <v>382893.28200000001</v>
      </c>
      <c r="H736" s="5">
        <f>540 / 86400</f>
        <v>6.2500000000000003E-3</v>
      </c>
      <c r="I736" t="s">
        <v>19</v>
      </c>
      <c r="J736" t="s">
        <v>175</v>
      </c>
      <c r="K736" s="5">
        <f>3171 / 86400</f>
        <v>3.6701388888888888E-2</v>
      </c>
      <c r="L736" s="5">
        <f>123 / 86400</f>
        <v>1.4236111111111112E-3</v>
      </c>
    </row>
    <row r="737" spans="1:12" x14ac:dyDescent="0.25">
      <c r="A737" s="3">
        <v>45703.423148148147</v>
      </c>
      <c r="B737" t="s">
        <v>188</v>
      </c>
      <c r="C737" s="3">
        <v>45703.424814814818</v>
      </c>
      <c r="D737" t="s">
        <v>27</v>
      </c>
      <c r="E737" s="4">
        <v>0.47</v>
      </c>
      <c r="F737" s="4">
        <v>382893.28200000001</v>
      </c>
      <c r="G737" s="4">
        <v>382893.75199999998</v>
      </c>
      <c r="H737" s="5">
        <f>0 / 86400</f>
        <v>0</v>
      </c>
      <c r="I737" t="s">
        <v>80</v>
      </c>
      <c r="J737" t="s">
        <v>77</v>
      </c>
      <c r="K737" s="5">
        <f>143 / 86400</f>
        <v>1.6550925925925926E-3</v>
      </c>
      <c r="L737" s="5">
        <f>298 / 86400</f>
        <v>3.449074074074074E-3</v>
      </c>
    </row>
    <row r="738" spans="1:12" x14ac:dyDescent="0.25">
      <c r="A738" s="3">
        <v>45703.428263888884</v>
      </c>
      <c r="B738" t="s">
        <v>27</v>
      </c>
      <c r="C738" s="3">
        <v>45703.429108796292</v>
      </c>
      <c r="D738" t="s">
        <v>27</v>
      </c>
      <c r="E738" s="4">
        <v>2.8000000000000001E-2</v>
      </c>
      <c r="F738" s="4">
        <v>382893.75199999998</v>
      </c>
      <c r="G738" s="4">
        <v>382893.78</v>
      </c>
      <c r="H738" s="5">
        <f>39 / 86400</f>
        <v>4.5138888888888887E-4</v>
      </c>
      <c r="I738" t="s">
        <v>43</v>
      </c>
      <c r="J738" t="s">
        <v>43</v>
      </c>
      <c r="K738" s="5">
        <f>72 / 86400</f>
        <v>8.3333333333333339E-4</v>
      </c>
      <c r="L738" s="5">
        <f>865 / 86400</f>
        <v>1.0011574074074074E-2</v>
      </c>
    </row>
    <row r="739" spans="1:12" x14ac:dyDescent="0.25">
      <c r="A739" s="3">
        <v>45703.439120370371</v>
      </c>
      <c r="B739" t="s">
        <v>27</v>
      </c>
      <c r="C739" s="3">
        <v>45703.439479166671</v>
      </c>
      <c r="D739" t="s">
        <v>27</v>
      </c>
      <c r="E739" s="4">
        <v>0</v>
      </c>
      <c r="F739" s="4">
        <v>382893.78</v>
      </c>
      <c r="G739" s="4">
        <v>382893.78</v>
      </c>
      <c r="H739" s="5">
        <f>19 / 86400</f>
        <v>2.199074074074074E-4</v>
      </c>
      <c r="I739" t="s">
        <v>44</v>
      </c>
      <c r="J739" t="s">
        <v>44</v>
      </c>
      <c r="K739" s="5">
        <f>31 / 86400</f>
        <v>3.5879629629629629E-4</v>
      </c>
      <c r="L739" s="5">
        <f>111 / 86400</f>
        <v>1.2847222222222223E-3</v>
      </c>
    </row>
    <row r="740" spans="1:12" x14ac:dyDescent="0.25">
      <c r="A740" s="3">
        <v>45703.440763888888</v>
      </c>
      <c r="B740" t="s">
        <v>27</v>
      </c>
      <c r="C740" s="3">
        <v>45703.441608796296</v>
      </c>
      <c r="D740" t="s">
        <v>27</v>
      </c>
      <c r="E740" s="4">
        <v>2E-3</v>
      </c>
      <c r="F740" s="4">
        <v>382893.78</v>
      </c>
      <c r="G740" s="4">
        <v>382893.78200000001</v>
      </c>
      <c r="H740" s="5">
        <f>59 / 86400</f>
        <v>6.8287037037037036E-4</v>
      </c>
      <c r="I740" t="s">
        <v>44</v>
      </c>
      <c r="J740" t="s">
        <v>44</v>
      </c>
      <c r="K740" s="5">
        <f>72 / 86400</f>
        <v>8.3333333333333339E-4</v>
      </c>
      <c r="L740" s="5">
        <f>48244 / 86400</f>
        <v>0.55837962962962961</v>
      </c>
    </row>
    <row r="741" spans="1:1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</row>
    <row r="743" spans="1:12" s="10" customFormat="1" ht="20.100000000000001" customHeight="1" x14ac:dyDescent="0.35">
      <c r="A743" s="15" t="s">
        <v>328</v>
      </c>
      <c r="B743" s="15"/>
      <c r="C743" s="15"/>
      <c r="D743" s="15"/>
      <c r="E743" s="15"/>
      <c r="F743" s="15"/>
      <c r="G743" s="15"/>
      <c r="H743" s="15"/>
      <c r="I743" s="15"/>
      <c r="J743" s="15"/>
    </row>
    <row r="744" spans="1:1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 spans="1:12" ht="30" x14ac:dyDescent="0.25">
      <c r="A745" s="2" t="s">
        <v>6</v>
      </c>
      <c r="B745" s="2" t="s">
        <v>7</v>
      </c>
      <c r="C745" s="2" t="s">
        <v>8</v>
      </c>
      <c r="D745" s="2" t="s">
        <v>9</v>
      </c>
      <c r="E745" s="2" t="s">
        <v>10</v>
      </c>
      <c r="F745" s="2" t="s">
        <v>11</v>
      </c>
      <c r="G745" s="2" t="s">
        <v>12</v>
      </c>
      <c r="H745" s="2" t="s">
        <v>13</v>
      </c>
      <c r="I745" s="2" t="s">
        <v>14</v>
      </c>
      <c r="J745" s="2" t="s">
        <v>15</v>
      </c>
      <c r="K745" s="2" t="s">
        <v>16</v>
      </c>
      <c r="L745" s="2" t="s">
        <v>17</v>
      </c>
    </row>
    <row r="746" spans="1:12" x14ac:dyDescent="0.25">
      <c r="A746" s="3">
        <v>45703.297546296293</v>
      </c>
      <c r="B746" t="s">
        <v>97</v>
      </c>
      <c r="C746" s="3">
        <v>45703.309953703705</v>
      </c>
      <c r="D746" t="s">
        <v>126</v>
      </c>
      <c r="E746" s="4">
        <v>1.869</v>
      </c>
      <c r="F746" s="4">
        <v>546521.65</v>
      </c>
      <c r="G746" s="4">
        <v>546523.51899999997</v>
      </c>
      <c r="H746" s="5">
        <f>599 / 86400</f>
        <v>6.9328703703703705E-3</v>
      </c>
      <c r="I746" t="s">
        <v>137</v>
      </c>
      <c r="J746" t="s">
        <v>57</v>
      </c>
      <c r="K746" s="5">
        <f>1071 / 86400</f>
        <v>1.2395833333333333E-2</v>
      </c>
      <c r="L746" s="5">
        <f>26132 / 86400</f>
        <v>0.30245370370370372</v>
      </c>
    </row>
    <row r="747" spans="1:12" x14ac:dyDescent="0.25">
      <c r="A747" s="3">
        <v>45703.31486111111</v>
      </c>
      <c r="B747" t="s">
        <v>126</v>
      </c>
      <c r="C747" s="3">
        <v>45703.424826388888</v>
      </c>
      <c r="D747" t="s">
        <v>162</v>
      </c>
      <c r="E747" s="4">
        <v>50.924999999999997</v>
      </c>
      <c r="F747" s="4">
        <v>546523.51899999997</v>
      </c>
      <c r="G747" s="4">
        <v>546574.44400000002</v>
      </c>
      <c r="H747" s="5">
        <f>2800 / 86400</f>
        <v>3.2407407407407406E-2</v>
      </c>
      <c r="I747" t="s">
        <v>85</v>
      </c>
      <c r="J747" t="s">
        <v>26</v>
      </c>
      <c r="K747" s="5">
        <f>9501 / 86400</f>
        <v>0.10996527777777777</v>
      </c>
      <c r="L747" s="5">
        <f>2801 / 86400</f>
        <v>3.2418981481481479E-2</v>
      </c>
    </row>
    <row r="748" spans="1:12" x14ac:dyDescent="0.25">
      <c r="A748" s="3">
        <v>45703.457245370373</v>
      </c>
      <c r="B748" t="s">
        <v>162</v>
      </c>
      <c r="C748" s="3">
        <v>45703.461018518516</v>
      </c>
      <c r="D748" t="s">
        <v>220</v>
      </c>
      <c r="E748" s="4">
        <v>0.10299999999999999</v>
      </c>
      <c r="F748" s="4">
        <v>546574.44400000002</v>
      </c>
      <c r="G748" s="4">
        <v>546574.54700000002</v>
      </c>
      <c r="H748" s="5">
        <f>180 / 86400</f>
        <v>2.0833333333333333E-3</v>
      </c>
      <c r="I748" t="s">
        <v>60</v>
      </c>
      <c r="J748" t="s">
        <v>43</v>
      </c>
      <c r="K748" s="5">
        <f>325 / 86400</f>
        <v>3.7615740740740739E-3</v>
      </c>
      <c r="L748" s="5">
        <f>31 / 86400</f>
        <v>3.5879629629629629E-4</v>
      </c>
    </row>
    <row r="749" spans="1:12" x14ac:dyDescent="0.25">
      <c r="A749" s="3">
        <v>45703.461377314816</v>
      </c>
      <c r="B749" t="s">
        <v>221</v>
      </c>
      <c r="C749" s="3">
        <v>45703.583171296297</v>
      </c>
      <c r="D749" t="s">
        <v>46</v>
      </c>
      <c r="E749" s="4">
        <v>50.256</v>
      </c>
      <c r="F749" s="4">
        <v>546574.54700000002</v>
      </c>
      <c r="G749" s="4">
        <v>546624.80299999996</v>
      </c>
      <c r="H749" s="5">
        <f>2879 / 86400</f>
        <v>3.3321759259259259E-2</v>
      </c>
      <c r="I749" t="s">
        <v>229</v>
      </c>
      <c r="J749" t="s">
        <v>33</v>
      </c>
      <c r="K749" s="5">
        <f>10523 / 86400</f>
        <v>0.12179398148148148</v>
      </c>
      <c r="L749" s="5">
        <f>2101 / 86400</f>
        <v>2.431712962962963E-2</v>
      </c>
    </row>
    <row r="750" spans="1:12" x14ac:dyDescent="0.25">
      <c r="A750" s="3">
        <v>45703.607488425929</v>
      </c>
      <c r="B750" t="s">
        <v>46</v>
      </c>
      <c r="C750" s="3">
        <v>45703.673391203702</v>
      </c>
      <c r="D750" t="s">
        <v>228</v>
      </c>
      <c r="E750" s="4">
        <v>34.549999999999997</v>
      </c>
      <c r="F750" s="4">
        <v>546624.80299999996</v>
      </c>
      <c r="G750" s="4">
        <v>546659.353</v>
      </c>
      <c r="H750" s="5">
        <f>1700 / 86400</f>
        <v>1.9675925925925927E-2</v>
      </c>
      <c r="I750" t="s">
        <v>98</v>
      </c>
      <c r="J750" t="s">
        <v>145</v>
      </c>
      <c r="K750" s="5">
        <f>5694 / 86400</f>
        <v>6.5902777777777782E-2</v>
      </c>
      <c r="L750" s="5">
        <f>166 / 86400</f>
        <v>1.9212962962962964E-3</v>
      </c>
    </row>
    <row r="751" spans="1:12" x14ac:dyDescent="0.25">
      <c r="A751" s="3">
        <v>45703.675312499996</v>
      </c>
      <c r="B751" t="s">
        <v>228</v>
      </c>
      <c r="C751" s="3">
        <v>45703.675393518519</v>
      </c>
      <c r="D751" t="s">
        <v>228</v>
      </c>
      <c r="E751" s="4">
        <v>0</v>
      </c>
      <c r="F751" s="4">
        <v>546659.353</v>
      </c>
      <c r="G751" s="4">
        <v>546659.353</v>
      </c>
      <c r="H751" s="5">
        <f>0 / 86400</f>
        <v>0</v>
      </c>
      <c r="I751" t="s">
        <v>44</v>
      </c>
      <c r="J751" t="s">
        <v>44</v>
      </c>
      <c r="K751" s="5">
        <f>6 / 86400</f>
        <v>6.9444444444444444E-5</v>
      </c>
      <c r="L751" s="5">
        <f>217 / 86400</f>
        <v>2.5115740740740741E-3</v>
      </c>
    </row>
    <row r="752" spans="1:12" x14ac:dyDescent="0.25">
      <c r="A752" s="3">
        <v>45703.677905092598</v>
      </c>
      <c r="B752" t="s">
        <v>228</v>
      </c>
      <c r="C752" s="3">
        <v>45703.678020833337</v>
      </c>
      <c r="D752" t="s">
        <v>228</v>
      </c>
      <c r="E752" s="4">
        <v>6.0000000000000001E-3</v>
      </c>
      <c r="F752" s="4">
        <v>546659.353</v>
      </c>
      <c r="G752" s="4">
        <v>546659.35900000005</v>
      </c>
      <c r="H752" s="5">
        <f>0 / 86400</f>
        <v>0</v>
      </c>
      <c r="I752" t="s">
        <v>43</v>
      </c>
      <c r="J752" t="s">
        <v>135</v>
      </c>
      <c r="K752" s="5">
        <f>10 / 86400</f>
        <v>1.1574074074074075E-4</v>
      </c>
      <c r="L752" s="5">
        <f>241 / 86400</f>
        <v>2.7893518518518519E-3</v>
      </c>
    </row>
    <row r="753" spans="1:12" x14ac:dyDescent="0.25">
      <c r="A753" s="3">
        <v>45703.680810185186</v>
      </c>
      <c r="B753" t="s">
        <v>228</v>
      </c>
      <c r="C753" s="3">
        <v>45703.682233796295</v>
      </c>
      <c r="D753" t="s">
        <v>228</v>
      </c>
      <c r="E753" s="4">
        <v>0.78200000000000003</v>
      </c>
      <c r="F753" s="4">
        <v>546659.35900000005</v>
      </c>
      <c r="G753" s="4">
        <v>546660.14099999995</v>
      </c>
      <c r="H753" s="5">
        <f>0 / 86400</f>
        <v>0</v>
      </c>
      <c r="I753" t="s">
        <v>174</v>
      </c>
      <c r="J753" t="s">
        <v>80</v>
      </c>
      <c r="K753" s="5">
        <f>123 / 86400</f>
        <v>1.4236111111111112E-3</v>
      </c>
      <c r="L753" s="5">
        <f>115 / 86400</f>
        <v>1.3310185185185185E-3</v>
      </c>
    </row>
    <row r="754" spans="1:12" x14ac:dyDescent="0.25">
      <c r="A754" s="3">
        <v>45703.683564814812</v>
      </c>
      <c r="B754" t="s">
        <v>228</v>
      </c>
      <c r="C754" s="3">
        <v>45703.770115740743</v>
      </c>
      <c r="D754" t="s">
        <v>84</v>
      </c>
      <c r="E754" s="4">
        <v>34.942</v>
      </c>
      <c r="F754" s="4">
        <v>546660.14099999995</v>
      </c>
      <c r="G754" s="4">
        <v>546695.08299999998</v>
      </c>
      <c r="H754" s="5">
        <f>2202 / 86400</f>
        <v>2.5486111111111112E-2</v>
      </c>
      <c r="I754" t="s">
        <v>262</v>
      </c>
      <c r="J754" t="s">
        <v>33</v>
      </c>
      <c r="K754" s="5">
        <f>7478 / 86400</f>
        <v>8.655092592592592E-2</v>
      </c>
      <c r="L754" s="5">
        <f>342 / 86400</f>
        <v>3.9583333333333337E-3</v>
      </c>
    </row>
    <row r="755" spans="1:12" x14ac:dyDescent="0.25">
      <c r="A755" s="3">
        <v>45703.77407407407</v>
      </c>
      <c r="B755" t="s">
        <v>84</v>
      </c>
      <c r="C755" s="3">
        <v>45703.776990740742</v>
      </c>
      <c r="D755" t="s">
        <v>21</v>
      </c>
      <c r="E755" s="4">
        <v>0.56899999999999995</v>
      </c>
      <c r="F755" s="4">
        <v>546695.08299999998</v>
      </c>
      <c r="G755" s="4">
        <v>546695.652</v>
      </c>
      <c r="H755" s="5">
        <f>60 / 86400</f>
        <v>6.9444444444444447E-4</v>
      </c>
      <c r="I755" t="s">
        <v>175</v>
      </c>
      <c r="J755" t="s">
        <v>138</v>
      </c>
      <c r="K755" s="5">
        <f>252 / 86400</f>
        <v>2.9166666666666668E-3</v>
      </c>
      <c r="L755" s="5">
        <f>19267 / 86400</f>
        <v>0.22299768518518517</v>
      </c>
    </row>
    <row r="756" spans="1:1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</row>
    <row r="757" spans="1:1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</row>
    <row r="758" spans="1:12" s="10" customFormat="1" ht="20.100000000000001" customHeight="1" x14ac:dyDescent="0.35">
      <c r="A758" s="15" t="s">
        <v>329</v>
      </c>
      <c r="B758" s="15"/>
      <c r="C758" s="15"/>
      <c r="D758" s="15"/>
      <c r="E758" s="15"/>
      <c r="F758" s="15"/>
      <c r="G758" s="15"/>
      <c r="H758" s="15"/>
      <c r="I758" s="15"/>
      <c r="J758" s="15"/>
    </row>
    <row r="759" spans="1:1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2" ht="30" x14ac:dyDescent="0.25">
      <c r="A760" s="2" t="s">
        <v>6</v>
      </c>
      <c r="B760" s="2" t="s">
        <v>7</v>
      </c>
      <c r="C760" s="2" t="s">
        <v>8</v>
      </c>
      <c r="D760" s="2" t="s">
        <v>9</v>
      </c>
      <c r="E760" s="2" t="s">
        <v>10</v>
      </c>
      <c r="F760" s="2" t="s">
        <v>11</v>
      </c>
      <c r="G760" s="2" t="s">
        <v>12</v>
      </c>
      <c r="H760" s="2" t="s">
        <v>13</v>
      </c>
      <c r="I760" s="2" t="s">
        <v>14</v>
      </c>
      <c r="J760" s="2" t="s">
        <v>15</v>
      </c>
      <c r="K760" s="2" t="s">
        <v>16</v>
      </c>
      <c r="L760" s="2" t="s">
        <v>17</v>
      </c>
    </row>
    <row r="761" spans="1:12" x14ac:dyDescent="0.25">
      <c r="A761" s="3">
        <v>45703.351956018523</v>
      </c>
      <c r="B761" t="s">
        <v>99</v>
      </c>
      <c r="C761" s="3">
        <v>45703.35832175926</v>
      </c>
      <c r="D761" t="s">
        <v>46</v>
      </c>
      <c r="E761" s="4">
        <v>1.7070000000000001</v>
      </c>
      <c r="F761" s="4">
        <v>104200.09600000001</v>
      </c>
      <c r="G761" s="4">
        <v>104201.803</v>
      </c>
      <c r="H761" s="5">
        <f>137 / 86400</f>
        <v>1.5856481481481481E-3</v>
      </c>
      <c r="I761" t="s">
        <v>155</v>
      </c>
      <c r="J761" t="s">
        <v>102</v>
      </c>
      <c r="K761" s="5">
        <f>550 / 86400</f>
        <v>6.3657407407407404E-3</v>
      </c>
      <c r="L761" s="5">
        <f>32339 / 86400</f>
        <v>0.37429398148148146</v>
      </c>
    </row>
    <row r="762" spans="1:12" x14ac:dyDescent="0.25">
      <c r="A762" s="3">
        <v>45703.380659722221</v>
      </c>
      <c r="B762" t="s">
        <v>46</v>
      </c>
      <c r="C762" s="3">
        <v>45703.381493055553</v>
      </c>
      <c r="D762" t="s">
        <v>46</v>
      </c>
      <c r="E762" s="4">
        <v>1.2999999999999999E-2</v>
      </c>
      <c r="F762" s="4">
        <v>104201.803</v>
      </c>
      <c r="G762" s="4">
        <v>104201.81600000001</v>
      </c>
      <c r="H762" s="5">
        <f>57 / 86400</f>
        <v>6.5972222222222224E-4</v>
      </c>
      <c r="I762" t="s">
        <v>44</v>
      </c>
      <c r="J762" t="s">
        <v>43</v>
      </c>
      <c r="K762" s="5">
        <f>72 / 86400</f>
        <v>8.3333333333333339E-4</v>
      </c>
      <c r="L762" s="5">
        <f>8066 / 86400</f>
        <v>9.3356481481481485E-2</v>
      </c>
    </row>
    <row r="763" spans="1:12" x14ac:dyDescent="0.25">
      <c r="A763" s="3">
        <v>45703.474849537037</v>
      </c>
      <c r="B763" t="s">
        <v>46</v>
      </c>
      <c r="C763" s="3">
        <v>45703.47865740741</v>
      </c>
      <c r="D763" t="s">
        <v>126</v>
      </c>
      <c r="E763" s="4">
        <v>1.026</v>
      </c>
      <c r="F763" s="4">
        <v>104201.81600000001</v>
      </c>
      <c r="G763" s="4">
        <v>104202.842</v>
      </c>
      <c r="H763" s="5">
        <f>57 / 86400</f>
        <v>6.5972222222222224E-4</v>
      </c>
      <c r="I763" t="s">
        <v>127</v>
      </c>
      <c r="J763" t="s">
        <v>102</v>
      </c>
      <c r="K763" s="5">
        <f>329 / 86400</f>
        <v>3.8078703703703703E-3</v>
      </c>
      <c r="L763" s="5">
        <f>368 / 86400</f>
        <v>4.2592592592592595E-3</v>
      </c>
    </row>
    <row r="764" spans="1:12" x14ac:dyDescent="0.25">
      <c r="A764" s="3">
        <v>45703.482916666668</v>
      </c>
      <c r="B764" t="s">
        <v>126</v>
      </c>
      <c r="C764" s="3">
        <v>45703.613495370373</v>
      </c>
      <c r="D764" t="s">
        <v>166</v>
      </c>
      <c r="E764" s="4">
        <v>51.680999999999997</v>
      </c>
      <c r="F764" s="4">
        <v>104202.842</v>
      </c>
      <c r="G764" s="4">
        <v>104254.523</v>
      </c>
      <c r="H764" s="5">
        <f>4172 / 86400</f>
        <v>4.8287037037037038E-2</v>
      </c>
      <c r="I764" t="s">
        <v>117</v>
      </c>
      <c r="J764" t="s">
        <v>36</v>
      </c>
      <c r="K764" s="5">
        <f>11282 / 86400</f>
        <v>0.1305787037037037</v>
      </c>
      <c r="L764" s="5">
        <f>1392 / 86400</f>
        <v>1.6111111111111111E-2</v>
      </c>
    </row>
    <row r="765" spans="1:12" x14ac:dyDescent="0.25">
      <c r="A765" s="3">
        <v>45703.629606481481</v>
      </c>
      <c r="B765" t="s">
        <v>166</v>
      </c>
      <c r="C765" s="3">
        <v>45703.99998842593</v>
      </c>
      <c r="D765" t="s">
        <v>71</v>
      </c>
      <c r="E765" s="4">
        <v>163.995</v>
      </c>
      <c r="F765" s="4">
        <v>104254.523</v>
      </c>
      <c r="G765" s="4">
        <v>104418.518</v>
      </c>
      <c r="H765" s="5">
        <f>11921 / 86400</f>
        <v>0.13797453703703705</v>
      </c>
      <c r="I765" t="s">
        <v>34</v>
      </c>
      <c r="J765" t="s">
        <v>20</v>
      </c>
      <c r="K765" s="5">
        <f>32001 / 86400</f>
        <v>0.37038194444444444</v>
      </c>
      <c r="L765" s="5">
        <f>0 / 86400</f>
        <v>0</v>
      </c>
    </row>
    <row r="766" spans="1:1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</row>
    <row r="767" spans="1:1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</row>
    <row r="768" spans="1:12" s="10" customFormat="1" ht="20.100000000000001" customHeight="1" x14ac:dyDescent="0.35">
      <c r="A768" s="15" t="s">
        <v>330</v>
      </c>
      <c r="B768" s="15"/>
      <c r="C768" s="15"/>
      <c r="D768" s="15"/>
      <c r="E768" s="15"/>
      <c r="F768" s="15"/>
      <c r="G768" s="15"/>
      <c r="H768" s="15"/>
      <c r="I768" s="15"/>
      <c r="J768" s="15"/>
    </row>
    <row r="769" spans="1:1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</row>
    <row r="770" spans="1:12" ht="30" x14ac:dyDescent="0.25">
      <c r="A770" s="2" t="s">
        <v>6</v>
      </c>
      <c r="B770" s="2" t="s">
        <v>7</v>
      </c>
      <c r="C770" s="2" t="s">
        <v>8</v>
      </c>
      <c r="D770" s="2" t="s">
        <v>9</v>
      </c>
      <c r="E770" s="2" t="s">
        <v>10</v>
      </c>
      <c r="F770" s="2" t="s">
        <v>11</v>
      </c>
      <c r="G770" s="2" t="s">
        <v>12</v>
      </c>
      <c r="H770" s="2" t="s">
        <v>13</v>
      </c>
      <c r="I770" s="2" t="s">
        <v>14</v>
      </c>
      <c r="J770" s="2" t="s">
        <v>15</v>
      </c>
      <c r="K770" s="2" t="s">
        <v>16</v>
      </c>
      <c r="L770" s="2" t="s">
        <v>17</v>
      </c>
    </row>
    <row r="771" spans="1:12" x14ac:dyDescent="0.25">
      <c r="A771" s="3">
        <v>45703.2893287037</v>
      </c>
      <c r="B771" t="s">
        <v>100</v>
      </c>
      <c r="C771" s="3">
        <v>45703.291678240741</v>
      </c>
      <c r="D771" t="s">
        <v>100</v>
      </c>
      <c r="E771" s="4">
        <v>0</v>
      </c>
      <c r="F771" s="4">
        <v>54553.150999999998</v>
      </c>
      <c r="G771" s="4">
        <v>54553.150999999998</v>
      </c>
      <c r="H771" s="5">
        <f>198 / 86400</f>
        <v>2.2916666666666667E-3</v>
      </c>
      <c r="I771" t="s">
        <v>44</v>
      </c>
      <c r="J771" t="s">
        <v>44</v>
      </c>
      <c r="K771" s="5">
        <f>203 / 86400</f>
        <v>2.3495370370370371E-3</v>
      </c>
      <c r="L771" s="5">
        <f>29556 / 86400</f>
        <v>0.34208333333333335</v>
      </c>
    </row>
    <row r="772" spans="1:12" x14ac:dyDescent="0.25">
      <c r="A772" s="3">
        <v>45703.34443287037</v>
      </c>
      <c r="B772" t="s">
        <v>100</v>
      </c>
      <c r="C772" s="3">
        <v>45703.345856481479</v>
      </c>
      <c r="D772" t="s">
        <v>100</v>
      </c>
      <c r="E772" s="4">
        <v>0</v>
      </c>
      <c r="F772" s="4">
        <v>54553.150999999998</v>
      </c>
      <c r="G772" s="4">
        <v>54553.150999999998</v>
      </c>
      <c r="H772" s="5">
        <f>118 / 86400</f>
        <v>1.3657407407407407E-3</v>
      </c>
      <c r="I772" t="s">
        <v>44</v>
      </c>
      <c r="J772" t="s">
        <v>44</v>
      </c>
      <c r="K772" s="5">
        <f>123 / 86400</f>
        <v>1.4236111111111112E-3</v>
      </c>
      <c r="L772" s="5">
        <f>38488 / 86400</f>
        <v>0.44546296296296295</v>
      </c>
    </row>
    <row r="773" spans="1:12" x14ac:dyDescent="0.25">
      <c r="A773" s="3">
        <v>45703.791319444441</v>
      </c>
      <c r="B773" t="s">
        <v>100</v>
      </c>
      <c r="C773" s="3">
        <v>45703.792800925927</v>
      </c>
      <c r="D773" t="s">
        <v>100</v>
      </c>
      <c r="E773" s="4">
        <v>0</v>
      </c>
      <c r="F773" s="4">
        <v>54553.150999999998</v>
      </c>
      <c r="G773" s="4">
        <v>54553.150999999998</v>
      </c>
      <c r="H773" s="5">
        <f>118 / 86400</f>
        <v>1.3657407407407407E-3</v>
      </c>
      <c r="I773" t="s">
        <v>44</v>
      </c>
      <c r="J773" t="s">
        <v>44</v>
      </c>
      <c r="K773" s="5">
        <f>128 / 86400</f>
        <v>1.4814814814814814E-3</v>
      </c>
      <c r="L773" s="5">
        <f>122 / 86400</f>
        <v>1.4120370370370369E-3</v>
      </c>
    </row>
    <row r="774" spans="1:12" x14ac:dyDescent="0.25">
      <c r="A774" s="3">
        <v>45703.794212962966</v>
      </c>
      <c r="B774" t="s">
        <v>100</v>
      </c>
      <c r="C774" s="3">
        <v>45703.825370370367</v>
      </c>
      <c r="D774" t="s">
        <v>54</v>
      </c>
      <c r="E774" s="4">
        <v>9.3420000000000005</v>
      </c>
      <c r="F774" s="4">
        <v>54553.150999999998</v>
      </c>
      <c r="G774" s="4">
        <v>54562.493000000002</v>
      </c>
      <c r="H774" s="5">
        <f>1058 / 86400</f>
        <v>1.224537037037037E-2</v>
      </c>
      <c r="I774" t="s">
        <v>101</v>
      </c>
      <c r="J774" t="s">
        <v>77</v>
      </c>
      <c r="K774" s="5">
        <f>2692 / 86400</f>
        <v>3.1157407407407408E-2</v>
      </c>
      <c r="L774" s="5">
        <f>15087 / 86400</f>
        <v>0.17461805555555557</v>
      </c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</row>
    <row r="777" spans="1:12" s="10" customFormat="1" ht="20.100000000000001" customHeight="1" x14ac:dyDescent="0.35">
      <c r="A777" s="15" t="s">
        <v>331</v>
      </c>
      <c r="B777" s="15"/>
      <c r="C777" s="15"/>
      <c r="D777" s="15"/>
      <c r="E777" s="15"/>
      <c r="F777" s="15"/>
      <c r="G777" s="15"/>
      <c r="H777" s="15"/>
      <c r="I777" s="15"/>
      <c r="J777" s="15"/>
    </row>
    <row r="778" spans="1:1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</row>
    <row r="779" spans="1:12" ht="30" x14ac:dyDescent="0.25">
      <c r="A779" s="2" t="s">
        <v>6</v>
      </c>
      <c r="B779" s="2" t="s">
        <v>7</v>
      </c>
      <c r="C779" s="2" t="s">
        <v>8</v>
      </c>
      <c r="D779" s="2" t="s">
        <v>9</v>
      </c>
      <c r="E779" s="2" t="s">
        <v>10</v>
      </c>
      <c r="F779" s="2" t="s">
        <v>11</v>
      </c>
      <c r="G779" s="2" t="s">
        <v>12</v>
      </c>
      <c r="H779" s="2" t="s">
        <v>13</v>
      </c>
      <c r="I779" s="2" t="s">
        <v>14</v>
      </c>
      <c r="J779" s="2" t="s">
        <v>15</v>
      </c>
      <c r="K779" s="2" t="s">
        <v>16</v>
      </c>
      <c r="L779" s="2" t="s">
        <v>17</v>
      </c>
    </row>
    <row r="780" spans="1:12" x14ac:dyDescent="0.25">
      <c r="A780" s="3">
        <v>45703.238819444443</v>
      </c>
      <c r="B780" t="s">
        <v>103</v>
      </c>
      <c r="C780" s="3">
        <v>45703.463622685187</v>
      </c>
      <c r="D780" t="s">
        <v>203</v>
      </c>
      <c r="E780" s="4">
        <v>100.249</v>
      </c>
      <c r="F780" s="4">
        <v>46260.444000000003</v>
      </c>
      <c r="G780" s="4">
        <v>46360.692999999999</v>
      </c>
      <c r="H780" s="5">
        <f>6600 / 86400</f>
        <v>7.6388888888888895E-2</v>
      </c>
      <c r="I780" t="s">
        <v>49</v>
      </c>
      <c r="J780" t="s">
        <v>26</v>
      </c>
      <c r="K780" s="5">
        <f>19423 / 86400</f>
        <v>0.22480324074074073</v>
      </c>
      <c r="L780" s="5">
        <f>21175 / 86400</f>
        <v>0.24508101851851852</v>
      </c>
    </row>
    <row r="781" spans="1:12" x14ac:dyDescent="0.25">
      <c r="A781" s="3">
        <v>45703.469884259262</v>
      </c>
      <c r="B781" t="s">
        <v>203</v>
      </c>
      <c r="C781" s="3">
        <v>45703.47824074074</v>
      </c>
      <c r="D781" t="s">
        <v>264</v>
      </c>
      <c r="E781" s="4">
        <v>2.0699999999999998</v>
      </c>
      <c r="F781" s="4">
        <v>46360.692999999999</v>
      </c>
      <c r="G781" s="4">
        <v>46362.762999999999</v>
      </c>
      <c r="H781" s="5">
        <f>198 / 86400</f>
        <v>2.2916666666666667E-3</v>
      </c>
      <c r="I781" t="s">
        <v>59</v>
      </c>
      <c r="J781" t="s">
        <v>130</v>
      </c>
      <c r="K781" s="5">
        <f>722 / 86400</f>
        <v>8.3564814814814821E-3</v>
      </c>
      <c r="L781" s="5">
        <f>2180 / 86400</f>
        <v>2.5231481481481483E-2</v>
      </c>
    </row>
    <row r="782" spans="1:12" x14ac:dyDescent="0.25">
      <c r="A782" s="3">
        <v>45703.503472222219</v>
      </c>
      <c r="B782" t="s">
        <v>264</v>
      </c>
      <c r="C782" s="3">
        <v>45703.69054398148</v>
      </c>
      <c r="D782" t="s">
        <v>84</v>
      </c>
      <c r="E782" s="4">
        <v>78.968999999999994</v>
      </c>
      <c r="F782" s="4">
        <v>46362.762999999999</v>
      </c>
      <c r="G782" s="4">
        <v>46441.732000000004</v>
      </c>
      <c r="H782" s="5">
        <f>5800 / 86400</f>
        <v>6.7129629629629636E-2</v>
      </c>
      <c r="I782" t="s">
        <v>85</v>
      </c>
      <c r="J782" t="s">
        <v>20</v>
      </c>
      <c r="K782" s="5">
        <f>16163 / 86400</f>
        <v>0.18707175925925926</v>
      </c>
      <c r="L782" s="5">
        <f>708 / 86400</f>
        <v>8.1944444444444452E-3</v>
      </c>
    </row>
    <row r="783" spans="1:12" x14ac:dyDescent="0.25">
      <c r="A783" s="3">
        <v>45703.698738425926</v>
      </c>
      <c r="B783" t="s">
        <v>84</v>
      </c>
      <c r="C783" s="3">
        <v>45703.706597222219</v>
      </c>
      <c r="D783" t="s">
        <v>104</v>
      </c>
      <c r="E783" s="4">
        <v>1.546</v>
      </c>
      <c r="F783" s="4">
        <v>46441.732000000004</v>
      </c>
      <c r="G783" s="4">
        <v>46443.277999999998</v>
      </c>
      <c r="H783" s="5">
        <f>161 / 86400</f>
        <v>1.8634259259259259E-3</v>
      </c>
      <c r="I783" t="s">
        <v>257</v>
      </c>
      <c r="J783" t="s">
        <v>138</v>
      </c>
      <c r="K783" s="5">
        <f>679 / 86400</f>
        <v>7.858796296296296E-3</v>
      </c>
      <c r="L783" s="5">
        <f>25349 / 86400</f>
        <v>0.2933912037037037</v>
      </c>
    </row>
    <row r="784" spans="1:1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</row>
    <row r="785" spans="1:1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</row>
    <row r="786" spans="1:12" s="10" customFormat="1" ht="20.100000000000001" customHeight="1" x14ac:dyDescent="0.35">
      <c r="A786" s="15" t="s">
        <v>332</v>
      </c>
      <c r="B786" s="15"/>
      <c r="C786" s="15"/>
      <c r="D786" s="15"/>
      <c r="E786" s="15"/>
      <c r="F786" s="15"/>
      <c r="G786" s="15"/>
      <c r="H786" s="15"/>
      <c r="I786" s="15"/>
      <c r="J786" s="15"/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ht="30" x14ac:dyDescent="0.25">
      <c r="A788" s="2" t="s">
        <v>6</v>
      </c>
      <c r="B788" s="2" t="s">
        <v>7</v>
      </c>
      <c r="C788" s="2" t="s">
        <v>8</v>
      </c>
      <c r="D788" s="2" t="s">
        <v>9</v>
      </c>
      <c r="E788" s="2" t="s">
        <v>10</v>
      </c>
      <c r="F788" s="2" t="s">
        <v>11</v>
      </c>
      <c r="G788" s="2" t="s">
        <v>12</v>
      </c>
      <c r="H788" s="2" t="s">
        <v>13</v>
      </c>
      <c r="I788" s="2" t="s">
        <v>14</v>
      </c>
      <c r="J788" s="2" t="s">
        <v>15</v>
      </c>
      <c r="K788" s="2" t="s">
        <v>16</v>
      </c>
      <c r="L788" s="2" t="s">
        <v>17</v>
      </c>
    </row>
    <row r="789" spans="1:12" x14ac:dyDescent="0.25">
      <c r="A789" s="3">
        <v>45703.170127314814</v>
      </c>
      <c r="B789" t="s">
        <v>105</v>
      </c>
      <c r="C789" s="3">
        <v>45703.345185185186</v>
      </c>
      <c r="D789" t="s">
        <v>84</v>
      </c>
      <c r="E789" s="4">
        <v>102.125</v>
      </c>
      <c r="F789" s="4">
        <v>79285.149999999994</v>
      </c>
      <c r="G789" s="4">
        <v>79387.274999999994</v>
      </c>
      <c r="H789" s="5">
        <f>3377 / 86400</f>
        <v>3.9085648148148147E-2</v>
      </c>
      <c r="I789" t="s">
        <v>41</v>
      </c>
      <c r="J789" t="s">
        <v>127</v>
      </c>
      <c r="K789" s="5">
        <f>15125 / 86400</f>
        <v>0.17505787037037038</v>
      </c>
      <c r="L789" s="5">
        <f>15228 / 86400</f>
        <v>0.17624999999999999</v>
      </c>
    </row>
    <row r="790" spans="1:12" x14ac:dyDescent="0.25">
      <c r="A790" s="3">
        <v>45703.351307870369</v>
      </c>
      <c r="B790" t="s">
        <v>84</v>
      </c>
      <c r="C790" s="3">
        <v>45703.351967592593</v>
      </c>
      <c r="D790" t="s">
        <v>149</v>
      </c>
      <c r="E790" s="4">
        <v>0.114</v>
      </c>
      <c r="F790" s="4">
        <v>79387.274999999994</v>
      </c>
      <c r="G790" s="4">
        <v>79387.388999999996</v>
      </c>
      <c r="H790" s="5">
        <f>18 / 86400</f>
        <v>2.0833333333333335E-4</v>
      </c>
      <c r="I790" t="s">
        <v>130</v>
      </c>
      <c r="J790" t="s">
        <v>60</v>
      </c>
      <c r="K790" s="5">
        <f>57 / 86400</f>
        <v>6.5972222222222224E-4</v>
      </c>
      <c r="L790" s="5">
        <f>293 / 86400</f>
        <v>3.3912037037037036E-3</v>
      </c>
    </row>
    <row r="791" spans="1:12" x14ac:dyDescent="0.25">
      <c r="A791" s="3">
        <v>45703.355358796296</v>
      </c>
      <c r="B791" t="s">
        <v>149</v>
      </c>
      <c r="C791" s="3">
        <v>45703.358252314814</v>
      </c>
      <c r="D791" t="s">
        <v>126</v>
      </c>
      <c r="E791" s="4">
        <v>1.1459999999999999</v>
      </c>
      <c r="F791" s="4">
        <v>79387.388999999996</v>
      </c>
      <c r="G791" s="4">
        <v>79388.535000000003</v>
      </c>
      <c r="H791" s="5">
        <f>20 / 86400</f>
        <v>2.3148148148148149E-4</v>
      </c>
      <c r="I791" t="s">
        <v>176</v>
      </c>
      <c r="J791" t="s">
        <v>33</v>
      </c>
      <c r="K791" s="5">
        <f>250 / 86400</f>
        <v>2.8935185185185184E-3</v>
      </c>
      <c r="L791" s="5">
        <f>1077 / 86400</f>
        <v>1.2465277777777778E-2</v>
      </c>
    </row>
    <row r="792" spans="1:12" x14ac:dyDescent="0.25">
      <c r="A792" s="3">
        <v>45703.370717592596</v>
      </c>
      <c r="B792" t="s">
        <v>126</v>
      </c>
      <c r="C792" s="3">
        <v>45703.573101851856</v>
      </c>
      <c r="D792" t="s">
        <v>149</v>
      </c>
      <c r="E792" s="4">
        <v>95.150999999999996</v>
      </c>
      <c r="F792" s="4">
        <v>79388.535000000003</v>
      </c>
      <c r="G792" s="4">
        <v>79483.686000000002</v>
      </c>
      <c r="H792" s="5">
        <f>4579 / 86400</f>
        <v>5.2997685185185182E-2</v>
      </c>
      <c r="I792" t="s">
        <v>61</v>
      </c>
      <c r="J792" t="s">
        <v>23</v>
      </c>
      <c r="K792" s="5">
        <f>17486 / 86400</f>
        <v>0.20238425925925926</v>
      </c>
      <c r="L792" s="5">
        <f>121 / 86400</f>
        <v>1.4004629629629629E-3</v>
      </c>
    </row>
    <row r="793" spans="1:12" x14ac:dyDescent="0.25">
      <c r="A793" s="3">
        <v>45703.574502314819</v>
      </c>
      <c r="B793" t="s">
        <v>149</v>
      </c>
      <c r="C793" s="3">
        <v>45703.57540509259</v>
      </c>
      <c r="D793" t="s">
        <v>84</v>
      </c>
      <c r="E793" s="4">
        <v>0.28499999999999998</v>
      </c>
      <c r="F793" s="4">
        <v>79483.686000000002</v>
      </c>
      <c r="G793" s="4">
        <v>79483.971000000005</v>
      </c>
      <c r="H793" s="5">
        <f>0 / 86400</f>
        <v>0</v>
      </c>
      <c r="I793" t="s">
        <v>26</v>
      </c>
      <c r="J793" t="s">
        <v>122</v>
      </c>
      <c r="K793" s="5">
        <f>78 / 86400</f>
        <v>9.0277777777777774E-4</v>
      </c>
      <c r="L793" s="5">
        <f>271 / 86400</f>
        <v>3.1365740740740742E-3</v>
      </c>
    </row>
    <row r="794" spans="1:12" x14ac:dyDescent="0.25">
      <c r="A794" s="3">
        <v>45703.578541666662</v>
      </c>
      <c r="B794" t="s">
        <v>84</v>
      </c>
      <c r="C794" s="3">
        <v>45703.58012731481</v>
      </c>
      <c r="D794" t="s">
        <v>265</v>
      </c>
      <c r="E794" s="4">
        <v>0.31900000000000001</v>
      </c>
      <c r="F794" s="4">
        <v>79483.971000000005</v>
      </c>
      <c r="G794" s="4">
        <v>79484.289999999994</v>
      </c>
      <c r="H794" s="5">
        <f>20 / 86400</f>
        <v>2.3148148148148149E-4</v>
      </c>
      <c r="I794" t="s">
        <v>77</v>
      </c>
      <c r="J794" t="s">
        <v>138</v>
      </c>
      <c r="K794" s="5">
        <f>137 / 86400</f>
        <v>1.5856481481481481E-3</v>
      </c>
      <c r="L794" s="5">
        <f>57 / 86400</f>
        <v>6.5972222222222224E-4</v>
      </c>
    </row>
    <row r="795" spans="1:12" x14ac:dyDescent="0.25">
      <c r="A795" s="3">
        <v>45703.580787037034</v>
      </c>
      <c r="B795" t="s">
        <v>265</v>
      </c>
      <c r="C795" s="3">
        <v>45703.581250000003</v>
      </c>
      <c r="D795" t="s">
        <v>265</v>
      </c>
      <c r="E795" s="4">
        <v>8.9999999999999993E-3</v>
      </c>
      <c r="F795" s="4">
        <v>79484.289999999994</v>
      </c>
      <c r="G795" s="4">
        <v>79484.298999999999</v>
      </c>
      <c r="H795" s="5">
        <f>18 / 86400</f>
        <v>2.0833333333333335E-4</v>
      </c>
      <c r="I795" t="s">
        <v>44</v>
      </c>
      <c r="J795" t="s">
        <v>43</v>
      </c>
      <c r="K795" s="5">
        <f>40 / 86400</f>
        <v>4.6296296296296298E-4</v>
      </c>
      <c r="L795" s="5">
        <f>129 / 86400</f>
        <v>1.4930555555555556E-3</v>
      </c>
    </row>
    <row r="796" spans="1:12" x14ac:dyDescent="0.25">
      <c r="A796" s="3">
        <v>45703.582743055551</v>
      </c>
      <c r="B796" t="s">
        <v>265</v>
      </c>
      <c r="C796" s="3">
        <v>45703.797314814816</v>
      </c>
      <c r="D796" t="s">
        <v>149</v>
      </c>
      <c r="E796" s="4">
        <v>93.733999999999995</v>
      </c>
      <c r="F796" s="4">
        <v>79484.298999999999</v>
      </c>
      <c r="G796" s="4">
        <v>79578.032999999996</v>
      </c>
      <c r="H796" s="5">
        <f>5796 / 86400</f>
        <v>6.7083333333333328E-2</v>
      </c>
      <c r="I796" t="s">
        <v>32</v>
      </c>
      <c r="J796" t="s">
        <v>20</v>
      </c>
      <c r="K796" s="5">
        <f>18539 / 86400</f>
        <v>0.21457175925925925</v>
      </c>
      <c r="L796" s="5">
        <f>429 / 86400</f>
        <v>4.9652777777777777E-3</v>
      </c>
    </row>
    <row r="797" spans="1:12" x14ac:dyDescent="0.25">
      <c r="A797" s="3">
        <v>45703.802280092597</v>
      </c>
      <c r="B797" t="s">
        <v>149</v>
      </c>
      <c r="C797" s="3">
        <v>45703.805601851855</v>
      </c>
      <c r="D797" t="s">
        <v>105</v>
      </c>
      <c r="E797" s="4">
        <v>1.032</v>
      </c>
      <c r="F797" s="4">
        <v>79578.032999999996</v>
      </c>
      <c r="G797" s="4">
        <v>79579.065000000002</v>
      </c>
      <c r="H797" s="5">
        <f>98 / 86400</f>
        <v>1.1342592592592593E-3</v>
      </c>
      <c r="I797" t="s">
        <v>176</v>
      </c>
      <c r="J797" t="s">
        <v>122</v>
      </c>
      <c r="K797" s="5">
        <f>287 / 86400</f>
        <v>3.3217592592592591E-3</v>
      </c>
      <c r="L797" s="5">
        <f>16795 / 86400</f>
        <v>0.19438657407407409</v>
      </c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</row>
    <row r="800" spans="1:12" s="10" customFormat="1" ht="20.100000000000001" customHeight="1" x14ac:dyDescent="0.35">
      <c r="A800" s="15" t="s">
        <v>333</v>
      </c>
      <c r="B800" s="15"/>
      <c r="C800" s="15"/>
      <c r="D800" s="15"/>
      <c r="E800" s="15"/>
      <c r="F800" s="15"/>
      <c r="G800" s="15"/>
      <c r="H800" s="15"/>
      <c r="I800" s="15"/>
      <c r="J800" s="15"/>
    </row>
    <row r="801" spans="1:1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</row>
    <row r="802" spans="1:12" ht="30" x14ac:dyDescent="0.25">
      <c r="A802" s="2" t="s">
        <v>6</v>
      </c>
      <c r="B802" s="2" t="s">
        <v>7</v>
      </c>
      <c r="C802" s="2" t="s">
        <v>8</v>
      </c>
      <c r="D802" s="2" t="s">
        <v>9</v>
      </c>
      <c r="E802" s="2" t="s">
        <v>10</v>
      </c>
      <c r="F802" s="2" t="s">
        <v>11</v>
      </c>
      <c r="G802" s="2" t="s">
        <v>12</v>
      </c>
      <c r="H802" s="2" t="s">
        <v>13</v>
      </c>
      <c r="I802" s="2" t="s">
        <v>14</v>
      </c>
      <c r="J802" s="2" t="s">
        <v>15</v>
      </c>
      <c r="K802" s="2" t="s">
        <v>16</v>
      </c>
      <c r="L802" s="2" t="s">
        <v>17</v>
      </c>
    </row>
    <row r="803" spans="1:12" x14ac:dyDescent="0.25">
      <c r="A803" s="3">
        <v>45703</v>
      </c>
      <c r="B803" t="s">
        <v>106</v>
      </c>
      <c r="C803" s="3">
        <v>45703.058703703704</v>
      </c>
      <c r="D803" t="s">
        <v>37</v>
      </c>
      <c r="E803" s="4">
        <v>24.195</v>
      </c>
      <c r="F803" s="4">
        <v>40857.108</v>
      </c>
      <c r="G803" s="4">
        <v>40881.303</v>
      </c>
      <c r="H803" s="5">
        <f>1920 / 86400</f>
        <v>2.2222222222222223E-2</v>
      </c>
      <c r="I803" t="s">
        <v>229</v>
      </c>
      <c r="J803" t="s">
        <v>33</v>
      </c>
      <c r="K803" s="5">
        <f>5072 / 86400</f>
        <v>5.8703703703703702E-2</v>
      </c>
      <c r="L803" s="5">
        <f>949 / 86400</f>
        <v>1.0983796296296297E-2</v>
      </c>
    </row>
    <row r="804" spans="1:12" x14ac:dyDescent="0.25">
      <c r="A804" s="3">
        <v>45703.069687499999</v>
      </c>
      <c r="B804" t="s">
        <v>37</v>
      </c>
      <c r="C804" s="3">
        <v>45703.070011574076</v>
      </c>
      <c r="D804" t="s">
        <v>225</v>
      </c>
      <c r="E804" s="4">
        <v>2.5000000000000001E-2</v>
      </c>
      <c r="F804" s="4">
        <v>40881.303</v>
      </c>
      <c r="G804" s="4">
        <v>40881.328000000001</v>
      </c>
      <c r="H804" s="5">
        <f>0 / 86400</f>
        <v>0</v>
      </c>
      <c r="I804" t="s">
        <v>57</v>
      </c>
      <c r="J804" t="s">
        <v>139</v>
      </c>
      <c r="K804" s="5">
        <f>28 / 86400</f>
        <v>3.2407407407407406E-4</v>
      </c>
      <c r="L804" s="5">
        <f>739 / 86400</f>
        <v>8.5532407407407415E-3</v>
      </c>
    </row>
    <row r="805" spans="1:12" x14ac:dyDescent="0.25">
      <c r="A805" s="3">
        <v>45703.078564814816</v>
      </c>
      <c r="B805" t="s">
        <v>225</v>
      </c>
      <c r="C805" s="3">
        <v>45703.083773148144</v>
      </c>
      <c r="D805" t="s">
        <v>227</v>
      </c>
      <c r="E805" s="4">
        <v>1.2250000000000001</v>
      </c>
      <c r="F805" s="4">
        <v>40881.328000000001</v>
      </c>
      <c r="G805" s="4">
        <v>40882.553</v>
      </c>
      <c r="H805" s="5">
        <f>150 / 86400</f>
        <v>1.736111111111111E-3</v>
      </c>
      <c r="I805" t="s">
        <v>180</v>
      </c>
      <c r="J805" t="s">
        <v>130</v>
      </c>
      <c r="K805" s="5">
        <f>450 / 86400</f>
        <v>5.208333333333333E-3</v>
      </c>
      <c r="L805" s="5">
        <f>9351 / 86400</f>
        <v>0.10822916666666667</v>
      </c>
    </row>
    <row r="806" spans="1:12" x14ac:dyDescent="0.25">
      <c r="A806" s="3">
        <v>45703.192002314812</v>
      </c>
      <c r="B806" t="s">
        <v>227</v>
      </c>
      <c r="C806" s="3">
        <v>45703.388159722221</v>
      </c>
      <c r="D806" t="s">
        <v>46</v>
      </c>
      <c r="E806" s="4">
        <v>89.736999999999995</v>
      </c>
      <c r="F806" s="4">
        <v>40882.553</v>
      </c>
      <c r="G806" s="4">
        <v>40972.29</v>
      </c>
      <c r="H806" s="5">
        <f>4890 / 86400</f>
        <v>5.6597222222222222E-2</v>
      </c>
      <c r="I806" t="s">
        <v>114</v>
      </c>
      <c r="J806" t="s">
        <v>26</v>
      </c>
      <c r="K806" s="5">
        <f>16948 / 86400</f>
        <v>0.19615740740740742</v>
      </c>
      <c r="L806" s="5">
        <f>478 / 86400</f>
        <v>5.5324074074074078E-3</v>
      </c>
    </row>
    <row r="807" spans="1:12" x14ac:dyDescent="0.25">
      <c r="A807" s="3">
        <v>45703.393692129626</v>
      </c>
      <c r="B807" t="s">
        <v>46</v>
      </c>
      <c r="C807" s="3">
        <v>45703.393912037034</v>
      </c>
      <c r="D807" t="s">
        <v>46</v>
      </c>
      <c r="E807" s="4">
        <v>4.0000000000000001E-3</v>
      </c>
      <c r="F807" s="4">
        <v>40972.29</v>
      </c>
      <c r="G807" s="4">
        <v>40972.294000000002</v>
      </c>
      <c r="H807" s="5">
        <f>1 / 86400</f>
        <v>1.1574074074074073E-5</v>
      </c>
      <c r="I807" t="s">
        <v>44</v>
      </c>
      <c r="J807" t="s">
        <v>43</v>
      </c>
      <c r="K807" s="5">
        <f>19 / 86400</f>
        <v>2.199074074074074E-4</v>
      </c>
      <c r="L807" s="5">
        <f>481 / 86400</f>
        <v>5.5671296296296293E-3</v>
      </c>
    </row>
    <row r="808" spans="1:12" x14ac:dyDescent="0.25">
      <c r="A808" s="3">
        <v>45703.399479166663</v>
      </c>
      <c r="B808" t="s">
        <v>46</v>
      </c>
      <c r="C808" s="3">
        <v>45703.40048611111</v>
      </c>
      <c r="D808" t="s">
        <v>46</v>
      </c>
      <c r="E808" s="4">
        <v>3.5999999999999997E-2</v>
      </c>
      <c r="F808" s="4">
        <v>40972.294000000002</v>
      </c>
      <c r="G808" s="4">
        <v>40972.33</v>
      </c>
      <c r="H808" s="5">
        <f>1 / 86400</f>
        <v>1.1574074074074073E-5</v>
      </c>
      <c r="I808" t="s">
        <v>134</v>
      </c>
      <c r="J808" t="s">
        <v>43</v>
      </c>
      <c r="K808" s="5">
        <f>87 / 86400</f>
        <v>1.0069444444444444E-3</v>
      </c>
      <c r="L808" s="5">
        <f>1214 / 86400</f>
        <v>1.4050925925925927E-2</v>
      </c>
    </row>
    <row r="809" spans="1:12" x14ac:dyDescent="0.25">
      <c r="A809" s="3">
        <v>45703.414537037039</v>
      </c>
      <c r="B809" t="s">
        <v>46</v>
      </c>
      <c r="C809" s="3">
        <v>45703.424317129626</v>
      </c>
      <c r="D809" t="s">
        <v>126</v>
      </c>
      <c r="E809" s="4">
        <v>2.1139999999999999</v>
      </c>
      <c r="F809" s="4">
        <v>40972.33</v>
      </c>
      <c r="G809" s="4">
        <v>40974.444000000003</v>
      </c>
      <c r="H809" s="5">
        <f>390 / 86400</f>
        <v>4.5138888888888885E-3</v>
      </c>
      <c r="I809" t="s">
        <v>266</v>
      </c>
      <c r="J809" t="s">
        <v>150</v>
      </c>
      <c r="K809" s="5">
        <f>845 / 86400</f>
        <v>9.780092592592592E-3</v>
      </c>
      <c r="L809" s="5">
        <f>3050 / 86400</f>
        <v>3.5300925925925923E-2</v>
      </c>
    </row>
    <row r="810" spans="1:12" x14ac:dyDescent="0.25">
      <c r="A810" s="3">
        <v>45703.459618055553</v>
      </c>
      <c r="B810" t="s">
        <v>128</v>
      </c>
      <c r="C810" s="3">
        <v>45703.686203703706</v>
      </c>
      <c r="D810" t="s">
        <v>84</v>
      </c>
      <c r="E810" s="4">
        <v>95.552999999999997</v>
      </c>
      <c r="F810" s="4">
        <v>40974.444000000003</v>
      </c>
      <c r="G810" s="4">
        <v>41069.997000000003</v>
      </c>
      <c r="H810" s="5">
        <f>6196 / 86400</f>
        <v>7.1712962962962964E-2</v>
      </c>
      <c r="I810" t="s">
        <v>73</v>
      </c>
      <c r="J810" t="s">
        <v>20</v>
      </c>
      <c r="K810" s="5">
        <f>19577 / 86400</f>
        <v>0.22658564814814816</v>
      </c>
      <c r="L810" s="5">
        <f>504 / 86400</f>
        <v>5.8333333333333336E-3</v>
      </c>
    </row>
    <row r="811" spans="1:12" x14ac:dyDescent="0.25">
      <c r="A811" s="3">
        <v>45703.692037037035</v>
      </c>
      <c r="B811" t="s">
        <v>84</v>
      </c>
      <c r="C811" s="3">
        <v>45703.99998842593</v>
      </c>
      <c r="D811" t="s">
        <v>78</v>
      </c>
      <c r="E811" s="4">
        <v>154.65299999999999</v>
      </c>
      <c r="F811" s="4">
        <v>41069.997000000003</v>
      </c>
      <c r="G811" s="4">
        <v>41224.65</v>
      </c>
      <c r="H811" s="5">
        <f>6782 / 86400</f>
        <v>7.8495370370370368E-2</v>
      </c>
      <c r="I811" t="s">
        <v>107</v>
      </c>
      <c r="J811" t="s">
        <v>202</v>
      </c>
      <c r="K811" s="5">
        <f>26607 / 86400</f>
        <v>0.3079513888888889</v>
      </c>
      <c r="L811" s="5">
        <f>0 / 86400</f>
        <v>0</v>
      </c>
    </row>
    <row r="812" spans="1:1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</row>
    <row r="813" spans="1:1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</row>
    <row r="814" spans="1:12" s="10" customFormat="1" ht="20.100000000000001" customHeight="1" x14ac:dyDescent="0.35">
      <c r="A814" s="15" t="s">
        <v>334</v>
      </c>
      <c r="B814" s="15"/>
      <c r="C814" s="15"/>
      <c r="D814" s="15"/>
      <c r="E814" s="15"/>
      <c r="F814" s="15"/>
      <c r="G814" s="15"/>
      <c r="H814" s="15"/>
      <c r="I814" s="15"/>
      <c r="J814" s="15"/>
    </row>
    <row r="815" spans="1:1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</row>
    <row r="816" spans="1:12" ht="30" x14ac:dyDescent="0.25">
      <c r="A816" s="2" t="s">
        <v>6</v>
      </c>
      <c r="B816" s="2" t="s">
        <v>7</v>
      </c>
      <c r="C816" s="2" t="s">
        <v>8</v>
      </c>
      <c r="D816" s="2" t="s">
        <v>9</v>
      </c>
      <c r="E816" s="2" t="s">
        <v>10</v>
      </c>
      <c r="F816" s="2" t="s">
        <v>11</v>
      </c>
      <c r="G816" s="2" t="s">
        <v>12</v>
      </c>
      <c r="H816" s="2" t="s">
        <v>13</v>
      </c>
      <c r="I816" s="2" t="s">
        <v>14</v>
      </c>
      <c r="J816" s="2" t="s">
        <v>15</v>
      </c>
      <c r="K816" s="2" t="s">
        <v>16</v>
      </c>
      <c r="L816" s="2" t="s">
        <v>17</v>
      </c>
    </row>
    <row r="817" spans="1:12" x14ac:dyDescent="0.25">
      <c r="A817" s="3">
        <v>45703.001111111109</v>
      </c>
      <c r="B817" t="s">
        <v>108</v>
      </c>
      <c r="C817" s="3">
        <v>45703.075231481482</v>
      </c>
      <c r="D817" t="s">
        <v>179</v>
      </c>
      <c r="E817" s="4">
        <v>33.844999999999999</v>
      </c>
      <c r="F817" s="4">
        <v>192506.264</v>
      </c>
      <c r="G817" s="4">
        <v>192540.109</v>
      </c>
      <c r="H817" s="5">
        <f>1640 / 86400</f>
        <v>1.8981481481481481E-2</v>
      </c>
      <c r="I817" t="s">
        <v>35</v>
      </c>
      <c r="J817" t="s">
        <v>26</v>
      </c>
      <c r="K817" s="5">
        <f>6403 / 86400</f>
        <v>7.4108796296296298E-2</v>
      </c>
      <c r="L817" s="5">
        <f>783 / 86400</f>
        <v>9.0624999999999994E-3</v>
      </c>
    </row>
    <row r="818" spans="1:12" x14ac:dyDescent="0.25">
      <c r="A818" s="3">
        <v>45703.083182870367</v>
      </c>
      <c r="B818" t="s">
        <v>179</v>
      </c>
      <c r="C818" s="3">
        <v>45703.091909722221</v>
      </c>
      <c r="D818" t="s">
        <v>109</v>
      </c>
      <c r="E818" s="4">
        <v>3.5950000000000002</v>
      </c>
      <c r="F818" s="4">
        <v>192540.109</v>
      </c>
      <c r="G818" s="4">
        <v>192543.704</v>
      </c>
      <c r="H818" s="5">
        <f>20 / 86400</f>
        <v>2.3148148148148149E-4</v>
      </c>
      <c r="I818" t="s">
        <v>69</v>
      </c>
      <c r="J818" t="s">
        <v>33</v>
      </c>
      <c r="K818" s="5">
        <f>754 / 86400</f>
        <v>8.726851851851852E-3</v>
      </c>
      <c r="L818" s="5">
        <f>14893 / 86400</f>
        <v>0.1723726851851852</v>
      </c>
    </row>
    <row r="819" spans="1:12" x14ac:dyDescent="0.25">
      <c r="A819" s="3">
        <v>45703.264282407406</v>
      </c>
      <c r="B819" t="s">
        <v>109</v>
      </c>
      <c r="C819" s="3">
        <v>45703.272118055553</v>
      </c>
      <c r="D819" t="s">
        <v>267</v>
      </c>
      <c r="E819" s="4">
        <v>2.2309999999999999</v>
      </c>
      <c r="F819" s="4">
        <v>192543.704</v>
      </c>
      <c r="G819" s="4">
        <v>192545.935</v>
      </c>
      <c r="H819" s="5">
        <f>159 / 86400</f>
        <v>1.8402777777777777E-3</v>
      </c>
      <c r="I819" t="s">
        <v>167</v>
      </c>
      <c r="J819" t="s">
        <v>77</v>
      </c>
      <c r="K819" s="5">
        <f>677 / 86400</f>
        <v>7.8356481481481489E-3</v>
      </c>
      <c r="L819" s="5">
        <f>101 / 86400</f>
        <v>1.1689814814814816E-3</v>
      </c>
    </row>
    <row r="820" spans="1:12" x14ac:dyDescent="0.25">
      <c r="A820" s="3">
        <v>45703.273287037038</v>
      </c>
      <c r="B820" t="s">
        <v>267</v>
      </c>
      <c r="C820" s="3">
        <v>45703.328344907408</v>
      </c>
      <c r="D820" t="s">
        <v>128</v>
      </c>
      <c r="E820" s="4">
        <v>32.738</v>
      </c>
      <c r="F820" s="4">
        <v>192545.935</v>
      </c>
      <c r="G820" s="4">
        <v>192578.67300000001</v>
      </c>
      <c r="H820" s="5">
        <f>959 / 86400</f>
        <v>1.1099537037037036E-2</v>
      </c>
      <c r="I820" t="s">
        <v>58</v>
      </c>
      <c r="J820" t="s">
        <v>148</v>
      </c>
      <c r="K820" s="5">
        <f>4756 / 86400</f>
        <v>5.5046296296296295E-2</v>
      </c>
      <c r="L820" s="5">
        <f>4928 / 86400</f>
        <v>5.7037037037037039E-2</v>
      </c>
    </row>
    <row r="821" spans="1:12" x14ac:dyDescent="0.25">
      <c r="A821" s="3">
        <v>45703.385381944448</v>
      </c>
      <c r="B821" t="s">
        <v>128</v>
      </c>
      <c r="C821" s="3">
        <v>45703.386238425926</v>
      </c>
      <c r="D821" t="s">
        <v>126</v>
      </c>
      <c r="E821" s="4">
        <v>0.05</v>
      </c>
      <c r="F821" s="4">
        <v>192578.67300000001</v>
      </c>
      <c r="G821" s="4">
        <v>192578.723</v>
      </c>
      <c r="H821" s="5">
        <f>20 / 86400</f>
        <v>2.3148148148148149E-4</v>
      </c>
      <c r="I821" t="s">
        <v>60</v>
      </c>
      <c r="J821" t="s">
        <v>135</v>
      </c>
      <c r="K821" s="5">
        <f>73 / 86400</f>
        <v>8.4490740740740739E-4</v>
      </c>
      <c r="L821" s="5">
        <f>548 / 86400</f>
        <v>6.3425925925925924E-3</v>
      </c>
    </row>
    <row r="822" spans="1:12" x14ac:dyDescent="0.25">
      <c r="A822" s="3">
        <v>45703.392581018517</v>
      </c>
      <c r="B822" t="s">
        <v>126</v>
      </c>
      <c r="C822" s="3">
        <v>45703.517083333332</v>
      </c>
      <c r="D822" t="s">
        <v>268</v>
      </c>
      <c r="E822" s="4">
        <v>50.387999999999998</v>
      </c>
      <c r="F822" s="4">
        <v>192578.723</v>
      </c>
      <c r="G822" s="4">
        <v>192629.111</v>
      </c>
      <c r="H822" s="5">
        <f>3300 / 86400</f>
        <v>3.8194444444444448E-2</v>
      </c>
      <c r="I822" t="s">
        <v>58</v>
      </c>
      <c r="J822" t="s">
        <v>33</v>
      </c>
      <c r="K822" s="5">
        <f>10757 / 86400</f>
        <v>0.12450231481481482</v>
      </c>
      <c r="L822" s="5">
        <f>1031 / 86400</f>
        <v>1.193287037037037E-2</v>
      </c>
    </row>
    <row r="823" spans="1:12" x14ac:dyDescent="0.25">
      <c r="A823" s="3">
        <v>45703.529016203705</v>
      </c>
      <c r="B823" t="s">
        <v>268</v>
      </c>
      <c r="C823" s="3">
        <v>45703.681504629625</v>
      </c>
      <c r="D823" t="s">
        <v>203</v>
      </c>
      <c r="E823" s="4">
        <v>50.500999999999998</v>
      </c>
      <c r="F823" s="4">
        <v>192629.111</v>
      </c>
      <c r="G823" s="4">
        <v>192679.61199999999</v>
      </c>
      <c r="H823" s="5">
        <f>4940 / 86400</f>
        <v>5.7175925925925929E-2</v>
      </c>
      <c r="I823" t="s">
        <v>215</v>
      </c>
      <c r="J823" t="s">
        <v>88</v>
      </c>
      <c r="K823" s="5">
        <f>13174 / 86400</f>
        <v>0.15247685185185186</v>
      </c>
      <c r="L823" s="5">
        <f>526 / 86400</f>
        <v>6.0879629629629626E-3</v>
      </c>
    </row>
    <row r="824" spans="1:12" x14ac:dyDescent="0.25">
      <c r="A824" s="3">
        <v>45703.687592592592</v>
      </c>
      <c r="B824" t="s">
        <v>203</v>
      </c>
      <c r="C824" s="3">
        <v>45703.689016203702</v>
      </c>
      <c r="D824" t="s">
        <v>201</v>
      </c>
      <c r="E824" s="4">
        <v>0.10199999999999999</v>
      </c>
      <c r="F824" s="4">
        <v>192679.61199999999</v>
      </c>
      <c r="G824" s="4">
        <v>192679.71400000001</v>
      </c>
      <c r="H824" s="5">
        <f>20 / 86400</f>
        <v>2.3148148148148149E-4</v>
      </c>
      <c r="I824" t="s">
        <v>77</v>
      </c>
      <c r="J824" t="s">
        <v>139</v>
      </c>
      <c r="K824" s="5">
        <f>123 / 86400</f>
        <v>1.4236111111111112E-3</v>
      </c>
      <c r="L824" s="5">
        <f>1888 / 86400</f>
        <v>2.1851851851851851E-2</v>
      </c>
    </row>
    <row r="825" spans="1:12" x14ac:dyDescent="0.25">
      <c r="A825" s="3">
        <v>45703.710868055554</v>
      </c>
      <c r="B825" t="s">
        <v>201</v>
      </c>
      <c r="C825" s="3">
        <v>45703.714363425926</v>
      </c>
      <c r="D825" t="s">
        <v>84</v>
      </c>
      <c r="E825" s="4">
        <v>0.83699999999999997</v>
      </c>
      <c r="F825" s="4">
        <v>192679.71400000001</v>
      </c>
      <c r="G825" s="4">
        <v>192680.55100000001</v>
      </c>
      <c r="H825" s="5">
        <f>79 / 86400</f>
        <v>9.1435185185185185E-4</v>
      </c>
      <c r="I825" t="s">
        <v>160</v>
      </c>
      <c r="J825" t="s">
        <v>130</v>
      </c>
      <c r="K825" s="5">
        <f>302 / 86400</f>
        <v>3.4953703703703705E-3</v>
      </c>
      <c r="L825" s="5">
        <f>477 / 86400</f>
        <v>5.5208333333333333E-3</v>
      </c>
    </row>
    <row r="826" spans="1:12" x14ac:dyDescent="0.25">
      <c r="A826" s="3">
        <v>45703.719884259262</v>
      </c>
      <c r="B826" t="s">
        <v>84</v>
      </c>
      <c r="C826" s="3">
        <v>45703.722418981481</v>
      </c>
      <c r="D826" t="s">
        <v>144</v>
      </c>
      <c r="E826" s="4">
        <v>0.156</v>
      </c>
      <c r="F826" s="4">
        <v>192680.55100000001</v>
      </c>
      <c r="G826" s="4">
        <v>192680.70699999999</v>
      </c>
      <c r="H826" s="5">
        <f>100 / 86400</f>
        <v>1.1574074074074073E-3</v>
      </c>
      <c r="I826" t="s">
        <v>77</v>
      </c>
      <c r="J826" t="s">
        <v>139</v>
      </c>
      <c r="K826" s="5">
        <f>219 / 86400</f>
        <v>2.5347222222222221E-3</v>
      </c>
      <c r="L826" s="5">
        <f>2597 / 86400</f>
        <v>3.005787037037037E-2</v>
      </c>
    </row>
    <row r="827" spans="1:12" x14ac:dyDescent="0.25">
      <c r="A827" s="3">
        <v>45703.752476851849</v>
      </c>
      <c r="B827" t="s">
        <v>144</v>
      </c>
      <c r="C827" s="3">
        <v>45703.753136574072</v>
      </c>
      <c r="D827" t="s">
        <v>144</v>
      </c>
      <c r="E827" s="4">
        <v>1.0999999999999999E-2</v>
      </c>
      <c r="F827" s="4">
        <v>192680.70699999999</v>
      </c>
      <c r="G827" s="4">
        <v>192680.71799999999</v>
      </c>
      <c r="H827" s="5">
        <f>0 / 86400</f>
        <v>0</v>
      </c>
      <c r="I827" t="s">
        <v>43</v>
      </c>
      <c r="J827" t="s">
        <v>43</v>
      </c>
      <c r="K827" s="5">
        <f>57 / 86400</f>
        <v>6.5972222222222224E-4</v>
      </c>
      <c r="L827" s="5">
        <f>5298 / 86400</f>
        <v>6.1319444444444447E-2</v>
      </c>
    </row>
    <row r="828" spans="1:12" x14ac:dyDescent="0.25">
      <c r="A828" s="3">
        <v>45703.814456018517</v>
      </c>
      <c r="B828" t="s">
        <v>144</v>
      </c>
      <c r="C828" s="3">
        <v>45703.81527777778</v>
      </c>
      <c r="D828" t="s">
        <v>84</v>
      </c>
      <c r="E828" s="4">
        <v>3.5000000000000003E-2</v>
      </c>
      <c r="F828" s="4">
        <v>192680.71799999999</v>
      </c>
      <c r="G828" s="4">
        <v>192680.753</v>
      </c>
      <c r="H828" s="5">
        <f>39 / 86400</f>
        <v>4.5138888888888887E-4</v>
      </c>
      <c r="I828" t="s">
        <v>138</v>
      </c>
      <c r="J828" t="s">
        <v>135</v>
      </c>
      <c r="K828" s="5">
        <f>70 / 86400</f>
        <v>8.1018518518518516E-4</v>
      </c>
      <c r="L828" s="5">
        <f>356 / 86400</f>
        <v>4.1203703703703706E-3</v>
      </c>
    </row>
    <row r="829" spans="1:12" x14ac:dyDescent="0.25">
      <c r="A829" s="3">
        <v>45703.819398148145</v>
      </c>
      <c r="B829" t="s">
        <v>84</v>
      </c>
      <c r="C829" s="3">
        <v>45703.922071759254</v>
      </c>
      <c r="D829" t="s">
        <v>140</v>
      </c>
      <c r="E829" s="4">
        <v>46.429000000000002</v>
      </c>
      <c r="F829" s="4">
        <v>192680.753</v>
      </c>
      <c r="G829" s="4">
        <v>192727.182</v>
      </c>
      <c r="H829" s="5">
        <f>2741 / 86400</f>
        <v>3.1724537037037037E-2</v>
      </c>
      <c r="I829" t="s">
        <v>19</v>
      </c>
      <c r="J829" t="s">
        <v>26</v>
      </c>
      <c r="K829" s="5">
        <f>8870 / 86400</f>
        <v>0.10266203703703704</v>
      </c>
      <c r="L829" s="5">
        <f>331 / 86400</f>
        <v>3.8310185185185183E-3</v>
      </c>
    </row>
    <row r="830" spans="1:12" x14ac:dyDescent="0.25">
      <c r="A830" s="3">
        <v>45703.925902777773</v>
      </c>
      <c r="B830" t="s">
        <v>171</v>
      </c>
      <c r="C830" s="3">
        <v>45703.931550925925</v>
      </c>
      <c r="D830" t="s">
        <v>109</v>
      </c>
      <c r="E830" s="4">
        <v>1.851</v>
      </c>
      <c r="F830" s="4">
        <v>192727.182</v>
      </c>
      <c r="G830" s="4">
        <v>192729.033</v>
      </c>
      <c r="H830" s="5">
        <f>60 / 86400</f>
        <v>6.9444444444444447E-4</v>
      </c>
      <c r="I830" t="s">
        <v>80</v>
      </c>
      <c r="J830" t="s">
        <v>88</v>
      </c>
      <c r="K830" s="5">
        <f>488 / 86400</f>
        <v>5.6481481481481478E-3</v>
      </c>
      <c r="L830" s="5">
        <f>531 / 86400</f>
        <v>6.145833333333333E-3</v>
      </c>
    </row>
    <row r="831" spans="1:12" x14ac:dyDescent="0.25">
      <c r="A831" s="3">
        <v>45703.937696759254</v>
      </c>
      <c r="B831" t="s">
        <v>109</v>
      </c>
      <c r="C831" s="3">
        <v>45703.938356481478</v>
      </c>
      <c r="D831" t="s">
        <v>109</v>
      </c>
      <c r="E831" s="4">
        <v>0.125</v>
      </c>
      <c r="F831" s="4">
        <v>192729.033</v>
      </c>
      <c r="G831" s="4">
        <v>192729.158</v>
      </c>
      <c r="H831" s="5">
        <f>0 / 86400</f>
        <v>0</v>
      </c>
      <c r="I831" t="s">
        <v>130</v>
      </c>
      <c r="J831" t="s">
        <v>138</v>
      </c>
      <c r="K831" s="5">
        <f>57 / 86400</f>
        <v>6.5972222222222224E-4</v>
      </c>
      <c r="L831" s="5">
        <f>5325 / 86400</f>
        <v>6.1631944444444448E-2</v>
      </c>
    </row>
    <row r="832" spans="1:1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</row>
    <row r="833" spans="1:1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</row>
    <row r="834" spans="1:12" s="10" customFormat="1" ht="20.100000000000001" customHeight="1" x14ac:dyDescent="0.35">
      <c r="A834" s="15" t="s">
        <v>335</v>
      </c>
      <c r="B834" s="15"/>
      <c r="C834" s="15"/>
      <c r="D834" s="15"/>
      <c r="E834" s="15"/>
      <c r="F834" s="15"/>
      <c r="G834" s="15"/>
      <c r="H834" s="15"/>
      <c r="I834" s="15"/>
      <c r="J834" s="15"/>
    </row>
    <row r="835" spans="1:1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</row>
    <row r="836" spans="1:12" ht="30" x14ac:dyDescent="0.25">
      <c r="A836" s="2" t="s">
        <v>6</v>
      </c>
      <c r="B836" s="2" t="s">
        <v>7</v>
      </c>
      <c r="C836" s="2" t="s">
        <v>8</v>
      </c>
      <c r="D836" s="2" t="s">
        <v>9</v>
      </c>
      <c r="E836" s="2" t="s">
        <v>10</v>
      </c>
      <c r="F836" s="2" t="s">
        <v>11</v>
      </c>
      <c r="G836" s="2" t="s">
        <v>12</v>
      </c>
      <c r="H836" s="2" t="s">
        <v>13</v>
      </c>
      <c r="I836" s="2" t="s">
        <v>14</v>
      </c>
      <c r="J836" s="2" t="s">
        <v>15</v>
      </c>
      <c r="K836" s="2" t="s">
        <v>16</v>
      </c>
      <c r="L836" s="2" t="s">
        <v>17</v>
      </c>
    </row>
    <row r="837" spans="1:12" x14ac:dyDescent="0.25">
      <c r="A837" s="3">
        <v>45703</v>
      </c>
      <c r="B837" t="s">
        <v>110</v>
      </c>
      <c r="C837" s="3">
        <v>45703.036655092597</v>
      </c>
      <c r="D837" t="s">
        <v>92</v>
      </c>
      <c r="E837" s="4">
        <v>21.85</v>
      </c>
      <c r="F837" s="4">
        <v>523311.69199999998</v>
      </c>
      <c r="G837" s="4">
        <v>523333.54200000002</v>
      </c>
      <c r="H837" s="5">
        <f>620 / 86400</f>
        <v>7.1759259259259259E-3</v>
      </c>
      <c r="I837" t="s">
        <v>32</v>
      </c>
      <c r="J837" t="s">
        <v>148</v>
      </c>
      <c r="K837" s="5">
        <f>3167 / 86400</f>
        <v>3.6655092592592593E-2</v>
      </c>
      <c r="L837" s="5">
        <f>16075 / 86400</f>
        <v>0.18605324074074073</v>
      </c>
    </row>
    <row r="838" spans="1:12" x14ac:dyDescent="0.25">
      <c r="A838" s="3">
        <v>45703.222708333335</v>
      </c>
      <c r="B838" t="s">
        <v>92</v>
      </c>
      <c r="C838" s="3">
        <v>45703.226122685184</v>
      </c>
      <c r="D838" t="s">
        <v>132</v>
      </c>
      <c r="E838" s="4">
        <v>0.76800000000000002</v>
      </c>
      <c r="F838" s="4">
        <v>523333.54200000002</v>
      </c>
      <c r="G838" s="4">
        <v>523334.31</v>
      </c>
      <c r="H838" s="5">
        <f>119 / 86400</f>
        <v>1.3773148148148147E-3</v>
      </c>
      <c r="I838" t="s">
        <v>266</v>
      </c>
      <c r="J838" t="s">
        <v>150</v>
      </c>
      <c r="K838" s="5">
        <f>295 / 86400</f>
        <v>3.414351851851852E-3</v>
      </c>
      <c r="L838" s="5">
        <f>1 / 86400</f>
        <v>1.1574074074074073E-5</v>
      </c>
    </row>
    <row r="839" spans="1:12" x14ac:dyDescent="0.25">
      <c r="A839" s="3">
        <v>45703.226134259261</v>
      </c>
      <c r="B839" t="s">
        <v>132</v>
      </c>
      <c r="C839" s="3">
        <v>45703.249421296292</v>
      </c>
      <c r="D839" t="s">
        <v>133</v>
      </c>
      <c r="E839" s="4">
        <v>3.6999999999999998E-2</v>
      </c>
      <c r="F839" s="4">
        <v>523334.31</v>
      </c>
      <c r="G839" s="4">
        <v>523334.34700000001</v>
      </c>
      <c r="H839" s="5">
        <f>1979 / 86400</f>
        <v>2.2905092592592591E-2</v>
      </c>
      <c r="I839" t="s">
        <v>57</v>
      </c>
      <c r="J839" t="s">
        <v>44</v>
      </c>
      <c r="K839" s="5">
        <f>2011 / 86400</f>
        <v>2.3275462962962963E-2</v>
      </c>
      <c r="L839" s="5">
        <f>115 / 86400</f>
        <v>1.3310185185185185E-3</v>
      </c>
    </row>
    <row r="840" spans="1:12" x14ac:dyDescent="0.25">
      <c r="A840" s="3">
        <v>45703.250752314816</v>
      </c>
      <c r="B840" t="s">
        <v>133</v>
      </c>
      <c r="C840" s="3">
        <v>45703.479722222226</v>
      </c>
      <c r="D840" t="s">
        <v>128</v>
      </c>
      <c r="E840" s="4">
        <v>100.708</v>
      </c>
      <c r="F840" s="4">
        <v>523334.34700000001</v>
      </c>
      <c r="G840" s="4">
        <v>523435.05499999999</v>
      </c>
      <c r="H840" s="5">
        <f>6141 / 86400</f>
        <v>7.1076388888888883E-2</v>
      </c>
      <c r="I840" t="s">
        <v>31</v>
      </c>
      <c r="J840" t="s">
        <v>20</v>
      </c>
      <c r="K840" s="5">
        <f>19782 / 86400</f>
        <v>0.22895833333333335</v>
      </c>
      <c r="L840" s="5">
        <f>1778 / 86400</f>
        <v>2.0578703703703703E-2</v>
      </c>
    </row>
    <row r="841" spans="1:12" x14ac:dyDescent="0.25">
      <c r="A841" s="3">
        <v>45703.500300925924</v>
      </c>
      <c r="B841" t="s">
        <v>128</v>
      </c>
      <c r="C841" s="3">
        <v>45703.743750000001</v>
      </c>
      <c r="D841" t="s">
        <v>84</v>
      </c>
      <c r="E841" s="4">
        <v>94.894000000000005</v>
      </c>
      <c r="F841" s="4">
        <v>523435.05499999999</v>
      </c>
      <c r="G841" s="4">
        <v>523529.94900000002</v>
      </c>
      <c r="H841" s="5">
        <f>7349 / 86400</f>
        <v>8.5057870370370367E-2</v>
      </c>
      <c r="I841" t="s">
        <v>107</v>
      </c>
      <c r="J841" t="s">
        <v>36</v>
      </c>
      <c r="K841" s="5">
        <f>21033 / 86400</f>
        <v>0.2434375</v>
      </c>
      <c r="L841" s="5">
        <f>650 / 86400</f>
        <v>7.5231481481481477E-3</v>
      </c>
    </row>
    <row r="842" spans="1:12" x14ac:dyDescent="0.25">
      <c r="A842" s="3">
        <v>45703.751273148147</v>
      </c>
      <c r="B842" t="s">
        <v>84</v>
      </c>
      <c r="C842" s="3">
        <v>45703.75271990741</v>
      </c>
      <c r="D842" t="s">
        <v>149</v>
      </c>
      <c r="E842" s="4">
        <v>0.253</v>
      </c>
      <c r="F842" s="4">
        <v>523529.94900000002</v>
      </c>
      <c r="G842" s="4">
        <v>523530.20199999999</v>
      </c>
      <c r="H842" s="5">
        <f>0 / 86400</f>
        <v>0</v>
      </c>
      <c r="I842" t="s">
        <v>88</v>
      </c>
      <c r="J842" t="s">
        <v>60</v>
      </c>
      <c r="K842" s="5">
        <f>125 / 86400</f>
        <v>1.4467592592592592E-3</v>
      </c>
      <c r="L842" s="5">
        <f>1295 / 86400</f>
        <v>1.4988425925925926E-2</v>
      </c>
    </row>
    <row r="843" spans="1:12" x14ac:dyDescent="0.25">
      <c r="A843" s="3">
        <v>45703.767708333333</v>
      </c>
      <c r="B843" t="s">
        <v>149</v>
      </c>
      <c r="C843" s="3">
        <v>45703.990300925929</v>
      </c>
      <c r="D843" t="s">
        <v>92</v>
      </c>
      <c r="E843" s="4">
        <v>98.478999999999999</v>
      </c>
      <c r="F843" s="4">
        <v>523530.20199999999</v>
      </c>
      <c r="G843" s="4">
        <v>523628.68099999998</v>
      </c>
      <c r="H843" s="5">
        <f>5100 / 86400</f>
        <v>5.9027777777777776E-2</v>
      </c>
      <c r="I843" t="s">
        <v>215</v>
      </c>
      <c r="J843" t="s">
        <v>20</v>
      </c>
      <c r="K843" s="5">
        <f>19232 / 86400</f>
        <v>0.22259259259259259</v>
      </c>
      <c r="L843" s="5">
        <f>837 / 86400</f>
        <v>9.6874999999999999E-3</v>
      </c>
    </row>
    <row r="844" spans="1:1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 spans="1:1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</row>
    <row r="846" spans="1:12" s="10" customFormat="1" ht="20.100000000000001" customHeight="1" x14ac:dyDescent="0.35">
      <c r="A846" s="15" t="s">
        <v>336</v>
      </c>
      <c r="B846" s="15"/>
      <c r="C846" s="15"/>
      <c r="D846" s="15"/>
      <c r="E846" s="15"/>
      <c r="F846" s="15"/>
      <c r="G846" s="15"/>
      <c r="H846" s="15"/>
      <c r="I846" s="15"/>
      <c r="J846" s="15"/>
    </row>
    <row r="847" spans="1:1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2" ht="30" x14ac:dyDescent="0.25">
      <c r="A848" s="2" t="s">
        <v>6</v>
      </c>
      <c r="B848" s="2" t="s">
        <v>7</v>
      </c>
      <c r="C848" s="2" t="s">
        <v>8</v>
      </c>
      <c r="D848" s="2" t="s">
        <v>9</v>
      </c>
      <c r="E848" s="2" t="s">
        <v>10</v>
      </c>
      <c r="F848" s="2" t="s">
        <v>11</v>
      </c>
      <c r="G848" s="2" t="s">
        <v>12</v>
      </c>
      <c r="H848" s="2" t="s">
        <v>13</v>
      </c>
      <c r="I848" s="2" t="s">
        <v>14</v>
      </c>
      <c r="J848" s="2" t="s">
        <v>15</v>
      </c>
      <c r="K848" s="2" t="s">
        <v>16</v>
      </c>
      <c r="L848" s="2" t="s">
        <v>17</v>
      </c>
    </row>
    <row r="849" spans="1:12" x14ac:dyDescent="0.25">
      <c r="A849" s="3">
        <v>45703.267118055555</v>
      </c>
      <c r="B849" t="s">
        <v>99</v>
      </c>
      <c r="C849" s="3">
        <v>45703.271539351852</v>
      </c>
      <c r="D849" t="s">
        <v>144</v>
      </c>
      <c r="E849" s="4">
        <v>0.89200000000000002</v>
      </c>
      <c r="F849" s="4">
        <v>23224.491000000002</v>
      </c>
      <c r="G849" s="4">
        <v>23225.383000000002</v>
      </c>
      <c r="H849" s="5">
        <f>159 / 86400</f>
        <v>1.8402777777777777E-3</v>
      </c>
      <c r="I849" t="s">
        <v>152</v>
      </c>
      <c r="J849" t="s">
        <v>138</v>
      </c>
      <c r="K849" s="5">
        <f>381 / 86400</f>
        <v>4.409722222222222E-3</v>
      </c>
      <c r="L849" s="5">
        <f>23622 / 86400</f>
        <v>0.27340277777777777</v>
      </c>
    </row>
    <row r="850" spans="1:12" x14ac:dyDescent="0.25">
      <c r="A850" s="3">
        <v>45703.277824074074</v>
      </c>
      <c r="B850" t="s">
        <v>144</v>
      </c>
      <c r="C850" s="3">
        <v>45703.386574074073</v>
      </c>
      <c r="D850" t="s">
        <v>268</v>
      </c>
      <c r="E850" s="4">
        <v>49.887999999999998</v>
      </c>
      <c r="F850" s="4">
        <v>23225.383000000002</v>
      </c>
      <c r="G850" s="4">
        <v>23275.271000000001</v>
      </c>
      <c r="H850" s="5">
        <f>2899 / 86400</f>
        <v>3.3553240740740738E-2</v>
      </c>
      <c r="I850" t="s">
        <v>111</v>
      </c>
      <c r="J850" t="s">
        <v>26</v>
      </c>
      <c r="K850" s="5">
        <f>9395 / 86400</f>
        <v>0.10873842592592593</v>
      </c>
      <c r="L850" s="5">
        <f>1084 / 86400</f>
        <v>1.2546296296296297E-2</v>
      </c>
    </row>
    <row r="851" spans="1:12" x14ac:dyDescent="0.25">
      <c r="A851" s="3">
        <v>45703.39912037037</v>
      </c>
      <c r="B851" t="s">
        <v>268</v>
      </c>
      <c r="C851" s="3">
        <v>45703.541678240741</v>
      </c>
      <c r="D851" t="s">
        <v>132</v>
      </c>
      <c r="E851" s="4">
        <v>51.764000000000003</v>
      </c>
      <c r="F851" s="4">
        <v>23275.271000000001</v>
      </c>
      <c r="G851" s="4">
        <v>23327.035</v>
      </c>
      <c r="H851" s="5">
        <f>3619 / 86400</f>
        <v>4.1886574074074076E-2</v>
      </c>
      <c r="I851" t="s">
        <v>41</v>
      </c>
      <c r="J851" t="s">
        <v>29</v>
      </c>
      <c r="K851" s="5">
        <f>12316 / 86400</f>
        <v>0.14254629629629631</v>
      </c>
      <c r="L851" s="5">
        <f>1270 / 86400</f>
        <v>1.4699074074074074E-2</v>
      </c>
    </row>
    <row r="852" spans="1:12" x14ac:dyDescent="0.25">
      <c r="A852" s="3">
        <v>45703.556377314817</v>
      </c>
      <c r="B852" t="s">
        <v>132</v>
      </c>
      <c r="C852" s="3">
        <v>45703.650057870371</v>
      </c>
      <c r="D852" t="s">
        <v>168</v>
      </c>
      <c r="E852" s="4">
        <v>40.4</v>
      </c>
      <c r="F852" s="4">
        <v>23327.035</v>
      </c>
      <c r="G852" s="4">
        <v>23367.435000000001</v>
      </c>
      <c r="H852" s="5">
        <f>2739 / 86400</f>
        <v>3.170138888888889E-2</v>
      </c>
      <c r="I852" t="s">
        <v>73</v>
      </c>
      <c r="J852" t="s">
        <v>20</v>
      </c>
      <c r="K852" s="5">
        <f>8094 / 86400</f>
        <v>9.3680555555555559E-2</v>
      </c>
      <c r="L852" s="5">
        <f>1058 / 86400</f>
        <v>1.224537037037037E-2</v>
      </c>
    </row>
    <row r="853" spans="1:12" x14ac:dyDescent="0.25">
      <c r="A853" s="3">
        <v>45703.662303240737</v>
      </c>
      <c r="B853" t="s">
        <v>168</v>
      </c>
      <c r="C853" s="3">
        <v>45703.765462962961</v>
      </c>
      <c r="D853" t="s">
        <v>203</v>
      </c>
      <c r="E853" s="4">
        <v>40.1</v>
      </c>
      <c r="F853" s="4">
        <v>23367.435000000001</v>
      </c>
      <c r="G853" s="4">
        <v>23407.535</v>
      </c>
      <c r="H853" s="5">
        <f>2120 / 86400</f>
        <v>2.4537037037037038E-2</v>
      </c>
      <c r="I853" t="s">
        <v>101</v>
      </c>
      <c r="J853" t="s">
        <v>36</v>
      </c>
      <c r="K853" s="5">
        <f>8913 / 86400</f>
        <v>0.10315972222222222</v>
      </c>
      <c r="L853" s="5">
        <f>206 / 86400</f>
        <v>2.3842592592592591E-3</v>
      </c>
    </row>
    <row r="854" spans="1:12" x14ac:dyDescent="0.25">
      <c r="A854" s="3">
        <v>45703.767847222218</v>
      </c>
      <c r="B854" t="s">
        <v>203</v>
      </c>
      <c r="C854" s="3">
        <v>45703.771400462967</v>
      </c>
      <c r="D854" t="s">
        <v>84</v>
      </c>
      <c r="E854" s="4">
        <v>0.71</v>
      </c>
      <c r="F854" s="4">
        <v>23407.535</v>
      </c>
      <c r="G854" s="4">
        <v>23408.244999999999</v>
      </c>
      <c r="H854" s="5">
        <f>160 / 86400</f>
        <v>1.8518518518518519E-3</v>
      </c>
      <c r="I854" t="s">
        <v>76</v>
      </c>
      <c r="J854" t="s">
        <v>138</v>
      </c>
      <c r="K854" s="5">
        <f>307 / 86400</f>
        <v>3.5532407407407409E-3</v>
      </c>
      <c r="L854" s="5">
        <f>762 / 86400</f>
        <v>8.819444444444444E-3</v>
      </c>
    </row>
    <row r="855" spans="1:12" x14ac:dyDescent="0.25">
      <c r="A855" s="3">
        <v>45703.780219907407</v>
      </c>
      <c r="B855" t="s">
        <v>144</v>
      </c>
      <c r="C855" s="3">
        <v>45703.783657407403</v>
      </c>
      <c r="D855" t="s">
        <v>99</v>
      </c>
      <c r="E855" s="4">
        <v>0.746</v>
      </c>
      <c r="F855" s="4">
        <v>23408.244999999999</v>
      </c>
      <c r="G855" s="4">
        <v>23408.991000000002</v>
      </c>
      <c r="H855" s="5">
        <f>80 / 86400</f>
        <v>9.2592592592592596E-4</v>
      </c>
      <c r="I855" t="s">
        <v>175</v>
      </c>
      <c r="J855" t="s">
        <v>150</v>
      </c>
      <c r="K855" s="5">
        <f>296 / 86400</f>
        <v>3.425925925925926E-3</v>
      </c>
      <c r="L855" s="5">
        <f>18691 / 86400</f>
        <v>0.21633101851851852</v>
      </c>
    </row>
    <row r="856" spans="1:1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</row>
    <row r="857" spans="1:1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</row>
    <row r="858" spans="1:12" s="10" customFormat="1" ht="20.100000000000001" customHeight="1" x14ac:dyDescent="0.35">
      <c r="A858" s="15" t="s">
        <v>337</v>
      </c>
      <c r="B858" s="15"/>
      <c r="C858" s="15"/>
      <c r="D858" s="15"/>
      <c r="E858" s="15"/>
      <c r="F858" s="15"/>
      <c r="G858" s="15"/>
      <c r="H858" s="15"/>
      <c r="I858" s="15"/>
      <c r="J858" s="15"/>
    </row>
    <row r="859" spans="1:1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</row>
    <row r="860" spans="1:12" ht="30" x14ac:dyDescent="0.25">
      <c r="A860" s="2" t="s">
        <v>6</v>
      </c>
      <c r="B860" s="2" t="s">
        <v>7</v>
      </c>
      <c r="C860" s="2" t="s">
        <v>8</v>
      </c>
      <c r="D860" s="2" t="s">
        <v>9</v>
      </c>
      <c r="E860" s="2" t="s">
        <v>10</v>
      </c>
      <c r="F860" s="2" t="s">
        <v>11</v>
      </c>
      <c r="G860" s="2" t="s">
        <v>12</v>
      </c>
      <c r="H860" s="2" t="s">
        <v>13</v>
      </c>
      <c r="I860" s="2" t="s">
        <v>14</v>
      </c>
      <c r="J860" s="2" t="s">
        <v>15</v>
      </c>
      <c r="K860" s="2" t="s">
        <v>16</v>
      </c>
      <c r="L860" s="2" t="s">
        <v>17</v>
      </c>
    </row>
    <row r="861" spans="1:12" x14ac:dyDescent="0.25">
      <c r="A861" s="3">
        <v>45703.215636574074</v>
      </c>
      <c r="B861" t="s">
        <v>37</v>
      </c>
      <c r="C861" s="3">
        <v>45703.422326388885</v>
      </c>
      <c r="D861" t="s">
        <v>84</v>
      </c>
      <c r="E861" s="4">
        <v>80.542000000000002</v>
      </c>
      <c r="F861" s="4">
        <v>64358.131000000001</v>
      </c>
      <c r="G861" s="4">
        <v>64438.673000000003</v>
      </c>
      <c r="H861" s="5">
        <f>6780 / 86400</f>
        <v>7.8472222222222221E-2</v>
      </c>
      <c r="I861" t="s">
        <v>32</v>
      </c>
      <c r="J861" t="s">
        <v>36</v>
      </c>
      <c r="K861" s="5">
        <f>17858 / 86400</f>
        <v>0.20668981481481483</v>
      </c>
      <c r="L861" s="5">
        <f>18909 / 86400</f>
        <v>0.21885416666666666</v>
      </c>
    </row>
    <row r="862" spans="1:12" x14ac:dyDescent="0.25">
      <c r="A862" s="3">
        <v>45703.425543981481</v>
      </c>
      <c r="B862" t="s">
        <v>84</v>
      </c>
      <c r="C862" s="3">
        <v>45703.426180555558</v>
      </c>
      <c r="D862" t="s">
        <v>84</v>
      </c>
      <c r="E862" s="4">
        <v>1.0999999999999999E-2</v>
      </c>
      <c r="F862" s="4">
        <v>64438.673000000003</v>
      </c>
      <c r="G862" s="4">
        <v>64438.684000000001</v>
      </c>
      <c r="H862" s="5">
        <f>20 / 86400</f>
        <v>2.3148148148148149E-4</v>
      </c>
      <c r="I862" t="s">
        <v>135</v>
      </c>
      <c r="J862" t="s">
        <v>43</v>
      </c>
      <c r="K862" s="5">
        <f>54 / 86400</f>
        <v>6.2500000000000001E-4</v>
      </c>
      <c r="L862" s="5">
        <f>2519 / 86400</f>
        <v>2.9155092592592594E-2</v>
      </c>
    </row>
    <row r="863" spans="1:12" x14ac:dyDescent="0.25">
      <c r="A863" s="3">
        <v>45703.455335648148</v>
      </c>
      <c r="B863" t="s">
        <v>84</v>
      </c>
      <c r="C863" s="3">
        <v>45703.459965277776</v>
      </c>
      <c r="D863" t="s">
        <v>128</v>
      </c>
      <c r="E863" s="4">
        <v>1.373</v>
      </c>
      <c r="F863" s="4">
        <v>64438.684000000001</v>
      </c>
      <c r="G863" s="4">
        <v>64440.057000000001</v>
      </c>
      <c r="H863" s="5">
        <f>99 / 86400</f>
        <v>1.1458333333333333E-3</v>
      </c>
      <c r="I863" t="s">
        <v>160</v>
      </c>
      <c r="J863" t="s">
        <v>77</v>
      </c>
      <c r="K863" s="5">
        <f>399 / 86400</f>
        <v>4.6180555555555558E-3</v>
      </c>
      <c r="L863" s="5">
        <f>1666 / 86400</f>
        <v>1.9282407407407408E-2</v>
      </c>
    </row>
    <row r="864" spans="1:12" x14ac:dyDescent="0.25">
      <c r="A864" s="3">
        <v>45703.479247685187</v>
      </c>
      <c r="B864" t="s">
        <v>128</v>
      </c>
      <c r="C864" s="3">
        <v>45703.729097222225</v>
      </c>
      <c r="D864" t="s">
        <v>37</v>
      </c>
      <c r="E864" s="4">
        <v>104.02500000000001</v>
      </c>
      <c r="F864" s="4">
        <v>64440.057000000001</v>
      </c>
      <c r="G864" s="4">
        <v>64544.082000000002</v>
      </c>
      <c r="H864" s="5">
        <f>7361 / 86400</f>
        <v>8.5196759259259264E-2</v>
      </c>
      <c r="I864" t="s">
        <v>114</v>
      </c>
      <c r="J864" t="s">
        <v>33</v>
      </c>
      <c r="K864" s="5">
        <f>21586 / 86400</f>
        <v>0.24983796296296296</v>
      </c>
      <c r="L864" s="5">
        <f>389 / 86400</f>
        <v>4.5023148148148149E-3</v>
      </c>
    </row>
    <row r="865" spans="1:12" x14ac:dyDescent="0.25">
      <c r="A865" s="3">
        <v>45703.733599537038</v>
      </c>
      <c r="B865" t="s">
        <v>37</v>
      </c>
      <c r="C865" s="3">
        <v>45703.744004629625</v>
      </c>
      <c r="D865" t="s">
        <v>37</v>
      </c>
      <c r="E865" s="4">
        <v>1.387</v>
      </c>
      <c r="F865" s="4">
        <v>64544.082000000002</v>
      </c>
      <c r="G865" s="4">
        <v>64545.468999999997</v>
      </c>
      <c r="H865" s="5">
        <f>699 / 86400</f>
        <v>8.0902777777777778E-3</v>
      </c>
      <c r="I865" t="s">
        <v>269</v>
      </c>
      <c r="J865" t="s">
        <v>57</v>
      </c>
      <c r="K865" s="5">
        <f>898 / 86400</f>
        <v>1.0393518518518519E-2</v>
      </c>
      <c r="L865" s="5">
        <f>22117 / 86400</f>
        <v>0.25598379629629631</v>
      </c>
    </row>
    <row r="866" spans="1:1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</row>
    <row r="867" spans="1:1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 spans="1:12" s="10" customFormat="1" ht="20.100000000000001" customHeight="1" x14ac:dyDescent="0.35">
      <c r="A868" s="15" t="s">
        <v>338</v>
      </c>
      <c r="B868" s="15"/>
      <c r="C868" s="15"/>
      <c r="D868" s="15"/>
      <c r="E868" s="15"/>
      <c r="F868" s="15"/>
      <c r="G868" s="15"/>
      <c r="H868" s="15"/>
      <c r="I868" s="15"/>
      <c r="J868" s="15"/>
    </row>
    <row r="869" spans="1:1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</row>
    <row r="870" spans="1:12" ht="30" x14ac:dyDescent="0.25">
      <c r="A870" s="2" t="s">
        <v>6</v>
      </c>
      <c r="B870" s="2" t="s">
        <v>7</v>
      </c>
      <c r="C870" s="2" t="s">
        <v>8</v>
      </c>
      <c r="D870" s="2" t="s">
        <v>9</v>
      </c>
      <c r="E870" s="2" t="s">
        <v>10</v>
      </c>
      <c r="F870" s="2" t="s">
        <v>11</v>
      </c>
      <c r="G870" s="2" t="s">
        <v>12</v>
      </c>
      <c r="H870" s="2" t="s">
        <v>13</v>
      </c>
      <c r="I870" s="2" t="s">
        <v>14</v>
      </c>
      <c r="J870" s="2" t="s">
        <v>15</v>
      </c>
      <c r="K870" s="2" t="s">
        <v>16</v>
      </c>
      <c r="L870" s="2" t="s">
        <v>17</v>
      </c>
    </row>
    <row r="871" spans="1:12" x14ac:dyDescent="0.25">
      <c r="A871" s="3">
        <v>45703</v>
      </c>
      <c r="B871" t="s">
        <v>112</v>
      </c>
      <c r="C871" s="3">
        <v>45703.148136574076</v>
      </c>
      <c r="D871" t="s">
        <v>217</v>
      </c>
      <c r="E871" s="4">
        <v>73.700999999999993</v>
      </c>
      <c r="F871" s="4">
        <v>408388.99800000002</v>
      </c>
      <c r="G871" s="4">
        <v>408462.69900000002</v>
      </c>
      <c r="H871" s="5">
        <f>3718 / 86400</f>
        <v>4.3032407407407408E-2</v>
      </c>
      <c r="I871" t="s">
        <v>58</v>
      </c>
      <c r="J871" t="s">
        <v>202</v>
      </c>
      <c r="K871" s="5">
        <f>12799 / 86400</f>
        <v>0.14813657407407407</v>
      </c>
      <c r="L871" s="5">
        <f>530 / 86400</f>
        <v>6.1342592592592594E-3</v>
      </c>
    </row>
    <row r="872" spans="1:12" x14ac:dyDescent="0.25">
      <c r="A872" s="3">
        <v>45703.154270833329</v>
      </c>
      <c r="B872" t="s">
        <v>217</v>
      </c>
      <c r="C872" s="3">
        <v>45703.154629629629</v>
      </c>
      <c r="D872" t="s">
        <v>217</v>
      </c>
      <c r="E872" s="4">
        <v>3.3000000000000002E-2</v>
      </c>
      <c r="F872" s="4">
        <v>408462.69900000002</v>
      </c>
      <c r="G872" s="4">
        <v>408462.73200000002</v>
      </c>
      <c r="H872" s="5">
        <f>0 / 86400</f>
        <v>0</v>
      </c>
      <c r="I872" t="s">
        <v>77</v>
      </c>
      <c r="J872" t="s">
        <v>154</v>
      </c>
      <c r="K872" s="5">
        <f>30 / 86400</f>
        <v>3.4722222222222224E-4</v>
      </c>
      <c r="L872" s="5">
        <f>315 / 86400</f>
        <v>3.6458333333333334E-3</v>
      </c>
    </row>
    <row r="873" spans="1:12" x14ac:dyDescent="0.25">
      <c r="A873" s="3">
        <v>45703.158275462964</v>
      </c>
      <c r="B873" t="s">
        <v>217</v>
      </c>
      <c r="C873" s="3">
        <v>45703.160254629634</v>
      </c>
      <c r="D873" t="s">
        <v>270</v>
      </c>
      <c r="E873" s="4">
        <v>0.84399999999999997</v>
      </c>
      <c r="F873" s="4">
        <v>408462.73200000002</v>
      </c>
      <c r="G873" s="4">
        <v>408463.576</v>
      </c>
      <c r="H873" s="5">
        <f>20 / 86400</f>
        <v>2.3148148148148149E-4</v>
      </c>
      <c r="I873" t="s">
        <v>155</v>
      </c>
      <c r="J873" t="s">
        <v>20</v>
      </c>
      <c r="K873" s="5">
        <f>170 / 86400</f>
        <v>1.9675925925925924E-3</v>
      </c>
      <c r="L873" s="5">
        <f>2646 / 86400</f>
        <v>3.0624999999999999E-2</v>
      </c>
    </row>
    <row r="874" spans="1:12" x14ac:dyDescent="0.25">
      <c r="A874" s="3">
        <v>45703.190879629634</v>
      </c>
      <c r="B874" t="s">
        <v>270</v>
      </c>
      <c r="C874" s="3">
        <v>45703.193460648152</v>
      </c>
      <c r="D874" t="s">
        <v>27</v>
      </c>
      <c r="E874" s="4">
        <v>0.88400000000000001</v>
      </c>
      <c r="F874" s="4">
        <v>408463.576</v>
      </c>
      <c r="G874" s="4">
        <v>408464.46</v>
      </c>
      <c r="H874" s="5">
        <f>40 / 86400</f>
        <v>4.6296296296296298E-4</v>
      </c>
      <c r="I874" t="s">
        <v>59</v>
      </c>
      <c r="J874" t="s">
        <v>88</v>
      </c>
      <c r="K874" s="5">
        <f>223 / 86400</f>
        <v>2.5810185185185185E-3</v>
      </c>
      <c r="L874" s="5">
        <f>7185 / 86400</f>
        <v>8.3159722222222218E-2</v>
      </c>
    </row>
    <row r="875" spans="1:12" x14ac:dyDescent="0.25">
      <c r="A875" s="3">
        <v>45703.276620370365</v>
      </c>
      <c r="B875" t="s">
        <v>27</v>
      </c>
      <c r="C875" s="3">
        <v>45703.282164351855</v>
      </c>
      <c r="D875" t="s">
        <v>189</v>
      </c>
      <c r="E875" s="4">
        <v>0.76600000000000001</v>
      </c>
      <c r="F875" s="4">
        <v>408464.46</v>
      </c>
      <c r="G875" s="4">
        <v>408465.22600000002</v>
      </c>
      <c r="H875" s="5">
        <f>219 / 86400</f>
        <v>2.5347222222222221E-3</v>
      </c>
      <c r="I875" t="s">
        <v>80</v>
      </c>
      <c r="J875" t="s">
        <v>57</v>
      </c>
      <c r="K875" s="5">
        <f>479 / 86400</f>
        <v>5.5439814814814813E-3</v>
      </c>
      <c r="L875" s="5">
        <f>18 / 86400</f>
        <v>2.0833333333333335E-4</v>
      </c>
    </row>
    <row r="876" spans="1:12" x14ac:dyDescent="0.25">
      <c r="A876" s="3">
        <v>45703.282372685186</v>
      </c>
      <c r="B876" t="s">
        <v>189</v>
      </c>
      <c r="C876" s="3">
        <v>45703.283194444448</v>
      </c>
      <c r="D876" t="s">
        <v>189</v>
      </c>
      <c r="E876" s="4">
        <v>4.0000000000000001E-3</v>
      </c>
      <c r="F876" s="4">
        <v>408465.22700000001</v>
      </c>
      <c r="G876" s="4">
        <v>408465.23100000003</v>
      </c>
      <c r="H876" s="5">
        <f>59 / 86400</f>
        <v>6.8287037037037036E-4</v>
      </c>
      <c r="I876" t="s">
        <v>43</v>
      </c>
      <c r="J876" t="s">
        <v>44</v>
      </c>
      <c r="K876" s="5">
        <f>71 / 86400</f>
        <v>8.2175925925925927E-4</v>
      </c>
      <c r="L876" s="5">
        <f>190 / 86400</f>
        <v>2.1990740740740742E-3</v>
      </c>
    </row>
    <row r="877" spans="1:12" x14ac:dyDescent="0.25">
      <c r="A877" s="3">
        <v>45703.285393518519</v>
      </c>
      <c r="B877" t="s">
        <v>189</v>
      </c>
      <c r="C877" s="3">
        <v>45703.330740740741</v>
      </c>
      <c r="D877" t="s">
        <v>201</v>
      </c>
      <c r="E877" s="4">
        <v>24.004999999999999</v>
      </c>
      <c r="F877" s="4">
        <v>408465.23100000003</v>
      </c>
      <c r="G877" s="4">
        <v>408489.23599999998</v>
      </c>
      <c r="H877" s="5">
        <f>940 / 86400</f>
        <v>1.087962962962963E-2</v>
      </c>
      <c r="I877" t="s">
        <v>158</v>
      </c>
      <c r="J877" t="s">
        <v>145</v>
      </c>
      <c r="K877" s="5">
        <f>3918 / 86400</f>
        <v>4.5347222222222219E-2</v>
      </c>
      <c r="L877" s="5">
        <f>1916 / 86400</f>
        <v>2.2175925925925925E-2</v>
      </c>
    </row>
    <row r="878" spans="1:12" x14ac:dyDescent="0.25">
      <c r="A878" s="3">
        <v>45703.35291666667</v>
      </c>
      <c r="B878" t="s">
        <v>201</v>
      </c>
      <c r="C878" s="3">
        <v>45703.354490740741</v>
      </c>
      <c r="D878" t="s">
        <v>46</v>
      </c>
      <c r="E878" s="4">
        <v>0.21099999999999999</v>
      </c>
      <c r="F878" s="4">
        <v>408489.23599999998</v>
      </c>
      <c r="G878" s="4">
        <v>408489.44699999999</v>
      </c>
      <c r="H878" s="5">
        <f>39 / 86400</f>
        <v>4.5138888888888887E-4</v>
      </c>
      <c r="I878" t="s">
        <v>130</v>
      </c>
      <c r="J878" t="s">
        <v>57</v>
      </c>
      <c r="K878" s="5">
        <f>136 / 86400</f>
        <v>1.5740740740740741E-3</v>
      </c>
      <c r="L878" s="5">
        <f>1303 / 86400</f>
        <v>1.5081018518518518E-2</v>
      </c>
    </row>
    <row r="879" spans="1:12" x14ac:dyDescent="0.25">
      <c r="A879" s="3">
        <v>45703.369571759264</v>
      </c>
      <c r="B879" t="s">
        <v>46</v>
      </c>
      <c r="C879" s="3">
        <v>45703.374108796299</v>
      </c>
      <c r="D879" t="s">
        <v>126</v>
      </c>
      <c r="E879" s="4">
        <v>1.2310000000000001</v>
      </c>
      <c r="F879" s="4">
        <v>408489.44699999999</v>
      </c>
      <c r="G879" s="4">
        <v>408490.67800000001</v>
      </c>
      <c r="H879" s="5">
        <f>59 / 86400</f>
        <v>6.8287037037037036E-4</v>
      </c>
      <c r="I879" t="s">
        <v>76</v>
      </c>
      <c r="J879" t="s">
        <v>102</v>
      </c>
      <c r="K879" s="5">
        <f>391 / 86400</f>
        <v>4.5254629629629629E-3</v>
      </c>
      <c r="L879" s="5">
        <f>242 / 86400</f>
        <v>2.8009259259259259E-3</v>
      </c>
    </row>
    <row r="880" spans="1:12" x14ac:dyDescent="0.25">
      <c r="A880" s="3">
        <v>45703.376909722225</v>
      </c>
      <c r="B880" t="s">
        <v>126</v>
      </c>
      <c r="C880" s="3">
        <v>45703.617245370369</v>
      </c>
      <c r="D880" t="s">
        <v>84</v>
      </c>
      <c r="E880" s="4">
        <v>100.02</v>
      </c>
      <c r="F880" s="4">
        <v>408490.67800000001</v>
      </c>
      <c r="G880" s="4">
        <v>408590.69799999997</v>
      </c>
      <c r="H880" s="5">
        <f>7040 / 86400</f>
        <v>8.1481481481481488E-2</v>
      </c>
      <c r="I880" t="s">
        <v>25</v>
      </c>
      <c r="J880" t="s">
        <v>33</v>
      </c>
      <c r="K880" s="5">
        <f>20764 / 86400</f>
        <v>0.24032407407407408</v>
      </c>
      <c r="L880" s="5">
        <f>833 / 86400</f>
        <v>9.6412037037037039E-3</v>
      </c>
    </row>
    <row r="881" spans="1:12" x14ac:dyDescent="0.25">
      <c r="A881" s="3">
        <v>45703.626886574071</v>
      </c>
      <c r="B881" t="s">
        <v>84</v>
      </c>
      <c r="C881" s="3">
        <v>45703.628865740742</v>
      </c>
      <c r="D881" t="s">
        <v>256</v>
      </c>
      <c r="E881" s="4">
        <v>0.252</v>
      </c>
      <c r="F881" s="4">
        <v>408590.69799999997</v>
      </c>
      <c r="G881" s="4">
        <v>408590.95</v>
      </c>
      <c r="H881" s="5">
        <f>59 / 86400</f>
        <v>6.8287037037037036E-4</v>
      </c>
      <c r="I881" t="s">
        <v>175</v>
      </c>
      <c r="J881" t="s">
        <v>134</v>
      </c>
      <c r="K881" s="5">
        <f>171 / 86400</f>
        <v>1.9791666666666668E-3</v>
      </c>
      <c r="L881" s="5">
        <f>347 / 86400</f>
        <v>4.0162037037037041E-3</v>
      </c>
    </row>
    <row r="882" spans="1:12" x14ac:dyDescent="0.25">
      <c r="A882" s="3">
        <v>45703.632881944446</v>
      </c>
      <c r="B882" t="s">
        <v>256</v>
      </c>
      <c r="C882" s="3">
        <v>45703.635752314818</v>
      </c>
      <c r="D882" t="s">
        <v>132</v>
      </c>
      <c r="E882" s="4">
        <v>0.80100000000000005</v>
      </c>
      <c r="F882" s="4">
        <v>408590.95</v>
      </c>
      <c r="G882" s="4">
        <v>408591.75099999999</v>
      </c>
      <c r="H882" s="5">
        <f>79 / 86400</f>
        <v>9.1435185185185185E-4</v>
      </c>
      <c r="I882" t="s">
        <v>155</v>
      </c>
      <c r="J882" t="s">
        <v>77</v>
      </c>
      <c r="K882" s="5">
        <f>248 / 86400</f>
        <v>2.8703703703703703E-3</v>
      </c>
      <c r="L882" s="5">
        <f>627 / 86400</f>
        <v>7.2569444444444443E-3</v>
      </c>
    </row>
    <row r="883" spans="1:12" x14ac:dyDescent="0.25">
      <c r="A883" s="3">
        <v>45703.643009259264</v>
      </c>
      <c r="B883" t="s">
        <v>132</v>
      </c>
      <c r="C883" s="3">
        <v>45703.688310185185</v>
      </c>
      <c r="D883" t="s">
        <v>270</v>
      </c>
      <c r="E883" s="4">
        <v>27.942</v>
      </c>
      <c r="F883" s="4">
        <v>408591.75099999999</v>
      </c>
      <c r="G883" s="4">
        <v>408619.69300000003</v>
      </c>
      <c r="H883" s="5">
        <f>719 / 86400</f>
        <v>8.3217592592592596E-3</v>
      </c>
      <c r="I883" t="s">
        <v>107</v>
      </c>
      <c r="J883" t="s">
        <v>175</v>
      </c>
      <c r="K883" s="5">
        <f>3914 / 86400</f>
        <v>4.5300925925925925E-2</v>
      </c>
      <c r="L883" s="5">
        <f>295 / 86400</f>
        <v>3.414351851851852E-3</v>
      </c>
    </row>
    <row r="884" spans="1:12" x14ac:dyDescent="0.25">
      <c r="A884" s="3">
        <v>45703.691724537042</v>
      </c>
      <c r="B884" t="s">
        <v>270</v>
      </c>
      <c r="C884" s="3">
        <v>45703.695856481485</v>
      </c>
      <c r="D884" t="s">
        <v>27</v>
      </c>
      <c r="E884" s="4">
        <v>0.91600000000000004</v>
      </c>
      <c r="F884" s="4">
        <v>408619.69300000003</v>
      </c>
      <c r="G884" s="4">
        <v>408620.609</v>
      </c>
      <c r="H884" s="5">
        <f>40 / 86400</f>
        <v>4.6296296296296298E-4</v>
      </c>
      <c r="I884" t="s">
        <v>20</v>
      </c>
      <c r="J884" t="s">
        <v>150</v>
      </c>
      <c r="K884" s="5">
        <f>356 / 86400</f>
        <v>4.1203703703703706E-3</v>
      </c>
      <c r="L884" s="5">
        <f>20773 / 86400</f>
        <v>0.24042824074074073</v>
      </c>
    </row>
    <row r="885" spans="1:12" x14ac:dyDescent="0.25">
      <c r="A885" s="3">
        <v>45703.936284722222</v>
      </c>
      <c r="B885" t="s">
        <v>27</v>
      </c>
      <c r="C885" s="3">
        <v>45703.93650462963</v>
      </c>
      <c r="D885" t="s">
        <v>27</v>
      </c>
      <c r="E885" s="4">
        <v>0</v>
      </c>
      <c r="F885" s="4">
        <v>408620.609</v>
      </c>
      <c r="G885" s="4">
        <v>408620.609</v>
      </c>
      <c r="H885" s="5">
        <f>0 / 86400</f>
        <v>0</v>
      </c>
      <c r="I885" t="s">
        <v>44</v>
      </c>
      <c r="J885" t="s">
        <v>44</v>
      </c>
      <c r="K885" s="5">
        <f>19 / 86400</f>
        <v>2.199074074074074E-4</v>
      </c>
      <c r="L885" s="5">
        <f>988 / 86400</f>
        <v>1.1435185185185185E-2</v>
      </c>
    </row>
    <row r="886" spans="1:12" x14ac:dyDescent="0.25">
      <c r="A886" s="3">
        <v>45703.947939814811</v>
      </c>
      <c r="B886" t="s">
        <v>27</v>
      </c>
      <c r="C886" s="3">
        <v>45703.948865740742</v>
      </c>
      <c r="D886" t="s">
        <v>27</v>
      </c>
      <c r="E886" s="4">
        <v>1.6E-2</v>
      </c>
      <c r="F886" s="4">
        <v>408620.609</v>
      </c>
      <c r="G886" s="4">
        <v>408620.625</v>
      </c>
      <c r="H886" s="5">
        <f>59 / 86400</f>
        <v>6.8287037037037036E-4</v>
      </c>
      <c r="I886" t="s">
        <v>134</v>
      </c>
      <c r="J886" t="s">
        <v>43</v>
      </c>
      <c r="K886" s="5">
        <f>80 / 86400</f>
        <v>9.2592592592592596E-4</v>
      </c>
      <c r="L886" s="5">
        <f>4417 / 86400</f>
        <v>5.1122685185185188E-2</v>
      </c>
    </row>
    <row r="887" spans="1:1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</row>
    <row r="888" spans="1:1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</row>
    <row r="889" spans="1:12" s="10" customFormat="1" ht="20.100000000000001" customHeight="1" x14ac:dyDescent="0.35">
      <c r="A889" s="15" t="s">
        <v>339</v>
      </c>
      <c r="B889" s="15"/>
      <c r="C889" s="15"/>
      <c r="D889" s="15"/>
      <c r="E889" s="15"/>
      <c r="F889" s="15"/>
      <c r="G889" s="15"/>
      <c r="H889" s="15"/>
      <c r="I889" s="15"/>
      <c r="J889" s="15"/>
    </row>
    <row r="890" spans="1:1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</row>
    <row r="891" spans="1:12" ht="30" x14ac:dyDescent="0.25">
      <c r="A891" s="2" t="s">
        <v>6</v>
      </c>
      <c r="B891" s="2" t="s">
        <v>7</v>
      </c>
      <c r="C891" s="2" t="s">
        <v>8</v>
      </c>
      <c r="D891" s="2" t="s">
        <v>9</v>
      </c>
      <c r="E891" s="2" t="s">
        <v>10</v>
      </c>
      <c r="F891" s="2" t="s">
        <v>11</v>
      </c>
      <c r="G891" s="2" t="s">
        <v>12</v>
      </c>
      <c r="H891" s="2" t="s">
        <v>13</v>
      </c>
      <c r="I891" s="2" t="s">
        <v>14</v>
      </c>
      <c r="J891" s="2" t="s">
        <v>15</v>
      </c>
      <c r="K891" s="2" t="s">
        <v>16</v>
      </c>
      <c r="L891" s="2" t="s">
        <v>17</v>
      </c>
    </row>
    <row r="892" spans="1:12" x14ac:dyDescent="0.25">
      <c r="A892" s="3">
        <v>45703</v>
      </c>
      <c r="B892" t="s">
        <v>113</v>
      </c>
      <c r="C892" s="3">
        <v>45703.01017361111</v>
      </c>
      <c r="D892" t="s">
        <v>271</v>
      </c>
      <c r="E892" s="4">
        <v>4.6740000000000004</v>
      </c>
      <c r="F892" s="4">
        <v>550615.04299999995</v>
      </c>
      <c r="G892" s="4">
        <v>550619.71699999995</v>
      </c>
      <c r="H892" s="5">
        <f>160 / 86400</f>
        <v>1.8518518518518519E-3</v>
      </c>
      <c r="I892" t="s">
        <v>218</v>
      </c>
      <c r="J892" t="s">
        <v>26</v>
      </c>
      <c r="K892" s="5">
        <f>879 / 86400</f>
        <v>1.0173611111111111E-2</v>
      </c>
      <c r="L892" s="5">
        <f>5 / 86400</f>
        <v>5.7870370370370373E-5</v>
      </c>
    </row>
    <row r="893" spans="1:12" x14ac:dyDescent="0.25">
      <c r="A893" s="3">
        <v>45703.010231481487</v>
      </c>
      <c r="B893" t="s">
        <v>271</v>
      </c>
      <c r="C893" s="3">
        <v>45703.010601851856</v>
      </c>
      <c r="D893" t="s">
        <v>271</v>
      </c>
      <c r="E893" s="4">
        <v>1.4999999999999999E-2</v>
      </c>
      <c r="F893" s="4">
        <v>550619.71699999995</v>
      </c>
      <c r="G893" s="4">
        <v>550619.73199999996</v>
      </c>
      <c r="H893" s="5">
        <f>20 / 86400</f>
        <v>2.3148148148148149E-4</v>
      </c>
      <c r="I893" t="s">
        <v>135</v>
      </c>
      <c r="J893" t="s">
        <v>135</v>
      </c>
      <c r="K893" s="5">
        <f>32 / 86400</f>
        <v>3.7037037037037035E-4</v>
      </c>
      <c r="L893" s="5">
        <f>2429 / 86400</f>
        <v>2.8113425925925927E-2</v>
      </c>
    </row>
    <row r="894" spans="1:12" x14ac:dyDescent="0.25">
      <c r="A894" s="3">
        <v>45703.038715277777</v>
      </c>
      <c r="B894" t="s">
        <v>271</v>
      </c>
      <c r="C894" s="3">
        <v>45703.101643518516</v>
      </c>
      <c r="D894" t="s">
        <v>86</v>
      </c>
      <c r="E894" s="4">
        <v>29.466999999999999</v>
      </c>
      <c r="F894" s="4">
        <v>550619.73199999996</v>
      </c>
      <c r="G894" s="4">
        <v>550649.19900000002</v>
      </c>
      <c r="H894" s="5">
        <f>1359 / 86400</f>
        <v>1.5729166666666666E-2</v>
      </c>
      <c r="I894" t="s">
        <v>253</v>
      </c>
      <c r="J894" t="s">
        <v>23</v>
      </c>
      <c r="K894" s="5">
        <f>5437 / 86400</f>
        <v>6.2928240740740743E-2</v>
      </c>
      <c r="L894" s="5">
        <f>724 / 86400</f>
        <v>8.3796296296296292E-3</v>
      </c>
    </row>
    <row r="895" spans="1:12" x14ac:dyDescent="0.25">
      <c r="A895" s="3">
        <v>45703.110023148147</v>
      </c>
      <c r="B895" t="s">
        <v>86</v>
      </c>
      <c r="C895" s="3">
        <v>45703.12431712963</v>
      </c>
      <c r="D895" t="s">
        <v>87</v>
      </c>
      <c r="E895" s="4">
        <v>1.3120000000000001</v>
      </c>
      <c r="F895" s="4">
        <v>550649.19900000002</v>
      </c>
      <c r="G895" s="4">
        <v>550650.51100000006</v>
      </c>
      <c r="H895" s="5">
        <f>980 / 86400</f>
        <v>1.1342592592592593E-2</v>
      </c>
      <c r="I895" t="s">
        <v>218</v>
      </c>
      <c r="J895" t="s">
        <v>154</v>
      </c>
      <c r="K895" s="5">
        <f>1234 / 86400</f>
        <v>1.4282407407407407E-2</v>
      </c>
      <c r="L895" s="5">
        <f>14252 / 86400</f>
        <v>0.16495370370370371</v>
      </c>
    </row>
    <row r="896" spans="1:12" x14ac:dyDescent="0.25">
      <c r="A896" s="3">
        <v>45703.289270833338</v>
      </c>
      <c r="B896" t="s">
        <v>87</v>
      </c>
      <c r="C896" s="3">
        <v>45703.44122685185</v>
      </c>
      <c r="D896" t="s">
        <v>256</v>
      </c>
      <c r="E896" s="4">
        <v>71.201999999999998</v>
      </c>
      <c r="F896" s="4">
        <v>550650.51100000006</v>
      </c>
      <c r="G896" s="4">
        <v>550721.71299999999</v>
      </c>
      <c r="H896" s="5">
        <f>4158 / 86400</f>
        <v>4.8125000000000001E-2</v>
      </c>
      <c r="I896" t="s">
        <v>61</v>
      </c>
      <c r="J896" t="s">
        <v>23</v>
      </c>
      <c r="K896" s="5">
        <f>13128 / 86400</f>
        <v>0.15194444444444444</v>
      </c>
      <c r="L896" s="5">
        <f>5660 / 86400</f>
        <v>6.5509259259259253E-2</v>
      </c>
    </row>
    <row r="897" spans="1:12" x14ac:dyDescent="0.25">
      <c r="A897" s="3">
        <v>45703.506736111114</v>
      </c>
      <c r="B897" t="s">
        <v>256</v>
      </c>
      <c r="C897" s="3">
        <v>45703.924849537041</v>
      </c>
      <c r="D897" t="s">
        <v>86</v>
      </c>
      <c r="E897" s="4">
        <v>157.56899999999999</v>
      </c>
      <c r="F897" s="4">
        <v>550721.71299999999</v>
      </c>
      <c r="G897" s="4">
        <v>550879.28200000001</v>
      </c>
      <c r="H897" s="5">
        <f>13098 / 86400</f>
        <v>0.15159722222222222</v>
      </c>
      <c r="I897" t="s">
        <v>25</v>
      </c>
      <c r="J897" t="s">
        <v>36</v>
      </c>
      <c r="K897" s="5">
        <f>36124 / 86400</f>
        <v>0.41810185185185184</v>
      </c>
      <c r="L897" s="5">
        <f>3781 / 86400</f>
        <v>4.3761574074074071E-2</v>
      </c>
    </row>
    <row r="898" spans="1:12" x14ac:dyDescent="0.25">
      <c r="A898" s="3">
        <v>45703.968611111108</v>
      </c>
      <c r="B898" t="s">
        <v>86</v>
      </c>
      <c r="C898" s="3">
        <v>45703.981712962966</v>
      </c>
      <c r="D898" t="s">
        <v>87</v>
      </c>
      <c r="E898" s="4">
        <v>1.4259999999999999</v>
      </c>
      <c r="F898" s="4">
        <v>550879.28200000001</v>
      </c>
      <c r="G898" s="4">
        <v>550880.70799999998</v>
      </c>
      <c r="H898" s="5">
        <f>420 / 86400</f>
        <v>4.8611111111111112E-3</v>
      </c>
      <c r="I898" t="s">
        <v>88</v>
      </c>
      <c r="J898" t="s">
        <v>134</v>
      </c>
      <c r="K898" s="5">
        <f>1132 / 86400</f>
        <v>1.3101851851851852E-2</v>
      </c>
      <c r="L898" s="5">
        <f>1579 / 86400</f>
        <v>1.8275462962962962E-2</v>
      </c>
    </row>
    <row r="899" spans="1:1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s="10" customFormat="1" ht="20.100000000000001" customHeight="1" x14ac:dyDescent="0.35">
      <c r="A901" s="15" t="s">
        <v>340</v>
      </c>
      <c r="B901" s="15"/>
      <c r="C901" s="15"/>
      <c r="D901" s="15"/>
      <c r="E901" s="15"/>
      <c r="F901" s="15"/>
      <c r="G901" s="15"/>
      <c r="H901" s="15"/>
      <c r="I901" s="15"/>
      <c r="J901" s="15"/>
    </row>
    <row r="902" spans="1:1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</row>
    <row r="903" spans="1:12" ht="30" x14ac:dyDescent="0.25">
      <c r="A903" s="2" t="s">
        <v>6</v>
      </c>
      <c r="B903" s="2" t="s">
        <v>7</v>
      </c>
      <c r="C903" s="2" t="s">
        <v>8</v>
      </c>
      <c r="D903" s="2" t="s">
        <v>9</v>
      </c>
      <c r="E903" s="2" t="s">
        <v>10</v>
      </c>
      <c r="F903" s="2" t="s">
        <v>11</v>
      </c>
      <c r="G903" s="2" t="s">
        <v>12</v>
      </c>
      <c r="H903" s="2" t="s">
        <v>13</v>
      </c>
      <c r="I903" s="2" t="s">
        <v>14</v>
      </c>
      <c r="J903" s="2" t="s">
        <v>15</v>
      </c>
      <c r="K903" s="2" t="s">
        <v>16</v>
      </c>
      <c r="L903" s="2" t="s">
        <v>17</v>
      </c>
    </row>
    <row r="904" spans="1:12" x14ac:dyDescent="0.25">
      <c r="A904" s="3">
        <v>45703.357592592598</v>
      </c>
      <c r="B904" t="s">
        <v>27</v>
      </c>
      <c r="C904" s="3">
        <v>45703.35774305556</v>
      </c>
      <c r="D904" t="s">
        <v>27</v>
      </c>
      <c r="E904" s="4">
        <v>0</v>
      </c>
      <c r="F904" s="4">
        <v>53962.53</v>
      </c>
      <c r="G904" s="4">
        <v>53962.53</v>
      </c>
      <c r="H904" s="5">
        <f>0 / 86400</f>
        <v>0</v>
      </c>
      <c r="I904" t="s">
        <v>44</v>
      </c>
      <c r="J904" t="s">
        <v>44</v>
      </c>
      <c r="K904" s="5">
        <f>13 / 86400</f>
        <v>1.5046296296296297E-4</v>
      </c>
      <c r="L904" s="5">
        <f>30898 / 86400</f>
        <v>0.35761574074074076</v>
      </c>
    </row>
    <row r="905" spans="1:12" x14ac:dyDescent="0.25">
      <c r="A905" s="3">
        <v>45703.357766203699</v>
      </c>
      <c r="B905" t="s">
        <v>27</v>
      </c>
      <c r="C905" s="3">
        <v>45703.363993055551</v>
      </c>
      <c r="D905" t="s">
        <v>110</v>
      </c>
      <c r="E905" s="4">
        <v>6.3949999999999996</v>
      </c>
      <c r="F905" s="4">
        <v>53962.53</v>
      </c>
      <c r="G905" s="4">
        <v>53968.925000000003</v>
      </c>
      <c r="H905" s="5">
        <f>164 / 86400</f>
        <v>1.8981481481481482E-3</v>
      </c>
      <c r="I905" t="s">
        <v>152</v>
      </c>
      <c r="J905" t="s">
        <v>59</v>
      </c>
      <c r="K905" s="5">
        <f>538 / 86400</f>
        <v>6.2268518518518515E-3</v>
      </c>
      <c r="L905" s="5">
        <f>284 / 86400</f>
        <v>3.2870370370370371E-3</v>
      </c>
    </row>
    <row r="906" spans="1:12" x14ac:dyDescent="0.25">
      <c r="A906" s="3">
        <v>45703.367280092592</v>
      </c>
      <c r="B906" t="s">
        <v>187</v>
      </c>
      <c r="C906" s="3">
        <v>45703.367303240739</v>
      </c>
      <c r="D906" t="s">
        <v>187</v>
      </c>
      <c r="E906" s="4">
        <v>0</v>
      </c>
      <c r="F906" s="4">
        <v>53968.925000000003</v>
      </c>
      <c r="G906" s="4">
        <v>53968.925000000003</v>
      </c>
      <c r="H906" s="5">
        <f>0 / 86400</f>
        <v>0</v>
      </c>
      <c r="I906" t="s">
        <v>44</v>
      </c>
      <c r="J906" t="s">
        <v>44</v>
      </c>
      <c r="K906" s="5">
        <f>2 / 86400</f>
        <v>2.3148148148148147E-5</v>
      </c>
      <c r="L906" s="5">
        <f>1 / 86400</f>
        <v>1.1574074074074073E-5</v>
      </c>
    </row>
    <row r="907" spans="1:12" x14ac:dyDescent="0.25">
      <c r="A907" s="3">
        <v>45703.367314814815</v>
      </c>
      <c r="B907" t="s">
        <v>187</v>
      </c>
      <c r="C907" s="3">
        <v>45703.367384259254</v>
      </c>
      <c r="D907" t="s">
        <v>187</v>
      </c>
      <c r="E907" s="4">
        <v>5.0000000000000001E-3</v>
      </c>
      <c r="F907" s="4">
        <v>53968.925000000003</v>
      </c>
      <c r="G907" s="4">
        <v>53968.93</v>
      </c>
      <c r="H907" s="5">
        <f>0 / 86400</f>
        <v>0</v>
      </c>
      <c r="I907" t="s">
        <v>44</v>
      </c>
      <c r="J907" t="s">
        <v>139</v>
      </c>
      <c r="K907" s="5">
        <f>6 / 86400</f>
        <v>6.9444444444444444E-5</v>
      </c>
      <c r="L907" s="5">
        <f>3113 / 86400</f>
        <v>3.6030092592592593E-2</v>
      </c>
    </row>
    <row r="908" spans="1:12" x14ac:dyDescent="0.25">
      <c r="A908" s="3">
        <v>45703.403414351851</v>
      </c>
      <c r="B908" t="s">
        <v>110</v>
      </c>
      <c r="C908" s="3">
        <v>45703.451782407406</v>
      </c>
      <c r="D908" t="s">
        <v>144</v>
      </c>
      <c r="E908" s="4">
        <v>117.015</v>
      </c>
      <c r="F908" s="4">
        <v>53968.93</v>
      </c>
      <c r="G908" s="4">
        <v>54085.945</v>
      </c>
      <c r="H908" s="5">
        <f>1080 / 86400</f>
        <v>1.2500000000000001E-2</v>
      </c>
      <c r="I908" t="s">
        <v>242</v>
      </c>
      <c r="J908" t="s">
        <v>272</v>
      </c>
      <c r="K908" s="5">
        <f>4179 / 86400</f>
        <v>4.8368055555555553E-2</v>
      </c>
      <c r="L908" s="5">
        <f>257 / 86400</f>
        <v>2.9745370370370373E-3</v>
      </c>
    </row>
    <row r="909" spans="1:12" x14ac:dyDescent="0.25">
      <c r="A909" s="3">
        <v>45703.45475694444</v>
      </c>
      <c r="B909" t="s">
        <v>144</v>
      </c>
      <c r="C909" s="3">
        <v>45703.456805555557</v>
      </c>
      <c r="D909" t="s">
        <v>84</v>
      </c>
      <c r="E909" s="4">
        <v>0.36</v>
      </c>
      <c r="F909" s="4">
        <v>54085.945</v>
      </c>
      <c r="G909" s="4">
        <v>54086.305</v>
      </c>
      <c r="H909" s="5">
        <f>120 / 86400</f>
        <v>1.3888888888888889E-3</v>
      </c>
      <c r="I909" t="s">
        <v>60</v>
      </c>
      <c r="J909" t="s">
        <v>60</v>
      </c>
      <c r="K909" s="5">
        <f>177 / 86400</f>
        <v>2.0486111111111113E-3</v>
      </c>
      <c r="L909" s="5">
        <f>2645 / 86400</f>
        <v>3.0613425925925926E-2</v>
      </c>
    </row>
    <row r="910" spans="1:12" x14ac:dyDescent="0.25">
      <c r="A910" s="3">
        <v>45703.48741898148</v>
      </c>
      <c r="B910" t="s">
        <v>84</v>
      </c>
      <c r="C910" s="3">
        <v>45703.488495370373</v>
      </c>
      <c r="D910" t="s">
        <v>84</v>
      </c>
      <c r="E910" s="4">
        <v>0.12</v>
      </c>
      <c r="F910" s="4">
        <v>54086.305</v>
      </c>
      <c r="G910" s="4">
        <v>54086.425000000003</v>
      </c>
      <c r="H910" s="5">
        <f>39 / 86400</f>
        <v>4.5138888888888887E-4</v>
      </c>
      <c r="I910" t="s">
        <v>60</v>
      </c>
      <c r="J910" t="s">
        <v>134</v>
      </c>
      <c r="K910" s="5">
        <f>93 / 86400</f>
        <v>1.0763888888888889E-3</v>
      </c>
      <c r="L910" s="5">
        <f>737 / 86400</f>
        <v>8.5300925925925926E-3</v>
      </c>
    </row>
    <row r="911" spans="1:12" x14ac:dyDescent="0.25">
      <c r="A911" s="3">
        <v>45703.497025462959</v>
      </c>
      <c r="B911" t="s">
        <v>84</v>
      </c>
      <c r="C911" s="3">
        <v>45703.499606481477</v>
      </c>
      <c r="D911" t="s">
        <v>84</v>
      </c>
      <c r="E911" s="4">
        <v>0.19500000000000001</v>
      </c>
      <c r="F911" s="4">
        <v>54086.425000000003</v>
      </c>
      <c r="G911" s="4">
        <v>54086.62</v>
      </c>
      <c r="H911" s="5">
        <f>160 / 86400</f>
        <v>1.8518518518518519E-3</v>
      </c>
      <c r="I911" t="s">
        <v>134</v>
      </c>
      <c r="J911" t="s">
        <v>139</v>
      </c>
      <c r="K911" s="5">
        <f>222 / 86400</f>
        <v>2.5694444444444445E-3</v>
      </c>
      <c r="L911" s="5">
        <f>712 / 86400</f>
        <v>8.2407407407407412E-3</v>
      </c>
    </row>
    <row r="912" spans="1:12" x14ac:dyDescent="0.25">
      <c r="A912" s="3">
        <v>45703.507847222223</v>
      </c>
      <c r="B912" t="s">
        <v>84</v>
      </c>
      <c r="C912" s="3">
        <v>45703.509421296301</v>
      </c>
      <c r="D912" t="s">
        <v>84</v>
      </c>
      <c r="E912" s="4">
        <v>0.13</v>
      </c>
      <c r="F912" s="4">
        <v>54086.62</v>
      </c>
      <c r="G912" s="4">
        <v>54086.75</v>
      </c>
      <c r="H912" s="5">
        <f>80 / 86400</f>
        <v>9.2592592592592596E-4</v>
      </c>
      <c r="I912" t="s">
        <v>139</v>
      </c>
      <c r="J912" t="s">
        <v>139</v>
      </c>
      <c r="K912" s="5">
        <f>136 / 86400</f>
        <v>1.5740740740740741E-3</v>
      </c>
      <c r="L912" s="5">
        <f>1015 / 86400</f>
        <v>1.1747685185185186E-2</v>
      </c>
    </row>
    <row r="913" spans="1:12" x14ac:dyDescent="0.25">
      <c r="A913" s="3">
        <v>45703.521168981482</v>
      </c>
      <c r="B913" t="s">
        <v>84</v>
      </c>
      <c r="C913" s="3">
        <v>45703.524131944447</v>
      </c>
      <c r="D913" t="s">
        <v>84</v>
      </c>
      <c r="E913" s="4">
        <v>0.05</v>
      </c>
      <c r="F913" s="4">
        <v>54086.75</v>
      </c>
      <c r="G913" s="4">
        <v>54086.8</v>
      </c>
      <c r="H913" s="5">
        <f>239 / 86400</f>
        <v>2.7662037037037039E-3</v>
      </c>
      <c r="I913" t="s">
        <v>44</v>
      </c>
      <c r="J913" t="s">
        <v>43</v>
      </c>
      <c r="K913" s="5">
        <f>255 / 86400</f>
        <v>2.9513888888888888E-3</v>
      </c>
      <c r="L913" s="5">
        <f>250 / 86400</f>
        <v>2.8935185185185184E-3</v>
      </c>
    </row>
    <row r="914" spans="1:12" x14ac:dyDescent="0.25">
      <c r="A914" s="3">
        <v>45703.527025462958</v>
      </c>
      <c r="B914" t="s">
        <v>84</v>
      </c>
      <c r="C914" s="3">
        <v>45703.528067129635</v>
      </c>
      <c r="D914" t="s">
        <v>84</v>
      </c>
      <c r="E914" s="4">
        <v>0.13500000000000001</v>
      </c>
      <c r="F914" s="4">
        <v>54086.8</v>
      </c>
      <c r="G914" s="4">
        <v>54086.934999999998</v>
      </c>
      <c r="H914" s="5">
        <f>59 / 86400</f>
        <v>6.8287037037037036E-4</v>
      </c>
      <c r="I914" t="s">
        <v>57</v>
      </c>
      <c r="J914" t="s">
        <v>134</v>
      </c>
      <c r="K914" s="5">
        <f>89 / 86400</f>
        <v>1.0300925925925926E-3</v>
      </c>
      <c r="L914" s="5">
        <f>666 / 86400</f>
        <v>7.7083333333333335E-3</v>
      </c>
    </row>
    <row r="915" spans="1:12" x14ac:dyDescent="0.25">
      <c r="A915" s="3">
        <v>45703.535775462966</v>
      </c>
      <c r="B915" t="s">
        <v>84</v>
      </c>
      <c r="C915" s="3">
        <v>45703.535798611112</v>
      </c>
      <c r="D915" t="s">
        <v>84</v>
      </c>
      <c r="E915" s="4">
        <v>0</v>
      </c>
      <c r="F915" s="4">
        <v>54086.934999999998</v>
      </c>
      <c r="G915" s="4">
        <v>54086.934999999998</v>
      </c>
      <c r="H915" s="5">
        <f>0 / 86400</f>
        <v>0</v>
      </c>
      <c r="I915" t="s">
        <v>44</v>
      </c>
      <c r="J915" t="s">
        <v>44</v>
      </c>
      <c r="K915" s="5">
        <f>1 / 86400</f>
        <v>1.1574074074074073E-5</v>
      </c>
      <c r="L915" s="5">
        <f>1 / 86400</f>
        <v>1.1574074074074073E-5</v>
      </c>
    </row>
    <row r="916" spans="1:12" x14ac:dyDescent="0.25">
      <c r="A916" s="3">
        <v>45703.535810185189</v>
      </c>
      <c r="B916" t="s">
        <v>84</v>
      </c>
      <c r="C916" s="3">
        <v>45703.53597222222</v>
      </c>
      <c r="D916" t="s">
        <v>84</v>
      </c>
      <c r="E916" s="4">
        <v>0</v>
      </c>
      <c r="F916" s="4">
        <v>54086.934999999998</v>
      </c>
      <c r="G916" s="4">
        <v>54086.934999999998</v>
      </c>
      <c r="H916" s="5">
        <f>0 / 86400</f>
        <v>0</v>
      </c>
      <c r="I916" t="s">
        <v>44</v>
      </c>
      <c r="J916" t="s">
        <v>44</v>
      </c>
      <c r="K916" s="5">
        <f>14 / 86400</f>
        <v>1.6203703703703703E-4</v>
      </c>
      <c r="L916" s="5">
        <f>178 / 86400</f>
        <v>2.0601851851851853E-3</v>
      </c>
    </row>
    <row r="917" spans="1:12" x14ac:dyDescent="0.25">
      <c r="A917" s="3">
        <v>45703.538032407407</v>
      </c>
      <c r="B917" t="s">
        <v>84</v>
      </c>
      <c r="C917" s="3">
        <v>45703.538321759261</v>
      </c>
      <c r="D917" t="s">
        <v>84</v>
      </c>
      <c r="E917" s="4">
        <v>0</v>
      </c>
      <c r="F917" s="4">
        <v>54086.934999999998</v>
      </c>
      <c r="G917" s="4">
        <v>54086.934999999998</v>
      </c>
      <c r="H917" s="5">
        <f>19 / 86400</f>
        <v>2.199074074074074E-4</v>
      </c>
      <c r="I917" t="s">
        <v>44</v>
      </c>
      <c r="J917" t="s">
        <v>44</v>
      </c>
      <c r="K917" s="5">
        <f>24 / 86400</f>
        <v>2.7777777777777778E-4</v>
      </c>
      <c r="L917" s="5">
        <f>176 / 86400</f>
        <v>2.0370370370370369E-3</v>
      </c>
    </row>
    <row r="918" spans="1:12" x14ac:dyDescent="0.25">
      <c r="A918" s="3">
        <v>45703.540358796294</v>
      </c>
      <c r="B918" t="s">
        <v>84</v>
      </c>
      <c r="C918" s="3">
        <v>45703.544004629628</v>
      </c>
      <c r="D918" t="s">
        <v>126</v>
      </c>
      <c r="E918" s="4">
        <v>6.5250000000000004</v>
      </c>
      <c r="F918" s="4">
        <v>54086.934999999998</v>
      </c>
      <c r="G918" s="4">
        <v>54093.46</v>
      </c>
      <c r="H918" s="5">
        <f>79 / 86400</f>
        <v>9.1435185185185185E-4</v>
      </c>
      <c r="I918" t="s">
        <v>197</v>
      </c>
      <c r="J918" t="s">
        <v>114</v>
      </c>
      <c r="K918" s="5">
        <f>314 / 86400</f>
        <v>3.6342592592592594E-3</v>
      </c>
      <c r="L918" s="5">
        <f>392 / 86400</f>
        <v>4.5370370370370373E-3</v>
      </c>
    </row>
    <row r="919" spans="1:12" x14ac:dyDescent="0.25">
      <c r="A919" s="3">
        <v>45703.548541666663</v>
      </c>
      <c r="B919" t="s">
        <v>126</v>
      </c>
      <c r="C919" s="3">
        <v>45703.552361111113</v>
      </c>
      <c r="D919" t="s">
        <v>46</v>
      </c>
      <c r="E919" s="4">
        <v>6.22</v>
      </c>
      <c r="F919" s="4">
        <v>54093.46</v>
      </c>
      <c r="G919" s="4">
        <v>54099.68</v>
      </c>
      <c r="H919" s="5">
        <f>0 / 86400</f>
        <v>0</v>
      </c>
      <c r="I919" t="s">
        <v>152</v>
      </c>
      <c r="J919" t="s">
        <v>158</v>
      </c>
      <c r="K919" s="5">
        <f>329 / 86400</f>
        <v>3.8078703703703703E-3</v>
      </c>
      <c r="L919" s="5">
        <f>3153 / 86400</f>
        <v>3.6493055555555556E-2</v>
      </c>
    </row>
    <row r="920" spans="1:12" x14ac:dyDescent="0.25">
      <c r="A920" s="3">
        <v>45703.588854166665</v>
      </c>
      <c r="B920" t="s">
        <v>46</v>
      </c>
      <c r="C920" s="3">
        <v>45703.714050925926</v>
      </c>
      <c r="D920" t="s">
        <v>199</v>
      </c>
      <c r="E920" s="4">
        <v>252.8</v>
      </c>
      <c r="F920" s="4">
        <v>54099.68</v>
      </c>
      <c r="G920" s="4">
        <v>54352.480000000003</v>
      </c>
      <c r="H920" s="5">
        <f>3838 / 86400</f>
        <v>4.4421296296296299E-2</v>
      </c>
      <c r="I920" t="s">
        <v>114</v>
      </c>
      <c r="J920" t="s">
        <v>107</v>
      </c>
      <c r="K920" s="5">
        <f>10817 / 86400</f>
        <v>0.12519675925925927</v>
      </c>
      <c r="L920" s="5">
        <f>107 / 86400</f>
        <v>1.238425925925926E-3</v>
      </c>
    </row>
    <row r="921" spans="1:12" x14ac:dyDescent="0.25">
      <c r="A921" s="3">
        <v>45703.715289351851</v>
      </c>
      <c r="B921" t="s">
        <v>199</v>
      </c>
      <c r="C921" s="3">
        <v>45703.838159722218</v>
      </c>
      <c r="D921" t="s">
        <v>119</v>
      </c>
      <c r="E921" s="4">
        <v>232.87</v>
      </c>
      <c r="F921" s="4">
        <v>54352.480000000003</v>
      </c>
      <c r="G921" s="4">
        <v>54585.35</v>
      </c>
      <c r="H921" s="5">
        <f>3341 / 86400</f>
        <v>3.8668981481481485E-2</v>
      </c>
      <c r="I921" t="s">
        <v>229</v>
      </c>
      <c r="J921" t="s">
        <v>61</v>
      </c>
      <c r="K921" s="5">
        <f>10615 / 86400</f>
        <v>0.1228587962962963</v>
      </c>
      <c r="L921" s="5">
        <f>428 / 86400</f>
        <v>4.9537037037037041E-3</v>
      </c>
    </row>
    <row r="922" spans="1:12" x14ac:dyDescent="0.25">
      <c r="A922" s="3">
        <v>45703.84311342593</v>
      </c>
      <c r="B922" t="s">
        <v>273</v>
      </c>
      <c r="C922" s="3">
        <v>45703.843148148153</v>
      </c>
      <c r="D922" t="s">
        <v>273</v>
      </c>
      <c r="E922" s="4">
        <v>0</v>
      </c>
      <c r="F922" s="4">
        <v>54585.35</v>
      </c>
      <c r="G922" s="4">
        <v>54585.35</v>
      </c>
      <c r="H922" s="5">
        <f>0 / 86400</f>
        <v>0</v>
      </c>
      <c r="I922" t="s">
        <v>44</v>
      </c>
      <c r="J922" t="s">
        <v>44</v>
      </c>
      <c r="K922" s="5">
        <f>2 / 86400</f>
        <v>2.3148148148148147E-5</v>
      </c>
      <c r="L922" s="5">
        <f>22 / 86400</f>
        <v>2.5462962962962961E-4</v>
      </c>
    </row>
    <row r="923" spans="1:12" x14ac:dyDescent="0.25">
      <c r="A923" s="3">
        <v>45703.843402777777</v>
      </c>
      <c r="B923" t="s">
        <v>273</v>
      </c>
      <c r="C923" s="3">
        <v>45703.8434375</v>
      </c>
      <c r="D923" t="s">
        <v>273</v>
      </c>
      <c r="E923" s="4">
        <v>0</v>
      </c>
      <c r="F923" s="4">
        <v>54585.35</v>
      </c>
      <c r="G923" s="4">
        <v>54585.35</v>
      </c>
      <c r="H923" s="5">
        <f>0 / 86400</f>
        <v>0</v>
      </c>
      <c r="I923" t="s">
        <v>44</v>
      </c>
      <c r="J923" t="s">
        <v>44</v>
      </c>
      <c r="K923" s="5">
        <f>2 / 86400</f>
        <v>2.3148148148148147E-5</v>
      </c>
      <c r="L923" s="5">
        <f>3 / 86400</f>
        <v>3.4722222222222222E-5</v>
      </c>
    </row>
    <row r="924" spans="1:12" x14ac:dyDescent="0.25">
      <c r="A924" s="3">
        <v>45703.843472222223</v>
      </c>
      <c r="B924" t="s">
        <v>273</v>
      </c>
      <c r="C924" s="3">
        <v>45703.843506944446</v>
      </c>
      <c r="D924" t="s">
        <v>273</v>
      </c>
      <c r="E924" s="4">
        <v>0</v>
      </c>
      <c r="F924" s="4">
        <v>54585.35</v>
      </c>
      <c r="G924" s="4">
        <v>54585.35</v>
      </c>
      <c r="H924" s="5">
        <f>0 / 86400</f>
        <v>0</v>
      </c>
      <c r="I924" t="s">
        <v>44</v>
      </c>
      <c r="J924" t="s">
        <v>44</v>
      </c>
      <c r="K924" s="5">
        <f>3 / 86400</f>
        <v>3.4722222222222222E-5</v>
      </c>
      <c r="L924" s="5">
        <f>53 / 86400</f>
        <v>6.134259259259259E-4</v>
      </c>
    </row>
    <row r="925" spans="1:12" x14ac:dyDescent="0.25">
      <c r="A925" s="3">
        <v>45703.84412037037</v>
      </c>
      <c r="B925" t="s">
        <v>274</v>
      </c>
      <c r="C925" s="3">
        <v>45703.844224537039</v>
      </c>
      <c r="D925" t="s">
        <v>274</v>
      </c>
      <c r="E925" s="4">
        <v>0</v>
      </c>
      <c r="F925" s="4">
        <v>54585.35</v>
      </c>
      <c r="G925" s="4">
        <v>54585.35</v>
      </c>
      <c r="H925" s="5">
        <f>0 / 86400</f>
        <v>0</v>
      </c>
      <c r="I925" t="s">
        <v>44</v>
      </c>
      <c r="J925" t="s">
        <v>44</v>
      </c>
      <c r="K925" s="5">
        <f>8 / 86400</f>
        <v>9.2592592592592588E-5</v>
      </c>
      <c r="L925" s="5">
        <f>2 / 86400</f>
        <v>2.3148148148148147E-5</v>
      </c>
    </row>
    <row r="926" spans="1:12" x14ac:dyDescent="0.25">
      <c r="A926" s="3">
        <v>45703.844247685185</v>
      </c>
      <c r="B926" t="s">
        <v>274</v>
      </c>
      <c r="C926" s="3">
        <v>45703.844293981485</v>
      </c>
      <c r="D926" t="s">
        <v>274</v>
      </c>
      <c r="E926" s="4">
        <v>0</v>
      </c>
      <c r="F926" s="4">
        <v>54585.35</v>
      </c>
      <c r="G926" s="4">
        <v>54585.35</v>
      </c>
      <c r="H926" s="5">
        <f>0 / 86400</f>
        <v>0</v>
      </c>
      <c r="I926" t="s">
        <v>44</v>
      </c>
      <c r="J926" t="s">
        <v>44</v>
      </c>
      <c r="K926" s="5">
        <f>4 / 86400</f>
        <v>4.6296296296296294E-5</v>
      </c>
      <c r="L926" s="5">
        <f>41 / 86400</f>
        <v>4.7453703703703704E-4</v>
      </c>
    </row>
    <row r="927" spans="1:12" x14ac:dyDescent="0.25">
      <c r="A927" s="3">
        <v>45703.844768518524</v>
      </c>
      <c r="B927" t="s">
        <v>273</v>
      </c>
      <c r="C927" s="3">
        <v>45703.99998842593</v>
      </c>
      <c r="D927" t="s">
        <v>110</v>
      </c>
      <c r="E927" s="4">
        <v>363.77499999999998</v>
      </c>
      <c r="F927" s="4">
        <v>54585.35</v>
      </c>
      <c r="G927" s="4">
        <v>54949.125</v>
      </c>
      <c r="H927" s="5">
        <f>3661 / 86400</f>
        <v>4.2372685185185187E-2</v>
      </c>
      <c r="I927" t="s">
        <v>215</v>
      </c>
      <c r="J927" t="s">
        <v>82</v>
      </c>
      <c r="K927" s="5">
        <f>13411 / 86400</f>
        <v>0.1552199074074074</v>
      </c>
      <c r="L927" s="5">
        <f>0 / 86400</f>
        <v>0</v>
      </c>
    </row>
    <row r="928" spans="1:1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</row>
    <row r="929" spans="1:1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</row>
    <row r="930" spans="1:12" s="10" customFormat="1" ht="20.100000000000001" customHeight="1" x14ac:dyDescent="0.35">
      <c r="A930" s="15" t="s">
        <v>341</v>
      </c>
      <c r="B930" s="15"/>
      <c r="C930" s="15"/>
      <c r="D930" s="15"/>
      <c r="E930" s="15"/>
      <c r="F930" s="15"/>
      <c r="G930" s="15"/>
      <c r="H930" s="15"/>
      <c r="I930" s="15"/>
      <c r="J930" s="15"/>
    </row>
    <row r="931" spans="1:1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</row>
    <row r="932" spans="1:12" ht="30" x14ac:dyDescent="0.25">
      <c r="A932" s="2" t="s">
        <v>6</v>
      </c>
      <c r="B932" s="2" t="s">
        <v>7</v>
      </c>
      <c r="C932" s="2" t="s">
        <v>8</v>
      </c>
      <c r="D932" s="2" t="s">
        <v>9</v>
      </c>
      <c r="E932" s="2" t="s">
        <v>10</v>
      </c>
      <c r="F932" s="2" t="s">
        <v>11</v>
      </c>
      <c r="G932" s="2" t="s">
        <v>12</v>
      </c>
      <c r="H932" s="2" t="s">
        <v>13</v>
      </c>
      <c r="I932" s="2" t="s">
        <v>14</v>
      </c>
      <c r="J932" s="2" t="s">
        <v>15</v>
      </c>
      <c r="K932" s="2" t="s">
        <v>16</v>
      </c>
      <c r="L932" s="2" t="s">
        <v>17</v>
      </c>
    </row>
    <row r="933" spans="1:12" x14ac:dyDescent="0.25">
      <c r="A933" s="3">
        <v>45703</v>
      </c>
      <c r="B933" t="s">
        <v>115</v>
      </c>
      <c r="C933" s="3">
        <v>45703.089155092588</v>
      </c>
      <c r="D933" t="s">
        <v>265</v>
      </c>
      <c r="E933" s="4">
        <v>48.337000000000003</v>
      </c>
      <c r="F933" s="4">
        <v>59794.928</v>
      </c>
      <c r="G933" s="4">
        <v>59843.264999999999</v>
      </c>
      <c r="H933" s="5">
        <f>1441 / 86400</f>
        <v>1.667824074074074E-2</v>
      </c>
      <c r="I933" t="s">
        <v>184</v>
      </c>
      <c r="J933" t="s">
        <v>80</v>
      </c>
      <c r="K933" s="5">
        <f>7703 / 86400</f>
        <v>8.9155092592592591E-2</v>
      </c>
      <c r="L933" s="5">
        <f>483 / 86400</f>
        <v>5.5902777777777773E-3</v>
      </c>
    </row>
    <row r="934" spans="1:12" x14ac:dyDescent="0.25">
      <c r="A934" s="3">
        <v>45703.09474537037</v>
      </c>
      <c r="B934" t="s">
        <v>265</v>
      </c>
      <c r="C934" s="3">
        <v>45703.096400462964</v>
      </c>
      <c r="D934" t="s">
        <v>275</v>
      </c>
      <c r="E934" s="4">
        <v>0.28000000000000003</v>
      </c>
      <c r="F934" s="4">
        <v>59843.264999999999</v>
      </c>
      <c r="G934" s="4">
        <v>59843.544999999998</v>
      </c>
      <c r="H934" s="5">
        <f>40 / 86400</f>
        <v>4.6296296296296298E-4</v>
      </c>
      <c r="I934" t="s">
        <v>26</v>
      </c>
      <c r="J934" t="s">
        <v>60</v>
      </c>
      <c r="K934" s="5">
        <f>142 / 86400</f>
        <v>1.6435185185185185E-3</v>
      </c>
      <c r="L934" s="5">
        <f>85 / 86400</f>
        <v>9.837962962962962E-4</v>
      </c>
    </row>
    <row r="935" spans="1:12" x14ac:dyDescent="0.25">
      <c r="A935" s="3">
        <v>45703.097384259258</v>
      </c>
      <c r="B935" t="s">
        <v>275</v>
      </c>
      <c r="C935" s="3">
        <v>45703.098402777774</v>
      </c>
      <c r="D935" t="s">
        <v>275</v>
      </c>
      <c r="E935" s="4">
        <v>4.7E-2</v>
      </c>
      <c r="F935" s="4">
        <v>59843.544999999998</v>
      </c>
      <c r="G935" s="4">
        <v>59843.591999999997</v>
      </c>
      <c r="H935" s="5">
        <f>20 / 86400</f>
        <v>2.3148148148148149E-4</v>
      </c>
      <c r="I935" t="s">
        <v>57</v>
      </c>
      <c r="J935" t="s">
        <v>135</v>
      </c>
      <c r="K935" s="5">
        <f>88 / 86400</f>
        <v>1.0185185185185184E-3</v>
      </c>
      <c r="L935" s="5">
        <f>8511 / 86400</f>
        <v>9.8506944444444439E-2</v>
      </c>
    </row>
    <row r="936" spans="1:12" x14ac:dyDescent="0.25">
      <c r="A936" s="3">
        <v>45703.196909722217</v>
      </c>
      <c r="B936" t="s">
        <v>275</v>
      </c>
      <c r="C936" s="3">
        <v>45703.278414351851</v>
      </c>
      <c r="D936" t="s">
        <v>276</v>
      </c>
      <c r="E936" s="4">
        <v>43.040999999999997</v>
      </c>
      <c r="F936" s="4">
        <v>59843.591999999997</v>
      </c>
      <c r="G936" s="4">
        <v>59886.633000000002</v>
      </c>
      <c r="H936" s="5">
        <f>2319 / 86400</f>
        <v>2.6840277777777779E-2</v>
      </c>
      <c r="I936" t="s">
        <v>19</v>
      </c>
      <c r="J936" t="s">
        <v>145</v>
      </c>
      <c r="K936" s="5">
        <f>7042 / 86400</f>
        <v>8.1504629629629635E-2</v>
      </c>
      <c r="L936" s="5">
        <f>16 / 86400</f>
        <v>1.8518518518518518E-4</v>
      </c>
    </row>
    <row r="937" spans="1:12" x14ac:dyDescent="0.25">
      <c r="A937" s="3">
        <v>45703.278599537036</v>
      </c>
      <c r="B937" t="s">
        <v>276</v>
      </c>
      <c r="C937" s="3">
        <v>45703.279872685191</v>
      </c>
      <c r="D937" t="s">
        <v>277</v>
      </c>
      <c r="E937" s="4">
        <v>0.14399999999999999</v>
      </c>
      <c r="F937" s="4">
        <v>59886.633000000002</v>
      </c>
      <c r="G937" s="4">
        <v>59886.777000000002</v>
      </c>
      <c r="H937" s="5">
        <f>20 / 86400</f>
        <v>2.3148148148148149E-4</v>
      </c>
      <c r="I937" t="s">
        <v>150</v>
      </c>
      <c r="J937" t="s">
        <v>134</v>
      </c>
      <c r="K937" s="5">
        <f>109 / 86400</f>
        <v>1.261574074074074E-3</v>
      </c>
      <c r="L937" s="5">
        <f>73 / 86400</f>
        <v>8.4490740740740739E-4</v>
      </c>
    </row>
    <row r="938" spans="1:12" x14ac:dyDescent="0.25">
      <c r="A938" s="3">
        <v>45703.280717592592</v>
      </c>
      <c r="B938" t="s">
        <v>277</v>
      </c>
      <c r="C938" s="3">
        <v>45703.370428240742</v>
      </c>
      <c r="D938" t="s">
        <v>84</v>
      </c>
      <c r="E938" s="4">
        <v>44.098999999999997</v>
      </c>
      <c r="F938" s="4">
        <v>59886.777000000002</v>
      </c>
      <c r="G938" s="4">
        <v>59930.875999999997</v>
      </c>
      <c r="H938" s="5">
        <f>2299 / 86400</f>
        <v>2.6608796296296297E-2</v>
      </c>
      <c r="I938" t="s">
        <v>61</v>
      </c>
      <c r="J938" t="s">
        <v>23</v>
      </c>
      <c r="K938" s="5">
        <f>7750 / 86400</f>
        <v>8.969907407407407E-2</v>
      </c>
      <c r="L938" s="5">
        <f>1963 / 86400</f>
        <v>2.2719907407407407E-2</v>
      </c>
    </row>
    <row r="939" spans="1:12" x14ac:dyDescent="0.25">
      <c r="A939" s="3">
        <v>45703.393148148149</v>
      </c>
      <c r="B939" t="s">
        <v>84</v>
      </c>
      <c r="C939" s="3">
        <v>45703.480173611111</v>
      </c>
      <c r="D939" t="s">
        <v>278</v>
      </c>
      <c r="E939" s="4">
        <v>44.752000000000002</v>
      </c>
      <c r="F939" s="4">
        <v>59930.875999999997</v>
      </c>
      <c r="G939" s="4">
        <v>59975.627999999997</v>
      </c>
      <c r="H939" s="5">
        <f>2021 / 86400</f>
        <v>2.3391203703703702E-2</v>
      </c>
      <c r="I939" t="s">
        <v>117</v>
      </c>
      <c r="J939" t="s">
        <v>202</v>
      </c>
      <c r="K939" s="5">
        <f>7519 / 86400</f>
        <v>8.7025462962962957E-2</v>
      </c>
      <c r="L939" s="5">
        <f>108 / 86400</f>
        <v>1.25E-3</v>
      </c>
    </row>
    <row r="940" spans="1:12" x14ac:dyDescent="0.25">
      <c r="A940" s="3">
        <v>45703.481423611112</v>
      </c>
      <c r="B940" t="s">
        <v>278</v>
      </c>
      <c r="C940" s="3">
        <v>45703.53260416667</v>
      </c>
      <c r="D940" t="s">
        <v>279</v>
      </c>
      <c r="E940" s="4">
        <v>14.257999999999999</v>
      </c>
      <c r="F940" s="4">
        <v>59975.627999999997</v>
      </c>
      <c r="G940" s="4">
        <v>59989.885999999999</v>
      </c>
      <c r="H940" s="5">
        <f>1758 / 86400</f>
        <v>2.0347222222222221E-2</v>
      </c>
      <c r="I940" t="s">
        <v>211</v>
      </c>
      <c r="J940" t="s">
        <v>77</v>
      </c>
      <c r="K940" s="5">
        <f>4422 / 86400</f>
        <v>5.1180555555555556E-2</v>
      </c>
      <c r="L940" s="5">
        <f>52 / 86400</f>
        <v>6.018518518518519E-4</v>
      </c>
    </row>
    <row r="941" spans="1:12" x14ac:dyDescent="0.25">
      <c r="A941" s="3">
        <v>45703.533206018517</v>
      </c>
      <c r="B941" t="s">
        <v>279</v>
      </c>
      <c r="C941" s="3">
        <v>45703.613506944443</v>
      </c>
      <c r="D941" t="s">
        <v>84</v>
      </c>
      <c r="E941" s="4">
        <v>43.042000000000002</v>
      </c>
      <c r="F941" s="4">
        <v>59989.885999999999</v>
      </c>
      <c r="G941" s="4">
        <v>60032.928</v>
      </c>
      <c r="H941" s="5">
        <f>1519 / 86400</f>
        <v>1.758101851851852E-2</v>
      </c>
      <c r="I941" t="s">
        <v>114</v>
      </c>
      <c r="J941" t="s">
        <v>145</v>
      </c>
      <c r="K941" s="5">
        <f>6938 / 86400</f>
        <v>8.0300925925925928E-2</v>
      </c>
      <c r="L941" s="5">
        <f>442 / 86400</f>
        <v>5.115740740740741E-3</v>
      </c>
    </row>
    <row r="942" spans="1:12" x14ac:dyDescent="0.25">
      <c r="A942" s="3">
        <v>45703.618622685186</v>
      </c>
      <c r="B942" t="s">
        <v>84</v>
      </c>
      <c r="C942" s="3">
        <v>45703.619421296295</v>
      </c>
      <c r="D942" t="s">
        <v>84</v>
      </c>
      <c r="E942" s="4">
        <v>0.19900000000000001</v>
      </c>
      <c r="F942" s="4">
        <v>60032.928</v>
      </c>
      <c r="G942" s="4">
        <v>60033.127</v>
      </c>
      <c r="H942" s="5">
        <f>0 / 86400</f>
        <v>0</v>
      </c>
      <c r="I942" t="s">
        <v>88</v>
      </c>
      <c r="J942" t="s">
        <v>130</v>
      </c>
      <c r="K942" s="5">
        <f>69 / 86400</f>
        <v>7.9861111111111116E-4</v>
      </c>
      <c r="L942" s="5">
        <f>712 / 86400</f>
        <v>8.2407407407407412E-3</v>
      </c>
    </row>
    <row r="943" spans="1:12" x14ac:dyDescent="0.25">
      <c r="A943" s="3">
        <v>45703.627662037034</v>
      </c>
      <c r="B943" t="s">
        <v>84</v>
      </c>
      <c r="C943" s="3">
        <v>45703.629212962958</v>
      </c>
      <c r="D943" t="s">
        <v>92</v>
      </c>
      <c r="E943" s="4">
        <v>0.21</v>
      </c>
      <c r="F943" s="4">
        <v>60033.127</v>
      </c>
      <c r="G943" s="4">
        <v>60033.337</v>
      </c>
      <c r="H943" s="5">
        <f>20 / 86400</f>
        <v>2.3148148148148149E-4</v>
      </c>
      <c r="I943" t="s">
        <v>175</v>
      </c>
      <c r="J943" t="s">
        <v>57</v>
      </c>
      <c r="K943" s="5">
        <f>134 / 86400</f>
        <v>1.5509259259259259E-3</v>
      </c>
      <c r="L943" s="5">
        <f>1517 / 86400</f>
        <v>1.755787037037037E-2</v>
      </c>
    </row>
    <row r="944" spans="1:12" x14ac:dyDescent="0.25">
      <c r="A944" s="3">
        <v>45703.646770833337</v>
      </c>
      <c r="B944" t="s">
        <v>92</v>
      </c>
      <c r="C944" s="3">
        <v>45703.647789351853</v>
      </c>
      <c r="D944" t="s">
        <v>92</v>
      </c>
      <c r="E944" s="4">
        <v>2.3E-2</v>
      </c>
      <c r="F944" s="4">
        <v>60033.337</v>
      </c>
      <c r="G944" s="4">
        <v>60033.36</v>
      </c>
      <c r="H944" s="5">
        <f>39 / 86400</f>
        <v>4.5138888888888887E-4</v>
      </c>
      <c r="I944" t="s">
        <v>57</v>
      </c>
      <c r="J944" t="s">
        <v>43</v>
      </c>
      <c r="K944" s="5">
        <f>88 / 86400</f>
        <v>1.0185185185185184E-3</v>
      </c>
      <c r="L944" s="5">
        <f>2618 / 86400</f>
        <v>3.0300925925925926E-2</v>
      </c>
    </row>
    <row r="945" spans="1:12" x14ac:dyDescent="0.25">
      <c r="A945" s="3">
        <v>45703.678090277783</v>
      </c>
      <c r="B945" t="s">
        <v>92</v>
      </c>
      <c r="C945" s="3">
        <v>45703.680625000001</v>
      </c>
      <c r="D945" t="s">
        <v>144</v>
      </c>
      <c r="E945" s="4">
        <v>0.311</v>
      </c>
      <c r="F945" s="4">
        <v>60033.36</v>
      </c>
      <c r="G945" s="4">
        <v>60033.671000000002</v>
      </c>
      <c r="H945" s="5">
        <f>59 / 86400</f>
        <v>6.8287037037037036E-4</v>
      </c>
      <c r="I945" t="s">
        <v>36</v>
      </c>
      <c r="J945" t="s">
        <v>134</v>
      </c>
      <c r="K945" s="5">
        <f>218 / 86400</f>
        <v>2.5231481481481481E-3</v>
      </c>
      <c r="L945" s="5">
        <f>885 / 86400</f>
        <v>1.0243055555555556E-2</v>
      </c>
    </row>
    <row r="946" spans="1:12" x14ac:dyDescent="0.25">
      <c r="A946" s="3">
        <v>45703.690868055557</v>
      </c>
      <c r="B946" t="s">
        <v>144</v>
      </c>
      <c r="C946" s="3">
        <v>45703.693356481483</v>
      </c>
      <c r="D946" t="s">
        <v>50</v>
      </c>
      <c r="E946" s="4">
        <v>0.68100000000000005</v>
      </c>
      <c r="F946" s="4">
        <v>60033.671000000002</v>
      </c>
      <c r="G946" s="4">
        <v>60034.351999999999</v>
      </c>
      <c r="H946" s="5">
        <f>59 / 86400</f>
        <v>6.8287037037037036E-4</v>
      </c>
      <c r="I946" t="s">
        <v>175</v>
      </c>
      <c r="J946" t="s">
        <v>102</v>
      </c>
      <c r="K946" s="5">
        <f>215 / 86400</f>
        <v>2.488425925925926E-3</v>
      </c>
      <c r="L946" s="5">
        <f>71 / 86400</f>
        <v>8.2175925925925927E-4</v>
      </c>
    </row>
    <row r="947" spans="1:12" x14ac:dyDescent="0.25">
      <c r="A947" s="3">
        <v>45703.694178240738</v>
      </c>
      <c r="B947" t="s">
        <v>50</v>
      </c>
      <c r="C947" s="3">
        <v>45703.694814814815</v>
      </c>
      <c r="D947" t="s">
        <v>50</v>
      </c>
      <c r="E947" s="4">
        <v>0.156</v>
      </c>
      <c r="F947" s="4">
        <v>60034.351999999999</v>
      </c>
      <c r="G947" s="4">
        <v>60034.508000000002</v>
      </c>
      <c r="H947" s="5">
        <f>0 / 86400</f>
        <v>0</v>
      </c>
      <c r="I947" t="s">
        <v>29</v>
      </c>
      <c r="J947" t="s">
        <v>130</v>
      </c>
      <c r="K947" s="5">
        <f>54 / 86400</f>
        <v>6.2500000000000001E-4</v>
      </c>
      <c r="L947" s="5">
        <f>381 / 86400</f>
        <v>4.409722222222222E-3</v>
      </c>
    </row>
    <row r="948" spans="1:12" x14ac:dyDescent="0.25">
      <c r="A948" s="3">
        <v>45703.699224537035</v>
      </c>
      <c r="B948" t="s">
        <v>50</v>
      </c>
      <c r="C948" s="3">
        <v>45703.778981481482</v>
      </c>
      <c r="D948" t="s">
        <v>280</v>
      </c>
      <c r="E948" s="4">
        <v>31.748000000000001</v>
      </c>
      <c r="F948" s="4">
        <v>60034.508000000002</v>
      </c>
      <c r="G948" s="4">
        <v>60066.256000000001</v>
      </c>
      <c r="H948" s="5">
        <f>2180 / 86400</f>
        <v>2.5231481481481483E-2</v>
      </c>
      <c r="I948" t="s">
        <v>25</v>
      </c>
      <c r="J948" t="s">
        <v>33</v>
      </c>
      <c r="K948" s="5">
        <f>6890 / 86400</f>
        <v>7.9745370370370369E-2</v>
      </c>
      <c r="L948" s="5">
        <f>28 / 86400</f>
        <v>3.2407407407407406E-4</v>
      </c>
    </row>
    <row r="949" spans="1:12" x14ac:dyDescent="0.25">
      <c r="A949" s="3">
        <v>45703.779305555552</v>
      </c>
      <c r="B949" t="s">
        <v>280</v>
      </c>
      <c r="C949" s="3">
        <v>45703.880497685182</v>
      </c>
      <c r="D949" t="s">
        <v>281</v>
      </c>
      <c r="E949" s="4">
        <v>38.216000000000001</v>
      </c>
      <c r="F949" s="4">
        <v>60066.256000000001</v>
      </c>
      <c r="G949" s="4">
        <v>60104.472000000002</v>
      </c>
      <c r="H949" s="5">
        <f>3141 / 86400</f>
        <v>3.6354166666666667E-2</v>
      </c>
      <c r="I949" t="s">
        <v>85</v>
      </c>
      <c r="J949" t="s">
        <v>36</v>
      </c>
      <c r="K949" s="5">
        <f>8742 / 86400</f>
        <v>0.10118055555555555</v>
      </c>
      <c r="L949" s="5">
        <f>58 / 86400</f>
        <v>6.7129629629629625E-4</v>
      </c>
    </row>
    <row r="950" spans="1:12" x14ac:dyDescent="0.25">
      <c r="A950" s="3">
        <v>45703.881168981483</v>
      </c>
      <c r="B950" t="s">
        <v>281</v>
      </c>
      <c r="C950" s="3">
        <v>45703.937094907407</v>
      </c>
      <c r="D950" t="s">
        <v>71</v>
      </c>
      <c r="E950" s="4">
        <v>33.250999999999998</v>
      </c>
      <c r="F950" s="4">
        <v>60104.472000000002</v>
      </c>
      <c r="G950" s="4">
        <v>60137.722999999998</v>
      </c>
      <c r="H950" s="5">
        <f>1580 / 86400</f>
        <v>1.8287037037037036E-2</v>
      </c>
      <c r="I950" t="s">
        <v>49</v>
      </c>
      <c r="J950" t="s">
        <v>148</v>
      </c>
      <c r="K950" s="5">
        <f>4831 / 86400</f>
        <v>5.5914351851851854E-2</v>
      </c>
      <c r="L950" s="5">
        <f>24 / 86400</f>
        <v>2.7777777777777778E-4</v>
      </c>
    </row>
    <row r="951" spans="1:12" x14ac:dyDescent="0.25">
      <c r="A951" s="3">
        <v>45703.937372685185</v>
      </c>
      <c r="B951" t="s">
        <v>71</v>
      </c>
      <c r="C951" s="3">
        <v>45703.993067129632</v>
      </c>
      <c r="D951" t="s">
        <v>282</v>
      </c>
      <c r="E951" s="4">
        <v>21.356999999999999</v>
      </c>
      <c r="F951" s="4">
        <v>60137.722999999998</v>
      </c>
      <c r="G951" s="4">
        <v>60159.08</v>
      </c>
      <c r="H951" s="5">
        <f>1780 / 86400</f>
        <v>2.060185185185185E-2</v>
      </c>
      <c r="I951" t="s">
        <v>35</v>
      </c>
      <c r="J951" t="s">
        <v>36</v>
      </c>
      <c r="K951" s="5">
        <f>4811 / 86400</f>
        <v>5.5682870370370369E-2</v>
      </c>
      <c r="L951" s="5">
        <f>134 / 86400</f>
        <v>1.5509259259259259E-3</v>
      </c>
    </row>
    <row r="952" spans="1:12" x14ac:dyDescent="0.25">
      <c r="A952" s="3">
        <v>45703.994618055556</v>
      </c>
      <c r="B952" t="s">
        <v>282</v>
      </c>
      <c r="C952" s="3">
        <v>45703.994791666672</v>
      </c>
      <c r="D952" t="s">
        <v>116</v>
      </c>
      <c r="E952" s="4">
        <v>1.0999999999999999E-2</v>
      </c>
      <c r="F952" s="4">
        <v>60159.08</v>
      </c>
      <c r="G952" s="4">
        <v>60159.091</v>
      </c>
      <c r="H952" s="5">
        <f>0 / 86400</f>
        <v>0</v>
      </c>
      <c r="I952" t="s">
        <v>134</v>
      </c>
      <c r="J952" t="s">
        <v>139</v>
      </c>
      <c r="K952" s="5">
        <f>14 / 86400</f>
        <v>1.6203703703703703E-4</v>
      </c>
      <c r="L952" s="5">
        <f>339 / 86400</f>
        <v>3.9236111111111112E-3</v>
      </c>
    </row>
    <row r="953" spans="1:12" x14ac:dyDescent="0.25">
      <c r="A953" s="3">
        <v>45703.998715277776</v>
      </c>
      <c r="B953" t="s">
        <v>116</v>
      </c>
      <c r="C953" s="3">
        <v>45703.999074074076</v>
      </c>
      <c r="D953" t="s">
        <v>116</v>
      </c>
      <c r="E953" s="4">
        <v>1.4E-2</v>
      </c>
      <c r="F953" s="4">
        <v>60159.091</v>
      </c>
      <c r="G953" s="4">
        <v>60159.105000000003</v>
      </c>
      <c r="H953" s="5">
        <f>19 / 86400</f>
        <v>2.199074074074074E-4</v>
      </c>
      <c r="I953" t="s">
        <v>44</v>
      </c>
      <c r="J953" t="s">
        <v>135</v>
      </c>
      <c r="K953" s="5">
        <f>31 / 86400</f>
        <v>3.5879629629629629E-4</v>
      </c>
      <c r="L953" s="5">
        <f>79 / 86400</f>
        <v>9.1435185185185185E-4</v>
      </c>
    </row>
    <row r="954" spans="1:1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</row>
    <row r="955" spans="1:1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</row>
    <row r="956" spans="1:12" s="10" customFormat="1" ht="20.100000000000001" customHeight="1" x14ac:dyDescent="0.35">
      <c r="A956" s="15" t="s">
        <v>342</v>
      </c>
      <c r="B956" s="15"/>
      <c r="C956" s="15"/>
      <c r="D956" s="15"/>
      <c r="E956" s="15"/>
      <c r="F956" s="15"/>
      <c r="G956" s="15"/>
      <c r="H956" s="15"/>
      <c r="I956" s="15"/>
      <c r="J956" s="15"/>
    </row>
    <row r="957" spans="1:12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</row>
    <row r="958" spans="1:12" ht="30" x14ac:dyDescent="0.25">
      <c r="A958" s="2" t="s">
        <v>6</v>
      </c>
      <c r="B958" s="2" t="s">
        <v>7</v>
      </c>
      <c r="C958" s="2" t="s">
        <v>8</v>
      </c>
      <c r="D958" s="2" t="s">
        <v>9</v>
      </c>
      <c r="E958" s="2" t="s">
        <v>10</v>
      </c>
      <c r="F958" s="2" t="s">
        <v>11</v>
      </c>
      <c r="G958" s="2" t="s">
        <v>12</v>
      </c>
      <c r="H958" s="2" t="s">
        <v>13</v>
      </c>
      <c r="I958" s="2" t="s">
        <v>14</v>
      </c>
      <c r="J958" s="2" t="s">
        <v>15</v>
      </c>
      <c r="K958" s="2" t="s">
        <v>16</v>
      </c>
      <c r="L958" s="2" t="s">
        <v>17</v>
      </c>
    </row>
    <row r="959" spans="1:12" x14ac:dyDescent="0.25">
      <c r="A959" s="3">
        <v>45703</v>
      </c>
      <c r="B959" t="s">
        <v>118</v>
      </c>
      <c r="C959" s="3">
        <v>45703.002013888894</v>
      </c>
      <c r="D959" t="s">
        <v>97</v>
      </c>
      <c r="E959" s="4">
        <v>0.89400000000000002</v>
      </c>
      <c r="F959" s="4">
        <v>63596.078000000001</v>
      </c>
      <c r="G959" s="4">
        <v>63596.972000000002</v>
      </c>
      <c r="H959" s="5">
        <f>40 / 86400</f>
        <v>4.6296296296296298E-4</v>
      </c>
      <c r="I959" t="s">
        <v>69</v>
      </c>
      <c r="J959" t="s">
        <v>20</v>
      </c>
      <c r="K959" s="5">
        <f>174 / 86400</f>
        <v>2.0138888888888888E-3</v>
      </c>
      <c r="L959" s="5">
        <f>610 / 86400</f>
        <v>7.060185185185185E-3</v>
      </c>
    </row>
    <row r="960" spans="1:12" x14ac:dyDescent="0.25">
      <c r="A960" s="3">
        <v>45703.009074074071</v>
      </c>
      <c r="B960" t="s">
        <v>97</v>
      </c>
      <c r="C960" s="3">
        <v>45703.015567129631</v>
      </c>
      <c r="D960" t="s">
        <v>46</v>
      </c>
      <c r="E960" s="4">
        <v>1.5780000000000001</v>
      </c>
      <c r="F960" s="4">
        <v>63596.972000000002</v>
      </c>
      <c r="G960" s="4">
        <v>63598.55</v>
      </c>
      <c r="H960" s="5">
        <f>179 / 86400</f>
        <v>2.0717592592592593E-3</v>
      </c>
      <c r="I960" t="s">
        <v>257</v>
      </c>
      <c r="J960" t="s">
        <v>130</v>
      </c>
      <c r="K960" s="5">
        <f>560 / 86400</f>
        <v>6.4814814814814813E-3</v>
      </c>
      <c r="L960" s="5">
        <f>11627 / 86400</f>
        <v>0.13457175925925927</v>
      </c>
    </row>
    <row r="961" spans="1:12" x14ac:dyDescent="0.25">
      <c r="A961" s="3">
        <v>45703.150138888886</v>
      </c>
      <c r="B961" t="s">
        <v>46</v>
      </c>
      <c r="C961" s="3">
        <v>45703.23505787037</v>
      </c>
      <c r="D961" t="s">
        <v>220</v>
      </c>
      <c r="E961" s="4">
        <v>51.853999999999999</v>
      </c>
      <c r="F961" s="4">
        <v>63598.55</v>
      </c>
      <c r="G961" s="4">
        <v>63650.404000000002</v>
      </c>
      <c r="H961" s="5">
        <f>1699 / 86400</f>
        <v>1.9664351851851853E-2</v>
      </c>
      <c r="I961" t="s">
        <v>120</v>
      </c>
      <c r="J961" t="s">
        <v>148</v>
      </c>
      <c r="K961" s="5">
        <f>7337 / 86400</f>
        <v>8.4918981481481484E-2</v>
      </c>
      <c r="L961" s="5">
        <f>195 / 86400</f>
        <v>2.2569444444444442E-3</v>
      </c>
    </row>
    <row r="962" spans="1:12" x14ac:dyDescent="0.25">
      <c r="A962" s="3">
        <v>45703.237314814818</v>
      </c>
      <c r="B962" t="s">
        <v>221</v>
      </c>
      <c r="C962" s="3">
        <v>45703.237476851849</v>
      </c>
      <c r="D962" t="s">
        <v>221</v>
      </c>
      <c r="E962" s="4">
        <v>1E-3</v>
      </c>
      <c r="F962" s="4">
        <v>63650.404000000002</v>
      </c>
      <c r="G962" s="4">
        <v>63650.404999999999</v>
      </c>
      <c r="H962" s="5">
        <f>0 / 86400</f>
        <v>0</v>
      </c>
      <c r="I962" t="s">
        <v>44</v>
      </c>
      <c r="J962" t="s">
        <v>44</v>
      </c>
      <c r="K962" s="5">
        <f>13 / 86400</f>
        <v>1.5046296296296297E-4</v>
      </c>
      <c r="L962" s="5">
        <f>64 / 86400</f>
        <v>7.407407407407407E-4</v>
      </c>
    </row>
    <row r="963" spans="1:12" x14ac:dyDescent="0.25">
      <c r="A963" s="3">
        <v>45703.238217592589</v>
      </c>
      <c r="B963" t="s">
        <v>221</v>
      </c>
      <c r="C963" s="3">
        <v>45703.344907407409</v>
      </c>
      <c r="D963" t="s">
        <v>84</v>
      </c>
      <c r="E963" s="4">
        <v>52.341000000000001</v>
      </c>
      <c r="F963" s="4">
        <v>63650.404999999999</v>
      </c>
      <c r="G963" s="4">
        <v>63702.745999999999</v>
      </c>
      <c r="H963" s="5">
        <f>2579 / 86400</f>
        <v>2.9849537037037036E-2</v>
      </c>
      <c r="I963" t="s">
        <v>25</v>
      </c>
      <c r="J963" t="s">
        <v>23</v>
      </c>
      <c r="K963" s="5">
        <f>9217 / 86400</f>
        <v>0.10667824074074074</v>
      </c>
      <c r="L963" s="5">
        <f>107 / 86400</f>
        <v>1.238425925925926E-3</v>
      </c>
    </row>
    <row r="964" spans="1:12" x14ac:dyDescent="0.25">
      <c r="A964" s="3">
        <v>45703.346145833333</v>
      </c>
      <c r="B964" t="s">
        <v>84</v>
      </c>
      <c r="C964" s="3">
        <v>45703.34747685185</v>
      </c>
      <c r="D964" t="s">
        <v>265</v>
      </c>
      <c r="E964" s="4">
        <v>0.23100000000000001</v>
      </c>
      <c r="F964" s="4">
        <v>63702.745999999999</v>
      </c>
      <c r="G964" s="4">
        <v>63702.976999999999</v>
      </c>
      <c r="H964" s="5">
        <f>20 / 86400</f>
        <v>2.3148148148148149E-4</v>
      </c>
      <c r="I964" t="s">
        <v>141</v>
      </c>
      <c r="J964" t="s">
        <v>60</v>
      </c>
      <c r="K964" s="5">
        <f>115 / 86400</f>
        <v>1.3310185185185185E-3</v>
      </c>
      <c r="L964" s="5">
        <f>1744 / 86400</f>
        <v>2.0185185185185184E-2</v>
      </c>
    </row>
    <row r="965" spans="1:12" x14ac:dyDescent="0.25">
      <c r="A965" s="3">
        <v>45703.367662037039</v>
      </c>
      <c r="B965" t="s">
        <v>265</v>
      </c>
      <c r="C965" s="3">
        <v>45703.623055555552</v>
      </c>
      <c r="D965" t="s">
        <v>256</v>
      </c>
      <c r="E965" s="4">
        <v>100.685</v>
      </c>
      <c r="F965" s="4">
        <v>63702.976999999999</v>
      </c>
      <c r="G965" s="4">
        <v>63803.661999999997</v>
      </c>
      <c r="H965" s="5">
        <f>8059 / 86400</f>
        <v>9.3275462962962963E-2</v>
      </c>
      <c r="I965" t="s">
        <v>283</v>
      </c>
      <c r="J965" t="s">
        <v>36</v>
      </c>
      <c r="K965" s="5">
        <f>22065 / 86400</f>
        <v>0.25538194444444445</v>
      </c>
      <c r="L965" s="5">
        <f>142 / 86400</f>
        <v>1.6435185185185185E-3</v>
      </c>
    </row>
    <row r="966" spans="1:12" x14ac:dyDescent="0.25">
      <c r="A966" s="3">
        <v>45703.624699074076</v>
      </c>
      <c r="B966" t="s">
        <v>256</v>
      </c>
      <c r="C966" s="3">
        <v>45703.630393518513</v>
      </c>
      <c r="D966" t="s">
        <v>46</v>
      </c>
      <c r="E966" s="4">
        <v>1.254</v>
      </c>
      <c r="F966" s="4">
        <v>63803.661999999997</v>
      </c>
      <c r="G966" s="4">
        <v>63804.915999999997</v>
      </c>
      <c r="H966" s="5">
        <f>219 / 86400</f>
        <v>2.5347222222222221E-3</v>
      </c>
      <c r="I966" t="s">
        <v>160</v>
      </c>
      <c r="J966" t="s">
        <v>150</v>
      </c>
      <c r="K966" s="5">
        <f>492 / 86400</f>
        <v>5.6944444444444447E-3</v>
      </c>
      <c r="L966" s="5">
        <f>360 / 86400</f>
        <v>4.1666666666666666E-3</v>
      </c>
    </row>
    <row r="967" spans="1:12" x14ac:dyDescent="0.25">
      <c r="A967" s="3">
        <v>45703.634560185186</v>
      </c>
      <c r="B967" t="s">
        <v>46</v>
      </c>
      <c r="C967" s="3">
        <v>45703.636319444442</v>
      </c>
      <c r="D967" t="s">
        <v>46</v>
      </c>
      <c r="E967" s="4">
        <v>6.3E-2</v>
      </c>
      <c r="F967" s="4">
        <v>63804.915999999997</v>
      </c>
      <c r="G967" s="4">
        <v>63804.978999999999</v>
      </c>
      <c r="H967" s="5">
        <f>99 / 86400</f>
        <v>1.1458333333333333E-3</v>
      </c>
      <c r="I967" t="s">
        <v>134</v>
      </c>
      <c r="J967" t="s">
        <v>135</v>
      </c>
      <c r="K967" s="5">
        <f>151 / 86400</f>
        <v>1.7476851851851852E-3</v>
      </c>
      <c r="L967" s="5">
        <f>332 / 86400</f>
        <v>3.8425925925925928E-3</v>
      </c>
    </row>
    <row r="968" spans="1:12" x14ac:dyDescent="0.25">
      <c r="A968" s="3">
        <v>45703.640162037038</v>
      </c>
      <c r="B968" t="s">
        <v>46</v>
      </c>
      <c r="C968" s="3">
        <v>45703.640960648147</v>
      </c>
      <c r="D968" t="s">
        <v>39</v>
      </c>
      <c r="E968" s="4">
        <v>3.9E-2</v>
      </c>
      <c r="F968" s="4">
        <v>63804.978999999999</v>
      </c>
      <c r="G968" s="4">
        <v>63805.017999999996</v>
      </c>
      <c r="H968" s="5">
        <f>39 / 86400</f>
        <v>4.5138888888888887E-4</v>
      </c>
      <c r="I968" t="s">
        <v>57</v>
      </c>
      <c r="J968" t="s">
        <v>135</v>
      </c>
      <c r="K968" s="5">
        <f>69 / 86400</f>
        <v>7.9861111111111116E-4</v>
      </c>
      <c r="L968" s="5">
        <f>829 / 86400</f>
        <v>9.5949074074074079E-3</v>
      </c>
    </row>
    <row r="969" spans="1:12" x14ac:dyDescent="0.25">
      <c r="A969" s="3">
        <v>45703.650555555556</v>
      </c>
      <c r="B969" t="s">
        <v>39</v>
      </c>
      <c r="C969" s="3">
        <v>45703.99998842593</v>
      </c>
      <c r="D969" t="s">
        <v>119</v>
      </c>
      <c r="E969" s="4">
        <v>151.39099999999999</v>
      </c>
      <c r="F969" s="4">
        <v>63805.017999999996</v>
      </c>
      <c r="G969" s="4">
        <v>63956.409</v>
      </c>
      <c r="H969" s="5">
        <f>10881 / 86400</f>
        <v>0.12593750000000001</v>
      </c>
      <c r="I969" t="s">
        <v>117</v>
      </c>
      <c r="J969" t="s">
        <v>20</v>
      </c>
      <c r="K969" s="5">
        <f>30191 / 86400</f>
        <v>0.34943287037037035</v>
      </c>
      <c r="L969" s="5">
        <f>0 / 86400</f>
        <v>0</v>
      </c>
    </row>
    <row r="970" spans="1:1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</row>
    <row r="971" spans="1:1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</row>
    <row r="972" spans="1:12" s="10" customFormat="1" ht="20.100000000000001" customHeight="1" x14ac:dyDescent="0.35">
      <c r="A972" s="15" t="s">
        <v>343</v>
      </c>
      <c r="B972" s="15"/>
      <c r="C972" s="15"/>
      <c r="D972" s="15"/>
      <c r="E972" s="15"/>
      <c r="F972" s="15"/>
      <c r="G972" s="15"/>
      <c r="H972" s="15"/>
      <c r="I972" s="15"/>
      <c r="J972" s="15"/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ht="30" x14ac:dyDescent="0.25">
      <c r="A974" s="2" t="s">
        <v>6</v>
      </c>
      <c r="B974" s="2" t="s">
        <v>7</v>
      </c>
      <c r="C974" s="2" t="s">
        <v>8</v>
      </c>
      <c r="D974" s="2" t="s">
        <v>9</v>
      </c>
      <c r="E974" s="2" t="s">
        <v>10</v>
      </c>
      <c r="F974" s="2" t="s">
        <v>11</v>
      </c>
      <c r="G974" s="2" t="s">
        <v>12</v>
      </c>
      <c r="H974" s="2" t="s">
        <v>13</v>
      </c>
      <c r="I974" s="2" t="s">
        <v>14</v>
      </c>
      <c r="J974" s="2" t="s">
        <v>15</v>
      </c>
      <c r="K974" s="2" t="s">
        <v>16</v>
      </c>
      <c r="L974" s="2" t="s">
        <v>17</v>
      </c>
    </row>
    <row r="975" spans="1:12" x14ac:dyDescent="0.25">
      <c r="A975" s="3">
        <v>45703</v>
      </c>
      <c r="B975" t="s">
        <v>116</v>
      </c>
      <c r="C975" s="3">
        <v>45703.112789351857</v>
      </c>
      <c r="D975" t="s">
        <v>46</v>
      </c>
      <c r="E975" s="4">
        <v>49.503</v>
      </c>
      <c r="F975" s="4">
        <v>291963.63699999999</v>
      </c>
      <c r="G975" s="4">
        <v>292013.14</v>
      </c>
      <c r="H975" s="5">
        <f>4241 / 86400</f>
        <v>4.9085648148148149E-2</v>
      </c>
      <c r="I975" t="s">
        <v>98</v>
      </c>
      <c r="J975" t="s">
        <v>20</v>
      </c>
      <c r="K975" s="5">
        <f>9745 / 86400</f>
        <v>0.11278935185185185</v>
      </c>
      <c r="L975" s="5">
        <f>13254 / 86400</f>
        <v>0.15340277777777778</v>
      </c>
    </row>
    <row r="976" spans="1:12" x14ac:dyDescent="0.25">
      <c r="A976" s="3">
        <v>45703.266192129631</v>
      </c>
      <c r="B976" t="s">
        <v>46</v>
      </c>
      <c r="C976" s="3">
        <v>45703.425069444449</v>
      </c>
      <c r="D976" t="s">
        <v>50</v>
      </c>
      <c r="E976" s="4">
        <v>79.146000000000001</v>
      </c>
      <c r="F976" s="4">
        <v>292013.14</v>
      </c>
      <c r="G976" s="4">
        <v>292092.28600000002</v>
      </c>
      <c r="H976" s="5">
        <f>3938 / 86400</f>
        <v>4.5578703703703705E-2</v>
      </c>
      <c r="I976" t="s">
        <v>58</v>
      </c>
      <c r="J976" t="s">
        <v>202</v>
      </c>
      <c r="K976" s="5">
        <f>13727 / 86400</f>
        <v>0.15887731481481482</v>
      </c>
      <c r="L976" s="5">
        <f>1591 / 86400</f>
        <v>1.8414351851851852E-2</v>
      </c>
    </row>
    <row r="977" spans="1:12" x14ac:dyDescent="0.25">
      <c r="A977" s="3">
        <v>45703.443483796298</v>
      </c>
      <c r="B977" t="s">
        <v>50</v>
      </c>
      <c r="C977" s="3">
        <v>45703.46193287037</v>
      </c>
      <c r="D977" t="s">
        <v>251</v>
      </c>
      <c r="E977" s="4">
        <v>1.2250000000000001</v>
      </c>
      <c r="F977" s="4">
        <v>292092.28600000002</v>
      </c>
      <c r="G977" s="4">
        <v>292093.511</v>
      </c>
      <c r="H977" s="5">
        <f>1200 / 86400</f>
        <v>1.3888888888888888E-2</v>
      </c>
      <c r="I977" t="s">
        <v>101</v>
      </c>
      <c r="J977" t="s">
        <v>139</v>
      </c>
      <c r="K977" s="5">
        <f>1594 / 86400</f>
        <v>1.8449074074074073E-2</v>
      </c>
      <c r="L977" s="5">
        <f>1710 / 86400</f>
        <v>1.9791666666666666E-2</v>
      </c>
    </row>
    <row r="978" spans="1:12" x14ac:dyDescent="0.25">
      <c r="A978" s="3">
        <v>45703.481724537036</v>
      </c>
      <c r="B978" t="s">
        <v>251</v>
      </c>
      <c r="C978" s="3">
        <v>45703.638310185182</v>
      </c>
      <c r="D978" t="s">
        <v>46</v>
      </c>
      <c r="E978" s="4">
        <v>8.4</v>
      </c>
      <c r="F978" s="4">
        <v>292093.511</v>
      </c>
      <c r="G978" s="4">
        <v>292101.91100000002</v>
      </c>
      <c r="H978" s="5">
        <f>12379 / 86400</f>
        <v>0.14327546296296295</v>
      </c>
      <c r="I978" t="s">
        <v>85</v>
      </c>
      <c r="J978" t="s">
        <v>135</v>
      </c>
      <c r="K978" s="5">
        <f>13529 / 86400</f>
        <v>0.15658564814814815</v>
      </c>
      <c r="L978" s="5">
        <f>318 / 86400</f>
        <v>3.6805555555555554E-3</v>
      </c>
    </row>
    <row r="979" spans="1:12" x14ac:dyDescent="0.25">
      <c r="A979" s="3">
        <v>45703.64199074074</v>
      </c>
      <c r="B979" t="s">
        <v>46</v>
      </c>
      <c r="C979" s="3">
        <v>45703.978252314817</v>
      </c>
      <c r="D979" t="s">
        <v>116</v>
      </c>
      <c r="E979" s="4">
        <v>110.82299999999999</v>
      </c>
      <c r="F979" s="4">
        <v>292101.91100000002</v>
      </c>
      <c r="G979" s="4">
        <v>292212.734</v>
      </c>
      <c r="H979" s="5">
        <f>13219 / 86400</f>
        <v>0.15299768518518519</v>
      </c>
      <c r="I979" t="s">
        <v>121</v>
      </c>
      <c r="J979" t="s">
        <v>88</v>
      </c>
      <c r="K979" s="5">
        <f>29053 / 86400</f>
        <v>0.33626157407407409</v>
      </c>
      <c r="L979" s="5">
        <f>5 / 86400</f>
        <v>5.7870370370370373E-5</v>
      </c>
    </row>
    <row r="980" spans="1:12" x14ac:dyDescent="0.25">
      <c r="A980" s="3">
        <v>45703.978310185186</v>
      </c>
      <c r="B980" t="s">
        <v>116</v>
      </c>
      <c r="C980" s="3">
        <v>45703.99998842593</v>
      </c>
      <c r="D980" t="s">
        <v>116</v>
      </c>
      <c r="E980" s="4">
        <v>0.03</v>
      </c>
      <c r="F980" s="4">
        <v>292212.734</v>
      </c>
      <c r="G980" s="4">
        <v>292212.76400000002</v>
      </c>
      <c r="H980" s="5">
        <f>1853 / 86400</f>
        <v>2.1446759259259259E-2</v>
      </c>
      <c r="I980" t="s">
        <v>135</v>
      </c>
      <c r="J980" t="s">
        <v>44</v>
      </c>
      <c r="K980" s="5">
        <f>1873 / 86400</f>
        <v>2.1678240740740741E-2</v>
      </c>
      <c r="L980" s="5">
        <f>0 / 86400</f>
        <v>0</v>
      </c>
    </row>
    <row r="981" spans="1:1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</row>
    <row r="982" spans="1:12" x14ac:dyDescent="0.25">
      <c r="A982" s="12" t="s">
        <v>124</v>
      </c>
      <c r="B982" s="12"/>
      <c r="C982" s="12"/>
      <c r="D982" s="12"/>
      <c r="E982" s="12"/>
      <c r="F982" s="12"/>
      <c r="G982" s="12"/>
      <c r="H982" s="12"/>
      <c r="I982" s="12"/>
      <c r="J982" s="12"/>
    </row>
  </sheetData>
  <mergeCells count="250">
    <mergeCell ref="A956:J956"/>
    <mergeCell ref="A957:J957"/>
    <mergeCell ref="A970:J970"/>
    <mergeCell ref="A971:J971"/>
    <mergeCell ref="A972:J972"/>
    <mergeCell ref="A973:J973"/>
    <mergeCell ref="A981:J981"/>
    <mergeCell ref="A982:J982"/>
    <mergeCell ref="A900:J900"/>
    <mergeCell ref="A901:J901"/>
    <mergeCell ref="A902:J902"/>
    <mergeCell ref="A928:J928"/>
    <mergeCell ref="A929:J929"/>
    <mergeCell ref="A930:J930"/>
    <mergeCell ref="A931:J931"/>
    <mergeCell ref="A954:J954"/>
    <mergeCell ref="A955:J955"/>
    <mergeCell ref="A866:J866"/>
    <mergeCell ref="A867:J867"/>
    <mergeCell ref="A868:J868"/>
    <mergeCell ref="A869:J869"/>
    <mergeCell ref="A887:J887"/>
    <mergeCell ref="A888:J888"/>
    <mergeCell ref="A889:J889"/>
    <mergeCell ref="A890:J890"/>
    <mergeCell ref="A899:J899"/>
    <mergeCell ref="A835:J835"/>
    <mergeCell ref="A844:J844"/>
    <mergeCell ref="A845:J845"/>
    <mergeCell ref="A846:J846"/>
    <mergeCell ref="A847:J847"/>
    <mergeCell ref="A856:J856"/>
    <mergeCell ref="A857:J857"/>
    <mergeCell ref="A858:J858"/>
    <mergeCell ref="A859:J859"/>
    <mergeCell ref="A800:J800"/>
    <mergeCell ref="A801:J801"/>
    <mergeCell ref="A812:J812"/>
    <mergeCell ref="A813:J813"/>
    <mergeCell ref="A814:J814"/>
    <mergeCell ref="A815:J815"/>
    <mergeCell ref="A832:J832"/>
    <mergeCell ref="A833:J833"/>
    <mergeCell ref="A834:J834"/>
    <mergeCell ref="A776:J776"/>
    <mergeCell ref="A777:J777"/>
    <mergeCell ref="A778:J778"/>
    <mergeCell ref="A784:J784"/>
    <mergeCell ref="A785:J785"/>
    <mergeCell ref="A786:J786"/>
    <mergeCell ref="A787:J787"/>
    <mergeCell ref="A798:J798"/>
    <mergeCell ref="A799:J799"/>
    <mergeCell ref="A756:J756"/>
    <mergeCell ref="A757:J757"/>
    <mergeCell ref="A758:J758"/>
    <mergeCell ref="A759:J759"/>
    <mergeCell ref="A766:J766"/>
    <mergeCell ref="A767:J767"/>
    <mergeCell ref="A768:J768"/>
    <mergeCell ref="A769:J769"/>
    <mergeCell ref="A775:J775"/>
    <mergeCell ref="A717:J717"/>
    <mergeCell ref="A729:J729"/>
    <mergeCell ref="A730:J730"/>
    <mergeCell ref="A731:J731"/>
    <mergeCell ref="A732:J732"/>
    <mergeCell ref="A741:J741"/>
    <mergeCell ref="A742:J742"/>
    <mergeCell ref="A743:J743"/>
    <mergeCell ref="A744:J744"/>
    <mergeCell ref="A699:J699"/>
    <mergeCell ref="A700:J700"/>
    <mergeCell ref="A708:J708"/>
    <mergeCell ref="A709:J709"/>
    <mergeCell ref="A710:J710"/>
    <mergeCell ref="A711:J711"/>
    <mergeCell ref="A714:J714"/>
    <mergeCell ref="A715:J715"/>
    <mergeCell ref="A716:J716"/>
    <mergeCell ref="A669:J669"/>
    <mergeCell ref="A670:J670"/>
    <mergeCell ref="A671:J671"/>
    <mergeCell ref="A685:J685"/>
    <mergeCell ref="A686:J686"/>
    <mergeCell ref="A687:J687"/>
    <mergeCell ref="A688:J688"/>
    <mergeCell ref="A697:J697"/>
    <mergeCell ref="A698:J698"/>
    <mergeCell ref="A642:J642"/>
    <mergeCell ref="A643:J643"/>
    <mergeCell ref="A644:J644"/>
    <mergeCell ref="A645:J645"/>
    <mergeCell ref="A657:J657"/>
    <mergeCell ref="A658:J658"/>
    <mergeCell ref="A659:J659"/>
    <mergeCell ref="A660:J660"/>
    <mergeCell ref="A668:J668"/>
    <mergeCell ref="A596:J596"/>
    <mergeCell ref="A609:J609"/>
    <mergeCell ref="A610:J610"/>
    <mergeCell ref="A611:J611"/>
    <mergeCell ref="A612:J612"/>
    <mergeCell ref="A630:J630"/>
    <mergeCell ref="A631:J631"/>
    <mergeCell ref="A632:J632"/>
    <mergeCell ref="A633:J633"/>
    <mergeCell ref="A577:J577"/>
    <mergeCell ref="A578:J578"/>
    <mergeCell ref="A583:J583"/>
    <mergeCell ref="A584:J584"/>
    <mergeCell ref="A585:J585"/>
    <mergeCell ref="A586:J586"/>
    <mergeCell ref="A593:J593"/>
    <mergeCell ref="A594:J594"/>
    <mergeCell ref="A595:J595"/>
    <mergeCell ref="A540:J540"/>
    <mergeCell ref="A541:J541"/>
    <mergeCell ref="A542:J542"/>
    <mergeCell ref="A551:J551"/>
    <mergeCell ref="A552:J552"/>
    <mergeCell ref="A553:J553"/>
    <mergeCell ref="A554:J554"/>
    <mergeCell ref="A575:J575"/>
    <mergeCell ref="A576:J576"/>
    <mergeCell ref="A503:J503"/>
    <mergeCell ref="A504:J504"/>
    <mergeCell ref="A505:J505"/>
    <mergeCell ref="A506:J506"/>
    <mergeCell ref="A521:J521"/>
    <mergeCell ref="A522:J522"/>
    <mergeCell ref="A523:J523"/>
    <mergeCell ref="A524:J524"/>
    <mergeCell ref="A539:J539"/>
    <mergeCell ref="A465:J465"/>
    <mergeCell ref="A471:J471"/>
    <mergeCell ref="A472:J472"/>
    <mergeCell ref="A473:J473"/>
    <mergeCell ref="A474:J474"/>
    <mergeCell ref="A478:J478"/>
    <mergeCell ref="A479:J479"/>
    <mergeCell ref="A480:J480"/>
    <mergeCell ref="A481:J481"/>
    <mergeCell ref="A428:J428"/>
    <mergeCell ref="A429:J429"/>
    <mergeCell ref="A443:J443"/>
    <mergeCell ref="A444:J444"/>
    <mergeCell ref="A445:J445"/>
    <mergeCell ref="A446:J446"/>
    <mergeCell ref="A462:J462"/>
    <mergeCell ref="A463:J463"/>
    <mergeCell ref="A464:J464"/>
    <mergeCell ref="A398:J398"/>
    <mergeCell ref="A399:J399"/>
    <mergeCell ref="A400:J400"/>
    <mergeCell ref="A412:J412"/>
    <mergeCell ref="A413:J413"/>
    <mergeCell ref="A414:J414"/>
    <mergeCell ref="A415:J415"/>
    <mergeCell ref="A426:J426"/>
    <mergeCell ref="A427:J427"/>
    <mergeCell ref="A367:J367"/>
    <mergeCell ref="A368:J368"/>
    <mergeCell ref="A369:J369"/>
    <mergeCell ref="A370:J370"/>
    <mergeCell ref="A380:J380"/>
    <mergeCell ref="A381:J381"/>
    <mergeCell ref="A382:J382"/>
    <mergeCell ref="A383:J383"/>
    <mergeCell ref="A397:J397"/>
    <mergeCell ref="A320:J320"/>
    <mergeCell ref="A333:J333"/>
    <mergeCell ref="A334:J334"/>
    <mergeCell ref="A335:J335"/>
    <mergeCell ref="A336:J336"/>
    <mergeCell ref="A352:J352"/>
    <mergeCell ref="A353:J353"/>
    <mergeCell ref="A354:J354"/>
    <mergeCell ref="A355:J355"/>
    <mergeCell ref="A283:J283"/>
    <mergeCell ref="A284:J284"/>
    <mergeCell ref="A298:J298"/>
    <mergeCell ref="A299:J299"/>
    <mergeCell ref="A300:J300"/>
    <mergeCell ref="A301:J301"/>
    <mergeCell ref="A317:J317"/>
    <mergeCell ref="A318:J318"/>
    <mergeCell ref="A319:J319"/>
    <mergeCell ref="A253:J253"/>
    <mergeCell ref="A254:J254"/>
    <mergeCell ref="A255:J255"/>
    <mergeCell ref="A263:J263"/>
    <mergeCell ref="A264:J264"/>
    <mergeCell ref="A265:J265"/>
    <mergeCell ref="A266:J266"/>
    <mergeCell ref="A281:J281"/>
    <mergeCell ref="A282:J282"/>
    <mergeCell ref="A231:J231"/>
    <mergeCell ref="A232:J232"/>
    <mergeCell ref="A233:J233"/>
    <mergeCell ref="A234:J234"/>
    <mergeCell ref="A245:J245"/>
    <mergeCell ref="A246:J246"/>
    <mergeCell ref="A247:J247"/>
    <mergeCell ref="A248:J248"/>
    <mergeCell ref="A252:J252"/>
    <mergeCell ref="A189:J189"/>
    <mergeCell ref="A198:J198"/>
    <mergeCell ref="A199:J199"/>
    <mergeCell ref="A200:J200"/>
    <mergeCell ref="A201:J201"/>
    <mergeCell ref="A223:J223"/>
    <mergeCell ref="A224:J224"/>
    <mergeCell ref="A225:J225"/>
    <mergeCell ref="A226:J226"/>
    <mergeCell ref="A151:J151"/>
    <mergeCell ref="A152:J152"/>
    <mergeCell ref="A167:J167"/>
    <mergeCell ref="A168:J168"/>
    <mergeCell ref="A169:J169"/>
    <mergeCell ref="A170:J170"/>
    <mergeCell ref="A186:J186"/>
    <mergeCell ref="A187:J187"/>
    <mergeCell ref="A188:J188"/>
    <mergeCell ref="A102:J102"/>
    <mergeCell ref="A103:J103"/>
    <mergeCell ref="A104:J104"/>
    <mergeCell ref="A132:J132"/>
    <mergeCell ref="A133:J133"/>
    <mergeCell ref="A134:J134"/>
    <mergeCell ref="A135:J135"/>
    <mergeCell ref="A149:J149"/>
    <mergeCell ref="A150:J150"/>
    <mergeCell ref="A71:J71"/>
    <mergeCell ref="A72:J72"/>
    <mergeCell ref="A73:J73"/>
    <mergeCell ref="A74:J74"/>
    <mergeCell ref="A89:J89"/>
    <mergeCell ref="A90:J90"/>
    <mergeCell ref="A91:J91"/>
    <mergeCell ref="A92:J92"/>
    <mergeCell ref="A101:J101"/>
    <mergeCell ref="A1:J1"/>
    <mergeCell ref="A2:J2"/>
    <mergeCell ref="A3:J3"/>
    <mergeCell ref="A4:J4"/>
    <mergeCell ref="A5:J5"/>
    <mergeCell ref="A6:J6"/>
    <mergeCell ref="A69:J69"/>
    <mergeCell ref="A70:J70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2025-09-22T19:52:35Z</dcterms:created>
  <dcterms:modified xsi:type="dcterms:W3CDTF">2025-09-23T05:34:43Z</dcterms:modified>
</cp:coreProperties>
</file>