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3DBE6AC0-D7BF-4CAA-8B53-A5C323CA8F6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350" i="1" l="1"/>
  <c r="K1350" i="1"/>
  <c r="H1350" i="1"/>
  <c r="L1349" i="1"/>
  <c r="K1349" i="1"/>
  <c r="H1349" i="1"/>
  <c r="L1343" i="1"/>
  <c r="K1343" i="1"/>
  <c r="H1343" i="1"/>
  <c r="L1342" i="1"/>
  <c r="K1342" i="1"/>
  <c r="H1342" i="1"/>
  <c r="L1341" i="1"/>
  <c r="K1341" i="1"/>
  <c r="H1341" i="1"/>
  <c r="L1340" i="1"/>
  <c r="K1340" i="1"/>
  <c r="H1340" i="1"/>
  <c r="L1339" i="1"/>
  <c r="K1339" i="1"/>
  <c r="H1339" i="1"/>
  <c r="L1333" i="1"/>
  <c r="K1333" i="1"/>
  <c r="H1333" i="1"/>
  <c r="L1332" i="1"/>
  <c r="K1332" i="1"/>
  <c r="H1332" i="1"/>
  <c r="L1331" i="1"/>
  <c r="K1331" i="1"/>
  <c r="H1331" i="1"/>
  <c r="L1330" i="1"/>
  <c r="K1330" i="1"/>
  <c r="H1330" i="1"/>
  <c r="L1329" i="1"/>
  <c r="K1329" i="1"/>
  <c r="H1329" i="1"/>
  <c r="L1328" i="1"/>
  <c r="K1328" i="1"/>
  <c r="H1328" i="1"/>
  <c r="L1327" i="1"/>
  <c r="K1327" i="1"/>
  <c r="H1327" i="1"/>
  <c r="L1326" i="1"/>
  <c r="K1326" i="1"/>
  <c r="H1326" i="1"/>
  <c r="L1325" i="1"/>
  <c r="K1325" i="1"/>
  <c r="H1325" i="1"/>
  <c r="L1324" i="1"/>
  <c r="K1324" i="1"/>
  <c r="H1324" i="1"/>
  <c r="L1323" i="1"/>
  <c r="K1323" i="1"/>
  <c r="H1323" i="1"/>
  <c r="L1322" i="1"/>
  <c r="K1322" i="1"/>
  <c r="H1322" i="1"/>
  <c r="L1321" i="1"/>
  <c r="K1321" i="1"/>
  <c r="H1321" i="1"/>
  <c r="L1320" i="1"/>
  <c r="K1320" i="1"/>
  <c r="H1320" i="1"/>
  <c r="L1319" i="1"/>
  <c r="K1319" i="1"/>
  <c r="H1319" i="1"/>
  <c r="L1318" i="1"/>
  <c r="K1318" i="1"/>
  <c r="H1318" i="1"/>
  <c r="L1317" i="1"/>
  <c r="K1317" i="1"/>
  <c r="H1317" i="1"/>
  <c r="L1311" i="1"/>
  <c r="K1311" i="1"/>
  <c r="H1311" i="1"/>
  <c r="L1310" i="1"/>
  <c r="K1310" i="1"/>
  <c r="H1310" i="1"/>
  <c r="L1309" i="1"/>
  <c r="K1309" i="1"/>
  <c r="H1309" i="1"/>
  <c r="L1308" i="1"/>
  <c r="K1308" i="1"/>
  <c r="H1308" i="1"/>
  <c r="L1307" i="1"/>
  <c r="K1307" i="1"/>
  <c r="H1307" i="1"/>
  <c r="L1306" i="1"/>
  <c r="K1306" i="1"/>
  <c r="H1306" i="1"/>
  <c r="L1305" i="1"/>
  <c r="K1305" i="1"/>
  <c r="H1305" i="1"/>
  <c r="L1304" i="1"/>
  <c r="K1304" i="1"/>
  <c r="H1304" i="1"/>
  <c r="L1303" i="1"/>
  <c r="K1303" i="1"/>
  <c r="H1303" i="1"/>
  <c r="L1302" i="1"/>
  <c r="K1302" i="1"/>
  <c r="H1302" i="1"/>
  <c r="L1301" i="1"/>
  <c r="K1301" i="1"/>
  <c r="H1301" i="1"/>
  <c r="L1300" i="1"/>
  <c r="K1300" i="1"/>
  <c r="H1300" i="1"/>
  <c r="L1299" i="1"/>
  <c r="K1299" i="1"/>
  <c r="H1299" i="1"/>
  <c r="L1298" i="1"/>
  <c r="K1298" i="1"/>
  <c r="H1298" i="1"/>
  <c r="L1297" i="1"/>
  <c r="K1297" i="1"/>
  <c r="H1297" i="1"/>
  <c r="L1296" i="1"/>
  <c r="K1296" i="1"/>
  <c r="H1296" i="1"/>
  <c r="L1295" i="1"/>
  <c r="K1295" i="1"/>
  <c r="H1295" i="1"/>
  <c r="L1294" i="1"/>
  <c r="K1294" i="1"/>
  <c r="H1294" i="1"/>
  <c r="L1293" i="1"/>
  <c r="K1293" i="1"/>
  <c r="H1293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6" i="1"/>
  <c r="K1286" i="1"/>
  <c r="H1286" i="1"/>
  <c r="L1285" i="1"/>
  <c r="K1285" i="1"/>
  <c r="H1285" i="1"/>
  <c r="L1284" i="1"/>
  <c r="K1284" i="1"/>
  <c r="H1284" i="1"/>
  <c r="L1283" i="1"/>
  <c r="K1283" i="1"/>
  <c r="H1283" i="1"/>
  <c r="L1277" i="1"/>
  <c r="K1277" i="1"/>
  <c r="H1277" i="1"/>
  <c r="L1276" i="1"/>
  <c r="K1276" i="1"/>
  <c r="H1276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70" i="1"/>
  <c r="K1270" i="1"/>
  <c r="H1270" i="1"/>
  <c r="L1264" i="1"/>
  <c r="K1264" i="1"/>
  <c r="H1264" i="1"/>
  <c r="L1263" i="1"/>
  <c r="K1263" i="1"/>
  <c r="H1263" i="1"/>
  <c r="L1262" i="1"/>
  <c r="K1262" i="1"/>
  <c r="H1262" i="1"/>
  <c r="L1261" i="1"/>
  <c r="K1261" i="1"/>
  <c r="H1261" i="1"/>
  <c r="L1260" i="1"/>
  <c r="K1260" i="1"/>
  <c r="H1260" i="1"/>
  <c r="L1259" i="1"/>
  <c r="K1259" i="1"/>
  <c r="H1259" i="1"/>
  <c r="L1258" i="1"/>
  <c r="K1258" i="1"/>
  <c r="H1258" i="1"/>
  <c r="L1257" i="1"/>
  <c r="K1257" i="1"/>
  <c r="H1257" i="1"/>
  <c r="L1256" i="1"/>
  <c r="K1256" i="1"/>
  <c r="H1256" i="1"/>
  <c r="L1255" i="1"/>
  <c r="K1255" i="1"/>
  <c r="H1255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0" i="1"/>
  <c r="K1240" i="1"/>
  <c r="H1240" i="1"/>
  <c r="L1239" i="1"/>
  <c r="K1239" i="1"/>
  <c r="H1239" i="1"/>
  <c r="L1238" i="1"/>
  <c r="K1238" i="1"/>
  <c r="H1238" i="1"/>
  <c r="L1237" i="1"/>
  <c r="K1237" i="1"/>
  <c r="H1237" i="1"/>
  <c r="L1236" i="1"/>
  <c r="K1236" i="1"/>
  <c r="H1236" i="1"/>
  <c r="L1230" i="1"/>
  <c r="K1230" i="1"/>
  <c r="H1230" i="1"/>
  <c r="L1229" i="1"/>
  <c r="K1229" i="1"/>
  <c r="H1229" i="1"/>
  <c r="L1228" i="1"/>
  <c r="K1228" i="1"/>
  <c r="H1228" i="1"/>
  <c r="L1227" i="1"/>
  <c r="K1227" i="1"/>
  <c r="H1227" i="1"/>
  <c r="L1226" i="1"/>
  <c r="K1226" i="1"/>
  <c r="H1226" i="1"/>
  <c r="L1225" i="1"/>
  <c r="K1225" i="1"/>
  <c r="H1225" i="1"/>
  <c r="L1224" i="1"/>
  <c r="K1224" i="1"/>
  <c r="H1224" i="1"/>
  <c r="L1223" i="1"/>
  <c r="K1223" i="1"/>
  <c r="H1223" i="1"/>
  <c r="L1222" i="1"/>
  <c r="K1222" i="1"/>
  <c r="H1222" i="1"/>
  <c r="L1221" i="1"/>
  <c r="K1221" i="1"/>
  <c r="H1221" i="1"/>
  <c r="L1220" i="1"/>
  <c r="K1220" i="1"/>
  <c r="H1220" i="1"/>
  <c r="L1214" i="1"/>
  <c r="K1214" i="1"/>
  <c r="H1214" i="1"/>
  <c r="L1213" i="1"/>
  <c r="K1213" i="1"/>
  <c r="H1213" i="1"/>
  <c r="L1212" i="1"/>
  <c r="K1212" i="1"/>
  <c r="H1212" i="1"/>
  <c r="L1211" i="1"/>
  <c r="K1211" i="1"/>
  <c r="H1211" i="1"/>
  <c r="L1210" i="1"/>
  <c r="K1210" i="1"/>
  <c r="H1210" i="1"/>
  <c r="L1204" i="1"/>
  <c r="K1204" i="1"/>
  <c r="H1204" i="1"/>
  <c r="L1203" i="1"/>
  <c r="K1203" i="1"/>
  <c r="H1203" i="1"/>
  <c r="L1202" i="1"/>
  <c r="K1202" i="1"/>
  <c r="H1202" i="1"/>
  <c r="L1196" i="1"/>
  <c r="K1196" i="1"/>
  <c r="H1196" i="1"/>
  <c r="L1195" i="1"/>
  <c r="K1195" i="1"/>
  <c r="H1195" i="1"/>
  <c r="L1194" i="1"/>
  <c r="K1194" i="1"/>
  <c r="H1194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4" i="1"/>
  <c r="K1184" i="1"/>
  <c r="H1184" i="1"/>
  <c r="L1183" i="1"/>
  <c r="K1183" i="1"/>
  <c r="H1183" i="1"/>
  <c r="L1182" i="1"/>
  <c r="K1182" i="1"/>
  <c r="H1182" i="1"/>
  <c r="L1181" i="1"/>
  <c r="K1181" i="1"/>
  <c r="H1181" i="1"/>
  <c r="L1180" i="1"/>
  <c r="K1180" i="1"/>
  <c r="H1180" i="1"/>
  <c r="L1179" i="1"/>
  <c r="K1179" i="1"/>
  <c r="H1179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72" i="1"/>
  <c r="K1172" i="1"/>
  <c r="H1172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6" i="1"/>
  <c r="K1146" i="1"/>
  <c r="H1146" i="1"/>
  <c r="L1140" i="1"/>
  <c r="K1140" i="1"/>
  <c r="H1140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29" i="1"/>
  <c r="K1129" i="1"/>
  <c r="H1129" i="1"/>
  <c r="L1128" i="1"/>
  <c r="K1128" i="1"/>
  <c r="H1128" i="1"/>
  <c r="L1127" i="1"/>
  <c r="K1127" i="1"/>
  <c r="H1127" i="1"/>
  <c r="L1126" i="1"/>
  <c r="K1126" i="1"/>
  <c r="H1126" i="1"/>
  <c r="L1125" i="1"/>
  <c r="K1125" i="1"/>
  <c r="H1125" i="1"/>
  <c r="L1124" i="1"/>
  <c r="K1124" i="1"/>
  <c r="H1124" i="1"/>
  <c r="L1123" i="1"/>
  <c r="K1123" i="1"/>
  <c r="H1123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2" i="1"/>
  <c r="K1112" i="1"/>
  <c r="H1112" i="1"/>
  <c r="L1111" i="1"/>
  <c r="K1111" i="1"/>
  <c r="H1111" i="1"/>
  <c r="L1110" i="1"/>
  <c r="K1110" i="1"/>
  <c r="H1110" i="1"/>
  <c r="L1109" i="1"/>
  <c r="K1109" i="1"/>
  <c r="H1109" i="1"/>
  <c r="L1108" i="1"/>
  <c r="K1108" i="1"/>
  <c r="H1108" i="1"/>
  <c r="L1107" i="1"/>
  <c r="K1107" i="1"/>
  <c r="H1107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2" i="1"/>
  <c r="K1042" i="1"/>
  <c r="H1042" i="1"/>
  <c r="L1041" i="1"/>
  <c r="K1041" i="1"/>
  <c r="H1041" i="1"/>
  <c r="L1040" i="1"/>
  <c r="K1040" i="1"/>
  <c r="H1040" i="1"/>
  <c r="L1039" i="1"/>
  <c r="K1039" i="1"/>
  <c r="H1039" i="1"/>
  <c r="L1038" i="1"/>
  <c r="K1038" i="1"/>
  <c r="H1038" i="1"/>
  <c r="L1037" i="1"/>
  <c r="K1037" i="1"/>
  <c r="H1037" i="1"/>
  <c r="L1031" i="1"/>
  <c r="K1031" i="1"/>
  <c r="H1031" i="1"/>
  <c r="L1030" i="1"/>
  <c r="K1030" i="1"/>
  <c r="H1030" i="1"/>
  <c r="L1029" i="1"/>
  <c r="K1029" i="1"/>
  <c r="H1029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28" i="1"/>
  <c r="K928" i="1"/>
  <c r="H928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1" i="1"/>
  <c r="K901" i="1"/>
  <c r="H901" i="1"/>
  <c r="L900" i="1"/>
  <c r="K900" i="1"/>
  <c r="H900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4" i="1"/>
  <c r="K834" i="1"/>
  <c r="H834" i="1"/>
  <c r="L833" i="1"/>
  <c r="K833" i="1"/>
  <c r="H833" i="1"/>
  <c r="L832" i="1"/>
  <c r="K832" i="1"/>
  <c r="H832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3" i="1"/>
  <c r="K813" i="1"/>
  <c r="H813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84" i="1"/>
  <c r="K784" i="1"/>
  <c r="H784" i="1"/>
  <c r="L778" i="1"/>
  <c r="K778" i="1"/>
  <c r="H778" i="1"/>
  <c r="L777" i="1"/>
  <c r="K777" i="1"/>
  <c r="H777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08" i="1"/>
  <c r="K708" i="1"/>
  <c r="H708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1" i="1"/>
  <c r="K691" i="1"/>
  <c r="H691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8" i="1"/>
  <c r="K628" i="1"/>
  <c r="H628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2" i="1"/>
  <c r="K112" i="1"/>
  <c r="H112" i="1"/>
  <c r="L111" i="1"/>
  <c r="K111" i="1"/>
  <c r="H111" i="1"/>
  <c r="L105" i="1"/>
  <c r="K105" i="1"/>
  <c r="H105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3" i="1"/>
  <c r="K93" i="1"/>
  <c r="H93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L78" i="1"/>
  <c r="K78" i="1"/>
  <c r="H78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<sst xmlns="http://schemas.openxmlformats.org/spreadsheetml/2006/main" count="5017" uniqueCount="518">
  <si>
    <t>Informe de trayectos</t>
  </si>
  <si>
    <t>Periodo: 18 de febrero de 2025 0:00 - 18 de febrero de 2025 23:59</t>
  </si>
  <si>
    <t>Informe generado</t>
  </si>
  <si>
    <t>a: 22 de septiembre de 2025 14:44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</si>
  <si>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</si>
  <si>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</si>
  <si>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</si>
  <si>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</si>
  <si>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</si>
  <si>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</si>
  <si>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</si>
  <si>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</si>
  <si>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</si>
  <si>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</si>
  <si>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</si>
  <si>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</si>
  <si>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</si>
  <si>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</si>
  <si>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</si>
  <si>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85 km/h</t>
  </si>
  <si>
    <t>18 km/h</t>
  </si>
  <si>
    <t>Avenida Lima Norte, Santa Eulalia, Lima Metropolitana, Lima, 15468, Perú</t>
  </si>
  <si>
    <t>92 km/h</t>
  </si>
  <si>
    <t>Los Huancas, Ate, Lima Metropolitana, Lima, 15483, Perú</t>
  </si>
  <si>
    <t>38 km/h</t>
  </si>
  <si>
    <t>12 km/h</t>
  </si>
  <si>
    <t>Ate, Lima Metropolitana, Lima, 15483, Perú</t>
  </si>
  <si>
    <t>76 km/h</t>
  </si>
  <si>
    <t>16 km/h</t>
  </si>
  <si>
    <t>Calle Manantiales de Vida, Ate, Lima Metropolitana, Lima, 15487, Perú</t>
  </si>
  <si>
    <t>82 km/h</t>
  </si>
  <si>
    <t>25 km/h</t>
  </si>
  <si>
    <t>6 km/h</t>
  </si>
  <si>
    <t>74 km/h</t>
  </si>
  <si>
    <t>Calle 2, Ate, Lima Metropolitana, Lima, 15487, Perú</t>
  </si>
  <si>
    <t>20 km/h</t>
  </si>
  <si>
    <t>Carretera Central, Chaclacayo, Lima Metropolitana, Lima, 15476, Perú</t>
  </si>
  <si>
    <t>75 km/h</t>
  </si>
  <si>
    <t>15 km/h</t>
  </si>
  <si>
    <t>Avenida Las Retamas, Ricardo Palma, Huarochirí, Lima, 15468, Perú</t>
  </si>
  <si>
    <t>Calle los Alamos, Chosica, Lima Metropolitana, Lima, 15468, Perú</t>
  </si>
  <si>
    <t>67 km/h</t>
  </si>
  <si>
    <t>Calle Las Gardenias, Ricardo Palma, Huarochirí, Lima, 15468, Perú</t>
  </si>
  <si>
    <t>83 km/h</t>
  </si>
  <si>
    <t>13 km/h</t>
  </si>
  <si>
    <t>Capitan Gamarra, Ricardo Palma, Huarochirí, Lima, 15468, Perú, (Ruta4507nueva era 23-10-23)</t>
  </si>
  <si>
    <t>Lurigancho, Lima Metropolitana, Lima, 15468, Perú</t>
  </si>
  <si>
    <t>45 km/h</t>
  </si>
  <si>
    <t>Avenida José Carlos Mariátegui, Ricardo Palma, Huarochirí, Lima, 15468, Perú</t>
  </si>
  <si>
    <t>54 km/h</t>
  </si>
  <si>
    <t>5 km/h</t>
  </si>
  <si>
    <t>Carretera Central, 200, Chaclacayo, Lima Metropolitana, Lima, 15476, Perú</t>
  </si>
  <si>
    <t>86 km/h</t>
  </si>
  <si>
    <t>Calle Nueva Los Alamos, Santa Eulalia, Huarochirí, Lima, 15468, Perú</t>
  </si>
  <si>
    <t>90 km/h</t>
  </si>
  <si>
    <t>Calle Cerro de Pasco, Ate, Lima Metropolitana, Lima, 15498, Perú</t>
  </si>
  <si>
    <t>78 km/h</t>
  </si>
  <si>
    <t>14 km/h</t>
  </si>
  <si>
    <t>Avenida Bernard de Balaguer, Lurigancho, Lima Metropolitana, Lima, 15464, Perú</t>
  </si>
  <si>
    <t>89 km/h</t>
  </si>
  <si>
    <t>70 km/h</t>
  </si>
  <si>
    <t>72 km/h</t>
  </si>
  <si>
    <t>17 km/h</t>
  </si>
  <si>
    <t>Calle 1, Ate, Lima Metropolitana, Lima, 15483, Perú</t>
  </si>
  <si>
    <t>80 km/h</t>
  </si>
  <si>
    <t>Avenida Nicolás Ayllón, Ate, Lima Metropolitana, Lima, 15019, Perú, (Ruta4507nueva era 23-10-23)</t>
  </si>
  <si>
    <t>Santa Eulalia, Huarochirí, Lima, 15468, Perú</t>
  </si>
  <si>
    <t>68 km/h</t>
  </si>
  <si>
    <t>Calle Leoncio Prado, Santa Eulalia, Huarochirí, Lima, 15468, Perú</t>
  </si>
  <si>
    <t>Calle Estocolmo, Ate, Lima Metropolitana, Lima, 15498, Perú</t>
  </si>
  <si>
    <t>Calle Las Tunas, Santa Anita, Lima Metropolitana, Lima, 15007, Perú</t>
  </si>
  <si>
    <t>62 km/h</t>
  </si>
  <si>
    <t>Calle Los Topacios, Lurigancho, Lima Metropolitana, Lima, 15472, Perú</t>
  </si>
  <si>
    <t>Avenida Los Ruiseñores, Santa Anita, Lima Metropolitana, Lima, 15008, Perú</t>
  </si>
  <si>
    <t>Avenida Alfonso Cobián, Chaclacayo, Lima Metropolitana, Lima, 15476, Perú</t>
  </si>
  <si>
    <t>94 km/h</t>
  </si>
  <si>
    <t>Carretera Central, Ate, Lima Metropolitana, Lima, 15487, Perú, (Ruta4507nueva era 23-10-23)</t>
  </si>
  <si>
    <t>Avenida Malecón Manco Cápac, Chaclacayo, Lima Metropolitana, Lima, 15472, Perú</t>
  </si>
  <si>
    <t>88 km/h</t>
  </si>
  <si>
    <t>19 km/h</t>
  </si>
  <si>
    <t>77 km/h</t>
  </si>
  <si>
    <t>Calle 11, Santa Anita, Lima Metropolitana, Lima, 15009, Perú</t>
  </si>
  <si>
    <t>0 km/h</t>
  </si>
  <si>
    <t>Carretera Central, Ate, Lima Metropolitana, Lima, 15474, Perú</t>
  </si>
  <si>
    <t>Ate, Lima Metropolitana, Lima, 15474, Perú</t>
  </si>
  <si>
    <t>Avenida Nicolas de Pierola, Ate, Lima Metropolitana, Lima, 15487, Perú, (LIDERCOM)</t>
  </si>
  <si>
    <t>Chosica, Lima Metropolitana, Lima, 15468, Perú</t>
  </si>
  <si>
    <t>Calle Los Álamos, Ate, Lima Metropolitana, Lima, 15483, Perú</t>
  </si>
  <si>
    <t>Avenida Enrique Guzmán y Valle, Chosica, Lima Metropolitana, Lima, 15468, Perú</t>
  </si>
  <si>
    <t>Carretera Central, Ate, Lima Metropolitana, Lima, 15474, Perú, (Horacio Zeballos, Ruta4507nueva era 23-10-23)</t>
  </si>
  <si>
    <t>97 km/h</t>
  </si>
  <si>
    <t>Avenida Los Incas, Ate, Lima Metropolitana, Lima, 15483, Perú</t>
  </si>
  <si>
    <t>44 km/h</t>
  </si>
  <si>
    <t>11 km/h</t>
  </si>
  <si>
    <t>Avenida Micaela Bastidas, 561, Santa Eulalia, Huarochirí, Lima, 15468, Perú</t>
  </si>
  <si>
    <t>Avenida Nicolás de Ayllón, Ate, Lima Metropolitana, Lima, 15487, Perú, (Ruta4507nueva era 23-10-23)</t>
  </si>
  <si>
    <t>Ate, Lima Metropolitana, Lima, 15487, Perú</t>
  </si>
  <si>
    <t>Corcona, Huarochirí, Lima, Perú</t>
  </si>
  <si>
    <t>52 km/h</t>
  </si>
  <si>
    <t>87 km/h</t>
  </si>
  <si>
    <t>Avenida 28 de Julio, Lima, Lima Metropolitana, Lima, 15083, Perú</t>
  </si>
  <si>
    <t>Plaza Francisco Bolognesi, Lima, Lima Metropolitana, Lima, 15083, Perú, (Ruta4507nueva era 23-10-23)</t>
  </si>
  <si>
    <t>116 km/h</t>
  </si>
  <si>
    <t>Avenida Colectora, Chosica, Lima Metropolitana, Lima, 15468, Perú</t>
  </si>
  <si>
    <t>Víctor Raúl Haya de la Torre, Ate, Lima Metropolitana, Lima, 15498, Perú, (Ruta4507nueva era 23-10-23)</t>
  </si>
  <si>
    <t>Avenida Nicolás de Ayllón, Ate, Lima Metropolitana, Lima, 15498, Perú, (Ruta4507nueva era 23-10-23, RUTA DESVIO TEM.  4507)</t>
  </si>
  <si>
    <t>Micaela Bastidas, Ate, Lima Metropolitana, Lima, 15498, Perú</t>
  </si>
  <si>
    <t>34 km/h</t>
  </si>
  <si>
    <t>Avenida Lima Norte, Chosica, Lima Metropolitana, Lima, 15468, Perú, (Ruta4507nueva era 23-10-23)</t>
  </si>
  <si>
    <t>Avenida Lima Norte, Chosica, Lima Metropolitana, Lima, 15468, Perú</t>
  </si>
  <si>
    <t>84 km/h</t>
  </si>
  <si>
    <t>2 km/h</t>
  </si>
  <si>
    <t>Avenida Nicolás de Ayllón, Ate, Lima Metropolitana, Lima, 15008, Perú, (Ruta4507nueva era 23-10-23)</t>
  </si>
  <si>
    <t>79 km/h</t>
  </si>
  <si>
    <t>Calle 3, Ate, Lima Metropolitana, Lima, 15487, Perú</t>
  </si>
  <si>
    <t>Avenida Nicolás de Ayllón, Lima, Lima Metropolitana, Lima, 15011, Perú, (Ruta4507nueva era 23-10-23)</t>
  </si>
  <si>
    <t>81 km/h</t>
  </si>
  <si>
    <t>Avenida Petit Thouars, 115, Lima, Lima Metropolitana, Lima, 15083, Perú</t>
  </si>
  <si>
    <t>Jirón Los Próceres, Santa Eulalia, Huarochirí, Lima, 15468, Perú</t>
  </si>
  <si>
    <t>Jirón Chucuito, 187, Chosica, Lima Metropolitana, Lima, 15468, Perú</t>
  </si>
  <si>
    <t>Avenida Simón Bolívar, Santa Eulalia, Huarochirí, Lima, 15468, Perú, (Ruta4507nueva era 23-10-23)</t>
  </si>
  <si>
    <t>98 km/h</t>
  </si>
  <si>
    <t>Avenida José Santos Chocano, Ricardo Palma, Huarochirí, Lima, 15468, Perú</t>
  </si>
  <si>
    <t>91 km/h</t>
  </si>
  <si>
    <t>Totales:</t>
  </si>
  <si>
    <t/>
  </si>
  <si>
    <t>* Los datos de combustible se calculan de acuerdo con el consumo medio de combustible del vehículo especificado en su configuración</t>
  </si>
  <si>
    <t>4 km/h</t>
  </si>
  <si>
    <t>Avenida Río Perene, Ate, Lima Metropolitana, Lima, 15498, Perú</t>
  </si>
  <si>
    <t>42 km/h</t>
  </si>
  <si>
    <t>22 km/h</t>
  </si>
  <si>
    <t>Jirón Sánchez Pinillos, Lima, Lima Metropolitana, Lima, 15082, Perú</t>
  </si>
  <si>
    <t>66 km/h</t>
  </si>
  <si>
    <t>Avenida Los Ángeles, Ate, Lima Metropolitana, Lima, 15498, Perú</t>
  </si>
  <si>
    <t>Avenida Nicolás de Ayllón, 4770, Ate, Lima Metropolitana, Lima, 15498, Perú, (Ruta4507nueva era 23-10-23)</t>
  </si>
  <si>
    <t>40 km/h</t>
  </si>
  <si>
    <t>21 km/h</t>
  </si>
  <si>
    <t>Avenida Simón Bolívar, Santa Eulalia, Huarochirí, Lima, 15468, Perú</t>
  </si>
  <si>
    <t>71 km/h</t>
  </si>
  <si>
    <t>32 km/h</t>
  </si>
  <si>
    <t>Avenida Nicolás Ayllón, Chaclacayo, Lima Metropolitana, Lima, 15472, Perú</t>
  </si>
  <si>
    <t>Avenida Malecón Manco Cápac, Chaclacayo, Lima Metropolitana, Lima, 15472, Perú, (Ruta4507nueva era 23-10-23)</t>
  </si>
  <si>
    <t>Avenida Los Cipreses, Santa Anita, Lima Metropolitana, Lima, 15008, Perú, (RUTA DESVIO TEM.  4507)</t>
  </si>
  <si>
    <t>23 km/h</t>
  </si>
  <si>
    <t>Marcos Puente Llanos, Ate, Lima Metropolitana, Lima, 15498, Perú, (RUTA DESVIO TEM.  4507)</t>
  </si>
  <si>
    <t>55 km/h</t>
  </si>
  <si>
    <t>Marcos Puente Llanos, Ate, Lima Metropolitana, Lima, 15498, Perú</t>
  </si>
  <si>
    <t>8 km/h</t>
  </si>
  <si>
    <t>Jose Carlos Mariátegui, Chosica, Lima Metropolitana, Lima, 15468, Perú, (PARADERO RICARDO PALMA)</t>
  </si>
  <si>
    <t>Simón Bolívar, Ricardo Palma, Huarochirí, Lima, 15468, Perú</t>
  </si>
  <si>
    <t>7 km/h</t>
  </si>
  <si>
    <t>24 km/h</t>
  </si>
  <si>
    <t>33 km/h</t>
  </si>
  <si>
    <t>Jose Carlos Mariátegui, Ricardo Palma, Lima Metropolitana, Lima, 15468, Perú, (PARADERO RICARDO PALMA)</t>
  </si>
  <si>
    <t>Pasaje Gould, Lima, Lima Metropolitana, Lima, 15082, Perú</t>
  </si>
  <si>
    <t>Avenida José Carlos Mariátegui, Ricardo Palma, Huarochirí, Lima, 15468, Perú, (CURVA RICARDO PALMA, Ruta4507nueva era 23-10-23)</t>
  </si>
  <si>
    <t>31 km/h</t>
  </si>
  <si>
    <t>Ricardo Palma, Huarochirí, Lima, 15468, Perú, (CURVA RICARDO PALMA, Ruta4507nueva era 23-10-23)</t>
  </si>
  <si>
    <t>26 km/h</t>
  </si>
  <si>
    <t>10 km/h</t>
  </si>
  <si>
    <t>Avenida 5 de Setiembre, Ricardo Palma, Huarochirí, Lima, 15468, Perú, (Ruta4507nueva era 23-10-23)</t>
  </si>
  <si>
    <t>Avenida José Carlos Mariátegui, Ricardo Palma, Huarochirí, Lima, 15468, Perú, (Ruta4507nueva era 23-10-23)</t>
  </si>
  <si>
    <t>35 km/h</t>
  </si>
  <si>
    <t>1 km/h</t>
  </si>
  <si>
    <t>Avenida Santa Rosa, Ate, Lima Metropolitana, Lima, 15002, Perú</t>
  </si>
  <si>
    <t>50 km/h</t>
  </si>
  <si>
    <t>Carretera Central, Ate, Lima Metropolitana, Lima, 15487, Perú, (S06 SANTA CLARA)</t>
  </si>
  <si>
    <t>65 km/h</t>
  </si>
  <si>
    <t>Carretera Central, Ate, Lima Metropolitana, Lima, 15487, Perú, (S06 SANTA CLARA, Ruta4507nueva era 23-10-23)</t>
  </si>
  <si>
    <t>36 km/h</t>
  </si>
  <si>
    <t>3 km/h</t>
  </si>
  <si>
    <t>9 km/h</t>
  </si>
  <si>
    <t>Avenida Andrés Avelino Cáceres, Ate, Lima Metropolitana, Lima, 15483, Perú</t>
  </si>
  <si>
    <t>Calle Córdova, Ricardo Palma, Huarochirí, Lima, 15468, Perú, (Ruta4507nueva era 23-10-23)</t>
  </si>
  <si>
    <t>59 km/h</t>
  </si>
  <si>
    <t>28 km/h</t>
  </si>
  <si>
    <t>Avenida Nicolás de Ayllón, Ate, Lima Metropolitana, Lima, 15002, Perú, (Ruta4507nueva era 23-10-23, RUTA DESVIO TEM.  4507)</t>
  </si>
  <si>
    <t>Avenida Nicolás de Ayllón, Ate, Lima Metropolitana, Lima, 15002, Perú</t>
  </si>
  <si>
    <t>Calle Berlín, Ate, Lima Metropolitana, Lima, 15498, Perú</t>
  </si>
  <si>
    <t>Avenida Gloria Grande, Ate, Lima Metropolitana, Lima, 15483, Perú</t>
  </si>
  <si>
    <t>Avenida Gloria Grande, Ate, Lima Metropolitana, Lima, 15483, Perú, (Ruta4507nueva era 23-10-23)</t>
  </si>
  <si>
    <t>Carretera Central, Ate, Lima Metropolitana, Lima, 15474, Perú, (Ruta4507nueva era 23-10-23)</t>
  </si>
  <si>
    <t>29 km/h</t>
  </si>
  <si>
    <t>Avenida José Carlos Mariátegui, Ate, Lima Metropolitana, Lima, 15474, Perú, (Horacio Zeballos)</t>
  </si>
  <si>
    <t>Carretera Central, Chaclacayo, Lima Metropolitana, Lima, 15474, Perú, (Ruta4507nueva era 23-10-23)</t>
  </si>
  <si>
    <t>Carretera Central, Chaclacayo, Lima Metropolitana, Lima, 15474, Perú, (S07ÑAÑA, Ruta4507nueva era 23-10-23)</t>
  </si>
  <si>
    <t>47 km/h</t>
  </si>
  <si>
    <t>Carretera Central, Chaclacayo, Lima Metropolitana, Lima, 15476, Perú, (Ruta4507nueva era 23-10-23)</t>
  </si>
  <si>
    <t>53 km/h</t>
  </si>
  <si>
    <t>Carretera Central, Chaclacayo, Lima Metropolitana, Lima, 15464, Perú, (Ruta4507nueva era 23-10-23)</t>
  </si>
  <si>
    <t>Chaclacayo, Lima Metropolitana, Lima, 15472, Perú, (Ruta4507nueva era 23-10-23)</t>
  </si>
  <si>
    <t>58 km/h</t>
  </si>
  <si>
    <t>Avenida Nicolás Ayllón, Chaclacayo, Lima Metropolitana, Lima, 15472, Perú, (Ruta4507nueva era 23-10-23)</t>
  </si>
  <si>
    <t>Avenida Las Flores, Lurigancho, Lima Metropolitana, Lima, 15468, Perú, (Ruta4507nueva era 23-10-23)</t>
  </si>
  <si>
    <t>Avenida Las Flores, Chosica, Lima Metropolitana, Lima, 15468, Perú, (Ruta4507nueva era 23-10-23)</t>
  </si>
  <si>
    <t>Avenida Lima Sur, Chosica, Lima Metropolitana, Lima, 15468, Perú, (Ruta4507nueva era 23-10-23)</t>
  </si>
  <si>
    <t>56 km/h</t>
  </si>
  <si>
    <t>Avenida Lima Sur, 275, Chosica, Lima Metropolitana, Lima, 15468, Perú, (Ruta4507nueva era 23-10-23)</t>
  </si>
  <si>
    <t>41 km/h</t>
  </si>
  <si>
    <t>46 km/h</t>
  </si>
  <si>
    <t>Jose Carlos Mariátegui, Ricardo Palma, Lima Metropolitana, Lima, 15468, Perú, (PARADERO RICARDO PALMA, Exceso de Velocidad)</t>
  </si>
  <si>
    <t>Jirón Trujillo Sur, Chosica, Lima Metropolitana, Lima, 15468, Perú, (Ruta4507nueva era 23-10-23)</t>
  </si>
  <si>
    <t>Avenida Lima Sur, 765, Chosica, Lima Metropolitana, Lima, 15468, Perú, (Ruta4507nueva era 23-10-23)</t>
  </si>
  <si>
    <t>Jirón Chucuito, 187, Chosica, Lima Metropolitana, Lima, 15468, Perú, (Ruta4507nueva era 23-10-23)</t>
  </si>
  <si>
    <t>Avenida Lima Sur, Chosica, Lima Metropolitana, Lima, 15468, Perú, (S09 CHOSICA/ PEDREGAL, Ruta4507nueva era 23-10-23)</t>
  </si>
  <si>
    <t>Carretera Central, Lurigancho, Lima Metropolitana, Lima, 15472, Perú, (Ruta4507nueva era 23-10-23)</t>
  </si>
  <si>
    <t>63 km/h</t>
  </si>
  <si>
    <t>Avenida Nicolás Ayllón, 161 C, Chaclacayo, Lima Metropolitana, Lima, 15464, Perú, (Ruta4507nueva era 23-10-23)</t>
  </si>
  <si>
    <t>43 km/h</t>
  </si>
  <si>
    <t>48 km/h</t>
  </si>
  <si>
    <t>64 km/h</t>
  </si>
  <si>
    <t>37 km/h</t>
  </si>
  <si>
    <t>27 km/h</t>
  </si>
  <si>
    <t>Avenida Las Torres, Ate, Lima Metropolitana, Lima, 15487, Perú</t>
  </si>
  <si>
    <t>Avenida Cajamarquilla, Ate, Lima Metropolitana, Lima, 15487, Perú, (Ruta4507nueva era 23-10-23)</t>
  </si>
  <si>
    <t>Avenida Nicolás de Ayllón, 836, Ate, Lima Metropolitana, Lima, 15487, Perú, (Ruta4507nueva era 23-10-23)</t>
  </si>
  <si>
    <t>Avenida Nicolás de Ayllón, Ate, Lima Metropolitana, Lima, 15498, Perú, (Ruta4507nueva era 23-10-23)</t>
  </si>
  <si>
    <t>Ate, Lima Metropolitana, Lima, 15498, Perú, (Ruta4507nueva era 23-10-23)</t>
  </si>
  <si>
    <t>Avenida Nicolás de Ayllón, Santa Anita, Lima Metropolitana, Lima, 15498, Perú, (Ruta4507nueva era 23-10-23)</t>
  </si>
  <si>
    <t>Avenida Nicolás de Ayllón, Santa Anita, Lima Metropolitana, Lima, 15009, Perú, (Ruta4507nueva era 23-10-23)</t>
  </si>
  <si>
    <t>Avenida Nicolás de Ayllón, Santa Anita, Lima Metropolitana, Lima, 15008, Perú, (Ruta4507nueva era 23-10-23)</t>
  </si>
  <si>
    <t>60 km/h</t>
  </si>
  <si>
    <t>Las Alondras, 237, Santa Anita, Lima Metropolitana, Lima, 15008, Perú, (Ruta4507nueva era 23-10-23)</t>
  </si>
  <si>
    <t>Las Alondras, Santa Anita, Lima Metropolitana, Lima, 15008, Perú, (Ruta4507nueva era 23-10-23)</t>
  </si>
  <si>
    <t>Las Alondras, 175, Santa Anita, Lima Metropolitana, Lima, 15008, Perú, (Ruta4507nueva era 23-10-23)</t>
  </si>
  <si>
    <t>Avenida Los Ruiseñores, Santa Anita, Lima Metropolitana, Lima, 15008, Perú, (Ruta4507nueva era 23-10-23)</t>
  </si>
  <si>
    <t>Avenida Nicolás de Ayllón, Santa Anita, Lima Metropolitana, Lima, 15008, Perú, (Ruta4507nueva era 23-10-23, RUTA DESVIO TEM.  4507)</t>
  </si>
  <si>
    <t>Vía de Evitamiento, Santa Anita, Lima Metropolitana, Lima, 15008, Perú, (Ruta4507nueva era 23-10-23, RUTA DESVIO TEM.  4507)</t>
  </si>
  <si>
    <t>49 km/h</t>
  </si>
  <si>
    <t>Avenida Nicolás de Ayllón, Ate, Lima Metropolitana, Lima, 15022, Perú, (Ruta4507nueva era 23-10-23, RUTA DESVIO TEM.  4507)</t>
  </si>
  <si>
    <t>Avenida Andrés Avelino Cáceres, Ate, Lima Metropolitana, Lima, 15019, Perú</t>
  </si>
  <si>
    <t>Calle Ollanta, San Luis, Lima Metropolitana, Lima, 15019, Perú</t>
  </si>
  <si>
    <t>Avenida Jaime Bausate y Meza, La Victoria, Lima Metropolitana, Lima, 15019, Perú</t>
  </si>
  <si>
    <t>Avenida Nicolás Ayllón, 137, Lima, Lima Metropolitana, Lima, 15011, Perú, (Ruta4507nueva era 23-10-23)</t>
  </si>
  <si>
    <t>Avenida Almirante Miguel Grau, Lima, Lima Metropolitana, Lima, 15011, Perú, (Ruta4507nueva era 23-10-23)</t>
  </si>
  <si>
    <t>Avenida Almirante Miguel Grau, 354, Lima, Lima Metropolitana, Lima, 15001, Perú, (Ruta4507nueva era 23-10-23)</t>
  </si>
  <si>
    <t>Avenida Almirante Miguel Grau, 243, Lima, Lima Metropolitana, Lima, 15001, Perú, (Ruta4507nueva era 23-10-23)</t>
  </si>
  <si>
    <t>Avenida Almirante Miguel Grau, 171, Lima, Lima Metropolitana, Lima, 15001, Perú, (Ruta4507nueva era 23-10-23)</t>
  </si>
  <si>
    <t>Metropolitano, Lima, Lima Metropolitana, Lima, 15083, Perú, (Ruta4507nueva era 23-10-23)</t>
  </si>
  <si>
    <t>Avenida Paseo de la República, Lima, Lima Metropolitana, Lima, 15083, Perú</t>
  </si>
  <si>
    <t>Avenida 28 de Julio, 1056, Jesús María, Lima Metropolitana, Lima, 15083, Perú</t>
  </si>
  <si>
    <t>Avenida 28 de Julio, 970, Jesús María, Lima Metropolitana, Lima, 15083, Perú</t>
  </si>
  <si>
    <t>Avenida 28 de Julio, 798, Lima, Lima Metropolitana, Lima, 15083, Perú</t>
  </si>
  <si>
    <t>Avenida 28 de Julio, 715, Jesús María, Lima Metropolitana, Lima, 15083, Perú</t>
  </si>
  <si>
    <t>Avenida Guzmán Blanco, 199, Lima, Lima Metropolitana, Lima, 15083, Perú</t>
  </si>
  <si>
    <t>Avenida Guzmán Blanco, 199, Lima, Lima Metropolitana, Lima, 15083, Perú, (Ruta4507nueva era 23-10-23)</t>
  </si>
  <si>
    <t>Avenida Guzmán Blanco, 321, Lima, Lima Metropolitana, Lima, 15046, Perú</t>
  </si>
  <si>
    <t>Avenida Guzmán Blanco, 290, Lima, Lima Metropolitana, Lima, 15083, Perú</t>
  </si>
  <si>
    <t>Avenida Guzmán Blanco, Lima, Lima Metropolitana, Lima, 15083, Perú</t>
  </si>
  <si>
    <t>Avenida Guzmán Blanco, 481, Lima, Lima Metropolitana, Lima, 15046, Perú</t>
  </si>
  <si>
    <t>Avenida Guzmán Blanco, 507, Lima, Lima Metropolitana, Lima, 15046, Perú</t>
  </si>
  <si>
    <t>Ciclovía Salaverry, Jesús María, Lima Metropolitana, Lima, 15083, Perú</t>
  </si>
  <si>
    <t>Avenida 28 de Julio, Jesús María, Lima Metropolitana, Lima, 15083, Perú</t>
  </si>
  <si>
    <t>Avenida República de Chile, Jesús María, Lima Metropolitana, Lima, 15083, Perú</t>
  </si>
  <si>
    <t>Avenida Paseo de la República, La Victoria, Lima Metropolitana, Lima, 15083, Perú</t>
  </si>
  <si>
    <t>Avenida Paseo de la República, 385, La Victoria, Lima Metropolitana, Lima, 15001, Perú</t>
  </si>
  <si>
    <t>Avenida Almirante Miguel Grau, La Victoria, Lima Metropolitana, Lima, 15001, Perú, (Ruta4507nueva era 23-10-23)</t>
  </si>
  <si>
    <t>Vía Expresa Almirante Miguel Grau, La Victoria, Lima Metropolitana, Lima, 15001, Perú, (S02 AV.GRAU/ JR ANDAHUAYLAS, Ruta4507nueva era 23-10-23)</t>
  </si>
  <si>
    <t>Vía Expresa Almirante Miguel Grau, Lima, Lima Metropolitana, Lima, 15001, Perú, (Ruta4507nueva era 23-10-23)</t>
  </si>
  <si>
    <t>Avenida Almirante Miguel Grau, 800, La Victoria, Lima Metropolitana, Lima, 15011, Perú, (Ruta4507nueva era 23-10-23)</t>
  </si>
  <si>
    <t>Avenida Almirante Miguel Grau, 854, La Victoria, Lima Metropolitana, Lima, 15011, Perú, (Ruta4507nueva era 23-10-23)</t>
  </si>
  <si>
    <t>Avenida Almirante Miguel Grau, 1005, Lima, Lima Metropolitana, Lima, 15011, Perú, (Ruta4507nueva era 23-10-23)</t>
  </si>
  <si>
    <t>Jirón Huánuco, Lima, Lima Metropolitana, Lima, 15011, Perú, (Ruta4507nueva era 23-10-23)</t>
  </si>
  <si>
    <t>Prolongación Avenida San Pablo, Lima, Lima Metropolitana, Lima, 15011, Perú</t>
  </si>
  <si>
    <t>Avenida José de la Riva Aguero, Lima, Lima Metropolitana, Lima, 15004, Perú</t>
  </si>
  <si>
    <t>Avenida Inca Garcilazo de la Vega, El Agustino, Lima Metropolitana, Lima, 15004, Perú</t>
  </si>
  <si>
    <t>Avenida Inca Garcilazo de la Vega, El Agustino, Lima Metropolitana, Lima, 15004, Perú, (Ruta4507nueva era 23-10-23)</t>
  </si>
  <si>
    <t>Pasaje Tahuantinsuyo, San Luis, Lima Metropolitana, Lima, 15019, Perú</t>
  </si>
  <si>
    <t>Calle Angel Cepollini, San Luis, Lima Metropolitana, Lima, 15019, Perú</t>
  </si>
  <si>
    <t>Avenida Nicolás de Ayllón, San Luis, Lima Metropolitana, Lima, 15019, Perú, (Ruta4507nueva era 23-10-23)</t>
  </si>
  <si>
    <t>Avenida Circunvalación, La Victoria, Lima Metropolitana, Lima, 15019, Perú</t>
  </si>
  <si>
    <t>Avenida Nicolás Arriola, San Luis, Lima Metropolitana, Lima, 15019, Perú, (RUTA DESVIO TEM.  4507)</t>
  </si>
  <si>
    <t>Avenida Santa Cecilia, Ate, Lima Metropolitana, Lima, 15002, Perú, (Ruta4507nueva era 23-10-23, RUTA DESVIO TEM.  4507)</t>
  </si>
  <si>
    <t>Avenida Nicolás de Ayllón, Ate, Lima Metropolitana, Lima, 15002, Perú, (Ruta4507nueva era 23-10-23)</t>
  </si>
  <si>
    <t>Avenida Nicolás de Ayllón, Ate, Lima Metropolitana, Lima, 15008, Perú</t>
  </si>
  <si>
    <t>Avenida Nicolás de Ayllón, El Agustino, Lima Metropolitana, Lima, 15008, Perú, (Ruta4507nueva era 23-10-23, RUTA DESVIO TEM.  4507)</t>
  </si>
  <si>
    <t>Vía de Evitamiento, Ate, Lima Metropolitana, Lima, 15008, Perú</t>
  </si>
  <si>
    <t>Avenida Nicolás de Ayllón, Ate, Lima Metropolitana, Lima, 15008, Perú, (Ruta4507nueva era 23-10-23, RUTA DESVIO TEM.  4507)</t>
  </si>
  <si>
    <t>Pasaje Santa Rosa, Ate, Lima Metropolitana, Lima, 15008, Perú</t>
  </si>
  <si>
    <t>Pasaje Santa Rosa, Ate, Lima Metropolitana, Lima, 15008, Perú, (Ruta4507nueva era 23-10-23)</t>
  </si>
  <si>
    <t>Avenida Nicolás de Ayllón, 2950, Ate, Lima Metropolitana, Lima, 15008, Perú, (Ruta4507nueva era 23-10-23)</t>
  </si>
  <si>
    <t>Avenida Los Castillos, Ate, Lima Metropolitana, Lima, 15008, Perú</t>
  </si>
  <si>
    <t>Avenida Nicolás de Ayllón, C 32, Ate, Lima Metropolitana, Lima, 15008, Perú, (Ruta4507nueva era 23-10-23)</t>
  </si>
  <si>
    <t>Avenida La Molina, Ate, Lima Metropolitana, Lima, 15008, Perú, (Ruta4507nueva era 23-10-23)</t>
  </si>
  <si>
    <t>Avenida Nicolás de Ayllón, Ate, Lima Metropolitana, Lima, 15009, Perú, (Ruta4507nueva era 23-10-23)</t>
  </si>
  <si>
    <t>Avenida Nicolás de Ayllón, Km. 3.5, Santa Anita, Lima Metropolitana, Lima, 00051, Perú, (Ruta4507nueva era 23-10-23)</t>
  </si>
  <si>
    <t>57 km/h</t>
  </si>
  <si>
    <t>Avenida Separadora Industrial, Ate, Lima Metropolitana, Lima, 15498, Perú, (Ruta4507nueva era 23-10-23)</t>
  </si>
  <si>
    <t>Víctor Raúl Haya de la Torre, Ate, Lima Metropolitana, Lima, 15498, Perú</t>
  </si>
  <si>
    <t>Avenida José Carlos Mariátegui, Ate, Lima Metropolitana, Lima, 15498, Perú, (Ruta4507nueva era 23-10-23, RUTA DESVIO TEM.  4507)</t>
  </si>
  <si>
    <t>39 km/h</t>
  </si>
  <si>
    <t>Avenida Nueva Neópolis, Ate, Lima Metropolitana, Lima, 15487, Perú, (Ruta4507nueva era 23-10-23)</t>
  </si>
  <si>
    <t>Ate, Lima Metropolitana, Lima, 15487, Perú, (Ruta4507nueva era 23-10-23)</t>
  </si>
  <si>
    <t>Ate, Lima Metropolitana, Lima, 15483, Perú, (Ruta4507nueva era 23-10-23)</t>
  </si>
  <si>
    <t>Avenida Jaime Zubieta Calderón, Ate, Lima Metropolitana, Lima, 15483, Perú, (Ruta4507nueva era 23-10-23)</t>
  </si>
  <si>
    <t>30 km/h</t>
  </si>
  <si>
    <t>Avenida Lima Sur, 1471, Chosica, Lima Metropolitana, Lima, 15468, Perú, (Ruta4507nueva era 23-10-23)</t>
  </si>
  <si>
    <t>Jirón Iquitos, Chosica, Lima Metropolitana, Lima, 15468, Perú</t>
  </si>
  <si>
    <t>Calle Salaverry, 280, Chosica, Lima Metropolitana, Lima, 15468, Perú, (Ruta4507nueva era 23-10-23)</t>
  </si>
  <si>
    <t>Calle Salaverry, 280, Chosica, Lima Metropolitana, Lima, 15468, Perú</t>
  </si>
  <si>
    <t>Jirón Trujillo Norte, Chosica, Lima Metropolitana, Lima, 15468, Perú</t>
  </si>
  <si>
    <t>Jirón Trujillo Sur, 378, Chosica, Lima Metropolitana, Lima, 15468, Perú, (Ruta4507nueva era 23-10-23)</t>
  </si>
  <si>
    <t>Jirón Trujillo Sur, 496, Chosica, Lima Metropolitana, Lima, 15468, Perú, (Ruta4507nueva era 23-10-23)</t>
  </si>
  <si>
    <t>Jirón Tacna, Chosica, Lima Metropolitana, Lima, 15468, Perú, (Ruta4507nueva era 23-10-23)</t>
  </si>
  <si>
    <t>Jirón Tacna, Chosica, Lima Metropolitana, Lima, 15468, Perú</t>
  </si>
  <si>
    <t>Calle Las Orquideas, Chosica, Lima Metropolitana, Lima, 15468, Perú, (Ruta4507nueva era 23-10-23)</t>
  </si>
  <si>
    <t>Carretera Central, Ate, Lima Metropolitana, Lima, 15483, Perú, (Ruta4507nueva era 23-10-23)</t>
  </si>
  <si>
    <t>73 km/h</t>
  </si>
  <si>
    <t>61 km/h</t>
  </si>
  <si>
    <t>Calle Las Praderas, Ate, Lima Metropolitana, Lima, 15487, Perú, (Ruta4507nueva era 23-10-23)</t>
  </si>
  <si>
    <t>Avenida Nicolás de Ayllón, 5880, Ate, Lima Metropolitana, Lima, 15498, Perú, (S05Vitarte/ ALT. Hospital, Ruta4507nueva era 23-10-23)</t>
  </si>
  <si>
    <t>Avenida Nicolás de Ayllón, 15498, Ate, Lima Metropolitana, Lima, 15498, Perú, (Ruta4507nueva era 23-10-23)</t>
  </si>
  <si>
    <t>Victor Raul Haya de la Torre, Ate, Lima Metropolitana, Lima, 15498, Perú, (Ruta4507nueva era 23-10-23)</t>
  </si>
  <si>
    <t>Avenida Nicolás de Ayllón, Santa Anita, Lima Metropolitana, Lima, 15008, Perú</t>
  </si>
  <si>
    <t>Avenida Nicolás de Ayllón, El Agustino, Lima Metropolitana, Lima, 15008, Perú, (Ruta4507nueva era 23-10-23)</t>
  </si>
  <si>
    <t>Avenida Santa Rosa, El Agustino, Lima Metropolitana, Lima, 15002, Perú, (Ruta4507nueva era 23-10-23, RUTA DESVIO TEM.  4507)</t>
  </si>
  <si>
    <t>Avenida Inca Garcilazo de la Vega, Lima, Lima Metropolitana, Lima, 15004, Perú</t>
  </si>
  <si>
    <t>Avenida Almirante Miguel Grau, 1299, Lima, Lima Metropolitana, Lima, 15011, Perú, (Ruta4507nueva era 23-10-23)</t>
  </si>
  <si>
    <t>51 km/h</t>
  </si>
  <si>
    <t>Avenida Paseo de la República, La Victoria, Lima Metropolitana, Lima, 15001, Perú, (Ruta4507nueva era 23-10-23)</t>
  </si>
  <si>
    <t>Avenida Paseo de la República, 400, Jesús María, Lima Metropolitana, Lima, 15001, Perú</t>
  </si>
  <si>
    <t>Avenida 28 de Julio, 772, Lima, Lima Metropolitana, Lima, 15083, Perú</t>
  </si>
  <si>
    <t>Plaza Francisco Bolognesi, 590, Jesús María, Lima Metropolitana, Lima, 15083, Perú, (Ruta4507nueva era 23-10-23)</t>
  </si>
  <si>
    <t>Avenida Alfonso Ugarte, 1439, Lima, Lima Metropolitana, Lima, 15083, Perú, (Ruta4507nueva era 23-10-23)</t>
  </si>
  <si>
    <t>Avenida Alfonso Ugarte, Breña, Lima Metropolitana, Lima, 15083, Perú, (Ruta4507nueva era 23-10-23)</t>
  </si>
  <si>
    <t>Avenida Alfonso Ugarte, 1409, Lima, Lima Metropolitana, Lima, 15083, Perú, (Ruta4507nueva era 23-10-23)</t>
  </si>
  <si>
    <t>Avenida Alfonso Ugarte, 1302, Breña, Lima Metropolitana, Lima, 15083, Perú, (Ruta4507nueva era 23-10-23)</t>
  </si>
  <si>
    <t>Avenida Alfonso Ugarte, 1280, Breña, Lima Metropolitana, Lima, 15083, Perú, (Ruta4507nueva era 23-10-23)</t>
  </si>
  <si>
    <t>Avenida Alfonso Ugarte, 1029, Lima, Lima Metropolitana, Lima, 15082, Perú, (S01Alfonso Ugarte/ Metro)</t>
  </si>
  <si>
    <t>Avenida Alfonso Ugarte, Cdra. 9, Lima, Lima Metropolitana, Lima, 15082, Perú, (Ruta4507nueva era 23-10-23)</t>
  </si>
  <si>
    <t>Avenida Alfonso Ugarte, 1006, Breña, Lima Metropolitana, Lima, 15082, Perú, (Ruta4507nueva era 23-10-23)</t>
  </si>
  <si>
    <t>Avenida Alfonso Ugarte, Lima, Lima Metropolitana, Lima, 15082, Perú, (Ruta4507nueva era 23-10-23)</t>
  </si>
  <si>
    <t>Jirón Sánchez Pinillos, 189, Lima, Lima Metropolitana, Lima, 15082, Perú, (Ruta4507nueva era 23-10-23)</t>
  </si>
  <si>
    <t>Jirón Huarochirí, 643, Lima, Lima Metropolitana, Lima, 15082, Perú</t>
  </si>
  <si>
    <t>Jirón Huarochirí, 643, Lima, Lima Metropolitana, Lima, 15082, Perú, (Ruta4507nueva era 23-10-23)</t>
  </si>
  <si>
    <t>Avenida Óscar Raimundo Benavides, 150, Lima, Lima Metropolitana, Lima, 15082, Perú</t>
  </si>
  <si>
    <t>Avenida Óscar Raimundo Benavides, 153, Lima, Lima Metropolitana, Lima, 15082, Perú</t>
  </si>
  <si>
    <t>Ciclovía Colonial, Lima, Lima Metropolitana, Lima, 15082, Perú</t>
  </si>
  <si>
    <t>Avenida Alfonso Ugarte, 1006, Lima, Lima Metropolitana, Lima, 15082, Perú</t>
  </si>
  <si>
    <t>Jirón Chacas, Breña, Lima Metropolitana, Lima, 15082, Perú</t>
  </si>
  <si>
    <t>Avenida Alfonso Ugarte, 1280, Breña, Lima Metropolitana, Lima, 15083, Perú</t>
  </si>
  <si>
    <t>Acobamba, Lima, Lima Metropolitana, Lima, 15083, Perú</t>
  </si>
  <si>
    <t>Avenida Guzmán Blanco, 439, Lima, Lima Metropolitana, Lima, 15046, Perú</t>
  </si>
  <si>
    <t>Avenida Guzmán Blanco, 545, Lima, Lima Metropolitana, Lima, 15046, Perú</t>
  </si>
  <si>
    <t>Jirón Yauyos, 258, Lima, Lima Metropolitana, Lima, 15083, Perú</t>
  </si>
  <si>
    <t>Avenida Garcilazo de la Vega, Lima, Lima Metropolitana, Lima, 15083, Perú</t>
  </si>
  <si>
    <t>Avenida Paseo de la República, 683, La Victoria, Lima Metropolitana, Lima, 15083, Perú</t>
  </si>
  <si>
    <t>Avenida Almirante Miguel Grau, 351, La Victoria, Lima Metropolitana, Lima, 15001, Perú</t>
  </si>
  <si>
    <t>Avenida Almirante Miguel Grau, Lima, Lima Metropolitana, Lima, 15001, Perú, (S02 AV.GRAU/ JR ANDAHUAYLAS, Ruta4507nueva era 23-10-23)</t>
  </si>
  <si>
    <t>Avenida Almirante Miguel Grau, 619, Lima, Lima Metropolitana, Lima, 15001, Perú, (S02 AV.GRAU/ JR ANDAHUAYLAS, Ruta4507nueva era 23-10-23)</t>
  </si>
  <si>
    <t>Vía Expresa Almirante Miguel Grau, Lima, Lima Metropolitana, Lima, 15011, Perú, (Ruta4507nueva era 23-10-23)</t>
  </si>
  <si>
    <t>Calle 28 de Diciembre, San Luis, Lima Metropolitana, Lima, 15019, Perú</t>
  </si>
  <si>
    <t>Auxiliar Avenida Nicolás Arriola, San Luis, Lima Metropolitana, Lima, 15019, Perú, (RUTA DESVIO TEM.  4507)</t>
  </si>
  <si>
    <t>Avenida Nicolás de Ayllón, 1912, Ate, Lima Metropolitana, Lima, 15002, Perú, (Ruta4507nueva era 23-10-23, RUTA DESVIO TEM.  4507)</t>
  </si>
  <si>
    <t>Vía de Evitamiento, Ate, Lima Metropolitana, Lima, 15008, Perú, (Ruta4507nueva era 23-10-23)</t>
  </si>
  <si>
    <t>Avenida Nicolás de Ayllón, 1308, Ate, Lima Metropolitana, Lima, 15009, Perú, (Ruta4507nueva era 23-10-23)</t>
  </si>
  <si>
    <t>Víctor Raúl Haya de la Torre, Ate, Lima Metropolitana, Lima, 15498, Perú, (Ruta4507nueva era 23-10-23, RUTA DESVIO TEM.  4507)</t>
  </si>
  <si>
    <t>Victor Raul Haya de la Torre, Ate, Lima Metropolitana, Lima, 15498, Perú, (Ruta4507nueva era 23-10-23, RUTA DESVIO TEM.  4507)</t>
  </si>
  <si>
    <t>Avenida José Carlos Mariátegui, Ate, Lima Metropolitana, Lima, 15498, Perú, (S05Vitarte/ ALT. Hospital, Ruta4507nueva era 23-10-23)</t>
  </si>
  <si>
    <t>Carretera Central, Ate, Lima Metropolitana, Lima, 15483, Perú</t>
  </si>
  <si>
    <t>Chaclacayo, Lima Metropolitana, Lima, 15474, Perú, (Ruta4507nueva era 23-10-23)</t>
  </si>
  <si>
    <t>Avenida Nicolás Ayllón, 161 C, Chaclacayo, Lima Metropolitana, Lima, 15464, Perú</t>
  </si>
  <si>
    <t>Avenida Nicolás Ayllón, 161 C, Chaclacayo, Lima Metropolitana, Lima, 15472, Perú</t>
  </si>
  <si>
    <t>Avenida Nicolás Ayllón, 2032, Chaclacayo, Lima Metropolitana, Lima, 15472, Perú, (Ruta4507nueva era 23-10-23)</t>
  </si>
  <si>
    <t>Carretera Central, Lurigancho, Lima Metropolitana, Lima, 15483, Perú</t>
  </si>
  <si>
    <t>Jirón Cornelio Borda, Breña, Lima Metropolitana, Lima, 15082, Perú, (Ruta4507nueva era 23-10-23)</t>
  </si>
  <si>
    <t>Jirón Cornelio Borda, Breña, Lima Metropolitana, Lima, 15082, Perú</t>
  </si>
  <si>
    <t>Abraham Valdelomar, Ricardo Palma, Huarochirí, Lima, 15468, Perú</t>
  </si>
  <si>
    <t>Calle Digoberto Ojeda, Ricardo Palma, Huarochirí, Lima, 15468, Perú</t>
  </si>
  <si>
    <t>Pasaje Gould, Lima, Lima Metropolitana, Lima, 15082, Perú, (PARADERO DESTINO ASCOPE)</t>
  </si>
  <si>
    <t>Avenida Nicolás Ayllón, Lima, Lima Metropolitana, Lima, 15011, Perú, (Ruta4507nueva era 23-10-23)</t>
  </si>
  <si>
    <t>Calle Abraham Valdelomar, 108, Ricardo Palma, Huarochirí, Lima, 15468, Perú</t>
  </si>
  <si>
    <t>Avenida Nicolás de Ayllón, 2691, El Agustino, Lima Metropolitana, Lima, 15002, Perú, (Ruta4507nueva era 23-10-23, RUTA DESVIO TEM.  4507)</t>
  </si>
  <si>
    <t>Avenida Nicolás de Ayllón, 2691, El Agustino, Lima Metropolitana, Lima, 15002, Perú, (Ruta4507nueva era 23-10-23)</t>
  </si>
  <si>
    <t>Simón Bolívar, Ricardo Palma, Huarochirí, Lima, 15468, Perú, (Ruta4507nueva era 23-10-23)</t>
  </si>
  <si>
    <t>Avenida Lima Norte, Santa Eulalia, Huarochirí, Lima, 15468, Perú</t>
  </si>
  <si>
    <t>Calle Marco Carhuas, Santa Eulalia, Huarochirí, Lima, 15468, Perú</t>
  </si>
  <si>
    <t>Jirón Huarochirí, Lima, Lima Metropolitana, Lima, 15082, Perú</t>
  </si>
  <si>
    <t>Prolongación Javier Prado Este, Ate, Lima Metropolitana, Lima, 15498, Perú, (Ruta4507nueva era 23-10-23, RUTA DESVIO TEM.  4507)</t>
  </si>
  <si>
    <t>Avenida Nicolás de Ayllón, km 6.5, Ate, Lima Metropolitana, Lima, 15498, Perú, (Ruta4507nueva era 23-10-23)</t>
  </si>
  <si>
    <t>Carretera Central, Frnt G3, Lurigancho, Lima Metropolitana, Lima, 15472, Perú, (Ruta4507nueva era 23-10-23)</t>
  </si>
  <si>
    <t>Jirón Zorritos, 612, Lima, Lima Metropolitana, Lima, 15082, Perú</t>
  </si>
  <si>
    <t>Calle Arequipa, Ate, Lima Metropolitana, Lima, 15498, Perú</t>
  </si>
  <si>
    <t>Avenida Alfonso Ugarte, 650, Lima, Lima Metropolitana, Lima, 15082, Perú, (Ruta4507nueva era 23-10-23)</t>
  </si>
  <si>
    <t>Avenida Óscar Raimundo Benavides, 150, Lima, Lima Metropolitana, Lima, 15082, Perú, (Ruta4507nueva era 23-10-23)</t>
  </si>
  <si>
    <t>69 km/h</t>
  </si>
  <si>
    <t>Carretera Central, Ricardo Palma, Huarochirí, Lima, 15468, Perú</t>
  </si>
  <si>
    <t>Ricardo Palma, Huarochirí, Lima, 15468, Perú, (Ruta4507nueva era 23-10-23)</t>
  </si>
  <si>
    <t>Avenida Almirante Miguel Grau, 1804, Lima, Lima Metropolitana, Lima, 15011, Perú</t>
  </si>
  <si>
    <t>Calle Alameda Ñaña, Lurigancho, Lima Metropolitana, Lima, 15474, Perú</t>
  </si>
  <si>
    <t>Jirón Sánchez Pinillos, Lima, Lima Metropolitana, Lima, 15082, Perú, (Ruta4507nueva era 23-10-23)</t>
  </si>
  <si>
    <t>Avenida Jaime Zubieta Calderon, Ate, Lima Metropolitana, Lima, 15483, Perú, (Ruta4507nueva era 23-10-23)</t>
  </si>
  <si>
    <t>Avenida Jaime Zubieta Calderon, Ate, Lima Metropolitana, Lima, 15483, Perú</t>
  </si>
  <si>
    <t>Avenida Jaime Zubieta Calderón, Ate, Lima Metropolitana, Lima, 15483, Perú</t>
  </si>
  <si>
    <t>Avenida República de Venezuela, 199, Breña, Lima Metropolitana, Lima, 15082, Perú</t>
  </si>
  <si>
    <t>Jirón Coronel Miguel Baquero, 210, Lima, Lima Metropolitana, Lima, 15082, Perú</t>
  </si>
  <si>
    <t>Jirón Ascope, Lima, Lima Metropolitana, Lima, 15082, Perú, (PARADERO DESTINO ASCOPE, Ruta4507nueva era 23-10-23)</t>
  </si>
  <si>
    <t>Jirón Ascope, Lima, Lima Metropolitana, Lima, 15082, Perú, (PARADERO DESTINO ASCOPE)</t>
  </si>
  <si>
    <t>Avenida La Paz, Santa Eulalia, Huarochirí, Lima, 15500, Perú</t>
  </si>
  <si>
    <t>Avenida La Paz, G2, Santa Eulalia, Huarochirí, Lima, 15500, Perú</t>
  </si>
  <si>
    <t>Avenida Lima Norte, Santa Eulalia, Huarochirí, Lima, 15468, Perú, (Ruta4507nueva era 23-10-23)</t>
  </si>
  <si>
    <t>Ciclovía Colonial, Lima, Lima Metropolitana, Lima, 15082, Perú, (Ruta4507nueva era 23-10-23)</t>
  </si>
  <si>
    <t>Avenida Lima Sur, Chosica, Lima Metropolitana, Lima, 15468, Perú</t>
  </si>
  <si>
    <t>Puente Huampaní, Chaclacayo, Lima Metropolitana, Lima, 15472, Perú</t>
  </si>
  <si>
    <t>Calle Túpac Amaru, Lurigancho, Lima Metropolitana, Lima, 15472, Perú</t>
  </si>
  <si>
    <t>Calle Alhelíes, Chaclacayo, Lima Metropolitana, Lima, 15476, Perú</t>
  </si>
  <si>
    <t>Avenida Paseo de la República, Lima, Lima Metropolitana, Lima, 15083, Perú, (Ruta4507nueva era 23-10-23)</t>
  </si>
  <si>
    <t>Carretera Central, Chaclacayo, Lima Metropolitana, Lima, 15474, Perú</t>
  </si>
  <si>
    <t>Chaclacayo, Lima Metropolitana, Lima, 15474, Perú</t>
  </si>
  <si>
    <t>Avenida de La Cultura, Santa Anita, Lima Metropolitana, Lima, 15009, Perú</t>
  </si>
  <si>
    <t>Jirón Cornelio Borda, Lima, Lima Metropolitana, Lima, 15082, Perú</t>
  </si>
  <si>
    <t>Avenida Nicolás Ayllón, 2226, Chaclacayo, Lima Metropolitana, Lima, 15472, Perú, (Ruta4507nueva era 23-10-23)</t>
  </si>
  <si>
    <t>Avenida Nicolás de Ayllón, Ate, Lima Metropolitana, Lima, 15498, Perú, (RUTA DESVIO TEM.  4507)</t>
  </si>
  <si>
    <t>Avenida Central, Ate, Lima Metropolitana, Lima, 15498, Perú, (RUTA DESVIO TEM.  4507)</t>
  </si>
  <si>
    <t>Avenida Nicolás de Ayllón, Santa Anita, Lima Metropolitana, Lima, 00051, Perú, (Ruta4507nueva era 23-10-23)</t>
  </si>
  <si>
    <t>Avenida José de la Riva Aguero, El Agustino, Lima Metropolitana, Lima, 15004, Perú</t>
  </si>
  <si>
    <t>Almirante Miguel Grau, Chosica, Lima Metropolitana, Lima, 15468, Perú, (Ruta4507nueva era 23-10-23)</t>
  </si>
  <si>
    <t>Avenida Inca Garcilazo de la Vega, Lima, Lima Metropolitana, Lima, 15004, Perú, (Ruta4507nueva era 23-10-23)</t>
  </si>
  <si>
    <t>Avenida Nicolas de Pierola, Ate, Lima Metropolitana, Lima, 15487, Perú</t>
  </si>
  <si>
    <t>Avenida Esperanza, Ate, Lima Metropolitana, Lima, 15487, Perú</t>
  </si>
  <si>
    <t>Avenida Alfonso Ugarte, Ate, Lima Metropolitana, Lima, 15487, Perú</t>
  </si>
  <si>
    <t>Jirón Trujillo Norte, Chosica, Lima Metropolitana, Lima, 15468, Perú, (Ruta4507nueva era 23-10-23)</t>
  </si>
  <si>
    <t>Prolongación Javier Prado Este, Ate, Lima Metropolitana, Lima, 15498, Perú, (RUTA DESVIO TEM.  4507)</t>
  </si>
  <si>
    <t>Avenida José Carlos Mariátegui, Ate, Lima Metropolitana, Lima, 15483, Perú</t>
  </si>
  <si>
    <t>Avenida San Martín, Santa Eulalia, Huarochirí, Lima, 15468, Perú</t>
  </si>
  <si>
    <t>Vía de Evitamiento, Ate, Lima Metropolitana, Lima, 15008, Perú, (Ruta4507nueva era 23-10-23, RUTA DESVIO TEM.  4507)</t>
  </si>
  <si>
    <t>Vía de Evitamiento, Santa Anita, Lima Metropolitana, Lima, 15008, Perú, (Ruta4507nueva era 23-10-23)</t>
  </si>
  <si>
    <t>Avenida 15 de Julio, Ate, Lima Metropolitana, Lima, 15483, Perú</t>
  </si>
  <si>
    <t>Calle 28 de Julio, Chosica, Lima Metropolitana, Lima, 15468, Perú</t>
  </si>
  <si>
    <t>Calle 20 de Enero, Santa Eulalia, Huarochirí, Lima, 15468, Perú</t>
  </si>
  <si>
    <t>Calle Cesar Vallejo, Ricardo Palma, Huarochirí, Lima, 15468, Perú</t>
  </si>
  <si>
    <t>Calle 6, Santa Eulalia, Huarochirí, Lima, 15468, Perú</t>
  </si>
  <si>
    <t>Alameda E, Chaclacayo, Lima Metropolitana, Lima, 15476, Perú</t>
  </si>
  <si>
    <t>Avenida Lima Norte, Santa Eulalia, Lima Metropolitana, Lima, 15468, Perú, (Ruta4507nueva era 23-10-23)</t>
  </si>
  <si>
    <t>137 km/h</t>
  </si>
  <si>
    <t>110 km/h</t>
  </si>
  <si>
    <t>101 km/h</t>
  </si>
  <si>
    <t>117 km/h</t>
  </si>
  <si>
    <t>122 km/h</t>
  </si>
  <si>
    <t>157 km/h</t>
  </si>
  <si>
    <t>170 km/h</t>
  </si>
  <si>
    <t>Carretera Central, Ate, Lima Metropolitana, Lima, 15474, Perú, (Horacio Zeballos)</t>
  </si>
  <si>
    <t>166 km/h</t>
  </si>
  <si>
    <t>Avenida Nicolás Ayllón, Chaclacayo, Lima Metropolitana, Lima, 15464, Perú, (Ruta4507nueva era 23-10-23)</t>
  </si>
  <si>
    <t>142 km/h</t>
  </si>
  <si>
    <t>Avenida Nicolás Ayllón, 1159, Chaclacayo, Lima Metropolitana, Lima, 15472, Perú, (Ruta4507nueva era 23-10-23)</t>
  </si>
  <si>
    <t>109 km/h</t>
  </si>
  <si>
    <t>158 km/h</t>
  </si>
  <si>
    <t>Mariano Melgar, Chosica, Lima Metropolitana, Lima, 15468, Perú, (Ruta4507nueva era 23-10-23)</t>
  </si>
  <si>
    <t>139 km/h</t>
  </si>
  <si>
    <t>Avenida Lima Norte, 246, Chosica, Lima Metropolitana, Lima, 15468, Perú</t>
  </si>
  <si>
    <t>140 km/h</t>
  </si>
  <si>
    <t>Avenida Lima Norte, 246, Chosica, Lima Metropolitana, Lima, 15468, Perú, (Ruta4507nueva era 23-10-23)</t>
  </si>
  <si>
    <t>Avenida Lima Norte, 574, Santa Eulalia, Lima Metropolitana, Lima, 15468, Perú, (Ruta4507nueva era 23-10-23)</t>
  </si>
  <si>
    <t>162 km/h</t>
  </si>
  <si>
    <t>Calle Miguel Grau, Ate, Lima Metropolitana, Lima, 15487, Perú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</si>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</sst>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352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456</v>
      </c>
      <c r="B8" s="3">
        <v>45706.17967592593</v>
      </c>
      <c r="C8" t="s">
        <v>18</v>
      </c>
      <c r="D8" s="3">
        <v>45706.939930555556</v>
      </c>
      <c r="E8" t="s">
        <v>18</v>
      </c>
      <c r="F8" s="4">
        <v>238.41300000000001</v>
      </c>
      <c r="G8" s="4">
        <v>515092.63500000001</v>
      </c>
      <c r="H8" s="4">
        <v>515331.04800000001</v>
      </c>
      <c r="I8" s="5">
        <f>13833 / 86400</f>
        <v>0.16010416666666666</v>
      </c>
      <c r="J8" t="s">
        <v>19</v>
      </c>
      <c r="K8" t="s">
        <v>20</v>
      </c>
      <c r="L8" s="5">
        <f>47297 / 86400</f>
        <v>0.54741898148148149</v>
      </c>
      <c r="M8" s="5">
        <f>39092 / 86400</f>
        <v>0.45245370370370369</v>
      </c>
    </row>
    <row r="9" spans="1:13" x14ac:dyDescent="0.25">
      <c r="A9" t="s">
        <v>457</v>
      </c>
      <c r="B9" s="3">
        <v>45706.092129629629</v>
      </c>
      <c r="C9" t="s">
        <v>21</v>
      </c>
      <c r="D9" s="3">
        <v>45706.949374999997</v>
      </c>
      <c r="E9" t="s">
        <v>21</v>
      </c>
      <c r="F9" s="4">
        <v>302.22899999999998</v>
      </c>
      <c r="G9" s="4">
        <v>20492.742999999999</v>
      </c>
      <c r="H9" s="4">
        <v>20794.972000000002</v>
      </c>
      <c r="I9" s="5">
        <f>17181 / 86400</f>
        <v>0.19885416666666667</v>
      </c>
      <c r="J9" t="s">
        <v>22</v>
      </c>
      <c r="K9" t="s">
        <v>20</v>
      </c>
      <c r="L9" s="5">
        <f>59266 / 86400</f>
        <v>0.68594907407407413</v>
      </c>
      <c r="M9" s="5">
        <f>27130 / 86400</f>
        <v>0.31400462962962961</v>
      </c>
    </row>
    <row r="10" spans="1:13" x14ac:dyDescent="0.25">
      <c r="A10" t="s">
        <v>458</v>
      </c>
      <c r="B10" s="3">
        <v>45706.309745370367</v>
      </c>
      <c r="C10" t="s">
        <v>23</v>
      </c>
      <c r="D10" s="3">
        <v>45706.798055555555</v>
      </c>
      <c r="E10" t="s">
        <v>23</v>
      </c>
      <c r="F10" s="4">
        <v>1.369</v>
      </c>
      <c r="G10" s="4">
        <v>329549.08</v>
      </c>
      <c r="H10" s="4">
        <v>329550.44900000002</v>
      </c>
      <c r="I10" s="5">
        <f>60 / 86400</f>
        <v>6.9444444444444447E-4</v>
      </c>
      <c r="J10" t="s">
        <v>24</v>
      </c>
      <c r="K10" t="s">
        <v>25</v>
      </c>
      <c r="L10" s="5">
        <f>414 / 86400</f>
        <v>4.7916666666666663E-3</v>
      </c>
      <c r="M10" s="5">
        <f>85984 / 86400</f>
        <v>0.99518518518518517</v>
      </c>
    </row>
    <row r="11" spans="1:13" x14ac:dyDescent="0.25">
      <c r="A11" t="s">
        <v>459</v>
      </c>
      <c r="B11" s="3">
        <v>45706.286493055552</v>
      </c>
      <c r="C11" t="s">
        <v>26</v>
      </c>
      <c r="D11" s="3">
        <v>45706.926134259258</v>
      </c>
      <c r="E11" t="s">
        <v>26</v>
      </c>
      <c r="F11" s="4">
        <v>197.874</v>
      </c>
      <c r="G11" s="4">
        <v>21199.26</v>
      </c>
      <c r="H11" s="4">
        <v>21397.133999999998</v>
      </c>
      <c r="I11" s="5">
        <f>13354 / 86400</f>
        <v>0.15456018518518519</v>
      </c>
      <c r="J11" t="s">
        <v>27</v>
      </c>
      <c r="K11" t="s">
        <v>28</v>
      </c>
      <c r="L11" s="5">
        <f>44316 / 86400</f>
        <v>0.51291666666666669</v>
      </c>
      <c r="M11" s="5">
        <f>42078 / 86400</f>
        <v>0.48701388888888891</v>
      </c>
    </row>
    <row r="12" spans="1:13" x14ac:dyDescent="0.25">
      <c r="A12" t="s">
        <v>460</v>
      </c>
      <c r="B12" s="3">
        <v>45706.245497685188</v>
      </c>
      <c r="C12" t="s">
        <v>29</v>
      </c>
      <c r="D12" s="3">
        <v>45706.930254629631</v>
      </c>
      <c r="E12" t="s">
        <v>29</v>
      </c>
      <c r="F12" s="4">
        <v>238.95099999999999</v>
      </c>
      <c r="G12" s="4">
        <v>514422.22399999999</v>
      </c>
      <c r="H12" s="4">
        <v>514661.17499999999</v>
      </c>
      <c r="I12" s="5">
        <f>14680 / 86400</f>
        <v>0.1699074074074074</v>
      </c>
      <c r="J12" t="s">
        <v>30</v>
      </c>
      <c r="K12" t="s">
        <v>20</v>
      </c>
      <c r="L12" s="5">
        <f>48371 / 86400</f>
        <v>0.55984953703703699</v>
      </c>
      <c r="M12" s="5">
        <f>38021 / 86400</f>
        <v>0.44005787037037036</v>
      </c>
    </row>
    <row r="13" spans="1:13" x14ac:dyDescent="0.25">
      <c r="A13" t="s">
        <v>461</v>
      </c>
      <c r="B13" s="3">
        <v>45706.288553240738</v>
      </c>
      <c r="C13" t="s">
        <v>26</v>
      </c>
      <c r="D13" s="3">
        <v>45706.782638888893</v>
      </c>
      <c r="E13" t="s">
        <v>26</v>
      </c>
      <c r="F13" s="4">
        <v>3.3140000000000001</v>
      </c>
      <c r="G13" s="4">
        <v>93367.237999999998</v>
      </c>
      <c r="H13" s="4">
        <v>93370.551999999996</v>
      </c>
      <c r="I13" s="5">
        <f>706 / 86400</f>
        <v>8.1712962962962963E-3</v>
      </c>
      <c r="J13" t="s">
        <v>31</v>
      </c>
      <c r="K13" t="s">
        <v>32</v>
      </c>
      <c r="L13" s="5">
        <f>2014 / 86400</f>
        <v>2.3310185185185184E-2</v>
      </c>
      <c r="M13" s="5">
        <f>84381 / 86400</f>
        <v>0.97663194444444446</v>
      </c>
    </row>
    <row r="14" spans="1:13" x14ac:dyDescent="0.25">
      <c r="A14" t="s">
        <v>462</v>
      </c>
      <c r="B14" s="3">
        <v>45706.177418981482</v>
      </c>
      <c r="C14" t="s">
        <v>18</v>
      </c>
      <c r="D14" s="3">
        <v>45706.846192129626</v>
      </c>
      <c r="E14" t="s">
        <v>18</v>
      </c>
      <c r="F14" s="4">
        <v>247.577</v>
      </c>
      <c r="G14" s="4">
        <v>139175.28899999999</v>
      </c>
      <c r="H14" s="4">
        <v>139422.86600000001</v>
      </c>
      <c r="I14" s="5">
        <f>15794 / 86400</f>
        <v>0.18280092592592592</v>
      </c>
      <c r="J14" t="s">
        <v>33</v>
      </c>
      <c r="K14" t="s">
        <v>20</v>
      </c>
      <c r="L14" s="5">
        <f>49211 / 86400</f>
        <v>0.56957175925925929</v>
      </c>
      <c r="M14" s="5">
        <f>37182 / 86400</f>
        <v>0.43034722222222221</v>
      </c>
    </row>
    <row r="15" spans="1:13" x14ac:dyDescent="0.25">
      <c r="A15" t="s">
        <v>463</v>
      </c>
      <c r="B15" s="3">
        <v>45706.263888888891</v>
      </c>
      <c r="C15" t="s">
        <v>34</v>
      </c>
      <c r="D15" s="3">
        <v>45706.893773148149</v>
      </c>
      <c r="E15" t="s">
        <v>26</v>
      </c>
      <c r="F15" s="4">
        <v>218.46340211588145</v>
      </c>
      <c r="G15" s="4">
        <v>348709.90542341059</v>
      </c>
      <c r="H15" s="4">
        <v>348943.51630311867</v>
      </c>
      <c r="I15" s="5">
        <f>0 / 86400</f>
        <v>0</v>
      </c>
      <c r="J15" t="s">
        <v>27</v>
      </c>
      <c r="K15" t="s">
        <v>35</v>
      </c>
      <c r="L15" s="5">
        <f>38677 / 86400</f>
        <v>0.44765046296296296</v>
      </c>
      <c r="M15" s="5">
        <f>47722 / 86400</f>
        <v>0.552337962962963</v>
      </c>
    </row>
    <row r="16" spans="1:13" x14ac:dyDescent="0.25">
      <c r="A16" t="s">
        <v>464</v>
      </c>
      <c r="B16" s="3">
        <v>45706.169548611113</v>
      </c>
      <c r="C16" t="s">
        <v>36</v>
      </c>
      <c r="D16" s="3">
        <v>45706.676435185189</v>
      </c>
      <c r="E16" t="s">
        <v>36</v>
      </c>
      <c r="F16" s="4">
        <v>175.13200000000001</v>
      </c>
      <c r="G16" s="4">
        <v>484720.95500000002</v>
      </c>
      <c r="H16" s="4">
        <v>484896.087</v>
      </c>
      <c r="I16" s="5">
        <f>14398 / 86400</f>
        <v>0.16664351851851852</v>
      </c>
      <c r="J16" t="s">
        <v>37</v>
      </c>
      <c r="K16" t="s">
        <v>38</v>
      </c>
      <c r="L16" s="5">
        <f>41524 / 86400</f>
        <v>0.48060185185185184</v>
      </c>
      <c r="M16" s="5">
        <f>44873 / 86400</f>
        <v>0.51936342592592588</v>
      </c>
    </row>
    <row r="17" spans="1:13" x14ac:dyDescent="0.25">
      <c r="A17" t="s">
        <v>465</v>
      </c>
      <c r="B17" s="3">
        <v>45706.277129629627</v>
      </c>
      <c r="C17" t="s">
        <v>39</v>
      </c>
      <c r="D17" s="3">
        <v>45706.883437500001</v>
      </c>
      <c r="E17" t="s">
        <v>40</v>
      </c>
      <c r="F17" s="4">
        <v>201.28399999999999</v>
      </c>
      <c r="G17" s="4">
        <v>508933.61</v>
      </c>
      <c r="H17" s="4">
        <v>509134.89399999997</v>
      </c>
      <c r="I17" s="5">
        <f>14777 / 86400</f>
        <v>0.17103009259259258</v>
      </c>
      <c r="J17" t="s">
        <v>41</v>
      </c>
      <c r="K17" t="s">
        <v>38</v>
      </c>
      <c r="L17" s="5">
        <f>47346 / 86400</f>
        <v>0.54798611111111106</v>
      </c>
      <c r="M17" s="5">
        <f>39046 / 86400</f>
        <v>0.45192129629629629</v>
      </c>
    </row>
    <row r="18" spans="1:13" x14ac:dyDescent="0.25">
      <c r="A18" t="s">
        <v>466</v>
      </c>
      <c r="B18" s="3">
        <v>45706.238229166665</v>
      </c>
      <c r="C18" t="s">
        <v>42</v>
      </c>
      <c r="D18" s="3">
        <v>45706.923414351855</v>
      </c>
      <c r="E18" t="s">
        <v>42</v>
      </c>
      <c r="F18" s="4">
        <v>194.06100000000001</v>
      </c>
      <c r="G18" s="4">
        <v>408180.89299999998</v>
      </c>
      <c r="H18" s="4">
        <v>408374.95400000003</v>
      </c>
      <c r="I18" s="5">
        <f>23273 / 86400</f>
        <v>0.26936342592592594</v>
      </c>
      <c r="J18" t="s">
        <v>43</v>
      </c>
      <c r="K18" t="s">
        <v>44</v>
      </c>
      <c r="L18" s="5">
        <f>54169 / 86400</f>
        <v>0.62695601851851857</v>
      </c>
      <c r="M18" s="5">
        <f>32228 / 86400</f>
        <v>0.37300925925925926</v>
      </c>
    </row>
    <row r="19" spans="1:13" x14ac:dyDescent="0.25">
      <c r="A19" t="s">
        <v>467</v>
      </c>
      <c r="B19" s="3">
        <v>45706.220879629633</v>
      </c>
      <c r="C19" t="s">
        <v>45</v>
      </c>
      <c r="D19" s="3">
        <v>45706.786354166667</v>
      </c>
      <c r="E19" t="s">
        <v>45</v>
      </c>
      <c r="F19" s="4">
        <v>197.70500000000001</v>
      </c>
      <c r="G19" s="4">
        <v>438301.22899999999</v>
      </c>
      <c r="H19" s="4">
        <v>438498.93400000001</v>
      </c>
      <c r="I19" s="5">
        <f>14926 / 86400</f>
        <v>0.17275462962962962</v>
      </c>
      <c r="J19" t="s">
        <v>41</v>
      </c>
      <c r="K19" t="s">
        <v>28</v>
      </c>
      <c r="L19" s="5">
        <f>43956 / 86400</f>
        <v>0.50875000000000004</v>
      </c>
      <c r="M19" s="5">
        <f>42440 / 86400</f>
        <v>0.4912037037037037</v>
      </c>
    </row>
    <row r="20" spans="1:13" x14ac:dyDescent="0.25">
      <c r="A20" t="s">
        <v>468</v>
      </c>
      <c r="B20" s="3">
        <v>45706.335196759261</v>
      </c>
      <c r="C20" t="s">
        <v>46</v>
      </c>
      <c r="D20" s="3">
        <v>45706.866851851853</v>
      </c>
      <c r="E20" t="s">
        <v>21</v>
      </c>
      <c r="F20" s="4">
        <v>3.234</v>
      </c>
      <c r="G20" s="4">
        <v>55394.428999999996</v>
      </c>
      <c r="H20" s="4">
        <v>55397.663</v>
      </c>
      <c r="I20" s="5">
        <f>974 / 86400</f>
        <v>1.1273148148148148E-2</v>
      </c>
      <c r="J20" t="s">
        <v>47</v>
      </c>
      <c r="K20" t="s">
        <v>32</v>
      </c>
      <c r="L20" s="5">
        <f>2003 / 86400</f>
        <v>2.3182870370370371E-2</v>
      </c>
      <c r="M20" s="5">
        <f>84391 / 86400</f>
        <v>0.97674768518518518</v>
      </c>
    </row>
    <row r="21" spans="1:13" x14ac:dyDescent="0.25">
      <c r="A21" t="s">
        <v>469</v>
      </c>
      <c r="B21" s="3">
        <v>45706.249745370369</v>
      </c>
      <c r="C21" t="s">
        <v>48</v>
      </c>
      <c r="D21" s="3">
        <v>45706.678159722222</v>
      </c>
      <c r="E21" t="s">
        <v>48</v>
      </c>
      <c r="F21" s="4">
        <v>4.952</v>
      </c>
      <c r="G21" s="4">
        <v>217209.39300000001</v>
      </c>
      <c r="H21" s="4">
        <v>217214.345</v>
      </c>
      <c r="I21" s="5">
        <f>2271 / 86400</f>
        <v>2.6284722222222223E-2</v>
      </c>
      <c r="J21" t="s">
        <v>49</v>
      </c>
      <c r="K21" t="s">
        <v>50</v>
      </c>
      <c r="L21" s="5">
        <f>3776 / 86400</f>
        <v>4.3703703703703703E-2</v>
      </c>
      <c r="M21" s="5">
        <f>82616 / 86400</f>
        <v>0.95620370370370367</v>
      </c>
    </row>
    <row r="22" spans="1:13" x14ac:dyDescent="0.25">
      <c r="A22" t="s">
        <v>470</v>
      </c>
      <c r="B22" s="3">
        <v>45706.24591435185</v>
      </c>
      <c r="C22" t="s">
        <v>51</v>
      </c>
      <c r="D22" s="3">
        <v>45706.862824074073</v>
      </c>
      <c r="E22" t="s">
        <v>51</v>
      </c>
      <c r="F22" s="4">
        <v>154.27800000005959</v>
      </c>
      <c r="G22" s="4">
        <v>526070.61199999996</v>
      </c>
      <c r="H22" s="4">
        <v>526224.89099999995</v>
      </c>
      <c r="I22" s="5">
        <f>13156 / 86400</f>
        <v>0.15226851851851853</v>
      </c>
      <c r="J22" t="s">
        <v>52</v>
      </c>
      <c r="K22" t="s">
        <v>38</v>
      </c>
      <c r="L22" s="5">
        <f>37388 / 86400</f>
        <v>0.43273148148148149</v>
      </c>
      <c r="M22" s="5">
        <f>49002 / 86400</f>
        <v>0.56715277777777773</v>
      </c>
    </row>
    <row r="23" spans="1:13" x14ac:dyDescent="0.25">
      <c r="A23" t="s">
        <v>471</v>
      </c>
      <c r="B23" s="3">
        <v>45706.252303240741</v>
      </c>
      <c r="C23" t="s">
        <v>53</v>
      </c>
      <c r="D23" s="3">
        <v>45706.85324074074</v>
      </c>
      <c r="E23" t="s">
        <v>53</v>
      </c>
      <c r="F23" s="4">
        <v>202.03700000000001</v>
      </c>
      <c r="G23" s="4">
        <v>345562.72399999999</v>
      </c>
      <c r="H23" s="4">
        <v>345764.761</v>
      </c>
      <c r="I23" s="5">
        <f>17079 / 86400</f>
        <v>0.19767361111111112</v>
      </c>
      <c r="J23" t="s">
        <v>54</v>
      </c>
      <c r="K23" t="s">
        <v>28</v>
      </c>
      <c r="L23" s="5">
        <f>46207 / 86400</f>
        <v>0.5348032407407407</v>
      </c>
      <c r="M23" s="5">
        <f>40186 / 86400</f>
        <v>0.46511574074074075</v>
      </c>
    </row>
    <row r="24" spans="1:13" x14ac:dyDescent="0.25">
      <c r="A24" t="s">
        <v>472</v>
      </c>
      <c r="B24" s="3">
        <v>45706.254166666666</v>
      </c>
      <c r="C24" t="s">
        <v>55</v>
      </c>
      <c r="D24" s="3">
        <v>45706.832372685181</v>
      </c>
      <c r="E24" t="s">
        <v>55</v>
      </c>
      <c r="F24" s="4">
        <v>189.75899999999999</v>
      </c>
      <c r="G24" s="4">
        <v>426693.13400000002</v>
      </c>
      <c r="H24" s="4">
        <v>426882.89299999998</v>
      </c>
      <c r="I24" s="5">
        <f>11161 / 86400</f>
        <v>0.12917824074074075</v>
      </c>
      <c r="J24" t="s">
        <v>37</v>
      </c>
      <c r="K24" t="s">
        <v>20</v>
      </c>
      <c r="L24" s="5">
        <f>38190 / 86400</f>
        <v>0.44201388888888887</v>
      </c>
      <c r="M24" s="5">
        <f>48202 / 86400</f>
        <v>0.55789351851851854</v>
      </c>
    </row>
    <row r="25" spans="1:13" x14ac:dyDescent="0.25">
      <c r="A25" t="s">
        <v>473</v>
      </c>
      <c r="B25" s="3">
        <v>45706.22929398148</v>
      </c>
      <c r="C25" t="s">
        <v>26</v>
      </c>
      <c r="D25" s="3">
        <v>45706.803865740745</v>
      </c>
      <c r="E25" t="s">
        <v>26</v>
      </c>
      <c r="F25" s="4">
        <v>179.066</v>
      </c>
      <c r="G25" s="4">
        <v>13565.553</v>
      </c>
      <c r="H25" s="4">
        <v>13744.619000000001</v>
      </c>
      <c r="I25" s="5">
        <f>18417 / 86400</f>
        <v>0.21315972222222221</v>
      </c>
      <c r="J25" t="s">
        <v>56</v>
      </c>
      <c r="K25" t="s">
        <v>57</v>
      </c>
      <c r="L25" s="5">
        <f>45098 / 86400</f>
        <v>0.52196759259259262</v>
      </c>
      <c r="M25" s="5">
        <f>41293 / 86400</f>
        <v>0.47792824074074075</v>
      </c>
    </row>
    <row r="26" spans="1:13" x14ac:dyDescent="0.25">
      <c r="A26" t="s">
        <v>474</v>
      </c>
      <c r="B26" s="3">
        <v>45706.179178240738</v>
      </c>
      <c r="C26" t="s">
        <v>58</v>
      </c>
      <c r="D26" s="3">
        <v>45706.784097222218</v>
      </c>
      <c r="E26" t="s">
        <v>58</v>
      </c>
      <c r="F26" s="4">
        <v>210.529</v>
      </c>
      <c r="G26" s="4">
        <v>139153.427</v>
      </c>
      <c r="H26" s="4">
        <v>139363.95600000001</v>
      </c>
      <c r="I26" s="5">
        <f>15537 / 86400</f>
        <v>0.17982638888888888</v>
      </c>
      <c r="J26" t="s">
        <v>59</v>
      </c>
      <c r="K26" t="s">
        <v>28</v>
      </c>
      <c r="L26" s="5">
        <f>46088 / 86400</f>
        <v>0.53342592592592597</v>
      </c>
      <c r="M26" s="5">
        <f>40308 / 86400</f>
        <v>0.46652777777777776</v>
      </c>
    </row>
    <row r="27" spans="1:13" x14ac:dyDescent="0.25">
      <c r="A27" t="s">
        <v>475</v>
      </c>
      <c r="B27" s="3">
        <v>45706.229571759264</v>
      </c>
      <c r="C27" t="s">
        <v>26</v>
      </c>
      <c r="D27" s="3">
        <v>45706.935648148152</v>
      </c>
      <c r="E27" t="s">
        <v>26</v>
      </c>
      <c r="F27" s="4">
        <v>172.66200000000001</v>
      </c>
      <c r="G27" s="4">
        <v>6141.5320000000002</v>
      </c>
      <c r="H27" s="4">
        <v>6314.1940000000004</v>
      </c>
      <c r="I27" s="5">
        <f>26297 / 86400</f>
        <v>0.30436342592592591</v>
      </c>
      <c r="J27" t="s">
        <v>60</v>
      </c>
      <c r="K27" t="s">
        <v>25</v>
      </c>
      <c r="L27" s="5">
        <f>51305 / 86400</f>
        <v>0.59380787037037042</v>
      </c>
      <c r="M27" s="5">
        <f>35091 / 86400</f>
        <v>0.40614583333333332</v>
      </c>
    </row>
    <row r="28" spans="1:13" x14ac:dyDescent="0.25">
      <c r="A28" t="s">
        <v>476</v>
      </c>
      <c r="B28" s="3">
        <v>45706.215949074074</v>
      </c>
      <c r="C28" t="s">
        <v>36</v>
      </c>
      <c r="D28" s="3">
        <v>45706.757476851853</v>
      </c>
      <c r="E28" t="s">
        <v>36</v>
      </c>
      <c r="F28" s="4">
        <v>194.256</v>
      </c>
      <c r="G28" s="4">
        <v>387753.66899999999</v>
      </c>
      <c r="H28" s="4">
        <v>387947.92499999999</v>
      </c>
      <c r="I28" s="5">
        <f>12905 / 86400</f>
        <v>0.14936342592592591</v>
      </c>
      <c r="J28" t="s">
        <v>61</v>
      </c>
      <c r="K28" t="s">
        <v>62</v>
      </c>
      <c r="L28" s="5">
        <f>40460 / 86400</f>
        <v>0.46828703703703706</v>
      </c>
      <c r="M28" s="5">
        <f>45934 / 86400</f>
        <v>0.53164351851851854</v>
      </c>
    </row>
    <row r="29" spans="1:13" x14ac:dyDescent="0.25">
      <c r="A29" t="s">
        <v>477</v>
      </c>
      <c r="B29" s="3">
        <v>45706.146550925929</v>
      </c>
      <c r="C29" t="s">
        <v>63</v>
      </c>
      <c r="D29" s="3">
        <v>45706.719236111108</v>
      </c>
      <c r="E29" t="s">
        <v>63</v>
      </c>
      <c r="F29" s="4">
        <v>209.20499999994041</v>
      </c>
      <c r="G29" s="4">
        <v>524277.62</v>
      </c>
      <c r="H29" s="4">
        <v>524486.82499999995</v>
      </c>
      <c r="I29" s="5">
        <f>12857 / 86400</f>
        <v>0.14880787037037038</v>
      </c>
      <c r="J29" t="s">
        <v>64</v>
      </c>
      <c r="K29" t="s">
        <v>20</v>
      </c>
      <c r="L29" s="5">
        <f>41623 / 86400</f>
        <v>0.48174768518518518</v>
      </c>
      <c r="M29" s="5">
        <f>44774 / 86400</f>
        <v>0.51821759259259259</v>
      </c>
    </row>
    <row r="30" spans="1:13" x14ac:dyDescent="0.25">
      <c r="A30" t="s">
        <v>478</v>
      </c>
      <c r="B30" s="3">
        <v>45706</v>
      </c>
      <c r="C30" t="s">
        <v>65</v>
      </c>
      <c r="D30" s="3">
        <v>45706.99998842593</v>
      </c>
      <c r="E30" t="s">
        <v>66</v>
      </c>
      <c r="F30" s="4">
        <v>179.84200000000001</v>
      </c>
      <c r="G30" s="4">
        <v>412582.42099999997</v>
      </c>
      <c r="H30" s="4">
        <v>412762.26299999998</v>
      </c>
      <c r="I30" s="5">
        <f>13976 / 86400</f>
        <v>0.16175925925925927</v>
      </c>
      <c r="J30" t="s">
        <v>67</v>
      </c>
      <c r="K30" t="s">
        <v>38</v>
      </c>
      <c r="L30" s="5">
        <f>43455 / 86400</f>
        <v>0.50295138888888891</v>
      </c>
      <c r="M30" s="5">
        <f>42936 / 86400</f>
        <v>0.49694444444444447</v>
      </c>
    </row>
    <row r="31" spans="1:13" x14ac:dyDescent="0.25">
      <c r="A31" t="s">
        <v>479</v>
      </c>
      <c r="B31" s="3">
        <v>45706.232187500005</v>
      </c>
      <c r="C31" t="s">
        <v>68</v>
      </c>
      <c r="D31" s="3">
        <v>45706.770243055551</v>
      </c>
      <c r="E31" t="s">
        <v>68</v>
      </c>
      <c r="F31" s="4">
        <v>199.286</v>
      </c>
      <c r="G31" s="4">
        <v>403528.64199999999</v>
      </c>
      <c r="H31" s="4">
        <v>403727.92800000001</v>
      </c>
      <c r="I31" s="5">
        <f>13857 / 86400</f>
        <v>0.16038194444444445</v>
      </c>
      <c r="J31" t="s">
        <v>19</v>
      </c>
      <c r="K31" t="s">
        <v>62</v>
      </c>
      <c r="L31" s="5">
        <f>42404 / 86400</f>
        <v>0.49078703703703702</v>
      </c>
      <c r="M31" s="5">
        <f>43989 / 86400</f>
        <v>0.50913194444444443</v>
      </c>
    </row>
    <row r="32" spans="1:13" x14ac:dyDescent="0.25">
      <c r="A32" t="s">
        <v>480</v>
      </c>
      <c r="B32" s="3">
        <v>45706.266574074078</v>
      </c>
      <c r="C32" t="s">
        <v>69</v>
      </c>
      <c r="D32" s="3">
        <v>45706.782349537039</v>
      </c>
      <c r="E32" t="s">
        <v>69</v>
      </c>
      <c r="F32" s="4">
        <v>171.148</v>
      </c>
      <c r="G32" s="4">
        <v>407811.33899999998</v>
      </c>
      <c r="H32" s="4">
        <v>407982.48700000002</v>
      </c>
      <c r="I32" s="5">
        <f>11757 / 86400</f>
        <v>0.1360763888888889</v>
      </c>
      <c r="J32" t="s">
        <v>59</v>
      </c>
      <c r="K32" t="s">
        <v>62</v>
      </c>
      <c r="L32" s="5">
        <f>35222 / 86400</f>
        <v>0.40766203703703702</v>
      </c>
      <c r="M32" s="5">
        <f>51174 / 86400</f>
        <v>0.59229166666666666</v>
      </c>
    </row>
    <row r="33" spans="1:13" x14ac:dyDescent="0.25">
      <c r="A33" t="s">
        <v>481</v>
      </c>
      <c r="B33" s="3">
        <v>45706.298472222217</v>
      </c>
      <c r="C33" t="s">
        <v>70</v>
      </c>
      <c r="D33" s="3">
        <v>45706.693287037036</v>
      </c>
      <c r="E33" t="s">
        <v>70</v>
      </c>
      <c r="F33" s="4">
        <v>118.08399999999999</v>
      </c>
      <c r="G33" s="4">
        <v>348539.71799999999</v>
      </c>
      <c r="H33" s="4">
        <v>348657.80200000003</v>
      </c>
      <c r="I33" s="5">
        <f>10896 / 86400</f>
        <v>0.12611111111111112</v>
      </c>
      <c r="J33" t="s">
        <v>71</v>
      </c>
      <c r="K33" t="s">
        <v>57</v>
      </c>
      <c r="L33" s="5">
        <f>29951 / 86400</f>
        <v>0.34665509259259258</v>
      </c>
      <c r="M33" s="5">
        <f>56446 / 86400</f>
        <v>0.65331018518518513</v>
      </c>
    </row>
    <row r="34" spans="1:13" x14ac:dyDescent="0.25">
      <c r="A34" t="s">
        <v>482</v>
      </c>
      <c r="B34" s="3">
        <v>45706.112488425926</v>
      </c>
      <c r="C34" t="s">
        <v>72</v>
      </c>
      <c r="D34" s="3">
        <v>45706.659768518519</v>
      </c>
      <c r="E34" t="s">
        <v>72</v>
      </c>
      <c r="F34" s="4">
        <v>208.72499999999999</v>
      </c>
      <c r="G34" s="4">
        <v>41808.252</v>
      </c>
      <c r="H34" s="4">
        <v>42016.976999999999</v>
      </c>
      <c r="I34" s="5">
        <f>14098 / 86400</f>
        <v>0.16317129629629629</v>
      </c>
      <c r="J34" t="s">
        <v>59</v>
      </c>
      <c r="K34" t="s">
        <v>20</v>
      </c>
      <c r="L34" s="5">
        <f>42594 / 86400</f>
        <v>0.49298611111111112</v>
      </c>
      <c r="M34" s="5">
        <f>43801 / 86400</f>
        <v>0.50695601851851857</v>
      </c>
    </row>
    <row r="35" spans="1:13" x14ac:dyDescent="0.25">
      <c r="A35" t="s">
        <v>483</v>
      </c>
      <c r="B35" s="3">
        <v>45706</v>
      </c>
      <c r="C35" t="s">
        <v>73</v>
      </c>
      <c r="D35" s="3">
        <v>45706.997395833328</v>
      </c>
      <c r="E35" t="s">
        <v>74</v>
      </c>
      <c r="F35" s="4">
        <v>339.73399999999998</v>
      </c>
      <c r="G35" s="4">
        <v>47597.866999999998</v>
      </c>
      <c r="H35" s="4">
        <v>47937.601000000002</v>
      </c>
      <c r="I35" s="5">
        <f>22976 / 86400</f>
        <v>0.2659259259259259</v>
      </c>
      <c r="J35" t="s">
        <v>75</v>
      </c>
      <c r="K35" t="s">
        <v>20</v>
      </c>
      <c r="L35" s="5">
        <f>68979 / 86400</f>
        <v>0.79836805555555557</v>
      </c>
      <c r="M35" s="5">
        <f>17413 / 86400</f>
        <v>0.20153935185185184</v>
      </c>
    </row>
    <row r="36" spans="1:13" x14ac:dyDescent="0.25">
      <c r="A36" t="s">
        <v>484</v>
      </c>
      <c r="B36" s="3">
        <v>45706</v>
      </c>
      <c r="C36" t="s">
        <v>76</v>
      </c>
      <c r="D36" s="3">
        <v>45706.99998842593</v>
      </c>
      <c r="E36" t="s">
        <v>77</v>
      </c>
      <c r="F36" s="4">
        <v>304.36599999994041</v>
      </c>
      <c r="G36" s="4">
        <v>529005.38600000006</v>
      </c>
      <c r="H36" s="4">
        <v>529309.75199999998</v>
      </c>
      <c r="I36" s="5">
        <f>19869 / 86400</f>
        <v>0.22996527777777778</v>
      </c>
      <c r="J36" t="s">
        <v>78</v>
      </c>
      <c r="K36" t="s">
        <v>79</v>
      </c>
      <c r="L36" s="5">
        <f>58972 / 86400</f>
        <v>0.68254629629629626</v>
      </c>
      <c r="M36" s="5">
        <f>27422 / 86400</f>
        <v>0.31738425925925928</v>
      </c>
    </row>
    <row r="37" spans="1:13" x14ac:dyDescent="0.25">
      <c r="A37" t="s">
        <v>485</v>
      </c>
      <c r="B37" s="3">
        <v>45706.211493055554</v>
      </c>
      <c r="C37" t="s">
        <v>36</v>
      </c>
      <c r="D37" s="3">
        <v>45706.843530092592</v>
      </c>
      <c r="E37" t="s">
        <v>36</v>
      </c>
      <c r="F37" s="4">
        <v>174.57300000000001</v>
      </c>
      <c r="G37" s="4">
        <v>568960.19299999997</v>
      </c>
      <c r="H37" s="4">
        <v>569134.76699999999</v>
      </c>
      <c r="I37" s="5">
        <f>16380 / 86400</f>
        <v>0.18958333333333333</v>
      </c>
      <c r="J37" t="s">
        <v>80</v>
      </c>
      <c r="K37" t="s">
        <v>57</v>
      </c>
      <c r="L37" s="5">
        <f>43508 / 86400</f>
        <v>0.50356481481481485</v>
      </c>
      <c r="M37" s="5">
        <f>42888 / 86400</f>
        <v>0.49638888888888888</v>
      </c>
    </row>
    <row r="38" spans="1:13" x14ac:dyDescent="0.25">
      <c r="A38" t="s">
        <v>486</v>
      </c>
      <c r="B38" s="3">
        <v>45706.332604166666</v>
      </c>
      <c r="C38" t="s">
        <v>81</v>
      </c>
      <c r="D38" s="3">
        <v>45706.861493055556</v>
      </c>
      <c r="E38" t="s">
        <v>81</v>
      </c>
      <c r="F38" s="4">
        <v>5.3999999999999999E-2</v>
      </c>
      <c r="G38" s="4">
        <v>435880.17700000003</v>
      </c>
      <c r="H38" s="4">
        <v>435880.23100000003</v>
      </c>
      <c r="I38" s="5">
        <f>758 / 86400</f>
        <v>8.773148148148148E-3</v>
      </c>
      <c r="J38" t="s">
        <v>32</v>
      </c>
      <c r="K38" t="s">
        <v>82</v>
      </c>
      <c r="L38" s="5">
        <f>889 / 86400</f>
        <v>1.0289351851851852E-2</v>
      </c>
      <c r="M38" s="5">
        <f>85510 / 86400</f>
        <v>0.98969907407407409</v>
      </c>
    </row>
    <row r="39" spans="1:13" x14ac:dyDescent="0.25">
      <c r="A39" t="s">
        <v>487</v>
      </c>
      <c r="B39" s="3">
        <v>45706.234282407408</v>
      </c>
      <c r="C39" t="s">
        <v>48</v>
      </c>
      <c r="D39" s="3">
        <v>45706.794837962967</v>
      </c>
      <c r="E39" t="s">
        <v>48</v>
      </c>
      <c r="F39" s="4">
        <v>201.02599999999998</v>
      </c>
      <c r="G39" s="4">
        <v>516448.29800000001</v>
      </c>
      <c r="H39" s="4">
        <v>516650.89199999999</v>
      </c>
      <c r="I39" s="5">
        <f>15896 / 86400</f>
        <v>0.18398148148148147</v>
      </c>
      <c r="J39" t="s">
        <v>56</v>
      </c>
      <c r="K39" t="s">
        <v>28</v>
      </c>
      <c r="L39" s="5">
        <f>45230 / 86400</f>
        <v>0.52349537037037042</v>
      </c>
      <c r="M39" s="5">
        <f>41169 / 86400</f>
        <v>0.47649305555555554</v>
      </c>
    </row>
    <row r="40" spans="1:13" x14ac:dyDescent="0.25">
      <c r="A40" t="s">
        <v>488</v>
      </c>
      <c r="B40" s="3">
        <v>45706.231249999997</v>
      </c>
      <c r="C40" t="s">
        <v>83</v>
      </c>
      <c r="D40" s="3">
        <v>45706.79179398148</v>
      </c>
      <c r="E40" t="s">
        <v>84</v>
      </c>
      <c r="F40" s="4">
        <v>188.005</v>
      </c>
      <c r="G40" s="4">
        <v>506083.772</v>
      </c>
      <c r="H40" s="4">
        <v>506271.777</v>
      </c>
      <c r="I40" s="5">
        <f>19991 / 86400</f>
        <v>0.23137731481481483</v>
      </c>
      <c r="J40" t="s">
        <v>56</v>
      </c>
      <c r="K40" t="s">
        <v>57</v>
      </c>
      <c r="L40" s="5">
        <f>48431 / 86400</f>
        <v>0.56054398148148143</v>
      </c>
      <c r="M40" s="5">
        <f>37968 / 86400</f>
        <v>0.43944444444444447</v>
      </c>
    </row>
    <row r="41" spans="1:13" x14ac:dyDescent="0.25">
      <c r="A41" t="s">
        <v>489</v>
      </c>
      <c r="B41" s="3">
        <v>45706.409421296295</v>
      </c>
      <c r="C41" t="s">
        <v>85</v>
      </c>
      <c r="D41" s="3">
        <v>45706.99998842593</v>
      </c>
      <c r="E41" t="s">
        <v>86</v>
      </c>
      <c r="F41" s="4">
        <v>155.84</v>
      </c>
      <c r="G41" s="4">
        <v>352508.33899999998</v>
      </c>
      <c r="H41" s="4">
        <v>352664.179</v>
      </c>
      <c r="I41" s="5">
        <f>14760 / 86400</f>
        <v>0.17083333333333334</v>
      </c>
      <c r="J41" t="s">
        <v>59</v>
      </c>
      <c r="K41" t="s">
        <v>38</v>
      </c>
      <c r="L41" s="5">
        <f>37803 / 86400</f>
        <v>0.43753472222222223</v>
      </c>
      <c r="M41" s="5">
        <f>48586 / 86400</f>
        <v>0.56233796296296301</v>
      </c>
    </row>
    <row r="42" spans="1:13" x14ac:dyDescent="0.25">
      <c r="A42" t="s">
        <v>490</v>
      </c>
      <c r="B42" s="3">
        <v>45706.216516203705</v>
      </c>
      <c r="C42" t="s">
        <v>87</v>
      </c>
      <c r="D42" s="3">
        <v>45706.77207175926</v>
      </c>
      <c r="E42" t="s">
        <v>87</v>
      </c>
      <c r="F42" s="4">
        <v>208.904</v>
      </c>
      <c r="G42" s="4">
        <v>411662.23200000002</v>
      </c>
      <c r="H42" s="4">
        <v>411871.136</v>
      </c>
      <c r="I42" s="5">
        <f>14177 / 86400</f>
        <v>0.16408564814814816</v>
      </c>
      <c r="J42" t="s">
        <v>56</v>
      </c>
      <c r="K42" t="s">
        <v>20</v>
      </c>
      <c r="L42" s="5">
        <f>42676 / 86400</f>
        <v>0.4939351851851852</v>
      </c>
      <c r="M42" s="5">
        <f>43721 / 86400</f>
        <v>0.50603009259259257</v>
      </c>
    </row>
    <row r="43" spans="1:13" x14ac:dyDescent="0.25">
      <c r="A43" t="s">
        <v>491</v>
      </c>
      <c r="B43" s="3">
        <v>45706.151909722219</v>
      </c>
      <c r="C43" t="s">
        <v>26</v>
      </c>
      <c r="D43" s="3">
        <v>45706.804537037038</v>
      </c>
      <c r="E43" t="s">
        <v>26</v>
      </c>
      <c r="F43" s="4">
        <v>211.98099999999999</v>
      </c>
      <c r="G43" s="4">
        <v>442399.85</v>
      </c>
      <c r="H43" s="4">
        <v>442611.83100000001</v>
      </c>
      <c r="I43" s="5">
        <f>12912 / 86400</f>
        <v>0.14944444444444444</v>
      </c>
      <c r="J43" t="s">
        <v>80</v>
      </c>
      <c r="K43" t="s">
        <v>20</v>
      </c>
      <c r="L43" s="5">
        <f>43447 / 86400</f>
        <v>0.50285879629629626</v>
      </c>
      <c r="M43" s="5">
        <f>42950 / 86400</f>
        <v>0.49710648148148145</v>
      </c>
    </row>
    <row r="44" spans="1:13" x14ac:dyDescent="0.25">
      <c r="A44" t="s">
        <v>492</v>
      </c>
      <c r="B44" s="3">
        <v>45706.233726851853</v>
      </c>
      <c r="C44" t="s">
        <v>88</v>
      </c>
      <c r="D44" s="3">
        <v>45706.840740740736</v>
      </c>
      <c r="E44" t="s">
        <v>88</v>
      </c>
      <c r="F44" s="4">
        <v>192.66899999999998</v>
      </c>
      <c r="G44" s="4">
        <v>474744.80800000002</v>
      </c>
      <c r="H44" s="4">
        <v>474937.47700000001</v>
      </c>
      <c r="I44" s="5">
        <f>13919 / 86400</f>
        <v>0.16109953703703703</v>
      </c>
      <c r="J44" t="s">
        <v>30</v>
      </c>
      <c r="K44" t="s">
        <v>28</v>
      </c>
      <c r="L44" s="5">
        <f>43477 / 86400</f>
        <v>0.50320601851851854</v>
      </c>
      <c r="M44" s="5">
        <f>42914 / 86400</f>
        <v>0.49668981481481483</v>
      </c>
    </row>
    <row r="45" spans="1:13" x14ac:dyDescent="0.25">
      <c r="A45" t="s">
        <v>493</v>
      </c>
      <c r="B45" s="3">
        <v>45706</v>
      </c>
      <c r="C45" t="s">
        <v>89</v>
      </c>
      <c r="D45" s="3">
        <v>45706.991967592592</v>
      </c>
      <c r="E45" t="s">
        <v>83</v>
      </c>
      <c r="F45" s="4">
        <v>321.72199999999998</v>
      </c>
      <c r="G45" s="4">
        <v>415089.87599999999</v>
      </c>
      <c r="H45" s="4">
        <v>415411.598</v>
      </c>
      <c r="I45" s="5">
        <f>23708 / 86400</f>
        <v>0.27439814814814817</v>
      </c>
      <c r="J45" t="s">
        <v>90</v>
      </c>
      <c r="K45" t="s">
        <v>20</v>
      </c>
      <c r="L45" s="5">
        <f>65509 / 86400</f>
        <v>0.75820601851851854</v>
      </c>
      <c r="M45" s="5">
        <f>20883 / 86400</f>
        <v>0.2417013888888889</v>
      </c>
    </row>
    <row r="46" spans="1:13" x14ac:dyDescent="0.25">
      <c r="A46" t="s">
        <v>494</v>
      </c>
      <c r="B46" s="3">
        <v>45706.002743055556</v>
      </c>
      <c r="C46" t="s">
        <v>91</v>
      </c>
      <c r="D46" s="3">
        <v>45706.999814814815</v>
      </c>
      <c r="E46" t="s">
        <v>91</v>
      </c>
      <c r="F46" s="4">
        <v>303.18099999999998</v>
      </c>
      <c r="G46" s="4">
        <v>329113.34299999999</v>
      </c>
      <c r="H46" s="4">
        <v>329416.52399999998</v>
      </c>
      <c r="I46" s="5">
        <f>18750 / 86400</f>
        <v>0.2170138888888889</v>
      </c>
      <c r="J46" t="s">
        <v>19</v>
      </c>
      <c r="K46" t="s">
        <v>20</v>
      </c>
      <c r="L46" s="5">
        <f>60953 / 86400</f>
        <v>0.705474537037037</v>
      </c>
      <c r="M46" s="5">
        <f>25439 / 86400</f>
        <v>0.29443287037037036</v>
      </c>
    </row>
    <row r="47" spans="1:13" x14ac:dyDescent="0.25">
      <c r="A47" t="s">
        <v>495</v>
      </c>
      <c r="B47" s="3">
        <v>45706.372800925921</v>
      </c>
      <c r="C47" t="s">
        <v>26</v>
      </c>
      <c r="D47" s="3">
        <v>45706.880729166667</v>
      </c>
      <c r="E47" t="s">
        <v>26</v>
      </c>
      <c r="F47" s="4">
        <v>13.013</v>
      </c>
      <c r="G47" s="4">
        <v>361092.82</v>
      </c>
      <c r="H47" s="4">
        <v>361105.83299999998</v>
      </c>
      <c r="I47" s="5">
        <f>1479 / 86400</f>
        <v>1.7118055555555556E-2</v>
      </c>
      <c r="J47" t="s">
        <v>92</v>
      </c>
      <c r="K47" t="s">
        <v>93</v>
      </c>
      <c r="L47" s="5">
        <f>4360 / 86400</f>
        <v>5.0462962962962966E-2</v>
      </c>
      <c r="M47" s="5">
        <f>82039 / 86400</f>
        <v>0.94952546296296292</v>
      </c>
    </row>
    <row r="48" spans="1:13" x14ac:dyDescent="0.25">
      <c r="A48" t="s">
        <v>496</v>
      </c>
      <c r="B48" s="3">
        <v>45706.277488425927</v>
      </c>
      <c r="C48" t="s">
        <v>66</v>
      </c>
      <c r="D48" s="3">
        <v>45706.798414351855</v>
      </c>
      <c r="E48" t="s">
        <v>94</v>
      </c>
      <c r="F48" s="4">
        <v>97.666000000000011</v>
      </c>
      <c r="G48" s="4">
        <v>82096.122000000003</v>
      </c>
      <c r="H48" s="4">
        <v>82193.788</v>
      </c>
      <c r="I48" s="5">
        <f>9316 / 86400</f>
        <v>0.10782407407407407</v>
      </c>
      <c r="J48" t="s">
        <v>54</v>
      </c>
      <c r="K48" t="s">
        <v>38</v>
      </c>
      <c r="L48" s="5">
        <f>24046 / 86400</f>
        <v>0.27831018518518519</v>
      </c>
      <c r="M48" s="5">
        <f>62350 / 86400</f>
        <v>0.72164351851851849</v>
      </c>
    </row>
    <row r="49" spans="1:13" x14ac:dyDescent="0.25">
      <c r="A49" t="s">
        <v>497</v>
      </c>
      <c r="B49" s="3">
        <v>45706.206111111111</v>
      </c>
      <c r="C49" t="s">
        <v>39</v>
      </c>
      <c r="D49" s="3">
        <v>45706.743692129632</v>
      </c>
      <c r="E49" t="s">
        <v>39</v>
      </c>
      <c r="F49" s="4">
        <v>183.203</v>
      </c>
      <c r="G49" s="4">
        <v>470704.33600000001</v>
      </c>
      <c r="H49" s="4">
        <v>470887.53899999999</v>
      </c>
      <c r="I49" s="5">
        <f>12455 / 86400</f>
        <v>0.1441550925925926</v>
      </c>
      <c r="J49" t="s">
        <v>90</v>
      </c>
      <c r="K49" t="s">
        <v>62</v>
      </c>
      <c r="L49" s="5">
        <f>37902 / 86400</f>
        <v>0.43868055555555557</v>
      </c>
      <c r="M49" s="5">
        <f>48491 / 86400</f>
        <v>0.56123842592592588</v>
      </c>
    </row>
    <row r="50" spans="1:13" x14ac:dyDescent="0.25">
      <c r="A50" t="s">
        <v>498</v>
      </c>
      <c r="B50" s="3">
        <v>45706.001516203702</v>
      </c>
      <c r="C50" t="s">
        <v>95</v>
      </c>
      <c r="D50" s="3">
        <v>45706.76725694444</v>
      </c>
      <c r="E50" t="s">
        <v>95</v>
      </c>
      <c r="F50" s="4">
        <v>0</v>
      </c>
      <c r="G50" s="4">
        <v>428213.33600000001</v>
      </c>
      <c r="H50" s="4">
        <v>428213.33600000001</v>
      </c>
      <c r="I50" s="5">
        <f>1473 / 86400</f>
        <v>1.7048611111111112E-2</v>
      </c>
      <c r="J50" t="s">
        <v>82</v>
      </c>
      <c r="K50" t="s">
        <v>82</v>
      </c>
      <c r="L50" s="5">
        <f>1553 / 86400</f>
        <v>1.7974537037037035E-2</v>
      </c>
      <c r="M50" s="5">
        <f>84842 / 86400</f>
        <v>0.98196759259259259</v>
      </c>
    </row>
    <row r="51" spans="1:13" x14ac:dyDescent="0.25">
      <c r="A51" t="s">
        <v>499</v>
      </c>
      <c r="B51" s="3">
        <v>45706.178807870368</v>
      </c>
      <c r="C51" t="s">
        <v>26</v>
      </c>
      <c r="D51" s="3">
        <v>45706.864340277782</v>
      </c>
      <c r="E51" t="s">
        <v>26</v>
      </c>
      <c r="F51" s="4">
        <v>157.89400000000001</v>
      </c>
      <c r="G51" s="4">
        <v>576196.80200000003</v>
      </c>
      <c r="H51" s="4">
        <v>576354.696</v>
      </c>
      <c r="I51" s="5">
        <f>10781 / 86400</f>
        <v>0.1247800925925926</v>
      </c>
      <c r="J51" t="s">
        <v>78</v>
      </c>
      <c r="K51" t="s">
        <v>28</v>
      </c>
      <c r="L51" s="5">
        <f>35404 / 86400</f>
        <v>0.40976851851851853</v>
      </c>
      <c r="M51" s="5">
        <f>50988 / 86400</f>
        <v>0.59013888888888888</v>
      </c>
    </row>
    <row r="52" spans="1:13" x14ac:dyDescent="0.25">
      <c r="A52" t="s">
        <v>500</v>
      </c>
      <c r="B52" s="3">
        <v>45706.241909722223</v>
      </c>
      <c r="C52" t="s">
        <v>96</v>
      </c>
      <c r="D52" s="3">
        <v>45706.854027777779</v>
      </c>
      <c r="E52" t="s">
        <v>96</v>
      </c>
      <c r="F52" s="4">
        <v>192.69799999999998</v>
      </c>
      <c r="G52" s="4">
        <v>417125.31800000003</v>
      </c>
      <c r="H52" s="4">
        <v>417318.016</v>
      </c>
      <c r="I52" s="5">
        <f>14191 / 86400</f>
        <v>0.16424768518518518</v>
      </c>
      <c r="J52" t="s">
        <v>64</v>
      </c>
      <c r="K52" t="s">
        <v>62</v>
      </c>
      <c r="L52" s="5">
        <f>41783 / 86400</f>
        <v>0.48359953703703706</v>
      </c>
      <c r="M52" s="5">
        <f>44615 / 86400</f>
        <v>0.51637731481481486</v>
      </c>
    </row>
    <row r="53" spans="1:13" x14ac:dyDescent="0.25">
      <c r="A53" t="s">
        <v>501</v>
      </c>
      <c r="B53" s="3">
        <v>45706.284178240741</v>
      </c>
      <c r="C53" t="s">
        <v>97</v>
      </c>
      <c r="D53" s="3">
        <v>45706.920925925922</v>
      </c>
      <c r="E53" t="s">
        <v>97</v>
      </c>
      <c r="F53" s="4">
        <v>28.770000000000003</v>
      </c>
      <c r="G53" s="4">
        <v>401370.96299999999</v>
      </c>
      <c r="H53" s="4">
        <v>401399.73300000001</v>
      </c>
      <c r="I53" s="5">
        <f>1490 / 86400</f>
        <v>1.7245370370370369E-2</v>
      </c>
      <c r="J53" t="s">
        <v>98</v>
      </c>
      <c r="K53" t="s">
        <v>62</v>
      </c>
      <c r="L53" s="5">
        <f>6092 / 86400</f>
        <v>7.0509259259259258E-2</v>
      </c>
      <c r="M53" s="5">
        <f>80301 / 86400</f>
        <v>0.92940972222222218</v>
      </c>
    </row>
    <row r="54" spans="1:13" x14ac:dyDescent="0.25">
      <c r="A54" t="s">
        <v>502</v>
      </c>
      <c r="B54" s="3">
        <v>45706.310972222222</v>
      </c>
      <c r="C54" t="s">
        <v>46</v>
      </c>
      <c r="D54" s="3">
        <v>45706.96056712963</v>
      </c>
      <c r="E54" t="s">
        <v>21</v>
      </c>
      <c r="F54" s="4">
        <v>200.59100000000001</v>
      </c>
      <c r="G54" s="4">
        <v>546896.29200000002</v>
      </c>
      <c r="H54" s="4">
        <v>547096.88300000003</v>
      </c>
      <c r="I54" s="5">
        <f>15139 / 86400</f>
        <v>0.17521990740740739</v>
      </c>
      <c r="J54" t="s">
        <v>99</v>
      </c>
      <c r="K54" t="s">
        <v>62</v>
      </c>
      <c r="L54" s="5">
        <f>43527 / 86400</f>
        <v>0.50378472222222226</v>
      </c>
      <c r="M54" s="5">
        <f>42871 / 86400</f>
        <v>0.49619212962962961</v>
      </c>
    </row>
    <row r="55" spans="1:13" x14ac:dyDescent="0.25">
      <c r="A55" t="s">
        <v>503</v>
      </c>
      <c r="B55" s="3">
        <v>45706</v>
      </c>
      <c r="C55" t="s">
        <v>100</v>
      </c>
      <c r="D55" s="3">
        <v>45706.99998842593</v>
      </c>
      <c r="E55" t="s">
        <v>101</v>
      </c>
      <c r="F55" s="4">
        <v>349.71299999999997</v>
      </c>
      <c r="G55" s="4">
        <v>104966.09299999999</v>
      </c>
      <c r="H55" s="4">
        <v>105315.806</v>
      </c>
      <c r="I55" s="5">
        <f>25896 / 86400</f>
        <v>0.29972222222222222</v>
      </c>
      <c r="J55" t="s">
        <v>102</v>
      </c>
      <c r="K55" t="s">
        <v>20</v>
      </c>
      <c r="L55" s="5">
        <f>68166 / 86400</f>
        <v>0.78895833333333332</v>
      </c>
      <c r="M55" s="5">
        <f>18233 / 86400</f>
        <v>0.21103009259259259</v>
      </c>
    </row>
    <row r="56" spans="1:13" x14ac:dyDescent="0.25">
      <c r="A56" t="s">
        <v>504</v>
      </c>
      <c r="B56" s="3">
        <v>45706.240752314814</v>
      </c>
      <c r="C56" t="s">
        <v>103</v>
      </c>
      <c r="D56" s="3">
        <v>45706.752986111111</v>
      </c>
      <c r="E56" t="s">
        <v>103</v>
      </c>
      <c r="F56" s="4">
        <v>182.697</v>
      </c>
      <c r="G56" s="4">
        <v>46508.375999999997</v>
      </c>
      <c r="H56" s="4">
        <v>46691.072999999997</v>
      </c>
      <c r="I56" s="5">
        <f>12414 / 86400</f>
        <v>0.14368055555555556</v>
      </c>
      <c r="J56" t="s">
        <v>52</v>
      </c>
      <c r="K56" t="s">
        <v>20</v>
      </c>
      <c r="L56" s="5">
        <f>35804 / 86400</f>
        <v>0.41439814814814813</v>
      </c>
      <c r="M56" s="5">
        <f>50595 / 86400</f>
        <v>0.58559027777777772</v>
      </c>
    </row>
    <row r="57" spans="1:13" x14ac:dyDescent="0.25">
      <c r="A57" t="s">
        <v>505</v>
      </c>
      <c r="B57" s="3">
        <v>45706.158425925925</v>
      </c>
      <c r="C57" t="s">
        <v>94</v>
      </c>
      <c r="D57" s="3">
        <v>45706.902858796297</v>
      </c>
      <c r="E57" t="s">
        <v>94</v>
      </c>
      <c r="F57" s="4">
        <v>302.12900000000002</v>
      </c>
      <c r="G57" s="4">
        <v>79878.482999999993</v>
      </c>
      <c r="H57" s="4">
        <v>80180.611999999994</v>
      </c>
      <c r="I57" s="5">
        <f>17871 / 86400</f>
        <v>0.20684027777777778</v>
      </c>
      <c r="J57" t="s">
        <v>52</v>
      </c>
      <c r="K57" t="s">
        <v>79</v>
      </c>
      <c r="L57" s="5">
        <f>57969 / 86400</f>
        <v>0.67093749999999996</v>
      </c>
      <c r="M57" s="5">
        <f>28430 / 86400</f>
        <v>0.32905092592592594</v>
      </c>
    </row>
    <row r="58" spans="1:13" x14ac:dyDescent="0.25">
      <c r="A58" t="s">
        <v>506</v>
      </c>
      <c r="B58" s="3">
        <v>45706</v>
      </c>
      <c r="C58" t="s">
        <v>76</v>
      </c>
      <c r="D58" s="3">
        <v>45706.99998842593</v>
      </c>
      <c r="E58" t="s">
        <v>104</v>
      </c>
      <c r="F58" s="4">
        <v>334.185</v>
      </c>
      <c r="G58" s="4">
        <v>41961.750999999997</v>
      </c>
      <c r="H58" s="4">
        <v>42295.936000000002</v>
      </c>
      <c r="I58" s="5">
        <f>20494 / 86400</f>
        <v>0.23719907407407406</v>
      </c>
      <c r="J58" t="s">
        <v>54</v>
      </c>
      <c r="K58" t="s">
        <v>79</v>
      </c>
      <c r="L58" s="5">
        <f>64057 / 86400</f>
        <v>0.74140046296296291</v>
      </c>
      <c r="M58" s="5">
        <f>22342 / 86400</f>
        <v>0.25858796296296294</v>
      </c>
    </row>
    <row r="59" spans="1:13" x14ac:dyDescent="0.25">
      <c r="A59" t="s">
        <v>507</v>
      </c>
      <c r="B59" s="3">
        <v>45706</v>
      </c>
      <c r="C59" t="s">
        <v>105</v>
      </c>
      <c r="D59" s="3">
        <v>45706.74418981481</v>
      </c>
      <c r="E59" t="s">
        <v>106</v>
      </c>
      <c r="F59" s="4">
        <v>2.7090000000000001</v>
      </c>
      <c r="G59" s="4">
        <v>193197.511</v>
      </c>
      <c r="H59" s="4">
        <v>193200.22</v>
      </c>
      <c r="I59" s="5">
        <f>199 / 86400</f>
        <v>2.3032407407407407E-3</v>
      </c>
      <c r="J59" t="s">
        <v>107</v>
      </c>
      <c r="K59" t="s">
        <v>93</v>
      </c>
      <c r="L59" s="5">
        <f>897 / 86400</f>
        <v>1.0381944444444444E-2</v>
      </c>
      <c r="M59" s="5">
        <f>85501 / 86400</f>
        <v>0.98959490740740741</v>
      </c>
    </row>
    <row r="60" spans="1:13" x14ac:dyDescent="0.25">
      <c r="A60" t="s">
        <v>508</v>
      </c>
      <c r="B60" s="3">
        <v>45706</v>
      </c>
      <c r="C60" t="s">
        <v>108</v>
      </c>
      <c r="D60" s="3">
        <v>45706.772326388891</v>
      </c>
      <c r="E60" t="s">
        <v>66</v>
      </c>
      <c r="F60" s="4">
        <v>207.60999999999999</v>
      </c>
      <c r="G60" s="4">
        <v>524131.19699999999</v>
      </c>
      <c r="H60" s="4">
        <v>524338.80700000003</v>
      </c>
      <c r="I60" s="5">
        <f>17939 / 86400</f>
        <v>0.20762731481481481</v>
      </c>
      <c r="J60" t="s">
        <v>52</v>
      </c>
      <c r="K60" t="s">
        <v>28</v>
      </c>
      <c r="L60" s="5">
        <f>47013 / 86400</f>
        <v>0.54413194444444446</v>
      </c>
      <c r="M60" s="5">
        <f>39384 / 86400</f>
        <v>0.45583333333333331</v>
      </c>
    </row>
    <row r="61" spans="1:13" x14ac:dyDescent="0.25">
      <c r="A61" t="s">
        <v>509</v>
      </c>
      <c r="B61" s="3">
        <v>45706.278101851851</v>
      </c>
      <c r="C61" t="s">
        <v>109</v>
      </c>
      <c r="D61" s="3">
        <v>45706.859050925923</v>
      </c>
      <c r="E61" t="s">
        <v>109</v>
      </c>
      <c r="F61" s="4">
        <v>185.404</v>
      </c>
      <c r="G61" s="4">
        <v>23826.562999999998</v>
      </c>
      <c r="H61" s="4">
        <v>24011.967000000001</v>
      </c>
      <c r="I61" s="5">
        <f>14158 / 86400</f>
        <v>0.16386574074074073</v>
      </c>
      <c r="J61" t="s">
        <v>110</v>
      </c>
      <c r="K61" t="s">
        <v>38</v>
      </c>
      <c r="L61" s="5">
        <f>44150 / 86400</f>
        <v>0.51099537037037035</v>
      </c>
      <c r="M61" s="5">
        <f>42244 / 86400</f>
        <v>0.48893518518518519</v>
      </c>
    </row>
    <row r="62" spans="1:13" x14ac:dyDescent="0.25">
      <c r="A62" t="s">
        <v>510</v>
      </c>
      <c r="B62" s="3">
        <v>45706.2190625</v>
      </c>
      <c r="C62" t="s">
        <v>36</v>
      </c>
      <c r="D62" s="3">
        <v>45706.731863425928</v>
      </c>
      <c r="E62" t="s">
        <v>36</v>
      </c>
      <c r="F62" s="4">
        <v>186.81</v>
      </c>
      <c r="G62" s="4">
        <v>64773.911999999997</v>
      </c>
      <c r="H62" s="4">
        <v>64960.722000000002</v>
      </c>
      <c r="I62" s="5">
        <f>14554 / 86400</f>
        <v>0.16844907407407408</v>
      </c>
      <c r="J62" t="s">
        <v>30</v>
      </c>
      <c r="K62" t="s">
        <v>28</v>
      </c>
      <c r="L62" s="5">
        <f>41150 / 86400</f>
        <v>0.47627314814814814</v>
      </c>
      <c r="M62" s="5">
        <f>45247 / 86400</f>
        <v>0.52369212962962963</v>
      </c>
    </row>
    <row r="63" spans="1:13" x14ac:dyDescent="0.25">
      <c r="A63" t="s">
        <v>511</v>
      </c>
      <c r="B63" s="3">
        <v>45706.267881944441</v>
      </c>
      <c r="C63" t="s">
        <v>69</v>
      </c>
      <c r="D63" s="3">
        <v>45706.783819444448</v>
      </c>
      <c r="E63" t="s">
        <v>69</v>
      </c>
      <c r="F63" s="4">
        <v>0.24300000000000002</v>
      </c>
      <c r="G63" s="4">
        <v>5810.6210000000001</v>
      </c>
      <c r="H63" s="4">
        <v>5810.8639999999996</v>
      </c>
      <c r="I63" s="5">
        <f>239 / 86400</f>
        <v>2.7662037037037039E-3</v>
      </c>
      <c r="J63" t="s">
        <v>93</v>
      </c>
      <c r="K63" t="s">
        <v>111</v>
      </c>
      <c r="L63" s="5">
        <f>459 / 86400</f>
        <v>5.3125000000000004E-3</v>
      </c>
      <c r="M63" s="5">
        <f>85939 / 86400</f>
        <v>0.99466435185185187</v>
      </c>
    </row>
    <row r="64" spans="1:13" x14ac:dyDescent="0.25">
      <c r="A64" t="s">
        <v>512</v>
      </c>
      <c r="B64" s="3">
        <v>45706.218263888892</v>
      </c>
      <c r="C64" t="s">
        <v>26</v>
      </c>
      <c r="D64" s="3">
        <v>45706.816550925927</v>
      </c>
      <c r="E64" t="s">
        <v>26</v>
      </c>
      <c r="F64" s="4">
        <v>184.684</v>
      </c>
      <c r="G64" s="4">
        <v>408975.924</v>
      </c>
      <c r="H64" s="4">
        <v>409160.60800000001</v>
      </c>
      <c r="I64" s="5">
        <f>14577 / 86400</f>
        <v>0.16871527777777778</v>
      </c>
      <c r="J64" t="s">
        <v>64</v>
      </c>
      <c r="K64" t="s">
        <v>28</v>
      </c>
      <c r="L64" s="5">
        <f>40857 / 86400</f>
        <v>0.47288194444444442</v>
      </c>
      <c r="M64" s="5">
        <f>45538 / 86400</f>
        <v>0.52706018518518516</v>
      </c>
    </row>
    <row r="65" spans="1:13" x14ac:dyDescent="0.25">
      <c r="A65" t="s">
        <v>513</v>
      </c>
      <c r="B65" s="3">
        <v>45706</v>
      </c>
      <c r="C65" t="s">
        <v>105</v>
      </c>
      <c r="D65" s="3">
        <v>45706.99998842593</v>
      </c>
      <c r="E65" t="s">
        <v>112</v>
      </c>
      <c r="F65" s="4">
        <v>281.02999999999997</v>
      </c>
      <c r="G65" s="4">
        <v>551389.63600000006</v>
      </c>
      <c r="H65" s="4">
        <v>551670.66599999997</v>
      </c>
      <c r="I65" s="5">
        <f>21138 / 86400</f>
        <v>0.24465277777777777</v>
      </c>
      <c r="J65" t="s">
        <v>113</v>
      </c>
      <c r="K65" t="s">
        <v>28</v>
      </c>
      <c r="L65" s="5">
        <f>61696 / 86400</f>
        <v>0.71407407407407408</v>
      </c>
      <c r="M65" s="5">
        <f>24701 / 86400</f>
        <v>0.28589120370370369</v>
      </c>
    </row>
    <row r="66" spans="1:13" x14ac:dyDescent="0.25">
      <c r="A66" t="s">
        <v>514</v>
      </c>
      <c r="B66" s="3">
        <v>45706.254837962959</v>
      </c>
      <c r="C66" t="s">
        <v>114</v>
      </c>
      <c r="D66" s="3">
        <v>45706.99998842593</v>
      </c>
      <c r="E66" t="s">
        <v>115</v>
      </c>
      <c r="F66" s="4">
        <v>1119.93</v>
      </c>
      <c r="G66" s="4">
        <v>57920.83</v>
      </c>
      <c r="H66" s="4">
        <v>59040.76</v>
      </c>
      <c r="I66" s="5">
        <f>13195 / 86400</f>
        <v>0.1527199074074074</v>
      </c>
      <c r="J66" t="s">
        <v>116</v>
      </c>
      <c r="K66" t="s">
        <v>22</v>
      </c>
      <c r="L66" s="5">
        <f>44052 / 86400</f>
        <v>0.5098611111111111</v>
      </c>
      <c r="M66" s="5">
        <f>42343 / 86400</f>
        <v>0.49008101851851854</v>
      </c>
    </row>
    <row r="67" spans="1:13" x14ac:dyDescent="0.25">
      <c r="A67" t="s">
        <v>515</v>
      </c>
      <c r="B67" s="3">
        <v>45706</v>
      </c>
      <c r="C67" t="s">
        <v>117</v>
      </c>
      <c r="D67" s="3">
        <v>45706.94599537037</v>
      </c>
      <c r="E67" t="s">
        <v>118</v>
      </c>
      <c r="F67" s="4">
        <v>285.84999999999997</v>
      </c>
      <c r="G67" s="4">
        <v>60756.781000000003</v>
      </c>
      <c r="H67" s="4">
        <v>61042.631000000001</v>
      </c>
      <c r="I67" s="5">
        <f>18297 / 86400</f>
        <v>0.21177083333333332</v>
      </c>
      <c r="J67" t="s">
        <v>19</v>
      </c>
      <c r="K67" t="s">
        <v>20</v>
      </c>
      <c r="L67" s="5">
        <f>56858 / 86400</f>
        <v>0.65807870370370369</v>
      </c>
      <c r="M67" s="5">
        <f>29533 / 86400</f>
        <v>0.34181712962962962</v>
      </c>
    </row>
    <row r="68" spans="1:13" x14ac:dyDescent="0.25">
      <c r="A68" t="s">
        <v>516</v>
      </c>
      <c r="B68" s="3">
        <v>45706.011041666672</v>
      </c>
      <c r="C68" t="s">
        <v>119</v>
      </c>
      <c r="D68" s="3">
        <v>45706.99998842593</v>
      </c>
      <c r="E68" t="s">
        <v>120</v>
      </c>
      <c r="F68" s="4">
        <v>370.22199999999998</v>
      </c>
      <c r="G68" s="4">
        <v>64510.027999999998</v>
      </c>
      <c r="H68" s="4">
        <v>64880.25</v>
      </c>
      <c r="I68" s="5">
        <f>26203 / 86400</f>
        <v>0.30327546296296298</v>
      </c>
      <c r="J68" t="s">
        <v>121</v>
      </c>
      <c r="K68" t="s">
        <v>20</v>
      </c>
      <c r="L68" s="5">
        <f>73110 / 86400</f>
        <v>0.8461805555555556</v>
      </c>
      <c r="M68" s="5">
        <f>13287 / 86400</f>
        <v>0.15378472222222223</v>
      </c>
    </row>
    <row r="69" spans="1:13" x14ac:dyDescent="0.25">
      <c r="A69" t="s">
        <v>517</v>
      </c>
      <c r="B69" s="3">
        <v>45706.057638888888</v>
      </c>
      <c r="C69" t="s">
        <v>122</v>
      </c>
      <c r="D69" s="3">
        <v>45706.89162037037</v>
      </c>
      <c r="E69" t="s">
        <v>122</v>
      </c>
      <c r="F69" s="4">
        <v>206.75800000000001</v>
      </c>
      <c r="G69" s="4">
        <v>292755.84100000001</v>
      </c>
      <c r="H69" s="4">
        <v>292962.59899999999</v>
      </c>
      <c r="I69" s="5">
        <f>24361 / 86400</f>
        <v>0.28195601851851854</v>
      </c>
      <c r="J69" t="s">
        <v>123</v>
      </c>
      <c r="K69" t="s">
        <v>44</v>
      </c>
      <c r="L69" s="5">
        <f>55658 / 86400</f>
        <v>0.64418981481481485</v>
      </c>
      <c r="M69" s="5">
        <f>30740 / 86400</f>
        <v>0.35578703703703701</v>
      </c>
    </row>
    <row r="70" spans="1:13" x14ac:dyDescent="0.25">
      <c r="A70" s="6" t="s">
        <v>124</v>
      </c>
      <c r="B70" s="6" t="s">
        <v>125</v>
      </c>
      <c r="C70" s="6" t="s">
        <v>125</v>
      </c>
      <c r="D70" s="6" t="s">
        <v>125</v>
      </c>
      <c r="E70" s="6" t="s">
        <v>125</v>
      </c>
      <c r="F70" s="7">
        <v>12289.299402115821</v>
      </c>
      <c r="G70" s="6" t="s">
        <v>125</v>
      </c>
      <c r="H70" s="6" t="s">
        <v>125</v>
      </c>
      <c r="I70" s="8">
        <f>840175 / 86400</f>
        <v>9.7242476851851851</v>
      </c>
      <c r="J70" s="6" t="s">
        <v>125</v>
      </c>
      <c r="K70" s="6" t="s">
        <v>125</v>
      </c>
      <c r="L70" s="8">
        <f>2468762 / 86400</f>
        <v>28.573634259259258</v>
      </c>
      <c r="M70" s="8">
        <f>2887737 / 86400</f>
        <v>33.422881944444441</v>
      </c>
    </row>
    <row r="71" spans="1:1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3" s="9" customFormat="1" x14ac:dyDescent="0.25">
      <c r="A72" s="14" t="s">
        <v>126</v>
      </c>
      <c r="B72" s="14"/>
      <c r="C72" s="14"/>
      <c r="D72" s="14"/>
      <c r="E72" s="14"/>
      <c r="F72" s="14"/>
      <c r="G72" s="14"/>
      <c r="H72" s="14"/>
      <c r="I72" s="14"/>
      <c r="J72" s="14"/>
    </row>
    <row r="73" spans="1:1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3" s="10" customFormat="1" ht="20.100000000000001" customHeight="1" x14ac:dyDescent="0.35">
      <c r="A75" s="15" t="s">
        <v>456</v>
      </c>
      <c r="B75" s="15"/>
      <c r="C75" s="15"/>
      <c r="D75" s="15"/>
      <c r="E75" s="15"/>
      <c r="F75" s="15"/>
      <c r="G75" s="15"/>
      <c r="H75" s="15"/>
      <c r="I75" s="15"/>
      <c r="J75" s="15"/>
    </row>
    <row r="76" spans="1:13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3" ht="30" x14ac:dyDescent="0.25">
      <c r="A77" s="2" t="s">
        <v>6</v>
      </c>
      <c r="B77" s="2" t="s">
        <v>7</v>
      </c>
      <c r="C77" s="2" t="s">
        <v>8</v>
      </c>
      <c r="D77" s="2" t="s">
        <v>9</v>
      </c>
      <c r="E77" s="2" t="s">
        <v>10</v>
      </c>
      <c r="F77" s="2" t="s">
        <v>11</v>
      </c>
      <c r="G77" s="2" t="s">
        <v>12</v>
      </c>
      <c r="H77" s="2" t="s">
        <v>13</v>
      </c>
      <c r="I77" s="2" t="s">
        <v>14</v>
      </c>
      <c r="J77" s="2" t="s">
        <v>15</v>
      </c>
      <c r="K77" s="2" t="s">
        <v>16</v>
      </c>
      <c r="L77" s="2" t="s">
        <v>17</v>
      </c>
    </row>
    <row r="78" spans="1:13" x14ac:dyDescent="0.25">
      <c r="A78" s="3">
        <v>45706.17967592593</v>
      </c>
      <c r="B78" t="s">
        <v>18</v>
      </c>
      <c r="C78" s="3">
        <v>45706.183749999997</v>
      </c>
      <c r="D78" t="s">
        <v>18</v>
      </c>
      <c r="E78" s="4">
        <v>2.4E-2</v>
      </c>
      <c r="F78" s="4">
        <v>515092.63500000001</v>
      </c>
      <c r="G78" s="4">
        <v>515092.65899999999</v>
      </c>
      <c r="H78" s="5">
        <f>279 / 86400</f>
        <v>3.2291666666666666E-3</v>
      </c>
      <c r="I78" t="s">
        <v>127</v>
      </c>
      <c r="J78" t="s">
        <v>82</v>
      </c>
      <c r="K78" s="5">
        <f>351 / 86400</f>
        <v>4.0625000000000001E-3</v>
      </c>
      <c r="L78" s="5">
        <f>20017 / 86400</f>
        <v>0.23167824074074075</v>
      </c>
    </row>
    <row r="79" spans="1:13" x14ac:dyDescent="0.25">
      <c r="A79" s="3">
        <v>45706.235752314809</v>
      </c>
      <c r="B79" t="s">
        <v>18</v>
      </c>
      <c r="C79" s="3">
        <v>45706.237384259264</v>
      </c>
      <c r="D79" t="s">
        <v>18</v>
      </c>
      <c r="E79" s="4">
        <v>1.7999999999999999E-2</v>
      </c>
      <c r="F79" s="4">
        <v>515092.65899999999</v>
      </c>
      <c r="G79" s="4">
        <v>515092.67700000003</v>
      </c>
      <c r="H79" s="5">
        <f>99 / 86400</f>
        <v>1.1458333333333333E-3</v>
      </c>
      <c r="I79" t="s">
        <v>111</v>
      </c>
      <c r="J79" t="s">
        <v>82</v>
      </c>
      <c r="K79" s="5">
        <f>140 / 86400</f>
        <v>1.6203703703703703E-3</v>
      </c>
      <c r="L79" s="5">
        <f>3482 / 86400</f>
        <v>4.0300925925925928E-2</v>
      </c>
    </row>
    <row r="80" spans="1:13" x14ac:dyDescent="0.25">
      <c r="A80" s="3">
        <v>45706.277685185181</v>
      </c>
      <c r="B80" t="s">
        <v>18</v>
      </c>
      <c r="C80" s="3">
        <v>45706.283217592594</v>
      </c>
      <c r="D80" t="s">
        <v>128</v>
      </c>
      <c r="E80" s="4">
        <v>2.911</v>
      </c>
      <c r="F80" s="4">
        <v>515092.67700000003</v>
      </c>
      <c r="G80" s="4">
        <v>515095.58799999999</v>
      </c>
      <c r="H80" s="5">
        <f>99 / 86400</f>
        <v>1.1458333333333333E-3</v>
      </c>
      <c r="I80" t="s">
        <v>129</v>
      </c>
      <c r="J80" t="s">
        <v>130</v>
      </c>
      <c r="K80" s="5">
        <f>478 / 86400</f>
        <v>5.5324074074074078E-3</v>
      </c>
      <c r="L80" s="5">
        <f>161 / 86400</f>
        <v>1.8634259259259259E-3</v>
      </c>
    </row>
    <row r="81" spans="1:12" x14ac:dyDescent="0.25">
      <c r="A81" s="3">
        <v>45706.285081018519</v>
      </c>
      <c r="B81" t="s">
        <v>128</v>
      </c>
      <c r="C81" s="3">
        <v>45706.473333333328</v>
      </c>
      <c r="D81" t="s">
        <v>131</v>
      </c>
      <c r="E81" s="4">
        <v>86.516000000000005</v>
      </c>
      <c r="F81" s="4">
        <v>515095.58799999999</v>
      </c>
      <c r="G81" s="4">
        <v>515182.10399999999</v>
      </c>
      <c r="H81" s="5">
        <f>4420 / 86400</f>
        <v>5.1157407407407408E-2</v>
      </c>
      <c r="I81" t="s">
        <v>19</v>
      </c>
      <c r="J81" t="s">
        <v>79</v>
      </c>
      <c r="K81" s="5">
        <f>16264 / 86400</f>
        <v>0.18824074074074074</v>
      </c>
      <c r="L81" s="5">
        <f>2339 / 86400</f>
        <v>2.7071759259259261E-2</v>
      </c>
    </row>
    <row r="82" spans="1:12" x14ac:dyDescent="0.25">
      <c r="A82" s="3">
        <v>45706.500405092593</v>
      </c>
      <c r="B82" t="s">
        <v>131</v>
      </c>
      <c r="C82" s="3">
        <v>45706.570254629631</v>
      </c>
      <c r="D82" t="s">
        <v>128</v>
      </c>
      <c r="E82" s="4">
        <v>20.489000000000001</v>
      </c>
      <c r="F82" s="4">
        <v>515182.10399999999</v>
      </c>
      <c r="G82" s="4">
        <v>515202.59299999999</v>
      </c>
      <c r="H82" s="5">
        <f>2339 / 86400</f>
        <v>2.7071759259259261E-2</v>
      </c>
      <c r="I82" t="s">
        <v>132</v>
      </c>
      <c r="J82" t="s">
        <v>25</v>
      </c>
      <c r="K82" s="5">
        <f>6034 / 86400</f>
        <v>6.9837962962962963E-2</v>
      </c>
      <c r="L82" s="5">
        <f>5077 / 86400</f>
        <v>5.8761574074074077E-2</v>
      </c>
    </row>
    <row r="83" spans="1:12" x14ac:dyDescent="0.25">
      <c r="A83" s="3">
        <v>45706.629016203704</v>
      </c>
      <c r="B83" t="s">
        <v>128</v>
      </c>
      <c r="C83" s="3">
        <v>45706.629872685182</v>
      </c>
      <c r="D83" t="s">
        <v>133</v>
      </c>
      <c r="E83" s="4">
        <v>0.25600000000000001</v>
      </c>
      <c r="F83" s="4">
        <v>515202.59299999999</v>
      </c>
      <c r="G83" s="4">
        <v>515202.84899999999</v>
      </c>
      <c r="H83" s="5">
        <f>0 / 86400</f>
        <v>0</v>
      </c>
      <c r="I83" t="s">
        <v>79</v>
      </c>
      <c r="J83" t="s">
        <v>25</v>
      </c>
      <c r="K83" s="5">
        <f>74 / 86400</f>
        <v>8.564814814814815E-4</v>
      </c>
      <c r="L83" s="5">
        <f>90 / 86400</f>
        <v>1.0416666666666667E-3</v>
      </c>
    </row>
    <row r="84" spans="1:12" x14ac:dyDescent="0.25">
      <c r="A84" s="3">
        <v>45706.630914351852</v>
      </c>
      <c r="B84" t="s">
        <v>133</v>
      </c>
      <c r="C84" s="3">
        <v>45706.632407407407</v>
      </c>
      <c r="D84" t="s">
        <v>134</v>
      </c>
      <c r="E84" s="4">
        <v>0.73799999999999999</v>
      </c>
      <c r="F84" s="4">
        <v>515202.84899999999</v>
      </c>
      <c r="G84" s="4">
        <v>515203.587</v>
      </c>
      <c r="H84" s="5">
        <f>0 / 86400</f>
        <v>0</v>
      </c>
      <c r="I84" t="s">
        <v>135</v>
      </c>
      <c r="J84" t="s">
        <v>136</v>
      </c>
      <c r="K84" s="5">
        <f>129 / 86400</f>
        <v>1.4930555555555556E-3</v>
      </c>
      <c r="L84" s="5">
        <f>103 / 86400</f>
        <v>1.1921296296296296E-3</v>
      </c>
    </row>
    <row r="85" spans="1:12" x14ac:dyDescent="0.25">
      <c r="A85" s="3">
        <v>45706.633599537032</v>
      </c>
      <c r="B85" t="s">
        <v>134</v>
      </c>
      <c r="C85" s="3">
        <v>45706.705324074079</v>
      </c>
      <c r="D85" t="s">
        <v>137</v>
      </c>
      <c r="E85" s="4">
        <v>33.838000000000001</v>
      </c>
      <c r="F85" s="4">
        <v>515203.587</v>
      </c>
      <c r="G85" s="4">
        <v>515237.42499999999</v>
      </c>
      <c r="H85" s="5">
        <f>1701 / 86400</f>
        <v>1.96875E-2</v>
      </c>
      <c r="I85" t="s">
        <v>138</v>
      </c>
      <c r="J85" t="s">
        <v>35</v>
      </c>
      <c r="K85" s="5">
        <f>6197 / 86400</f>
        <v>7.1724537037037031E-2</v>
      </c>
      <c r="L85" s="5">
        <f>388 / 86400</f>
        <v>4.4907407407407405E-3</v>
      </c>
    </row>
    <row r="86" spans="1:12" x14ac:dyDescent="0.25">
      <c r="A86" s="3">
        <v>45706.709814814814</v>
      </c>
      <c r="B86" t="s">
        <v>137</v>
      </c>
      <c r="C86" s="3">
        <v>45706.710856481484</v>
      </c>
      <c r="D86" t="s">
        <v>137</v>
      </c>
      <c r="E86" s="4">
        <v>0.10199999999999999</v>
      </c>
      <c r="F86" s="4">
        <v>515237.42499999999</v>
      </c>
      <c r="G86" s="4">
        <v>515237.527</v>
      </c>
      <c r="H86" s="5">
        <f>40 / 86400</f>
        <v>4.6296296296296298E-4</v>
      </c>
      <c r="I86" t="s">
        <v>38</v>
      </c>
      <c r="J86" t="s">
        <v>127</v>
      </c>
      <c r="K86" s="5">
        <f>89 / 86400</f>
        <v>1.0300925925925926E-3</v>
      </c>
      <c r="L86" s="5">
        <f>312 / 86400</f>
        <v>3.6111111111111109E-3</v>
      </c>
    </row>
    <row r="87" spans="1:12" x14ac:dyDescent="0.25">
      <c r="A87" s="3">
        <v>45706.714467592596</v>
      </c>
      <c r="B87" t="s">
        <v>137</v>
      </c>
      <c r="C87" s="3">
        <v>45706.716979166667</v>
      </c>
      <c r="D87" t="s">
        <v>122</v>
      </c>
      <c r="E87" s="4">
        <v>0.90300000000000002</v>
      </c>
      <c r="F87" s="4">
        <v>515237.527</v>
      </c>
      <c r="G87" s="4">
        <v>515238.43</v>
      </c>
      <c r="H87" s="5">
        <f>0 / 86400</f>
        <v>0</v>
      </c>
      <c r="I87" t="s">
        <v>139</v>
      </c>
      <c r="J87" t="s">
        <v>38</v>
      </c>
      <c r="K87" s="5">
        <f>216 / 86400</f>
        <v>2.5000000000000001E-3</v>
      </c>
      <c r="L87" s="5">
        <f>388 / 86400</f>
        <v>4.4907407407407405E-3</v>
      </c>
    </row>
    <row r="88" spans="1:12" x14ac:dyDescent="0.25">
      <c r="A88" s="3">
        <v>45706.72146990741</v>
      </c>
      <c r="B88" t="s">
        <v>122</v>
      </c>
      <c r="C88" s="3">
        <v>45706.802777777775</v>
      </c>
      <c r="D88" t="s">
        <v>104</v>
      </c>
      <c r="E88" s="4">
        <v>38.03</v>
      </c>
      <c r="F88" s="4">
        <v>515238.43</v>
      </c>
      <c r="G88" s="4">
        <v>515276.46</v>
      </c>
      <c r="H88" s="5">
        <f>2039 / 86400</f>
        <v>2.3599537037037037E-2</v>
      </c>
      <c r="I88" t="s">
        <v>110</v>
      </c>
      <c r="J88" t="s">
        <v>79</v>
      </c>
      <c r="K88" s="5">
        <f>7024 / 86400</f>
        <v>8.1296296296296297E-2</v>
      </c>
      <c r="L88" s="5">
        <f>164 / 86400</f>
        <v>1.8981481481481482E-3</v>
      </c>
    </row>
    <row r="89" spans="1:12" x14ac:dyDescent="0.25">
      <c r="A89" s="3">
        <v>45706.80467592593</v>
      </c>
      <c r="B89" t="s">
        <v>104</v>
      </c>
      <c r="C89" s="3">
        <v>45706.85319444444</v>
      </c>
      <c r="D89" t="s">
        <v>140</v>
      </c>
      <c r="E89" s="4">
        <v>18.843</v>
      </c>
      <c r="F89" s="4">
        <v>515276.46</v>
      </c>
      <c r="G89" s="4">
        <v>515295.30300000001</v>
      </c>
      <c r="H89" s="5">
        <f>1400 / 86400</f>
        <v>1.6203703703703703E-2</v>
      </c>
      <c r="I89" t="s">
        <v>71</v>
      </c>
      <c r="J89" t="s">
        <v>28</v>
      </c>
      <c r="K89" s="5">
        <f>4191 / 86400</f>
        <v>4.8506944444444443E-2</v>
      </c>
      <c r="L89" s="5">
        <f>226 / 86400</f>
        <v>2.6157407407407405E-3</v>
      </c>
    </row>
    <row r="90" spans="1:12" x14ac:dyDescent="0.25">
      <c r="A90" s="3">
        <v>45706.855810185181</v>
      </c>
      <c r="B90" t="s">
        <v>140</v>
      </c>
      <c r="C90" s="3">
        <v>45706.857291666667</v>
      </c>
      <c r="D90" t="s">
        <v>141</v>
      </c>
      <c r="E90" s="4">
        <v>0.51500000000000001</v>
      </c>
      <c r="F90" s="4">
        <v>515295.30300000001</v>
      </c>
      <c r="G90" s="4">
        <v>515295.81800000003</v>
      </c>
      <c r="H90" s="5">
        <f>19 / 86400</f>
        <v>2.199074074074074E-4</v>
      </c>
      <c r="I90" t="s">
        <v>139</v>
      </c>
      <c r="J90" t="s">
        <v>57</v>
      </c>
      <c r="K90" s="5">
        <f>128 / 86400</f>
        <v>1.4814814814814814E-3</v>
      </c>
      <c r="L90" s="5">
        <f>523 / 86400</f>
        <v>6.053240740740741E-3</v>
      </c>
    </row>
    <row r="91" spans="1:12" x14ac:dyDescent="0.25">
      <c r="A91" s="3">
        <v>45706.863344907411</v>
      </c>
      <c r="B91" t="s">
        <v>141</v>
      </c>
      <c r="C91" s="3">
        <v>45706.910196759258</v>
      </c>
      <c r="D91" t="s">
        <v>142</v>
      </c>
      <c r="E91" s="4">
        <v>25.956</v>
      </c>
      <c r="F91" s="4">
        <v>515295.81800000003</v>
      </c>
      <c r="G91" s="4">
        <v>515321.77399999998</v>
      </c>
      <c r="H91" s="5">
        <f>1159 / 86400</f>
        <v>1.3414351851851853E-2</v>
      </c>
      <c r="I91" t="s">
        <v>61</v>
      </c>
      <c r="J91" t="s">
        <v>143</v>
      </c>
      <c r="K91" s="5">
        <f>4047 / 86400</f>
        <v>4.6840277777777779E-2</v>
      </c>
      <c r="L91" s="5">
        <f>323 / 86400</f>
        <v>3.7384259259259259E-3</v>
      </c>
    </row>
    <row r="92" spans="1:12" x14ac:dyDescent="0.25">
      <c r="A92" s="3">
        <v>45706.913935185185</v>
      </c>
      <c r="B92" t="s">
        <v>142</v>
      </c>
      <c r="C92" s="3">
        <v>45706.932986111111</v>
      </c>
      <c r="D92" t="s">
        <v>144</v>
      </c>
      <c r="E92" s="4">
        <v>8.6630000000000003</v>
      </c>
      <c r="F92" s="4">
        <v>515321.77399999998</v>
      </c>
      <c r="G92" s="4">
        <v>515330.43699999998</v>
      </c>
      <c r="H92" s="5">
        <f>199 / 86400</f>
        <v>2.3032407407407407E-3</v>
      </c>
      <c r="I92" t="s">
        <v>145</v>
      </c>
      <c r="J92" t="s">
        <v>79</v>
      </c>
      <c r="K92" s="5">
        <f>1646 / 86400</f>
        <v>1.9050925925925926E-2</v>
      </c>
      <c r="L92" s="5">
        <f>310 / 86400</f>
        <v>3.5879629629629629E-3</v>
      </c>
    </row>
    <row r="93" spans="1:12" x14ac:dyDescent="0.25">
      <c r="A93" s="3">
        <v>45706.936574074076</v>
      </c>
      <c r="B93" t="s">
        <v>146</v>
      </c>
      <c r="C93" s="3">
        <v>45706.939930555556</v>
      </c>
      <c r="D93" t="s">
        <v>18</v>
      </c>
      <c r="E93" s="4">
        <v>0.61099999999999999</v>
      </c>
      <c r="F93" s="4">
        <v>515330.43699999998</v>
      </c>
      <c r="G93" s="4">
        <v>515331.04800000001</v>
      </c>
      <c r="H93" s="5">
        <f>40 / 86400</f>
        <v>4.6296296296296298E-4</v>
      </c>
      <c r="I93" t="s">
        <v>136</v>
      </c>
      <c r="J93" t="s">
        <v>147</v>
      </c>
      <c r="K93" s="5">
        <f>289 / 86400</f>
        <v>3.3449074074074076E-3</v>
      </c>
      <c r="L93" s="5">
        <f>5189 / 86400</f>
        <v>6.0057870370370373E-2</v>
      </c>
    </row>
    <row r="94" spans="1:1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2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2" s="10" customFormat="1" ht="20.100000000000001" customHeight="1" x14ac:dyDescent="0.35">
      <c r="A96" s="15" t="s">
        <v>457</v>
      </c>
      <c r="B96" s="15"/>
      <c r="C96" s="15"/>
      <c r="D96" s="15"/>
      <c r="E96" s="15"/>
      <c r="F96" s="15"/>
      <c r="G96" s="15"/>
      <c r="H96" s="15"/>
      <c r="I96" s="15"/>
      <c r="J96" s="15"/>
    </row>
    <row r="97" spans="1:12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</row>
    <row r="98" spans="1:12" ht="30" x14ac:dyDescent="0.25">
      <c r="A98" s="2" t="s">
        <v>6</v>
      </c>
      <c r="B98" s="2" t="s">
        <v>7</v>
      </c>
      <c r="C98" s="2" t="s">
        <v>8</v>
      </c>
      <c r="D98" s="2" t="s">
        <v>9</v>
      </c>
      <c r="E98" s="2" t="s">
        <v>10</v>
      </c>
      <c r="F98" s="2" t="s">
        <v>11</v>
      </c>
      <c r="G98" s="2" t="s">
        <v>12</v>
      </c>
      <c r="H98" s="2" t="s">
        <v>13</v>
      </c>
      <c r="I98" s="2" t="s">
        <v>14</v>
      </c>
      <c r="J98" s="2" t="s">
        <v>15</v>
      </c>
      <c r="K98" s="2" t="s">
        <v>16</v>
      </c>
      <c r="L98" s="2" t="s">
        <v>17</v>
      </c>
    </row>
    <row r="99" spans="1:12" x14ac:dyDescent="0.25">
      <c r="A99" s="3">
        <v>45706.092129629629</v>
      </c>
      <c r="B99" t="s">
        <v>21</v>
      </c>
      <c r="C99" s="3">
        <v>45706.279351851852</v>
      </c>
      <c r="D99" t="s">
        <v>148</v>
      </c>
      <c r="E99" s="4">
        <v>103.042</v>
      </c>
      <c r="F99" s="4">
        <v>20492.742999999999</v>
      </c>
      <c r="G99" s="4">
        <v>20595.785</v>
      </c>
      <c r="H99" s="5">
        <f>4240 / 86400</f>
        <v>4.9074074074074076E-2</v>
      </c>
      <c r="I99" t="s">
        <v>19</v>
      </c>
      <c r="J99" t="s">
        <v>143</v>
      </c>
      <c r="K99" s="5">
        <f>16175 / 86400</f>
        <v>0.18721064814814814</v>
      </c>
      <c r="L99" s="5">
        <f>8657 / 86400</f>
        <v>0.10019675925925926</v>
      </c>
    </row>
    <row r="100" spans="1:12" x14ac:dyDescent="0.25">
      <c r="A100" s="3">
        <v>45706.287418981483</v>
      </c>
      <c r="B100" t="s">
        <v>148</v>
      </c>
      <c r="C100" s="3">
        <v>45706.54552083333</v>
      </c>
      <c r="D100" t="s">
        <v>137</v>
      </c>
      <c r="E100" s="4">
        <v>102.2</v>
      </c>
      <c r="F100" s="4">
        <v>20595.785</v>
      </c>
      <c r="G100" s="4">
        <v>20697.985000000001</v>
      </c>
      <c r="H100" s="5">
        <f>6463 / 86400</f>
        <v>7.480324074074074E-2</v>
      </c>
      <c r="I100" t="s">
        <v>116</v>
      </c>
      <c r="J100" t="s">
        <v>28</v>
      </c>
      <c r="K100" s="5">
        <f>22300 / 86400</f>
        <v>0.25810185185185186</v>
      </c>
      <c r="L100" s="5">
        <f>461 / 86400</f>
        <v>5.3356481481481484E-3</v>
      </c>
    </row>
    <row r="101" spans="1:12" x14ac:dyDescent="0.25">
      <c r="A101" s="3">
        <v>45706.550856481481</v>
      </c>
      <c r="B101" t="s">
        <v>137</v>
      </c>
      <c r="C101" s="3">
        <v>45706.552488425921</v>
      </c>
      <c r="D101" t="s">
        <v>149</v>
      </c>
      <c r="E101" s="4">
        <v>0.188</v>
      </c>
      <c r="F101" s="4">
        <v>20697.985000000001</v>
      </c>
      <c r="G101" s="4">
        <v>20698.172999999999</v>
      </c>
      <c r="H101" s="5">
        <f>59 / 86400</f>
        <v>6.8287037037037036E-4</v>
      </c>
      <c r="I101" t="s">
        <v>25</v>
      </c>
      <c r="J101" t="s">
        <v>50</v>
      </c>
      <c r="K101" s="5">
        <f>141 / 86400</f>
        <v>1.6319444444444445E-3</v>
      </c>
      <c r="L101" s="5">
        <f>521 / 86400</f>
        <v>6.030092592592593E-3</v>
      </c>
    </row>
    <row r="102" spans="1:12" x14ac:dyDescent="0.25">
      <c r="A102" s="3">
        <v>45706.558518518519</v>
      </c>
      <c r="B102" t="s">
        <v>149</v>
      </c>
      <c r="C102" s="3">
        <v>45706.562650462962</v>
      </c>
      <c r="D102" t="s">
        <v>21</v>
      </c>
      <c r="E102" s="4">
        <v>0.73499999999999999</v>
      </c>
      <c r="F102" s="4">
        <v>20698.172999999999</v>
      </c>
      <c r="G102" s="4">
        <v>20698.907999999999</v>
      </c>
      <c r="H102" s="5">
        <f>120 / 86400</f>
        <v>1.3888888888888889E-3</v>
      </c>
      <c r="I102" t="s">
        <v>130</v>
      </c>
      <c r="J102" t="s">
        <v>150</v>
      </c>
      <c r="K102" s="5">
        <f>357 / 86400</f>
        <v>4.1319444444444442E-3</v>
      </c>
      <c r="L102" s="5">
        <f>12223 / 86400</f>
        <v>0.14146990740740742</v>
      </c>
    </row>
    <row r="103" spans="1:12" x14ac:dyDescent="0.25">
      <c r="A103" s="3">
        <v>45706.70412037037</v>
      </c>
      <c r="B103" t="s">
        <v>21</v>
      </c>
      <c r="C103" s="3">
        <v>45706.709664351853</v>
      </c>
      <c r="D103" t="s">
        <v>149</v>
      </c>
      <c r="E103" s="4">
        <v>0.68600000000000005</v>
      </c>
      <c r="F103" s="4">
        <v>20698.907999999999</v>
      </c>
      <c r="G103" s="4">
        <v>20699.594000000001</v>
      </c>
      <c r="H103" s="5">
        <f>299 / 86400</f>
        <v>3.460648148148148E-3</v>
      </c>
      <c r="I103" t="s">
        <v>151</v>
      </c>
      <c r="J103" t="s">
        <v>50</v>
      </c>
      <c r="K103" s="5">
        <f>478 / 86400</f>
        <v>5.5324074074074078E-3</v>
      </c>
      <c r="L103" s="5">
        <f>83 / 86400</f>
        <v>9.6064814814814819E-4</v>
      </c>
    </row>
    <row r="104" spans="1:12" x14ac:dyDescent="0.25">
      <c r="A104" s="3">
        <v>45706.710625</v>
      </c>
      <c r="B104" t="s">
        <v>149</v>
      </c>
      <c r="C104" s="3">
        <v>45706.936469907407</v>
      </c>
      <c r="D104" t="s">
        <v>149</v>
      </c>
      <c r="E104" s="4">
        <v>94.662999999999997</v>
      </c>
      <c r="F104" s="4">
        <v>20699.594000000001</v>
      </c>
      <c r="G104" s="4">
        <v>20794.257000000001</v>
      </c>
      <c r="H104" s="5">
        <f>5901 / 86400</f>
        <v>6.8298611111111115E-2</v>
      </c>
      <c r="I104" t="s">
        <v>22</v>
      </c>
      <c r="J104" t="s">
        <v>62</v>
      </c>
      <c r="K104" s="5">
        <f>19512 / 86400</f>
        <v>0.22583333333333333</v>
      </c>
      <c r="L104" s="5">
        <f>812 / 86400</f>
        <v>9.3981481481481485E-3</v>
      </c>
    </row>
    <row r="105" spans="1:12" x14ac:dyDescent="0.25">
      <c r="A105" s="3">
        <v>45706.945868055554</v>
      </c>
      <c r="B105" t="s">
        <v>149</v>
      </c>
      <c r="C105" s="3">
        <v>45706.949374999997</v>
      </c>
      <c r="D105" t="s">
        <v>21</v>
      </c>
      <c r="E105" s="4">
        <v>0.71499999999999997</v>
      </c>
      <c r="F105" s="4">
        <v>20794.257000000001</v>
      </c>
      <c r="G105" s="4">
        <v>20794.972000000002</v>
      </c>
      <c r="H105" s="5">
        <f>99 / 86400</f>
        <v>1.1458333333333333E-3</v>
      </c>
      <c r="I105" t="s">
        <v>130</v>
      </c>
      <c r="J105" t="s">
        <v>147</v>
      </c>
      <c r="K105" s="5">
        <f>303 / 86400</f>
        <v>3.5069444444444445E-3</v>
      </c>
      <c r="L105" s="5">
        <f>4373 / 86400</f>
        <v>5.0613425925925923E-2</v>
      </c>
    </row>
    <row r="106" spans="1:12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1:12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2" s="10" customFormat="1" ht="20.100000000000001" customHeight="1" x14ac:dyDescent="0.35">
      <c r="A108" s="15" t="s">
        <v>458</v>
      </c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1:12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12" ht="30" x14ac:dyDescent="0.25">
      <c r="A110" s="2" t="s">
        <v>6</v>
      </c>
      <c r="B110" s="2" t="s">
        <v>7</v>
      </c>
      <c r="C110" s="2" t="s">
        <v>8</v>
      </c>
      <c r="D110" s="2" t="s">
        <v>9</v>
      </c>
      <c r="E110" s="2" t="s">
        <v>10</v>
      </c>
      <c r="F110" s="2" t="s">
        <v>11</v>
      </c>
      <c r="G110" s="2" t="s">
        <v>12</v>
      </c>
      <c r="H110" s="2" t="s">
        <v>13</v>
      </c>
      <c r="I110" s="2" t="s">
        <v>14</v>
      </c>
      <c r="J110" s="2" t="s">
        <v>15</v>
      </c>
      <c r="K110" s="2" t="s">
        <v>16</v>
      </c>
      <c r="L110" s="2" t="s">
        <v>17</v>
      </c>
    </row>
    <row r="111" spans="1:12" x14ac:dyDescent="0.25">
      <c r="A111" s="3">
        <v>45706.309745370367</v>
      </c>
      <c r="B111" t="s">
        <v>23</v>
      </c>
      <c r="C111" s="3">
        <v>45706.31186342593</v>
      </c>
      <c r="D111" t="s">
        <v>84</v>
      </c>
      <c r="E111" s="4">
        <v>0.68100000000000005</v>
      </c>
      <c r="F111" s="4">
        <v>329549.08</v>
      </c>
      <c r="G111" s="4">
        <v>329549.761</v>
      </c>
      <c r="H111" s="5">
        <f>0 / 86400</f>
        <v>0</v>
      </c>
      <c r="I111" t="s">
        <v>152</v>
      </c>
      <c r="J111" t="s">
        <v>44</v>
      </c>
      <c r="K111" s="5">
        <f>183 / 86400</f>
        <v>2.1180555555555558E-3</v>
      </c>
      <c r="L111" s="5">
        <f>68537 / 86400</f>
        <v>0.79325231481481484</v>
      </c>
    </row>
    <row r="112" spans="1:12" x14ac:dyDescent="0.25">
      <c r="A112" s="3">
        <v>45706.795370370368</v>
      </c>
      <c r="B112" t="s">
        <v>84</v>
      </c>
      <c r="C112" s="3">
        <v>45706.798055555555</v>
      </c>
      <c r="D112" t="s">
        <v>23</v>
      </c>
      <c r="E112" s="4">
        <v>0.68799999999999994</v>
      </c>
      <c r="F112" s="4">
        <v>329549.761</v>
      </c>
      <c r="G112" s="4">
        <v>329550.44900000002</v>
      </c>
      <c r="H112" s="5">
        <f>60 / 86400</f>
        <v>6.9444444444444447E-4</v>
      </c>
      <c r="I112" t="s">
        <v>24</v>
      </c>
      <c r="J112" t="s">
        <v>93</v>
      </c>
      <c r="K112" s="5">
        <f>231 / 86400</f>
        <v>2.673611111111111E-3</v>
      </c>
      <c r="L112" s="5">
        <f>17447 / 86400</f>
        <v>0.20193287037037036</v>
      </c>
    </row>
    <row r="113" spans="1:12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1:12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2" s="10" customFormat="1" ht="20.100000000000001" customHeight="1" x14ac:dyDescent="0.35">
      <c r="A115" s="15" t="s">
        <v>459</v>
      </c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1:12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1:12" ht="30" x14ac:dyDescent="0.25">
      <c r="A117" s="2" t="s">
        <v>6</v>
      </c>
      <c r="B117" s="2" t="s">
        <v>7</v>
      </c>
      <c r="C117" s="2" t="s">
        <v>8</v>
      </c>
      <c r="D117" s="2" t="s">
        <v>9</v>
      </c>
      <c r="E117" s="2" t="s">
        <v>10</v>
      </c>
      <c r="F117" s="2" t="s">
        <v>11</v>
      </c>
      <c r="G117" s="2" t="s">
        <v>12</v>
      </c>
      <c r="H117" s="2" t="s">
        <v>13</v>
      </c>
      <c r="I117" s="2" t="s">
        <v>14</v>
      </c>
      <c r="J117" s="2" t="s">
        <v>15</v>
      </c>
      <c r="K117" s="2" t="s">
        <v>16</v>
      </c>
      <c r="L117" s="2" t="s">
        <v>17</v>
      </c>
    </row>
    <row r="118" spans="1:12" x14ac:dyDescent="0.25">
      <c r="A118" s="3">
        <v>45706.286493055552</v>
      </c>
      <c r="B118" t="s">
        <v>26</v>
      </c>
      <c r="C118" s="3">
        <v>45706.344467592593</v>
      </c>
      <c r="D118" t="s">
        <v>153</v>
      </c>
      <c r="E118" s="4">
        <v>29.908999999999999</v>
      </c>
      <c r="F118" s="4">
        <v>21199.26</v>
      </c>
      <c r="G118" s="4">
        <v>21229.169000000002</v>
      </c>
      <c r="H118" s="5">
        <f>939 / 86400</f>
        <v>1.0868055555555556E-2</v>
      </c>
      <c r="I118" t="s">
        <v>71</v>
      </c>
      <c r="J118" t="s">
        <v>136</v>
      </c>
      <c r="K118" s="5">
        <f>5009 / 86400</f>
        <v>5.797453703703704E-2</v>
      </c>
      <c r="L118" s="5">
        <f>26027 / 86400</f>
        <v>0.30123842592592592</v>
      </c>
    </row>
    <row r="119" spans="1:12" x14ac:dyDescent="0.25">
      <c r="A119" s="3">
        <v>45706.359212962961</v>
      </c>
      <c r="B119" t="s">
        <v>153</v>
      </c>
      <c r="C119" s="3">
        <v>45706.490590277783</v>
      </c>
      <c r="D119" t="s">
        <v>154</v>
      </c>
      <c r="E119" s="4">
        <v>50.822000000000003</v>
      </c>
      <c r="F119" s="4">
        <v>21229.169000000002</v>
      </c>
      <c r="G119" s="4">
        <v>21279.991000000002</v>
      </c>
      <c r="H119" s="5">
        <f>3520 / 86400</f>
        <v>4.0740740740740744E-2</v>
      </c>
      <c r="I119" t="s">
        <v>60</v>
      </c>
      <c r="J119" t="s">
        <v>28</v>
      </c>
      <c r="K119" s="5">
        <f>11351 / 86400</f>
        <v>0.13137731481481482</v>
      </c>
      <c r="L119" s="5">
        <f>4855 / 86400</f>
        <v>5.6192129629629627E-2</v>
      </c>
    </row>
    <row r="120" spans="1:12" x14ac:dyDescent="0.25">
      <c r="A120" s="3">
        <v>45706.546782407408</v>
      </c>
      <c r="B120" t="s">
        <v>154</v>
      </c>
      <c r="C120" s="3">
        <v>45706.682557870372</v>
      </c>
      <c r="D120" t="s">
        <v>120</v>
      </c>
      <c r="E120" s="4">
        <v>50.529000000000003</v>
      </c>
      <c r="F120" s="4">
        <v>21279.991000000002</v>
      </c>
      <c r="G120" s="4">
        <v>21330.52</v>
      </c>
      <c r="H120" s="5">
        <f>3740 / 86400</f>
        <v>4.3287037037037034E-2</v>
      </c>
      <c r="I120" t="s">
        <v>61</v>
      </c>
      <c r="J120" t="s">
        <v>28</v>
      </c>
      <c r="K120" s="5">
        <f>11731 / 86400</f>
        <v>0.13577546296296297</v>
      </c>
      <c r="L120" s="5">
        <f>462 / 86400</f>
        <v>5.347222222222222E-3</v>
      </c>
    </row>
    <row r="121" spans="1:12" x14ac:dyDescent="0.25">
      <c r="A121" s="3">
        <v>45706.687905092593</v>
      </c>
      <c r="B121" t="s">
        <v>120</v>
      </c>
      <c r="C121" s="3">
        <v>45706.690011574072</v>
      </c>
      <c r="D121" t="s">
        <v>155</v>
      </c>
      <c r="E121" s="4">
        <v>0.81499999999999995</v>
      </c>
      <c r="F121" s="4">
        <v>21330.52</v>
      </c>
      <c r="G121" s="4">
        <v>21331.334999999999</v>
      </c>
      <c r="H121" s="5">
        <f>0 / 86400</f>
        <v>0</v>
      </c>
      <c r="I121" t="s">
        <v>156</v>
      </c>
      <c r="J121" t="s">
        <v>28</v>
      </c>
      <c r="K121" s="5">
        <f>182 / 86400</f>
        <v>2.1064814814814813E-3</v>
      </c>
      <c r="L121" s="5">
        <f>51 / 86400</f>
        <v>5.9027777777777778E-4</v>
      </c>
    </row>
    <row r="122" spans="1:12" x14ac:dyDescent="0.25">
      <c r="A122" s="3">
        <v>45706.690601851849</v>
      </c>
      <c r="B122" t="s">
        <v>155</v>
      </c>
      <c r="C122" s="3">
        <v>45706.690729166672</v>
      </c>
      <c r="D122" t="s">
        <v>157</v>
      </c>
      <c r="E122" s="4">
        <v>6.0000000000000001E-3</v>
      </c>
      <c r="F122" s="4">
        <v>21331.334999999999</v>
      </c>
      <c r="G122" s="4">
        <v>21331.341</v>
      </c>
      <c r="H122" s="5">
        <f>0 / 86400</f>
        <v>0</v>
      </c>
      <c r="I122" t="s">
        <v>82</v>
      </c>
      <c r="J122" t="s">
        <v>111</v>
      </c>
      <c r="K122" s="5">
        <f>10 / 86400</f>
        <v>1.1574074074074075E-4</v>
      </c>
      <c r="L122" s="5">
        <f>346 / 86400</f>
        <v>4.0046296296296297E-3</v>
      </c>
    </row>
    <row r="123" spans="1:12" x14ac:dyDescent="0.25">
      <c r="A123" s="3">
        <v>45706.694733796292</v>
      </c>
      <c r="B123" t="s">
        <v>157</v>
      </c>
      <c r="C123" s="3">
        <v>45706.696006944447</v>
      </c>
      <c r="D123" t="s">
        <v>157</v>
      </c>
      <c r="E123" s="4">
        <v>3.0000000000000001E-3</v>
      </c>
      <c r="F123" s="4">
        <v>21331.341</v>
      </c>
      <c r="G123" s="4">
        <v>21331.344000000001</v>
      </c>
      <c r="H123" s="5">
        <f>99 / 86400</f>
        <v>1.1458333333333333E-3</v>
      </c>
      <c r="I123" t="s">
        <v>82</v>
      </c>
      <c r="J123" t="s">
        <v>82</v>
      </c>
      <c r="K123" s="5">
        <f>109 / 86400</f>
        <v>1.261574074074074E-3</v>
      </c>
      <c r="L123" s="5">
        <f>284 / 86400</f>
        <v>3.2870370370370371E-3</v>
      </c>
    </row>
    <row r="124" spans="1:12" x14ac:dyDescent="0.25">
      <c r="A124" s="3">
        <v>45706.699293981481</v>
      </c>
      <c r="B124" t="s">
        <v>157</v>
      </c>
      <c r="C124" s="3">
        <v>45706.699965277774</v>
      </c>
      <c r="D124" t="s">
        <v>157</v>
      </c>
      <c r="E124" s="4">
        <v>7.0000000000000001E-3</v>
      </c>
      <c r="F124" s="4">
        <v>21331.344000000001</v>
      </c>
      <c r="G124" s="4">
        <v>21331.350999999999</v>
      </c>
      <c r="H124" s="5">
        <f>39 / 86400</f>
        <v>4.5138888888888887E-4</v>
      </c>
      <c r="I124" t="s">
        <v>82</v>
      </c>
      <c r="J124" t="s">
        <v>82</v>
      </c>
      <c r="K124" s="5">
        <f>57 / 86400</f>
        <v>6.5972222222222224E-4</v>
      </c>
      <c r="L124" s="5">
        <f>234 / 86400</f>
        <v>2.7083333333333334E-3</v>
      </c>
    </row>
    <row r="125" spans="1:12" x14ac:dyDescent="0.25">
      <c r="A125" s="3">
        <v>45706.702673611115</v>
      </c>
      <c r="B125" t="s">
        <v>157</v>
      </c>
      <c r="C125" s="3">
        <v>45706.875659722224</v>
      </c>
      <c r="D125" t="s">
        <v>26</v>
      </c>
      <c r="E125" s="4">
        <v>63.308</v>
      </c>
      <c r="F125" s="4">
        <v>21331.350999999999</v>
      </c>
      <c r="G125" s="4">
        <v>21394.659</v>
      </c>
      <c r="H125" s="5">
        <f>4798 / 86400</f>
        <v>5.5532407407407405E-2</v>
      </c>
      <c r="I125" t="s">
        <v>27</v>
      </c>
      <c r="J125" t="s">
        <v>38</v>
      </c>
      <c r="K125" s="5">
        <f>14945 / 86400</f>
        <v>0.17297453703703702</v>
      </c>
      <c r="L125" s="5">
        <f>3438 / 86400</f>
        <v>3.979166666666667E-2</v>
      </c>
    </row>
    <row r="126" spans="1:12" x14ac:dyDescent="0.25">
      <c r="A126" s="3">
        <v>45706.915451388893</v>
      </c>
      <c r="B126" t="s">
        <v>26</v>
      </c>
      <c r="C126" s="3">
        <v>45706.926134259258</v>
      </c>
      <c r="D126" t="s">
        <v>26</v>
      </c>
      <c r="E126" s="4">
        <v>2.4750000000000001</v>
      </c>
      <c r="F126" s="4">
        <v>21394.659</v>
      </c>
      <c r="G126" s="4">
        <v>21397.133999999998</v>
      </c>
      <c r="H126" s="5">
        <f>219 / 86400</f>
        <v>2.5347222222222221E-3</v>
      </c>
      <c r="I126" t="s">
        <v>158</v>
      </c>
      <c r="J126" t="s">
        <v>159</v>
      </c>
      <c r="K126" s="5">
        <f>922 / 86400</f>
        <v>1.0671296296296297E-2</v>
      </c>
      <c r="L126" s="5">
        <f>6381 / 86400</f>
        <v>7.3854166666666665E-2</v>
      </c>
    </row>
    <row r="127" spans="1:12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1:12" s="10" customFormat="1" ht="20.100000000000001" customHeight="1" x14ac:dyDescent="0.35">
      <c r="A129" s="15" t="s">
        <v>460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2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2" ht="30" x14ac:dyDescent="0.25">
      <c r="A131" s="2" t="s">
        <v>6</v>
      </c>
      <c r="B131" s="2" t="s">
        <v>7</v>
      </c>
      <c r="C131" s="2" t="s">
        <v>8</v>
      </c>
      <c r="D131" s="2" t="s">
        <v>9</v>
      </c>
      <c r="E131" s="2" t="s">
        <v>10</v>
      </c>
      <c r="F131" s="2" t="s">
        <v>11</v>
      </c>
      <c r="G131" s="2" t="s">
        <v>12</v>
      </c>
      <c r="H131" s="2" t="s">
        <v>13</v>
      </c>
      <c r="I131" s="2" t="s">
        <v>14</v>
      </c>
      <c r="J131" s="2" t="s">
        <v>15</v>
      </c>
      <c r="K131" s="2" t="s">
        <v>16</v>
      </c>
      <c r="L131" s="2" t="s">
        <v>17</v>
      </c>
    </row>
    <row r="132" spans="1:12" x14ac:dyDescent="0.25">
      <c r="A132" s="3">
        <v>45706.245497685188</v>
      </c>
      <c r="B132" t="s">
        <v>29</v>
      </c>
      <c r="C132" s="3">
        <v>45706.24732638889</v>
      </c>
      <c r="D132" t="s">
        <v>29</v>
      </c>
      <c r="E132" s="4">
        <v>0</v>
      </c>
      <c r="F132" s="4">
        <v>514422.22399999999</v>
      </c>
      <c r="G132" s="4">
        <v>514422.22399999999</v>
      </c>
      <c r="H132" s="5">
        <f>139 / 86400</f>
        <v>1.6087962962962963E-3</v>
      </c>
      <c r="I132" t="s">
        <v>82</v>
      </c>
      <c r="J132" t="s">
        <v>82</v>
      </c>
      <c r="K132" s="5">
        <f>158 / 86400</f>
        <v>1.8287037037037037E-3</v>
      </c>
      <c r="L132" s="5">
        <f>21287 / 86400</f>
        <v>0.24637731481481481</v>
      </c>
    </row>
    <row r="133" spans="1:12" x14ac:dyDescent="0.25">
      <c r="A133" s="3">
        <v>45706.248206018514</v>
      </c>
      <c r="B133" t="s">
        <v>29</v>
      </c>
      <c r="C133" s="3">
        <v>45706.260150462964</v>
      </c>
      <c r="D133" t="s">
        <v>95</v>
      </c>
      <c r="E133" s="4">
        <v>4.1150000000000002</v>
      </c>
      <c r="F133" s="4">
        <v>514422.22399999999</v>
      </c>
      <c r="G133" s="4">
        <v>514426.33899999998</v>
      </c>
      <c r="H133" s="5">
        <f>379 / 86400</f>
        <v>4.386574074074074E-3</v>
      </c>
      <c r="I133" t="s">
        <v>71</v>
      </c>
      <c r="J133" t="s">
        <v>57</v>
      </c>
      <c r="K133" s="5">
        <f>1031 / 86400</f>
        <v>1.193287037037037E-2</v>
      </c>
      <c r="L133" s="5">
        <f>312 / 86400</f>
        <v>3.6111111111111109E-3</v>
      </c>
    </row>
    <row r="134" spans="1:12" x14ac:dyDescent="0.25">
      <c r="A134" s="3">
        <v>45706.263761574075</v>
      </c>
      <c r="B134" t="s">
        <v>95</v>
      </c>
      <c r="C134" s="3">
        <v>45706.312789351854</v>
      </c>
      <c r="D134" t="s">
        <v>160</v>
      </c>
      <c r="E134" s="4">
        <v>29.803000000000001</v>
      </c>
      <c r="F134" s="4">
        <v>514426.33899999998</v>
      </c>
      <c r="G134" s="4">
        <v>514456.14199999999</v>
      </c>
      <c r="H134" s="5">
        <f>959 / 86400</f>
        <v>1.1099537037037036E-2</v>
      </c>
      <c r="I134" t="s">
        <v>80</v>
      </c>
      <c r="J134" t="s">
        <v>31</v>
      </c>
      <c r="K134" s="5">
        <f>4236 / 86400</f>
        <v>4.9027777777777781E-2</v>
      </c>
      <c r="L134" s="5">
        <f>2700 / 86400</f>
        <v>3.125E-2</v>
      </c>
    </row>
    <row r="135" spans="1:12" x14ac:dyDescent="0.25">
      <c r="A135" s="3">
        <v>45706.344039351854</v>
      </c>
      <c r="B135" t="s">
        <v>161</v>
      </c>
      <c r="C135" s="3">
        <v>45706.347037037034</v>
      </c>
      <c r="D135" t="s">
        <v>153</v>
      </c>
      <c r="E135" s="4">
        <v>0.85499999999999998</v>
      </c>
      <c r="F135" s="4">
        <v>514456.14199999999</v>
      </c>
      <c r="G135" s="4">
        <v>514456.99699999997</v>
      </c>
      <c r="H135" s="5">
        <f>19 / 86400</f>
        <v>2.199074074074074E-4</v>
      </c>
      <c r="I135" t="s">
        <v>162</v>
      </c>
      <c r="J135" t="s">
        <v>25</v>
      </c>
      <c r="K135" s="5">
        <f>258 / 86400</f>
        <v>2.9861111111111113E-3</v>
      </c>
      <c r="L135" s="5">
        <f>1737 / 86400</f>
        <v>2.0104166666666666E-2</v>
      </c>
    </row>
    <row r="136" spans="1:12" x14ac:dyDescent="0.25">
      <c r="A136" s="3">
        <v>45706.367141203707</v>
      </c>
      <c r="B136" t="s">
        <v>153</v>
      </c>
      <c r="C136" s="3">
        <v>45706.488113425927</v>
      </c>
      <c r="D136" t="s">
        <v>131</v>
      </c>
      <c r="E136" s="4">
        <v>51.161999999999999</v>
      </c>
      <c r="F136" s="4">
        <v>514456.99699999997</v>
      </c>
      <c r="G136" s="4">
        <v>514508.15899999999</v>
      </c>
      <c r="H136" s="5">
        <f>3100 / 86400</f>
        <v>3.5879629629629629E-2</v>
      </c>
      <c r="I136" t="s">
        <v>30</v>
      </c>
      <c r="J136" t="s">
        <v>20</v>
      </c>
      <c r="K136" s="5">
        <f>10452 / 86400</f>
        <v>0.12097222222222222</v>
      </c>
      <c r="L136" s="5">
        <f>1504 / 86400</f>
        <v>1.7407407407407406E-2</v>
      </c>
    </row>
    <row r="137" spans="1:12" x14ac:dyDescent="0.25">
      <c r="A137" s="3">
        <v>45706.505520833336</v>
      </c>
      <c r="B137" t="s">
        <v>131</v>
      </c>
      <c r="C137" s="3">
        <v>45706.634976851856</v>
      </c>
      <c r="D137" t="s">
        <v>161</v>
      </c>
      <c r="E137" s="4">
        <v>50.795000000000002</v>
      </c>
      <c r="F137" s="4">
        <v>514508.15899999999</v>
      </c>
      <c r="G137" s="4">
        <v>514558.95400000003</v>
      </c>
      <c r="H137" s="5">
        <f>3139 / 86400</f>
        <v>3.6331018518518519E-2</v>
      </c>
      <c r="I137" t="s">
        <v>41</v>
      </c>
      <c r="J137" t="s">
        <v>28</v>
      </c>
      <c r="K137" s="5">
        <f>11185 / 86400</f>
        <v>0.12945601851851851</v>
      </c>
      <c r="L137" s="5">
        <f>2777 / 86400</f>
        <v>3.2141203703703707E-2</v>
      </c>
    </row>
    <row r="138" spans="1:12" x14ac:dyDescent="0.25">
      <c r="A138" s="3">
        <v>45706.667118055557</v>
      </c>
      <c r="B138" t="s">
        <v>161</v>
      </c>
      <c r="C138" s="3">
        <v>45706.670405092591</v>
      </c>
      <c r="D138" t="s">
        <v>137</v>
      </c>
      <c r="E138" s="4">
        <v>0.91900000000000004</v>
      </c>
      <c r="F138" s="4">
        <v>514558.95400000003</v>
      </c>
      <c r="G138" s="4">
        <v>514559.87300000002</v>
      </c>
      <c r="H138" s="5">
        <f>79 / 86400</f>
        <v>9.1435185185185185E-4</v>
      </c>
      <c r="I138" t="s">
        <v>158</v>
      </c>
      <c r="J138" t="s">
        <v>25</v>
      </c>
      <c r="K138" s="5">
        <f>283 / 86400</f>
        <v>3.2754629629629631E-3</v>
      </c>
      <c r="L138" s="5">
        <f>249 / 86400</f>
        <v>2.8819444444444444E-3</v>
      </c>
    </row>
    <row r="139" spans="1:12" x14ac:dyDescent="0.25">
      <c r="A139" s="3">
        <v>45706.673287037032</v>
      </c>
      <c r="B139" t="s">
        <v>137</v>
      </c>
      <c r="C139" s="3">
        <v>45706.673807870371</v>
      </c>
      <c r="D139" t="s">
        <v>137</v>
      </c>
      <c r="E139" s="4">
        <v>5.0000000000000001E-3</v>
      </c>
      <c r="F139" s="4">
        <v>514559.87300000002</v>
      </c>
      <c r="G139" s="4">
        <v>514559.87800000003</v>
      </c>
      <c r="H139" s="5">
        <f>20 / 86400</f>
        <v>2.3148148148148149E-4</v>
      </c>
      <c r="I139" t="s">
        <v>163</v>
      </c>
      <c r="J139" t="s">
        <v>82</v>
      </c>
      <c r="K139" s="5">
        <f>44 / 86400</f>
        <v>5.0925925925925921E-4</v>
      </c>
      <c r="L139" s="5">
        <f>241 / 86400</f>
        <v>2.7893518518518519E-3</v>
      </c>
    </row>
    <row r="140" spans="1:12" x14ac:dyDescent="0.25">
      <c r="A140" s="3">
        <v>45706.67659722222</v>
      </c>
      <c r="B140" t="s">
        <v>137</v>
      </c>
      <c r="C140" s="3">
        <v>45706.759722222225</v>
      </c>
      <c r="D140" t="s">
        <v>164</v>
      </c>
      <c r="E140" s="4">
        <v>38.953000000000003</v>
      </c>
      <c r="F140" s="4">
        <v>514559.87800000003</v>
      </c>
      <c r="G140" s="4">
        <v>514598.83100000001</v>
      </c>
      <c r="H140" s="5">
        <f>2001 / 86400</f>
        <v>2.3159722222222224E-2</v>
      </c>
      <c r="I140" t="s">
        <v>33</v>
      </c>
      <c r="J140" t="s">
        <v>35</v>
      </c>
      <c r="K140" s="5">
        <f>7181 / 86400</f>
        <v>8.3113425925925924E-2</v>
      </c>
      <c r="L140" s="5">
        <f>166 / 86400</f>
        <v>1.9212962962962964E-3</v>
      </c>
    </row>
    <row r="141" spans="1:12" x14ac:dyDescent="0.25">
      <c r="A141" s="3">
        <v>45706.761643518519</v>
      </c>
      <c r="B141" t="s">
        <v>164</v>
      </c>
      <c r="C141" s="3">
        <v>45706.80168981482</v>
      </c>
      <c r="D141" t="s">
        <v>104</v>
      </c>
      <c r="E141" s="4">
        <v>9.4060000000000006</v>
      </c>
      <c r="F141" s="4">
        <v>514598.83100000001</v>
      </c>
      <c r="G141" s="4">
        <v>514608.23700000002</v>
      </c>
      <c r="H141" s="5">
        <f>1647 / 86400</f>
        <v>1.90625E-2</v>
      </c>
      <c r="I141" t="s">
        <v>165</v>
      </c>
      <c r="J141" t="s">
        <v>159</v>
      </c>
      <c r="K141" s="5">
        <f>3459 / 86400</f>
        <v>4.0034722222222222E-2</v>
      </c>
      <c r="L141" s="5">
        <f>74 / 86400</f>
        <v>8.564814814814815E-4</v>
      </c>
    </row>
    <row r="142" spans="1:12" x14ac:dyDescent="0.25">
      <c r="A142" s="3">
        <v>45706.802546296298</v>
      </c>
      <c r="B142" t="s">
        <v>104</v>
      </c>
      <c r="C142" s="3">
        <v>45706.912905092591</v>
      </c>
      <c r="D142" t="s">
        <v>166</v>
      </c>
      <c r="E142" s="4">
        <v>51.518999999999998</v>
      </c>
      <c r="F142" s="4">
        <v>514608.23700000002</v>
      </c>
      <c r="G142" s="4">
        <v>514659.75599999999</v>
      </c>
      <c r="H142" s="5">
        <f>3039 / 86400</f>
        <v>3.5173611111111114E-2</v>
      </c>
      <c r="I142" t="s">
        <v>167</v>
      </c>
      <c r="J142" t="s">
        <v>79</v>
      </c>
      <c r="K142" s="5">
        <f>9535 / 86400</f>
        <v>0.1103587962962963</v>
      </c>
      <c r="L142" s="5">
        <f>455 / 86400</f>
        <v>5.2662037037037035E-3</v>
      </c>
    </row>
    <row r="143" spans="1:12" x14ac:dyDescent="0.25">
      <c r="A143" s="3">
        <v>45706.918171296296</v>
      </c>
      <c r="B143" t="s">
        <v>166</v>
      </c>
      <c r="C143" s="3">
        <v>45706.91909722222</v>
      </c>
      <c r="D143" t="s">
        <v>168</v>
      </c>
      <c r="E143" s="4">
        <v>2.8000000000000001E-2</v>
      </c>
      <c r="F143" s="4">
        <v>514659.75599999999</v>
      </c>
      <c r="G143" s="4">
        <v>514659.78399999999</v>
      </c>
      <c r="H143" s="5">
        <f>60 / 86400</f>
        <v>6.9444444444444447E-4</v>
      </c>
      <c r="I143" t="s">
        <v>50</v>
      </c>
      <c r="J143" t="s">
        <v>163</v>
      </c>
      <c r="K143" s="5">
        <f>80 / 86400</f>
        <v>9.2592592592592596E-4</v>
      </c>
      <c r="L143" s="5">
        <f>88 / 86400</f>
        <v>1.0185185185185184E-3</v>
      </c>
    </row>
    <row r="144" spans="1:12" x14ac:dyDescent="0.25">
      <c r="A144" s="3">
        <v>45706.920115740737</v>
      </c>
      <c r="B144" t="s">
        <v>168</v>
      </c>
      <c r="C144" s="3">
        <v>45706.920266203699</v>
      </c>
      <c r="D144" t="s">
        <v>168</v>
      </c>
      <c r="E144" s="4">
        <v>0</v>
      </c>
      <c r="F144" s="4">
        <v>514659.78399999999</v>
      </c>
      <c r="G144" s="4">
        <v>514659.78399999999</v>
      </c>
      <c r="H144" s="5">
        <f>0 / 86400</f>
        <v>0</v>
      </c>
      <c r="I144" t="s">
        <v>82</v>
      </c>
      <c r="J144" t="s">
        <v>82</v>
      </c>
      <c r="K144" s="5">
        <f>12 / 86400</f>
        <v>1.3888888888888889E-4</v>
      </c>
      <c r="L144" s="5">
        <f>198 / 86400</f>
        <v>2.2916666666666667E-3</v>
      </c>
    </row>
    <row r="145" spans="1:12" x14ac:dyDescent="0.25">
      <c r="A145" s="3">
        <v>45706.92255787037</v>
      </c>
      <c r="B145" t="s">
        <v>168</v>
      </c>
      <c r="C145" s="3">
        <v>45706.926724537036</v>
      </c>
      <c r="D145" t="s">
        <v>29</v>
      </c>
      <c r="E145" s="4">
        <v>1.37</v>
      </c>
      <c r="F145" s="4">
        <v>514659.78399999999</v>
      </c>
      <c r="G145" s="4">
        <v>514661.15399999998</v>
      </c>
      <c r="H145" s="5">
        <f>60 / 86400</f>
        <v>6.9444444444444447E-4</v>
      </c>
      <c r="I145" t="s">
        <v>169</v>
      </c>
      <c r="J145" t="s">
        <v>57</v>
      </c>
      <c r="K145" s="5">
        <f>360 / 86400</f>
        <v>4.1666666666666666E-3</v>
      </c>
      <c r="L145" s="5">
        <f>208 / 86400</f>
        <v>2.4074074074074076E-3</v>
      </c>
    </row>
    <row r="146" spans="1:12" x14ac:dyDescent="0.25">
      <c r="A146" s="3">
        <v>45706.929131944446</v>
      </c>
      <c r="B146" t="s">
        <v>29</v>
      </c>
      <c r="C146" s="3">
        <v>45706.930254629631</v>
      </c>
      <c r="D146" t="s">
        <v>29</v>
      </c>
      <c r="E146" s="4">
        <v>2.1000000000000001E-2</v>
      </c>
      <c r="F146" s="4">
        <v>514661.15399999998</v>
      </c>
      <c r="G146" s="4">
        <v>514661.17499999999</v>
      </c>
      <c r="H146" s="5">
        <f>39 / 86400</f>
        <v>4.5138888888888887E-4</v>
      </c>
      <c r="I146" t="s">
        <v>111</v>
      </c>
      <c r="J146" t="s">
        <v>163</v>
      </c>
      <c r="K146" s="5">
        <f>97 / 86400</f>
        <v>1.1226851851851851E-3</v>
      </c>
      <c r="L146" s="5">
        <f>6025 / 86400</f>
        <v>6.9733796296296294E-2</v>
      </c>
    </row>
    <row r="147" spans="1:1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2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1:12" s="10" customFormat="1" ht="20.100000000000001" customHeight="1" x14ac:dyDescent="0.35">
      <c r="A149" s="15" t="s">
        <v>461</v>
      </c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2" ht="30" x14ac:dyDescent="0.25">
      <c r="A151" s="2" t="s">
        <v>6</v>
      </c>
      <c r="B151" s="2" t="s">
        <v>7</v>
      </c>
      <c r="C151" s="2" t="s">
        <v>8</v>
      </c>
      <c r="D151" s="2" t="s">
        <v>9</v>
      </c>
      <c r="E151" s="2" t="s">
        <v>10</v>
      </c>
      <c r="F151" s="2" t="s">
        <v>11</v>
      </c>
      <c r="G151" s="2" t="s">
        <v>12</v>
      </c>
      <c r="H151" s="2" t="s">
        <v>13</v>
      </c>
      <c r="I151" s="2" t="s">
        <v>14</v>
      </c>
      <c r="J151" s="2" t="s">
        <v>15</v>
      </c>
      <c r="K151" s="2" t="s">
        <v>16</v>
      </c>
      <c r="L151" s="2" t="s">
        <v>17</v>
      </c>
    </row>
    <row r="152" spans="1:12" x14ac:dyDescent="0.25">
      <c r="A152" s="3">
        <v>45706.288553240738</v>
      </c>
      <c r="B152" t="s">
        <v>26</v>
      </c>
      <c r="C152" s="3">
        <v>45706.291979166665</v>
      </c>
      <c r="D152" t="s">
        <v>26</v>
      </c>
      <c r="E152" s="4">
        <v>5.6000000000000001E-2</v>
      </c>
      <c r="F152" s="4">
        <v>93367.237999999998</v>
      </c>
      <c r="G152" s="4">
        <v>93367.293999999994</v>
      </c>
      <c r="H152" s="5">
        <f>219 / 86400</f>
        <v>2.5347222222222221E-3</v>
      </c>
      <c r="I152" t="s">
        <v>50</v>
      </c>
      <c r="J152" t="s">
        <v>163</v>
      </c>
      <c r="K152" s="5">
        <f>295 / 86400</f>
        <v>3.414351851851852E-3</v>
      </c>
      <c r="L152" s="5">
        <f>26237 / 86400</f>
        <v>0.30366898148148147</v>
      </c>
    </row>
    <row r="153" spans="1:12" x14ac:dyDescent="0.25">
      <c r="A153" s="3">
        <v>45706.307094907403</v>
      </c>
      <c r="B153" t="s">
        <v>26</v>
      </c>
      <c r="C153" s="3">
        <v>45706.310254629629</v>
      </c>
      <c r="D153" t="s">
        <v>26</v>
      </c>
      <c r="E153" s="4">
        <v>0.16400000000000001</v>
      </c>
      <c r="F153" s="4">
        <v>93367.293999999994</v>
      </c>
      <c r="G153" s="4">
        <v>93367.457999999999</v>
      </c>
      <c r="H153" s="5">
        <f>140 / 86400</f>
        <v>1.6203703703703703E-3</v>
      </c>
      <c r="I153" t="s">
        <v>150</v>
      </c>
      <c r="J153" t="s">
        <v>111</v>
      </c>
      <c r="K153" s="5">
        <f>273 / 86400</f>
        <v>3.1597222222222222E-3</v>
      </c>
      <c r="L153" s="5">
        <f>1897 / 86400</f>
        <v>2.1956018518518517E-2</v>
      </c>
    </row>
    <row r="154" spans="1:12" x14ac:dyDescent="0.25">
      <c r="A154" s="3">
        <v>45706.33221064815</v>
      </c>
      <c r="B154" t="s">
        <v>26</v>
      </c>
      <c r="C154" s="3">
        <v>45706.332395833335</v>
      </c>
      <c r="D154" t="s">
        <v>26</v>
      </c>
      <c r="E154" s="4">
        <v>0</v>
      </c>
      <c r="F154" s="4">
        <v>93367.457999999999</v>
      </c>
      <c r="G154" s="4">
        <v>93367.457999999999</v>
      </c>
      <c r="H154" s="5">
        <f>0 / 86400</f>
        <v>0</v>
      </c>
      <c r="I154" t="s">
        <v>82</v>
      </c>
      <c r="J154" t="s">
        <v>82</v>
      </c>
      <c r="K154" s="5">
        <f>15 / 86400</f>
        <v>1.7361111111111112E-4</v>
      </c>
      <c r="L154" s="5">
        <f>573 / 86400</f>
        <v>6.6319444444444446E-3</v>
      </c>
    </row>
    <row r="155" spans="1:12" x14ac:dyDescent="0.25">
      <c r="A155" s="3">
        <v>45706.33902777778</v>
      </c>
      <c r="B155" t="s">
        <v>26</v>
      </c>
      <c r="C155" s="3">
        <v>45706.33993055555</v>
      </c>
      <c r="D155" t="s">
        <v>26</v>
      </c>
      <c r="E155" s="4">
        <v>6.5000000000000002E-2</v>
      </c>
      <c r="F155" s="4">
        <v>93367.457999999999</v>
      </c>
      <c r="G155" s="4">
        <v>93367.523000000001</v>
      </c>
      <c r="H155" s="5">
        <f>0 / 86400</f>
        <v>0</v>
      </c>
      <c r="I155" t="s">
        <v>150</v>
      </c>
      <c r="J155" t="s">
        <v>170</v>
      </c>
      <c r="K155" s="5">
        <f>77 / 86400</f>
        <v>8.9120370370370373E-4</v>
      </c>
      <c r="L155" s="5">
        <f>10658 / 86400</f>
        <v>0.12335648148148148</v>
      </c>
    </row>
    <row r="156" spans="1:12" x14ac:dyDescent="0.25">
      <c r="A156" s="3">
        <v>45706.463287037041</v>
      </c>
      <c r="B156" t="s">
        <v>26</v>
      </c>
      <c r="C156" s="3">
        <v>45706.464467592596</v>
      </c>
      <c r="D156" t="s">
        <v>26</v>
      </c>
      <c r="E156" s="4">
        <v>0.16300000000000001</v>
      </c>
      <c r="F156" s="4">
        <v>93367.523000000001</v>
      </c>
      <c r="G156" s="4">
        <v>93367.686000000002</v>
      </c>
      <c r="H156" s="5">
        <f>0 / 86400</f>
        <v>0</v>
      </c>
      <c r="I156" t="s">
        <v>171</v>
      </c>
      <c r="J156" t="s">
        <v>32</v>
      </c>
      <c r="K156" s="5">
        <f>102 / 86400</f>
        <v>1.1805555555555556E-3</v>
      </c>
      <c r="L156" s="5">
        <f>1903 / 86400</f>
        <v>2.2025462962962962E-2</v>
      </c>
    </row>
    <row r="157" spans="1:12" x14ac:dyDescent="0.25">
      <c r="A157" s="3">
        <v>45706.486493055556</v>
      </c>
      <c r="B157" t="s">
        <v>26</v>
      </c>
      <c r="C157" s="3">
        <v>45706.487789351857</v>
      </c>
      <c r="D157" t="s">
        <v>26</v>
      </c>
      <c r="E157" s="4">
        <v>7.6999999999999999E-2</v>
      </c>
      <c r="F157" s="4">
        <v>93367.686000000002</v>
      </c>
      <c r="G157" s="4">
        <v>93367.763000000006</v>
      </c>
      <c r="H157" s="5">
        <f>79 / 86400</f>
        <v>9.1435185185185185E-4</v>
      </c>
      <c r="I157" t="s">
        <v>32</v>
      </c>
      <c r="J157" t="s">
        <v>111</v>
      </c>
      <c r="K157" s="5">
        <f>112 / 86400</f>
        <v>1.2962962962962963E-3</v>
      </c>
      <c r="L157" s="5">
        <f>653 / 86400</f>
        <v>7.5578703703703702E-3</v>
      </c>
    </row>
    <row r="158" spans="1:12" x14ac:dyDescent="0.25">
      <c r="A158" s="3">
        <v>45706.495347222226</v>
      </c>
      <c r="B158" t="s">
        <v>26</v>
      </c>
      <c r="C158" s="3">
        <v>45706.500520833331</v>
      </c>
      <c r="D158" t="s">
        <v>172</v>
      </c>
      <c r="E158" s="4">
        <v>1.5429999999999999</v>
      </c>
      <c r="F158" s="4">
        <v>93367.763000000006</v>
      </c>
      <c r="G158" s="4">
        <v>93369.305999999997</v>
      </c>
      <c r="H158" s="5">
        <f>40 / 86400</f>
        <v>4.6296296296296298E-4</v>
      </c>
      <c r="I158" t="s">
        <v>151</v>
      </c>
      <c r="J158" t="s">
        <v>25</v>
      </c>
      <c r="K158" s="5">
        <f>447 / 86400</f>
        <v>5.1736111111111115E-3</v>
      </c>
      <c r="L158" s="5">
        <f>62 / 86400</f>
        <v>7.1759259259259259E-4</v>
      </c>
    </row>
    <row r="159" spans="1:12" x14ac:dyDescent="0.25">
      <c r="A159" s="3">
        <v>45706.501238425924</v>
      </c>
      <c r="B159" t="s">
        <v>172</v>
      </c>
      <c r="C159" s="3">
        <v>45706.501921296294</v>
      </c>
      <c r="D159" t="s">
        <v>172</v>
      </c>
      <c r="E159" s="4">
        <v>3.2000000000000001E-2</v>
      </c>
      <c r="F159" s="4">
        <v>93369.305999999997</v>
      </c>
      <c r="G159" s="4">
        <v>93369.338000000003</v>
      </c>
      <c r="H159" s="5">
        <f>39 / 86400</f>
        <v>4.5138888888888887E-4</v>
      </c>
      <c r="I159" t="s">
        <v>32</v>
      </c>
      <c r="J159" t="s">
        <v>111</v>
      </c>
      <c r="K159" s="5">
        <f>59 / 86400</f>
        <v>6.8287037037037036E-4</v>
      </c>
      <c r="L159" s="5">
        <f>806 / 86400</f>
        <v>9.3287037037037036E-3</v>
      </c>
    </row>
    <row r="160" spans="1:12" x14ac:dyDescent="0.25">
      <c r="A160" s="3">
        <v>45706.511249999996</v>
      </c>
      <c r="B160" t="s">
        <v>172</v>
      </c>
      <c r="C160" s="3">
        <v>45706.511504629627</v>
      </c>
      <c r="D160" t="s">
        <v>172</v>
      </c>
      <c r="E160" s="4">
        <v>0</v>
      </c>
      <c r="F160" s="4">
        <v>93369.338000000003</v>
      </c>
      <c r="G160" s="4">
        <v>93369.338000000003</v>
      </c>
      <c r="H160" s="5">
        <f>19 / 86400</f>
        <v>2.199074074074074E-4</v>
      </c>
      <c r="I160" t="s">
        <v>82</v>
      </c>
      <c r="J160" t="s">
        <v>82</v>
      </c>
      <c r="K160" s="5">
        <f>22 / 86400</f>
        <v>2.5462962962962961E-4</v>
      </c>
      <c r="L160" s="5">
        <f>22634 / 86400</f>
        <v>0.26196759259259261</v>
      </c>
    </row>
    <row r="161" spans="1:12" x14ac:dyDescent="0.25">
      <c r="A161" s="3">
        <v>45706.773472222223</v>
      </c>
      <c r="B161" t="s">
        <v>172</v>
      </c>
      <c r="C161" s="3">
        <v>45706.778495370367</v>
      </c>
      <c r="D161" t="s">
        <v>26</v>
      </c>
      <c r="E161" s="4">
        <v>1.0740000000000001</v>
      </c>
      <c r="F161" s="4">
        <v>93369.338000000003</v>
      </c>
      <c r="G161" s="4">
        <v>93370.411999999997</v>
      </c>
      <c r="H161" s="5">
        <f>119 / 86400</f>
        <v>1.3773148148148147E-3</v>
      </c>
      <c r="I161" t="s">
        <v>31</v>
      </c>
      <c r="J161" t="s">
        <v>171</v>
      </c>
      <c r="K161" s="5">
        <f>433 / 86400</f>
        <v>5.0115740740740737E-3</v>
      </c>
      <c r="L161" s="5">
        <f>179 / 86400</f>
        <v>2.0717592592592593E-3</v>
      </c>
    </row>
    <row r="162" spans="1:12" x14ac:dyDescent="0.25">
      <c r="A162" s="3">
        <v>45706.78056712963</v>
      </c>
      <c r="B162" t="s">
        <v>26</v>
      </c>
      <c r="C162" s="3">
        <v>45706.782638888893</v>
      </c>
      <c r="D162" t="s">
        <v>26</v>
      </c>
      <c r="E162" s="4">
        <v>0.14000000000000001</v>
      </c>
      <c r="F162" s="4">
        <v>93370.411999999997</v>
      </c>
      <c r="G162" s="4">
        <v>93370.551999999996</v>
      </c>
      <c r="H162" s="5">
        <f>51 / 86400</f>
        <v>5.9027777777777778E-4</v>
      </c>
      <c r="I162" t="s">
        <v>150</v>
      </c>
      <c r="J162" t="s">
        <v>170</v>
      </c>
      <c r="K162" s="5">
        <f>179 / 86400</f>
        <v>2.0717592592592593E-3</v>
      </c>
      <c r="L162" s="5">
        <f>18779 / 86400</f>
        <v>0.21734953703703705</v>
      </c>
    </row>
    <row r="163" spans="1:12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1:12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1:12" s="10" customFormat="1" ht="20.100000000000001" customHeight="1" x14ac:dyDescent="0.35">
      <c r="A165" s="15" t="s">
        <v>462</v>
      </c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2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12" ht="30" x14ac:dyDescent="0.25">
      <c r="A167" s="2" t="s">
        <v>6</v>
      </c>
      <c r="B167" s="2" t="s">
        <v>7</v>
      </c>
      <c r="C167" s="2" t="s">
        <v>8</v>
      </c>
      <c r="D167" s="2" t="s">
        <v>9</v>
      </c>
      <c r="E167" s="2" t="s">
        <v>10</v>
      </c>
      <c r="F167" s="2" t="s">
        <v>11</v>
      </c>
      <c r="G167" s="2" t="s">
        <v>12</v>
      </c>
      <c r="H167" s="2" t="s">
        <v>13</v>
      </c>
      <c r="I167" s="2" t="s">
        <v>14</v>
      </c>
      <c r="J167" s="2" t="s">
        <v>15</v>
      </c>
      <c r="K167" s="2" t="s">
        <v>16</v>
      </c>
      <c r="L167" s="2" t="s">
        <v>17</v>
      </c>
    </row>
    <row r="168" spans="1:12" x14ac:dyDescent="0.25">
      <c r="A168" s="3">
        <v>45706.177418981482</v>
      </c>
      <c r="B168" t="s">
        <v>18</v>
      </c>
      <c r="C168" s="3">
        <v>45706.264710648145</v>
      </c>
      <c r="D168" t="s">
        <v>173</v>
      </c>
      <c r="E168" s="4">
        <v>49.438000000000002</v>
      </c>
      <c r="F168" s="4">
        <v>139175.28899999999</v>
      </c>
      <c r="G168" s="4">
        <v>139224.72700000001</v>
      </c>
      <c r="H168" s="5">
        <f>1599 / 86400</f>
        <v>1.8506944444444444E-2</v>
      </c>
      <c r="I168" t="s">
        <v>174</v>
      </c>
      <c r="J168" t="s">
        <v>151</v>
      </c>
      <c r="K168" s="5">
        <f>7541 / 86400</f>
        <v>8.728009259259259E-2</v>
      </c>
      <c r="L168" s="5">
        <f>15680 / 86400</f>
        <v>0.18148148148148149</v>
      </c>
    </row>
    <row r="169" spans="1:12" x14ac:dyDescent="0.25">
      <c r="A169" s="3">
        <v>45706.268773148149</v>
      </c>
      <c r="B169" t="s">
        <v>173</v>
      </c>
      <c r="C169" s="3">
        <v>45706.269930555558</v>
      </c>
      <c r="D169" t="s">
        <v>148</v>
      </c>
      <c r="E169" s="4">
        <v>0.41899999999999998</v>
      </c>
      <c r="F169" s="4">
        <v>139224.72700000001</v>
      </c>
      <c r="G169" s="4">
        <v>139225.14600000001</v>
      </c>
      <c r="H169" s="5">
        <f>0 / 86400</f>
        <v>0</v>
      </c>
      <c r="I169" t="s">
        <v>175</v>
      </c>
      <c r="J169" t="s">
        <v>38</v>
      </c>
      <c r="K169" s="5">
        <f>99 / 86400</f>
        <v>1.1458333333333333E-3</v>
      </c>
      <c r="L169" s="5">
        <f>348 / 86400</f>
        <v>4.0277777777777777E-3</v>
      </c>
    </row>
    <row r="170" spans="1:12" x14ac:dyDescent="0.25">
      <c r="A170" s="3">
        <v>45706.273958333331</v>
      </c>
      <c r="B170" t="s">
        <v>148</v>
      </c>
      <c r="C170" s="3">
        <v>45706.274224537032</v>
      </c>
      <c r="D170" t="s">
        <v>153</v>
      </c>
      <c r="E170" s="4">
        <v>0.05</v>
      </c>
      <c r="F170" s="4">
        <v>139225.14600000001</v>
      </c>
      <c r="G170" s="4">
        <v>139225.196</v>
      </c>
      <c r="H170" s="5">
        <f>0 / 86400</f>
        <v>0</v>
      </c>
      <c r="I170" t="s">
        <v>32</v>
      </c>
      <c r="J170" t="s">
        <v>147</v>
      </c>
      <c r="K170" s="5">
        <f>22 / 86400</f>
        <v>2.5462962962962961E-4</v>
      </c>
      <c r="L170" s="5">
        <f>122 / 86400</f>
        <v>1.4120370370370369E-3</v>
      </c>
    </row>
    <row r="171" spans="1:12" x14ac:dyDescent="0.25">
      <c r="A171" s="3">
        <v>45706.275636574079</v>
      </c>
      <c r="B171" t="s">
        <v>153</v>
      </c>
      <c r="C171" s="3">
        <v>45706.365775462968</v>
      </c>
      <c r="D171" t="s">
        <v>176</v>
      </c>
      <c r="E171" s="4">
        <v>40.012999999999998</v>
      </c>
      <c r="F171" s="4">
        <v>139225.196</v>
      </c>
      <c r="G171" s="4">
        <v>139265.209</v>
      </c>
      <c r="H171" s="5">
        <f>2479 / 86400</f>
        <v>2.869212962962963E-2</v>
      </c>
      <c r="I171" t="s">
        <v>60</v>
      </c>
      <c r="J171" t="s">
        <v>20</v>
      </c>
      <c r="K171" s="5">
        <f>7787 / 86400</f>
        <v>9.0127314814814813E-2</v>
      </c>
      <c r="L171" s="5">
        <f>134 / 86400</f>
        <v>1.5509259259259259E-3</v>
      </c>
    </row>
    <row r="172" spans="1:12" x14ac:dyDescent="0.25">
      <c r="A172" s="3">
        <v>45706.367326388892</v>
      </c>
      <c r="B172" t="s">
        <v>176</v>
      </c>
      <c r="C172" s="3">
        <v>45706.367650462962</v>
      </c>
      <c r="D172" t="s">
        <v>177</v>
      </c>
      <c r="E172" s="4">
        <v>7.0999999999999994E-2</v>
      </c>
      <c r="F172" s="4">
        <v>139265.209</v>
      </c>
      <c r="G172" s="4">
        <v>139265.28</v>
      </c>
      <c r="H172" s="5">
        <f>0 / 86400</f>
        <v>0</v>
      </c>
      <c r="I172" t="s">
        <v>159</v>
      </c>
      <c r="J172" t="s">
        <v>171</v>
      </c>
      <c r="K172" s="5">
        <f>28 / 86400</f>
        <v>3.2407407407407406E-4</v>
      </c>
      <c r="L172" s="5">
        <f>918 / 86400</f>
        <v>1.0625000000000001E-2</v>
      </c>
    </row>
    <row r="173" spans="1:12" x14ac:dyDescent="0.25">
      <c r="A173" s="3">
        <v>45706.378275462965</v>
      </c>
      <c r="B173" t="s">
        <v>177</v>
      </c>
      <c r="C173" s="3">
        <v>45706.459479166668</v>
      </c>
      <c r="D173" t="s">
        <v>137</v>
      </c>
      <c r="E173" s="4">
        <v>38.216000000000001</v>
      </c>
      <c r="F173" s="4">
        <v>139265.28</v>
      </c>
      <c r="G173" s="4">
        <v>139303.49600000001</v>
      </c>
      <c r="H173" s="5">
        <f>1882 / 86400</f>
        <v>2.1782407407407407E-2</v>
      </c>
      <c r="I173" t="s">
        <v>60</v>
      </c>
      <c r="J173" t="s">
        <v>35</v>
      </c>
      <c r="K173" s="5">
        <f>7016 / 86400</f>
        <v>8.1203703703703708E-2</v>
      </c>
      <c r="L173" s="5">
        <f>249 / 86400</f>
        <v>2.8819444444444444E-3</v>
      </c>
    </row>
    <row r="174" spans="1:12" x14ac:dyDescent="0.25">
      <c r="A174" s="3">
        <v>45706.462361111116</v>
      </c>
      <c r="B174" t="s">
        <v>137</v>
      </c>
      <c r="C174" s="3">
        <v>45706.462824074071</v>
      </c>
      <c r="D174" t="s">
        <v>137</v>
      </c>
      <c r="E174" s="4">
        <v>1.0999999999999999E-2</v>
      </c>
      <c r="F174" s="4">
        <v>139303.49600000001</v>
      </c>
      <c r="G174" s="4">
        <v>139303.50700000001</v>
      </c>
      <c r="H174" s="5">
        <f>0 / 86400</f>
        <v>0</v>
      </c>
      <c r="I174" t="s">
        <v>163</v>
      </c>
      <c r="J174" t="s">
        <v>163</v>
      </c>
      <c r="K174" s="5">
        <f>40 / 86400</f>
        <v>4.6296296296296298E-4</v>
      </c>
      <c r="L174" s="5">
        <f>1587 / 86400</f>
        <v>1.8368055555555554E-2</v>
      </c>
    </row>
    <row r="175" spans="1:12" x14ac:dyDescent="0.25">
      <c r="A175" s="3">
        <v>45706.481192129635</v>
      </c>
      <c r="B175" t="s">
        <v>137</v>
      </c>
      <c r="C175" s="3">
        <v>45706.57540509259</v>
      </c>
      <c r="D175" t="s">
        <v>176</v>
      </c>
      <c r="E175" s="4">
        <v>38.747999999999998</v>
      </c>
      <c r="F175" s="4">
        <v>139303.50700000001</v>
      </c>
      <c r="G175" s="4">
        <v>139342.255</v>
      </c>
      <c r="H175" s="5">
        <f>2918 / 86400</f>
        <v>3.3773148148148149E-2</v>
      </c>
      <c r="I175" t="s">
        <v>33</v>
      </c>
      <c r="J175" t="s">
        <v>62</v>
      </c>
      <c r="K175" s="5">
        <f>8140 / 86400</f>
        <v>9.4212962962962957E-2</v>
      </c>
      <c r="L175" s="5">
        <f>158 / 86400</f>
        <v>1.8287037037037037E-3</v>
      </c>
    </row>
    <row r="176" spans="1:12" x14ac:dyDescent="0.25">
      <c r="A176" s="3">
        <v>45706.577233796299</v>
      </c>
      <c r="B176" t="s">
        <v>176</v>
      </c>
      <c r="C176" s="3">
        <v>45706.785891203705</v>
      </c>
      <c r="D176" t="s">
        <v>144</v>
      </c>
      <c r="E176" s="4">
        <v>79.441999999999993</v>
      </c>
      <c r="F176" s="4">
        <v>139342.255</v>
      </c>
      <c r="G176" s="4">
        <v>139421.69699999999</v>
      </c>
      <c r="H176" s="5">
        <f>6798 / 86400</f>
        <v>7.8680555555555559E-2</v>
      </c>
      <c r="I176" t="s">
        <v>61</v>
      </c>
      <c r="J176" t="s">
        <v>28</v>
      </c>
      <c r="K176" s="5">
        <f>18028 / 86400</f>
        <v>0.2086574074074074</v>
      </c>
      <c r="L176" s="5">
        <f>499 / 86400</f>
        <v>5.7754629629629631E-3</v>
      </c>
    </row>
    <row r="177" spans="1:12" x14ac:dyDescent="0.25">
      <c r="A177" s="3">
        <v>45706.791666666672</v>
      </c>
      <c r="B177" t="s">
        <v>144</v>
      </c>
      <c r="C177" s="3">
        <v>45706.794664351852</v>
      </c>
      <c r="D177" t="s">
        <v>178</v>
      </c>
      <c r="E177" s="4">
        <v>0.59199999999999997</v>
      </c>
      <c r="F177" s="4">
        <v>139421.69699999999</v>
      </c>
      <c r="G177" s="4">
        <v>139422.28899999999</v>
      </c>
      <c r="H177" s="5">
        <f>99 / 86400</f>
        <v>1.1458333333333333E-3</v>
      </c>
      <c r="I177" t="s">
        <v>175</v>
      </c>
      <c r="J177" t="s">
        <v>147</v>
      </c>
      <c r="K177" s="5">
        <f>259 / 86400</f>
        <v>2.9976851851851853E-3</v>
      </c>
      <c r="L177" s="5">
        <f>273 / 86400</f>
        <v>3.1597222222222222E-3</v>
      </c>
    </row>
    <row r="178" spans="1:12" x14ac:dyDescent="0.25">
      <c r="A178" s="3">
        <v>45706.797824074078</v>
      </c>
      <c r="B178" t="s">
        <v>178</v>
      </c>
      <c r="C178" s="3">
        <v>45706.799641203703</v>
      </c>
      <c r="D178" t="s">
        <v>18</v>
      </c>
      <c r="E178" s="4">
        <v>0.51700000000000002</v>
      </c>
      <c r="F178" s="4">
        <v>139422.28899999999</v>
      </c>
      <c r="G178" s="4">
        <v>139422.80600000001</v>
      </c>
      <c r="H178" s="5">
        <f>0 / 86400</f>
        <v>0</v>
      </c>
      <c r="I178" t="s">
        <v>20</v>
      </c>
      <c r="J178" t="s">
        <v>25</v>
      </c>
      <c r="K178" s="5">
        <f>156 / 86400</f>
        <v>1.8055555555555555E-3</v>
      </c>
      <c r="L178" s="5">
        <f>87 / 86400</f>
        <v>1.0069444444444444E-3</v>
      </c>
    </row>
    <row r="179" spans="1:12" x14ac:dyDescent="0.25">
      <c r="A179" s="3">
        <v>45706.80064814815</v>
      </c>
      <c r="B179" t="s">
        <v>18</v>
      </c>
      <c r="C179" s="3">
        <v>45706.800844907411</v>
      </c>
      <c r="D179" t="s">
        <v>18</v>
      </c>
      <c r="E179" s="4">
        <v>0.01</v>
      </c>
      <c r="F179" s="4">
        <v>139422.80600000001</v>
      </c>
      <c r="G179" s="4">
        <v>139422.81599999999</v>
      </c>
      <c r="H179" s="5">
        <f>0 / 86400</f>
        <v>0</v>
      </c>
      <c r="I179" t="s">
        <v>82</v>
      </c>
      <c r="J179" t="s">
        <v>111</v>
      </c>
      <c r="K179" s="5">
        <f>17 / 86400</f>
        <v>1.9675925925925926E-4</v>
      </c>
      <c r="L179" s="5">
        <f>44 / 86400</f>
        <v>5.0925925925925921E-4</v>
      </c>
    </row>
    <row r="180" spans="1:12" x14ac:dyDescent="0.25">
      <c r="A180" s="3">
        <v>45706.801354166666</v>
      </c>
      <c r="B180" t="s">
        <v>18</v>
      </c>
      <c r="C180" s="3">
        <v>45706.80164351852</v>
      </c>
      <c r="D180" t="s">
        <v>18</v>
      </c>
      <c r="E180" s="4">
        <v>3.5999999999999997E-2</v>
      </c>
      <c r="F180" s="4">
        <v>139422.81599999999</v>
      </c>
      <c r="G180" s="4">
        <v>139422.85200000001</v>
      </c>
      <c r="H180" s="5">
        <f>0 / 86400</f>
        <v>0</v>
      </c>
      <c r="I180" t="s">
        <v>170</v>
      </c>
      <c r="J180" t="s">
        <v>50</v>
      </c>
      <c r="K180" s="5">
        <f>25 / 86400</f>
        <v>2.8935185185185184E-4</v>
      </c>
      <c r="L180" s="5">
        <f>62 / 86400</f>
        <v>7.1759259259259259E-4</v>
      </c>
    </row>
    <row r="181" spans="1:12" x14ac:dyDescent="0.25">
      <c r="A181" s="3">
        <v>45706.802361111113</v>
      </c>
      <c r="B181" t="s">
        <v>18</v>
      </c>
      <c r="C181" s="3">
        <v>45706.80296296296</v>
      </c>
      <c r="D181" t="s">
        <v>18</v>
      </c>
      <c r="E181" s="4">
        <v>1.4E-2</v>
      </c>
      <c r="F181" s="4">
        <v>139422.85200000001</v>
      </c>
      <c r="G181" s="4">
        <v>139422.86600000001</v>
      </c>
      <c r="H181" s="5">
        <f>19 / 86400</f>
        <v>2.199074074074074E-4</v>
      </c>
      <c r="I181" t="s">
        <v>50</v>
      </c>
      <c r="J181" t="s">
        <v>163</v>
      </c>
      <c r="K181" s="5">
        <f>52 / 86400</f>
        <v>6.018518518518519E-4</v>
      </c>
      <c r="L181" s="5">
        <f>3733 / 86400</f>
        <v>4.3206018518518519E-2</v>
      </c>
    </row>
    <row r="182" spans="1:12" x14ac:dyDescent="0.25">
      <c r="A182" s="3">
        <v>45706.846168981487</v>
      </c>
      <c r="B182" t="s">
        <v>18</v>
      </c>
      <c r="C182" s="3">
        <v>45706.846192129626</v>
      </c>
      <c r="D182" t="s">
        <v>18</v>
      </c>
      <c r="E182" s="4">
        <v>0</v>
      </c>
      <c r="F182" s="4">
        <v>139422.86600000001</v>
      </c>
      <c r="G182" s="4">
        <v>139422.86600000001</v>
      </c>
      <c r="H182" s="5">
        <f>0 / 86400</f>
        <v>0</v>
      </c>
      <c r="I182" t="s">
        <v>82</v>
      </c>
      <c r="J182" t="s">
        <v>82</v>
      </c>
      <c r="K182" s="5">
        <f>1 / 86400</f>
        <v>1.1574074074074073E-5</v>
      </c>
      <c r="L182" s="5">
        <f>13288 / 86400</f>
        <v>0.15379629629629629</v>
      </c>
    </row>
    <row r="183" spans="1:12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1:12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1:12" s="10" customFormat="1" ht="20.100000000000001" customHeight="1" x14ac:dyDescent="0.35">
      <c r="A185" s="15" t="s">
        <v>463</v>
      </c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2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1:12" ht="30" x14ac:dyDescent="0.25">
      <c r="A187" s="2" t="s">
        <v>6</v>
      </c>
      <c r="B187" s="2" t="s">
        <v>7</v>
      </c>
      <c r="C187" s="2" t="s">
        <v>8</v>
      </c>
      <c r="D187" s="2" t="s">
        <v>9</v>
      </c>
      <c r="E187" s="2" t="s">
        <v>10</v>
      </c>
      <c r="F187" s="2" t="s">
        <v>11</v>
      </c>
      <c r="G187" s="2" t="s">
        <v>12</v>
      </c>
      <c r="H187" s="2" t="s">
        <v>13</v>
      </c>
      <c r="I187" s="2" t="s">
        <v>14</v>
      </c>
      <c r="J187" s="2" t="s">
        <v>15</v>
      </c>
      <c r="K187" s="2" t="s">
        <v>16</v>
      </c>
      <c r="L187" s="2" t="s">
        <v>17</v>
      </c>
    </row>
    <row r="188" spans="1:12" x14ac:dyDescent="0.25">
      <c r="A188" s="3">
        <v>45706.263888888891</v>
      </c>
      <c r="B188" t="s">
        <v>34</v>
      </c>
      <c r="C188" s="3">
        <v>45706.264120370368</v>
      </c>
      <c r="D188" t="s">
        <v>34</v>
      </c>
      <c r="E188" s="4">
        <v>5.5153461098670963E-3</v>
      </c>
      <c r="F188" s="4">
        <v>348709.90542341059</v>
      </c>
      <c r="G188" s="4">
        <v>348709.91093875672</v>
      </c>
      <c r="H188" s="5">
        <f t="shared" ref="H188:H251" si="0">0 / 86400</f>
        <v>0</v>
      </c>
      <c r="I188" t="s">
        <v>111</v>
      </c>
      <c r="J188" t="s">
        <v>163</v>
      </c>
      <c r="K188" s="5">
        <f>20 / 86400</f>
        <v>2.3148148148148149E-4</v>
      </c>
      <c r="L188" s="5">
        <f>22824 / 86400</f>
        <v>0.26416666666666666</v>
      </c>
    </row>
    <row r="189" spans="1:12" x14ac:dyDescent="0.25">
      <c r="A189" s="3">
        <v>45706.264398148152</v>
      </c>
      <c r="B189" t="s">
        <v>34</v>
      </c>
      <c r="C189" s="3">
        <v>45706.26462962963</v>
      </c>
      <c r="D189" t="s">
        <v>34</v>
      </c>
      <c r="E189" s="4">
        <v>1.1113477289676666E-2</v>
      </c>
      <c r="F189" s="4">
        <v>348709.9168287607</v>
      </c>
      <c r="G189" s="4">
        <v>348709.92794223799</v>
      </c>
      <c r="H189" s="5">
        <f t="shared" si="0"/>
        <v>0</v>
      </c>
      <c r="I189" t="s">
        <v>32</v>
      </c>
      <c r="J189" t="s">
        <v>111</v>
      </c>
      <c r="K189" s="5">
        <f>20 / 86400</f>
        <v>2.3148148148148149E-4</v>
      </c>
      <c r="L189" s="5">
        <f>20 / 86400</f>
        <v>2.3148148148148149E-4</v>
      </c>
    </row>
    <row r="190" spans="1:12" x14ac:dyDescent="0.25">
      <c r="A190" s="3">
        <v>45706.264861111107</v>
      </c>
      <c r="B190" t="s">
        <v>34</v>
      </c>
      <c r="C190" s="3">
        <v>45706.26525462963</v>
      </c>
      <c r="D190" t="s">
        <v>26</v>
      </c>
      <c r="E190" s="4">
        <v>1.4562487304210663E-2</v>
      </c>
      <c r="F190" s="4">
        <v>348709.9348752643</v>
      </c>
      <c r="G190" s="4">
        <v>348709.94943775161</v>
      </c>
      <c r="H190" s="5">
        <f t="shared" si="0"/>
        <v>0</v>
      </c>
      <c r="I190" t="s">
        <v>32</v>
      </c>
      <c r="J190" t="s">
        <v>111</v>
      </c>
      <c r="K190" s="5">
        <f>34 / 86400</f>
        <v>3.9351851851851852E-4</v>
      </c>
      <c r="L190" s="5">
        <f>40 / 86400</f>
        <v>4.6296296296296298E-4</v>
      </c>
    </row>
    <row r="191" spans="1:12" x14ac:dyDescent="0.25">
      <c r="A191" s="3">
        <v>45706.265717592592</v>
      </c>
      <c r="B191" t="s">
        <v>34</v>
      </c>
      <c r="C191" s="3">
        <v>45706.266481481478</v>
      </c>
      <c r="D191" t="s">
        <v>179</v>
      </c>
      <c r="E191" s="4">
        <v>0.1349878005385399</v>
      </c>
      <c r="F191" s="4">
        <v>348709.96106825763</v>
      </c>
      <c r="G191" s="4">
        <v>348710.09605605819</v>
      </c>
      <c r="H191" s="5">
        <f t="shared" si="0"/>
        <v>0</v>
      </c>
      <c r="I191" t="s">
        <v>147</v>
      </c>
      <c r="J191" t="s">
        <v>150</v>
      </c>
      <c r="K191" s="5">
        <f>66 / 86400</f>
        <v>7.6388888888888893E-4</v>
      </c>
      <c r="L191" s="5">
        <f>13 / 86400</f>
        <v>1.5046296296296297E-4</v>
      </c>
    </row>
    <row r="192" spans="1:12" x14ac:dyDescent="0.25">
      <c r="A192" s="3">
        <v>45706.26663194444</v>
      </c>
      <c r="B192" t="s">
        <v>179</v>
      </c>
      <c r="C192" s="3">
        <v>45706.267395833333</v>
      </c>
      <c r="D192" t="s">
        <v>180</v>
      </c>
      <c r="E192" s="4">
        <v>0.1949318955540657</v>
      </c>
      <c r="F192" s="4">
        <v>348710.10946818342</v>
      </c>
      <c r="G192" s="4">
        <v>348710.30440007895</v>
      </c>
      <c r="H192" s="5">
        <f t="shared" si="0"/>
        <v>0</v>
      </c>
      <c r="I192" t="s">
        <v>20</v>
      </c>
      <c r="J192" t="s">
        <v>93</v>
      </c>
      <c r="K192" s="5">
        <f>66 / 86400</f>
        <v>7.6388888888888893E-4</v>
      </c>
      <c r="L192" s="5">
        <f>2 / 86400</f>
        <v>2.3148148148148147E-5</v>
      </c>
    </row>
    <row r="193" spans="1:12" x14ac:dyDescent="0.25">
      <c r="A193" s="3">
        <v>45706.267418981486</v>
      </c>
      <c r="B193" t="s">
        <v>180</v>
      </c>
      <c r="C193" s="3">
        <v>45706.269849537042</v>
      </c>
      <c r="D193" t="s">
        <v>181</v>
      </c>
      <c r="E193" s="4">
        <v>1.7018265710473062</v>
      </c>
      <c r="F193" s="4">
        <v>348710.30662025785</v>
      </c>
      <c r="G193" s="4">
        <v>348712.00844682893</v>
      </c>
      <c r="H193" s="5">
        <f t="shared" si="0"/>
        <v>0</v>
      </c>
      <c r="I193" t="s">
        <v>167</v>
      </c>
      <c r="J193" t="s">
        <v>182</v>
      </c>
      <c r="K193" s="5">
        <f>210 / 86400</f>
        <v>2.4305555555555556E-3</v>
      </c>
      <c r="L193" s="5">
        <f>20 / 86400</f>
        <v>2.3148148148148149E-4</v>
      </c>
    </row>
    <row r="194" spans="1:12" x14ac:dyDescent="0.25">
      <c r="A194" s="3">
        <v>45706.27008101852</v>
      </c>
      <c r="B194" t="s">
        <v>181</v>
      </c>
      <c r="C194" s="3">
        <v>45706.270543981482</v>
      </c>
      <c r="D194" t="s">
        <v>83</v>
      </c>
      <c r="E194" s="4">
        <v>5.1430797576904295E-3</v>
      </c>
      <c r="F194" s="4">
        <v>348712.00948688475</v>
      </c>
      <c r="G194" s="4">
        <v>348712.01462996454</v>
      </c>
      <c r="H194" s="5">
        <f t="shared" si="0"/>
        <v>0</v>
      </c>
      <c r="I194" t="s">
        <v>163</v>
      </c>
      <c r="J194" t="s">
        <v>82</v>
      </c>
      <c r="K194" s="5">
        <f>40 / 86400</f>
        <v>4.6296296296296298E-4</v>
      </c>
      <c r="L194" s="5">
        <f>99 / 86400</f>
        <v>1.1458333333333333E-3</v>
      </c>
    </row>
    <row r="195" spans="1:12" x14ac:dyDescent="0.25">
      <c r="A195" s="3">
        <v>45706.271689814814</v>
      </c>
      <c r="B195" t="s">
        <v>181</v>
      </c>
      <c r="C195" s="3">
        <v>45706.27238425926</v>
      </c>
      <c r="D195" t="s">
        <v>183</v>
      </c>
      <c r="E195" s="4">
        <v>7.4952886164188381E-2</v>
      </c>
      <c r="F195" s="4">
        <v>348712.03459710494</v>
      </c>
      <c r="G195" s="4">
        <v>348712.10954999115</v>
      </c>
      <c r="H195" s="5">
        <f t="shared" si="0"/>
        <v>0</v>
      </c>
      <c r="I195" t="s">
        <v>150</v>
      </c>
      <c r="J195" t="s">
        <v>127</v>
      </c>
      <c r="K195" s="5">
        <f>60 / 86400</f>
        <v>6.9444444444444447E-4</v>
      </c>
      <c r="L195" s="5">
        <f>40 / 86400</f>
        <v>4.6296296296296298E-4</v>
      </c>
    </row>
    <row r="196" spans="1:12" x14ac:dyDescent="0.25">
      <c r="A196" s="3">
        <v>45706.272847222222</v>
      </c>
      <c r="B196" t="s">
        <v>183</v>
      </c>
      <c r="C196" s="3">
        <v>45706.274236111116</v>
      </c>
      <c r="D196" t="s">
        <v>184</v>
      </c>
      <c r="E196" s="4">
        <v>1.349565716445446</v>
      </c>
      <c r="F196" s="4">
        <v>348712.11558875995</v>
      </c>
      <c r="G196" s="4">
        <v>348713.46515447641</v>
      </c>
      <c r="H196" s="5">
        <f t="shared" si="0"/>
        <v>0</v>
      </c>
      <c r="I196" t="s">
        <v>138</v>
      </c>
      <c r="J196" t="s">
        <v>135</v>
      </c>
      <c r="K196" s="5">
        <f>120 / 86400</f>
        <v>1.3888888888888889E-3</v>
      </c>
      <c r="L196" s="5">
        <f>20 / 86400</f>
        <v>2.3148148148148149E-4</v>
      </c>
    </row>
    <row r="197" spans="1:12" x14ac:dyDescent="0.25">
      <c r="A197" s="3">
        <v>45706.274467592593</v>
      </c>
      <c r="B197" t="s">
        <v>184</v>
      </c>
      <c r="C197" s="3">
        <v>45706.276087962964</v>
      </c>
      <c r="D197" t="s">
        <v>185</v>
      </c>
      <c r="E197" s="4">
        <v>1.0867147102952004</v>
      </c>
      <c r="F197" s="4">
        <v>348713.51350728626</v>
      </c>
      <c r="G197" s="4">
        <v>348714.60022199654</v>
      </c>
      <c r="H197" s="5">
        <f t="shared" si="0"/>
        <v>0</v>
      </c>
      <c r="I197" t="s">
        <v>186</v>
      </c>
      <c r="J197" t="s">
        <v>175</v>
      </c>
      <c r="K197" s="5">
        <f>140 / 86400</f>
        <v>1.6203703703703703E-3</v>
      </c>
      <c r="L197" s="5">
        <f>15 / 86400</f>
        <v>1.7361111111111112E-4</v>
      </c>
    </row>
    <row r="198" spans="1:12" x14ac:dyDescent="0.25">
      <c r="A198" s="3">
        <v>45706.276261574079</v>
      </c>
      <c r="B198" t="s">
        <v>185</v>
      </c>
      <c r="C198" s="3">
        <v>45706.276724537034</v>
      </c>
      <c r="D198" t="s">
        <v>187</v>
      </c>
      <c r="E198" s="4">
        <v>0.40510189932584761</v>
      </c>
      <c r="F198" s="4">
        <v>348714.60450282309</v>
      </c>
      <c r="G198" s="4">
        <v>348715.00960472244</v>
      </c>
      <c r="H198" s="5">
        <f t="shared" si="0"/>
        <v>0</v>
      </c>
      <c r="I198" t="s">
        <v>188</v>
      </c>
      <c r="J198" t="s">
        <v>169</v>
      </c>
      <c r="K198" s="5">
        <f>40 / 86400</f>
        <v>4.6296296296296298E-4</v>
      </c>
      <c r="L198" s="5">
        <f>20 / 86400</f>
        <v>2.3148148148148149E-4</v>
      </c>
    </row>
    <row r="199" spans="1:12" x14ac:dyDescent="0.25">
      <c r="A199" s="3">
        <v>45706.276956018519</v>
      </c>
      <c r="B199" t="s">
        <v>187</v>
      </c>
      <c r="C199" s="3">
        <v>45706.281122685185</v>
      </c>
      <c r="D199" t="s">
        <v>187</v>
      </c>
      <c r="E199" s="4">
        <v>3.3435991837978363</v>
      </c>
      <c r="F199" s="4">
        <v>348715.1546027842</v>
      </c>
      <c r="G199" s="4">
        <v>348718.49820196803</v>
      </c>
      <c r="H199" s="5">
        <f t="shared" si="0"/>
        <v>0</v>
      </c>
      <c r="I199" t="s">
        <v>132</v>
      </c>
      <c r="J199" t="s">
        <v>152</v>
      </c>
      <c r="K199" s="5">
        <f>360 / 86400</f>
        <v>4.1666666666666666E-3</v>
      </c>
      <c r="L199" s="5">
        <f>20 / 86400</f>
        <v>2.3148148148148149E-4</v>
      </c>
    </row>
    <row r="200" spans="1:12" x14ac:dyDescent="0.25">
      <c r="A200" s="3">
        <v>45706.281354166669</v>
      </c>
      <c r="B200" t="s">
        <v>189</v>
      </c>
      <c r="C200" s="3">
        <v>45706.285520833335</v>
      </c>
      <c r="D200" t="s">
        <v>190</v>
      </c>
      <c r="E200" s="4">
        <v>3.4145248302221298</v>
      </c>
      <c r="F200" s="4">
        <v>348718.65138246503</v>
      </c>
      <c r="G200" s="4">
        <v>348722.06590729521</v>
      </c>
      <c r="H200" s="5">
        <f t="shared" si="0"/>
        <v>0</v>
      </c>
      <c r="I200" t="s">
        <v>191</v>
      </c>
      <c r="J200" t="s">
        <v>107</v>
      </c>
      <c r="K200" s="5">
        <f>360 / 86400</f>
        <v>4.1666666666666666E-3</v>
      </c>
      <c r="L200" s="5">
        <f>20 / 86400</f>
        <v>2.3148148148148149E-4</v>
      </c>
    </row>
    <row r="201" spans="1:12" x14ac:dyDescent="0.25">
      <c r="A201" s="3">
        <v>45706.285752314812</v>
      </c>
      <c r="B201" t="s">
        <v>192</v>
      </c>
      <c r="C201" s="3">
        <v>45706.288819444446</v>
      </c>
      <c r="D201" t="s">
        <v>193</v>
      </c>
      <c r="E201" s="4">
        <v>3.1244352687001227</v>
      </c>
      <c r="F201" s="4">
        <v>348722.18967818486</v>
      </c>
      <c r="G201" s="4">
        <v>348725.31411345355</v>
      </c>
      <c r="H201" s="5">
        <f t="shared" si="0"/>
        <v>0</v>
      </c>
      <c r="I201" t="s">
        <v>138</v>
      </c>
      <c r="J201" t="s">
        <v>129</v>
      </c>
      <c r="K201" s="5">
        <f>265 / 86400</f>
        <v>3.0671296296296297E-3</v>
      </c>
      <c r="L201" s="5">
        <f>36 / 86400</f>
        <v>4.1666666666666669E-4</v>
      </c>
    </row>
    <row r="202" spans="1:12" x14ac:dyDescent="0.25">
      <c r="A202" s="3">
        <v>45706.289236111115</v>
      </c>
      <c r="B202" t="s">
        <v>193</v>
      </c>
      <c r="C202" s="3">
        <v>45706.290393518517</v>
      </c>
      <c r="D202" t="s">
        <v>194</v>
      </c>
      <c r="E202" s="4">
        <v>0.96848111635446543</v>
      </c>
      <c r="F202" s="4">
        <v>348725.31772210158</v>
      </c>
      <c r="G202" s="4">
        <v>348726.28620321793</v>
      </c>
      <c r="H202" s="5">
        <f t="shared" si="0"/>
        <v>0</v>
      </c>
      <c r="I202" t="s">
        <v>191</v>
      </c>
      <c r="J202" t="s">
        <v>162</v>
      </c>
      <c r="K202" s="5">
        <f>100 / 86400</f>
        <v>1.1574074074074073E-3</v>
      </c>
      <c r="L202" s="5">
        <f>20 / 86400</f>
        <v>2.3148148148148149E-4</v>
      </c>
    </row>
    <row r="203" spans="1:12" x14ac:dyDescent="0.25">
      <c r="A203" s="3">
        <v>45706.290625000001</v>
      </c>
      <c r="B203" t="s">
        <v>194</v>
      </c>
      <c r="C203" s="3">
        <v>45706.294675925921</v>
      </c>
      <c r="D203" t="s">
        <v>195</v>
      </c>
      <c r="E203" s="4">
        <v>2.9699790176153185</v>
      </c>
      <c r="F203" s="4">
        <v>348726.34867004707</v>
      </c>
      <c r="G203" s="4">
        <v>348729.31864906463</v>
      </c>
      <c r="H203" s="5">
        <f t="shared" si="0"/>
        <v>0</v>
      </c>
      <c r="I203" t="s">
        <v>196</v>
      </c>
      <c r="J203" t="s">
        <v>156</v>
      </c>
      <c r="K203" s="5">
        <f>350 / 86400</f>
        <v>4.0509259259259257E-3</v>
      </c>
      <c r="L203" s="5">
        <f>20 / 86400</f>
        <v>2.3148148148148149E-4</v>
      </c>
    </row>
    <row r="204" spans="1:12" x14ac:dyDescent="0.25">
      <c r="A204" s="3">
        <v>45706.294907407406</v>
      </c>
      <c r="B204" t="s">
        <v>195</v>
      </c>
      <c r="C204" s="3">
        <v>45706.296331018515</v>
      </c>
      <c r="D204" t="s">
        <v>195</v>
      </c>
      <c r="E204" s="4">
        <v>0.40459040290117265</v>
      </c>
      <c r="F204" s="4">
        <v>348729.35619415413</v>
      </c>
      <c r="G204" s="4">
        <v>348729.76078455703</v>
      </c>
      <c r="H204" s="5">
        <f t="shared" si="0"/>
        <v>0</v>
      </c>
      <c r="I204" t="s">
        <v>143</v>
      </c>
      <c r="J204" t="s">
        <v>25</v>
      </c>
      <c r="K204" s="5">
        <f>123 / 86400</f>
        <v>1.4236111111111112E-3</v>
      </c>
      <c r="L204" s="5">
        <f>20 / 86400</f>
        <v>2.3148148148148149E-4</v>
      </c>
    </row>
    <row r="205" spans="1:12" x14ac:dyDescent="0.25">
      <c r="A205" s="3">
        <v>45706.2965625</v>
      </c>
      <c r="B205" t="s">
        <v>197</v>
      </c>
      <c r="C205" s="3">
        <v>45706.296793981484</v>
      </c>
      <c r="D205" t="s">
        <v>197</v>
      </c>
      <c r="E205" s="4">
        <v>2.5757681429386139E-2</v>
      </c>
      <c r="F205" s="4">
        <v>348729.82705050235</v>
      </c>
      <c r="G205" s="4">
        <v>348729.85280818382</v>
      </c>
      <c r="H205" s="5">
        <f t="shared" si="0"/>
        <v>0</v>
      </c>
      <c r="I205" t="s">
        <v>62</v>
      </c>
      <c r="J205" t="s">
        <v>50</v>
      </c>
      <c r="K205" s="5">
        <f>20 / 86400</f>
        <v>2.3148148148148149E-4</v>
      </c>
      <c r="L205" s="5">
        <f>25 / 86400</f>
        <v>2.8935185185185184E-4</v>
      </c>
    </row>
    <row r="206" spans="1:12" x14ac:dyDescent="0.25">
      <c r="A206" s="3">
        <v>45706.297083333338</v>
      </c>
      <c r="B206" t="s">
        <v>197</v>
      </c>
      <c r="C206" s="3">
        <v>45706.298935185187</v>
      </c>
      <c r="D206" t="s">
        <v>108</v>
      </c>
      <c r="E206" s="4">
        <v>1.0244064900875092</v>
      </c>
      <c r="F206" s="4">
        <v>348729.85787574603</v>
      </c>
      <c r="G206" s="4">
        <v>348730.88228223613</v>
      </c>
      <c r="H206" s="5">
        <f t="shared" si="0"/>
        <v>0</v>
      </c>
      <c r="I206" t="s">
        <v>198</v>
      </c>
      <c r="J206" t="s">
        <v>143</v>
      </c>
      <c r="K206" s="5">
        <f>160 / 86400</f>
        <v>1.8518518518518519E-3</v>
      </c>
      <c r="L206" s="5">
        <f>20 / 86400</f>
        <v>2.3148148148148149E-4</v>
      </c>
    </row>
    <row r="207" spans="1:12" x14ac:dyDescent="0.25">
      <c r="A207" s="3">
        <v>45706.299166666664</v>
      </c>
      <c r="B207" t="s">
        <v>108</v>
      </c>
      <c r="C207" s="3">
        <v>45706.305810185186</v>
      </c>
      <c r="D207" t="s">
        <v>153</v>
      </c>
      <c r="E207" s="4">
        <v>3.8488493731617925</v>
      </c>
      <c r="F207" s="4">
        <v>348730.96429443971</v>
      </c>
      <c r="G207" s="4">
        <v>348734.81314381288</v>
      </c>
      <c r="H207" s="5">
        <f t="shared" si="0"/>
        <v>0</v>
      </c>
      <c r="I207" t="s">
        <v>199</v>
      </c>
      <c r="J207" t="s">
        <v>151</v>
      </c>
      <c r="K207" s="5">
        <f>574 / 86400</f>
        <v>6.6435185185185182E-3</v>
      </c>
      <c r="L207" s="5">
        <f>40 / 86400</f>
        <v>4.6296296296296298E-4</v>
      </c>
    </row>
    <row r="208" spans="1:12" x14ac:dyDescent="0.25">
      <c r="A208" s="3">
        <v>45706.306273148148</v>
      </c>
      <c r="B208" t="s">
        <v>148</v>
      </c>
      <c r="C208" s="3">
        <v>45706.306585648148</v>
      </c>
      <c r="D208" t="s">
        <v>153</v>
      </c>
      <c r="E208" s="4">
        <v>2.5428280830383301E-2</v>
      </c>
      <c r="F208" s="4">
        <v>348734.85343431321</v>
      </c>
      <c r="G208" s="4">
        <v>348734.87886259402</v>
      </c>
      <c r="H208" s="5">
        <f t="shared" si="0"/>
        <v>0</v>
      </c>
      <c r="I208" t="s">
        <v>147</v>
      </c>
      <c r="J208" t="s">
        <v>170</v>
      </c>
      <c r="K208" s="5">
        <f>27 / 86400</f>
        <v>3.1250000000000001E-4</v>
      </c>
      <c r="L208" s="5">
        <f>588 / 86400</f>
        <v>6.8055555555555551E-3</v>
      </c>
    </row>
    <row r="209" spans="1:12" x14ac:dyDescent="0.25">
      <c r="A209" s="3">
        <v>45706.313391203701</v>
      </c>
      <c r="B209" t="s">
        <v>153</v>
      </c>
      <c r="C209" s="3">
        <v>45706.313622685186</v>
      </c>
      <c r="D209" t="s">
        <v>153</v>
      </c>
      <c r="E209" s="4">
        <v>3.7486239969730377E-2</v>
      </c>
      <c r="F209" s="4">
        <v>348734.88288201398</v>
      </c>
      <c r="G209" s="4">
        <v>348734.92036825395</v>
      </c>
      <c r="H209" s="5">
        <f t="shared" si="0"/>
        <v>0</v>
      </c>
      <c r="I209" t="s">
        <v>50</v>
      </c>
      <c r="J209" t="s">
        <v>150</v>
      </c>
      <c r="K209" s="5">
        <f>20 / 86400</f>
        <v>2.3148148148148149E-4</v>
      </c>
      <c r="L209" s="5">
        <f>55 / 86400</f>
        <v>6.3657407407407413E-4</v>
      </c>
    </row>
    <row r="210" spans="1:12" x14ac:dyDescent="0.25">
      <c r="A210" s="3">
        <v>45706.314259259263</v>
      </c>
      <c r="B210" t="s">
        <v>153</v>
      </c>
      <c r="C210" s="3">
        <v>45706.314710648148</v>
      </c>
      <c r="D210" t="s">
        <v>200</v>
      </c>
      <c r="E210" s="4">
        <v>7.5469171047210695E-2</v>
      </c>
      <c r="F210" s="4">
        <v>348734.92475253</v>
      </c>
      <c r="G210" s="4">
        <v>348735.00022170105</v>
      </c>
      <c r="H210" s="5">
        <f t="shared" si="0"/>
        <v>0</v>
      </c>
      <c r="I210" t="s">
        <v>62</v>
      </c>
      <c r="J210" t="s">
        <v>150</v>
      </c>
      <c r="K210" s="5">
        <f>39 / 86400</f>
        <v>4.5138888888888887E-4</v>
      </c>
      <c r="L210" s="5">
        <f>20 / 86400</f>
        <v>2.3148148148148149E-4</v>
      </c>
    </row>
    <row r="211" spans="1:12" x14ac:dyDescent="0.25">
      <c r="A211" s="3">
        <v>45706.314942129626</v>
      </c>
      <c r="B211" t="s">
        <v>200</v>
      </c>
      <c r="C211" s="3">
        <v>45706.316516203704</v>
      </c>
      <c r="D211" t="s">
        <v>157</v>
      </c>
      <c r="E211" s="4">
        <v>0.66772977948188783</v>
      </c>
      <c r="F211" s="4">
        <v>348735.00240846444</v>
      </c>
      <c r="G211" s="4">
        <v>348735.67013824394</v>
      </c>
      <c r="H211" s="5">
        <f t="shared" si="0"/>
        <v>0</v>
      </c>
      <c r="I211" t="s">
        <v>31</v>
      </c>
      <c r="J211" t="s">
        <v>20</v>
      </c>
      <c r="K211" s="5">
        <f>136 / 86400</f>
        <v>1.5740740740740741E-3</v>
      </c>
      <c r="L211" s="5">
        <f>239 / 86400</f>
        <v>2.7662037037037039E-3</v>
      </c>
    </row>
    <row r="212" spans="1:12" x14ac:dyDescent="0.25">
      <c r="A212" s="3">
        <v>45706.319282407407</v>
      </c>
      <c r="B212" t="s">
        <v>157</v>
      </c>
      <c r="C212" s="3">
        <v>45706.319745370369</v>
      </c>
      <c r="D212" t="s">
        <v>157</v>
      </c>
      <c r="E212" s="4">
        <v>6.6126264929771425E-3</v>
      </c>
      <c r="F212" s="4">
        <v>348735.68917206267</v>
      </c>
      <c r="G212" s="4">
        <v>348735.69578468916</v>
      </c>
      <c r="H212" s="5">
        <f t="shared" si="0"/>
        <v>0</v>
      </c>
      <c r="I212" t="s">
        <v>111</v>
      </c>
      <c r="J212" t="s">
        <v>163</v>
      </c>
      <c r="K212" s="5">
        <f>40 / 86400</f>
        <v>4.6296296296296298E-4</v>
      </c>
      <c r="L212" s="5">
        <f>100 / 86400</f>
        <v>1.1574074074074073E-3</v>
      </c>
    </row>
    <row r="213" spans="1:12" x14ac:dyDescent="0.25">
      <c r="A213" s="3">
        <v>45706.320902777778</v>
      </c>
      <c r="B213" t="s">
        <v>157</v>
      </c>
      <c r="C213" s="3">
        <v>45706.321423611109</v>
      </c>
      <c r="D213" t="s">
        <v>120</v>
      </c>
      <c r="E213" s="4">
        <v>0.20549128401279448</v>
      </c>
      <c r="F213" s="4">
        <v>348735.71368398226</v>
      </c>
      <c r="G213" s="4">
        <v>348735.91917526629</v>
      </c>
      <c r="H213" s="5">
        <f t="shared" si="0"/>
        <v>0</v>
      </c>
      <c r="I213" t="s">
        <v>35</v>
      </c>
      <c r="J213" t="s">
        <v>28</v>
      </c>
      <c r="K213" s="5">
        <f>45 / 86400</f>
        <v>5.2083333333333333E-4</v>
      </c>
      <c r="L213" s="5">
        <f>20 / 86400</f>
        <v>2.3148148148148149E-4</v>
      </c>
    </row>
    <row r="214" spans="1:12" x14ac:dyDescent="0.25">
      <c r="A214" s="3">
        <v>45706.321655092594</v>
      </c>
      <c r="B214" t="s">
        <v>120</v>
      </c>
      <c r="C214" s="3">
        <v>45706.326226851852</v>
      </c>
      <c r="D214" t="s">
        <v>108</v>
      </c>
      <c r="E214" s="4">
        <v>2.8936798214912414</v>
      </c>
      <c r="F214" s="4">
        <v>348735.99362524442</v>
      </c>
      <c r="G214" s="4">
        <v>348738.88730506593</v>
      </c>
      <c r="H214" s="5">
        <f t="shared" si="0"/>
        <v>0</v>
      </c>
      <c r="I214" t="s">
        <v>92</v>
      </c>
      <c r="J214" t="s">
        <v>158</v>
      </c>
      <c r="K214" s="5">
        <f>395 / 86400</f>
        <v>4.5717592592592589E-3</v>
      </c>
      <c r="L214" s="5">
        <f>20 / 86400</f>
        <v>2.3148148148148149E-4</v>
      </c>
    </row>
    <row r="215" spans="1:12" x14ac:dyDescent="0.25">
      <c r="A215" s="3">
        <v>45706.326458333337</v>
      </c>
      <c r="B215" t="s">
        <v>108</v>
      </c>
      <c r="C215" s="3">
        <v>45706.328206018516</v>
      </c>
      <c r="D215" t="s">
        <v>201</v>
      </c>
      <c r="E215" s="4">
        <v>1.0370248540639877</v>
      </c>
      <c r="F215" s="4">
        <v>348738.93105716817</v>
      </c>
      <c r="G215" s="4">
        <v>348739.96808202227</v>
      </c>
      <c r="H215" s="5">
        <f t="shared" si="0"/>
        <v>0</v>
      </c>
      <c r="I215" t="s">
        <v>135</v>
      </c>
      <c r="J215" t="s">
        <v>31</v>
      </c>
      <c r="K215" s="5">
        <f>151 / 86400</f>
        <v>1.7476851851851852E-3</v>
      </c>
      <c r="L215" s="5">
        <f>20 / 86400</f>
        <v>2.3148148148148149E-4</v>
      </c>
    </row>
    <row r="216" spans="1:12" x14ac:dyDescent="0.25">
      <c r="A216" s="3">
        <v>45706.3284375</v>
      </c>
      <c r="B216" t="s">
        <v>201</v>
      </c>
      <c r="C216" s="3">
        <v>45706.33017361111</v>
      </c>
      <c r="D216" t="s">
        <v>202</v>
      </c>
      <c r="E216" s="4">
        <v>0.80028378105163578</v>
      </c>
      <c r="F216" s="4">
        <v>348740.0206125984</v>
      </c>
      <c r="G216" s="4">
        <v>348740.82089637948</v>
      </c>
      <c r="H216" s="5">
        <f t="shared" si="0"/>
        <v>0</v>
      </c>
      <c r="I216" t="s">
        <v>24</v>
      </c>
      <c r="J216" t="s">
        <v>79</v>
      </c>
      <c r="K216" s="5">
        <f>150 / 86400</f>
        <v>1.736111111111111E-3</v>
      </c>
      <c r="L216" s="5">
        <f>11 / 86400</f>
        <v>1.273148148148148E-4</v>
      </c>
    </row>
    <row r="217" spans="1:12" x14ac:dyDescent="0.25">
      <c r="A217" s="3">
        <v>45706.330300925925</v>
      </c>
      <c r="B217" t="s">
        <v>203</v>
      </c>
      <c r="C217" s="3">
        <v>45706.331226851849</v>
      </c>
      <c r="D217" t="s">
        <v>204</v>
      </c>
      <c r="E217" s="4">
        <v>0.41018852174282072</v>
      </c>
      <c r="F217" s="4">
        <v>348740.826880846</v>
      </c>
      <c r="G217" s="4">
        <v>348741.23706936778</v>
      </c>
      <c r="H217" s="5">
        <f t="shared" si="0"/>
        <v>0</v>
      </c>
      <c r="I217" t="s">
        <v>186</v>
      </c>
      <c r="J217" t="s">
        <v>20</v>
      </c>
      <c r="K217" s="5">
        <f>80 / 86400</f>
        <v>9.2592592592592596E-4</v>
      </c>
      <c r="L217" s="5">
        <f>40 / 86400</f>
        <v>4.6296296296296298E-4</v>
      </c>
    </row>
    <row r="218" spans="1:12" x14ac:dyDescent="0.25">
      <c r="A218" s="3">
        <v>45706.331689814819</v>
      </c>
      <c r="B218" t="s">
        <v>204</v>
      </c>
      <c r="C218" s="3">
        <v>45706.334872685184</v>
      </c>
      <c r="D218" t="s">
        <v>194</v>
      </c>
      <c r="E218" s="4">
        <v>1.7158529950976371</v>
      </c>
      <c r="F218" s="4">
        <v>348741.29395314574</v>
      </c>
      <c r="G218" s="4">
        <v>348743.00980614085</v>
      </c>
      <c r="H218" s="5">
        <f t="shared" si="0"/>
        <v>0</v>
      </c>
      <c r="I218" t="s">
        <v>196</v>
      </c>
      <c r="J218" t="s">
        <v>130</v>
      </c>
      <c r="K218" s="5">
        <f>275 / 86400</f>
        <v>3.1828703703703702E-3</v>
      </c>
      <c r="L218" s="5">
        <f>20 / 86400</f>
        <v>2.3148148148148149E-4</v>
      </c>
    </row>
    <row r="219" spans="1:12" x14ac:dyDescent="0.25">
      <c r="A219" s="3">
        <v>45706.335104166668</v>
      </c>
      <c r="B219" t="s">
        <v>194</v>
      </c>
      <c r="C219" s="3">
        <v>45706.338113425925</v>
      </c>
      <c r="D219" t="s">
        <v>205</v>
      </c>
      <c r="E219" s="4">
        <v>3.1892104207873344</v>
      </c>
      <c r="F219" s="4">
        <v>348743.17943139444</v>
      </c>
      <c r="G219" s="4">
        <v>348746.36864181526</v>
      </c>
      <c r="H219" s="5">
        <f t="shared" si="0"/>
        <v>0</v>
      </c>
      <c r="I219" t="s">
        <v>206</v>
      </c>
      <c r="J219" t="s">
        <v>92</v>
      </c>
      <c r="K219" s="5">
        <f>260 / 86400</f>
        <v>3.0092592592592593E-3</v>
      </c>
      <c r="L219" s="5">
        <f>13 / 86400</f>
        <v>1.5046296296296297E-4</v>
      </c>
    </row>
    <row r="220" spans="1:12" x14ac:dyDescent="0.25">
      <c r="A220" s="3">
        <v>45706.338263888887</v>
      </c>
      <c r="B220" t="s">
        <v>205</v>
      </c>
      <c r="C220" s="3">
        <v>45706.33971064815</v>
      </c>
      <c r="D220" t="s">
        <v>192</v>
      </c>
      <c r="E220" s="4">
        <v>0.86249884080886841</v>
      </c>
      <c r="F220" s="4">
        <v>348746.37209132389</v>
      </c>
      <c r="G220" s="4">
        <v>348747.23459016473</v>
      </c>
      <c r="H220" s="5">
        <f t="shared" si="0"/>
        <v>0</v>
      </c>
      <c r="I220" t="s">
        <v>98</v>
      </c>
      <c r="J220" t="s">
        <v>31</v>
      </c>
      <c r="K220" s="5">
        <f>125 / 86400</f>
        <v>1.4467592592592592E-3</v>
      </c>
      <c r="L220" s="5">
        <f>20 / 86400</f>
        <v>2.3148148148148149E-4</v>
      </c>
    </row>
    <row r="221" spans="1:12" x14ac:dyDescent="0.25">
      <c r="A221" s="3">
        <v>45706.339942129634</v>
      </c>
      <c r="B221" t="s">
        <v>192</v>
      </c>
      <c r="C221" s="3">
        <v>45706.340636574074</v>
      </c>
      <c r="D221" t="s">
        <v>192</v>
      </c>
      <c r="E221" s="4">
        <v>0.55211342567205424</v>
      </c>
      <c r="F221" s="4">
        <v>348747.32318645134</v>
      </c>
      <c r="G221" s="4">
        <v>348747.87529987696</v>
      </c>
      <c r="H221" s="5">
        <f t="shared" si="0"/>
        <v>0</v>
      </c>
      <c r="I221" t="s">
        <v>135</v>
      </c>
      <c r="J221" t="s">
        <v>152</v>
      </c>
      <c r="K221" s="5">
        <f>60 / 86400</f>
        <v>6.9444444444444447E-4</v>
      </c>
      <c r="L221" s="5">
        <f>20 / 86400</f>
        <v>2.3148148148148149E-4</v>
      </c>
    </row>
    <row r="222" spans="1:12" x14ac:dyDescent="0.25">
      <c r="A222" s="3">
        <v>45706.340868055559</v>
      </c>
      <c r="B222" t="s">
        <v>192</v>
      </c>
      <c r="C222" s="3">
        <v>45706.34202546296</v>
      </c>
      <c r="D222" t="s">
        <v>192</v>
      </c>
      <c r="E222" s="4">
        <v>0.87032732403278346</v>
      </c>
      <c r="F222" s="4">
        <v>348747.92794048961</v>
      </c>
      <c r="G222" s="4">
        <v>348748.79826781363</v>
      </c>
      <c r="H222" s="5">
        <f t="shared" si="0"/>
        <v>0</v>
      </c>
      <c r="I222" t="s">
        <v>49</v>
      </c>
      <c r="J222" t="s">
        <v>156</v>
      </c>
      <c r="K222" s="5">
        <f>100 / 86400</f>
        <v>1.1574074074074073E-3</v>
      </c>
      <c r="L222" s="5">
        <f>20 / 86400</f>
        <v>2.3148148148148149E-4</v>
      </c>
    </row>
    <row r="223" spans="1:12" x14ac:dyDescent="0.25">
      <c r="A223" s="3">
        <v>45706.342256944445</v>
      </c>
      <c r="B223" t="s">
        <v>192</v>
      </c>
      <c r="C223" s="3">
        <v>45706.343784722223</v>
      </c>
      <c r="D223" t="s">
        <v>141</v>
      </c>
      <c r="E223" s="4">
        <v>1.3024045522809029</v>
      </c>
      <c r="F223" s="4">
        <v>348748.90963148786</v>
      </c>
      <c r="G223" s="4">
        <v>348750.21203604015</v>
      </c>
      <c r="H223" s="5">
        <f t="shared" si="0"/>
        <v>0</v>
      </c>
      <c r="I223" t="s">
        <v>174</v>
      </c>
      <c r="J223" t="s">
        <v>169</v>
      </c>
      <c r="K223" s="5">
        <f>132 / 86400</f>
        <v>1.5277777777777779E-3</v>
      </c>
      <c r="L223" s="5">
        <f>20 / 86400</f>
        <v>2.3148148148148149E-4</v>
      </c>
    </row>
    <row r="224" spans="1:12" x14ac:dyDescent="0.25">
      <c r="A224" s="3">
        <v>45706.3440162037</v>
      </c>
      <c r="B224" t="s">
        <v>141</v>
      </c>
      <c r="C224" s="3">
        <v>45706.344942129625</v>
      </c>
      <c r="D224" t="s">
        <v>192</v>
      </c>
      <c r="E224" s="4">
        <v>0.50940335577726359</v>
      </c>
      <c r="F224" s="4">
        <v>348750.29152274691</v>
      </c>
      <c r="G224" s="4">
        <v>348750.80092610267</v>
      </c>
      <c r="H224" s="5">
        <f t="shared" si="0"/>
        <v>0</v>
      </c>
      <c r="I224" t="s">
        <v>47</v>
      </c>
      <c r="J224" t="s">
        <v>143</v>
      </c>
      <c r="K224" s="5">
        <f>80 / 86400</f>
        <v>9.2592592592592596E-4</v>
      </c>
      <c r="L224" s="5">
        <f>6 / 86400</f>
        <v>6.9444444444444444E-5</v>
      </c>
    </row>
    <row r="225" spans="1:12" x14ac:dyDescent="0.25">
      <c r="A225" s="3">
        <v>45706.345011574071</v>
      </c>
      <c r="B225" t="s">
        <v>207</v>
      </c>
      <c r="C225" s="3">
        <v>45706.346168981487</v>
      </c>
      <c r="D225" t="s">
        <v>189</v>
      </c>
      <c r="E225" s="4">
        <v>0.67162251579761501</v>
      </c>
      <c r="F225" s="4">
        <v>348750.80791914888</v>
      </c>
      <c r="G225" s="4">
        <v>348751.47954166465</v>
      </c>
      <c r="H225" s="5">
        <f t="shared" si="0"/>
        <v>0</v>
      </c>
      <c r="I225" t="s">
        <v>47</v>
      </c>
      <c r="J225" t="s">
        <v>151</v>
      </c>
      <c r="K225" s="5">
        <f>100 / 86400</f>
        <v>1.1574074074074073E-3</v>
      </c>
      <c r="L225" s="5">
        <f>39 / 86400</f>
        <v>4.5138888888888887E-4</v>
      </c>
    </row>
    <row r="226" spans="1:12" x14ac:dyDescent="0.25">
      <c r="A226" s="3">
        <v>45706.346620370372</v>
      </c>
      <c r="B226" t="s">
        <v>189</v>
      </c>
      <c r="C226" s="3">
        <v>45706.348009259258</v>
      </c>
      <c r="D226" t="s">
        <v>189</v>
      </c>
      <c r="E226" s="4">
        <v>1.4272761381268502</v>
      </c>
      <c r="F226" s="4">
        <v>348751.4834524499</v>
      </c>
      <c r="G226" s="4">
        <v>348752.91072858806</v>
      </c>
      <c r="H226" s="5">
        <f t="shared" si="0"/>
        <v>0</v>
      </c>
      <c r="I226" t="s">
        <v>71</v>
      </c>
      <c r="J226" t="s">
        <v>208</v>
      </c>
      <c r="K226" s="5">
        <f>120 / 86400</f>
        <v>1.3888888888888889E-3</v>
      </c>
      <c r="L226" s="5">
        <f>24 / 86400</f>
        <v>2.7777777777777778E-4</v>
      </c>
    </row>
    <row r="227" spans="1:12" x14ac:dyDescent="0.25">
      <c r="A227" s="3">
        <v>45706.348287037035</v>
      </c>
      <c r="B227" t="s">
        <v>189</v>
      </c>
      <c r="C227" s="3">
        <v>45706.350370370375</v>
      </c>
      <c r="D227" t="s">
        <v>184</v>
      </c>
      <c r="E227" s="4">
        <v>2.4111089537739754</v>
      </c>
      <c r="F227" s="4">
        <v>348752.91503032891</v>
      </c>
      <c r="G227" s="4">
        <v>348755.32613928273</v>
      </c>
      <c r="H227" s="5">
        <f t="shared" si="0"/>
        <v>0</v>
      </c>
      <c r="I227" t="s">
        <v>37</v>
      </c>
      <c r="J227" t="s">
        <v>209</v>
      </c>
      <c r="K227" s="5">
        <f>180 / 86400</f>
        <v>2.0833333333333333E-3</v>
      </c>
      <c r="L227" s="5">
        <f>20 / 86400</f>
        <v>2.3148148148148149E-4</v>
      </c>
    </row>
    <row r="228" spans="1:12" x14ac:dyDescent="0.25">
      <c r="A228" s="3">
        <v>45706.350601851853</v>
      </c>
      <c r="B228" t="s">
        <v>184</v>
      </c>
      <c r="C228" s="3">
        <v>45706.351076388892</v>
      </c>
      <c r="D228" t="s">
        <v>185</v>
      </c>
      <c r="E228" s="4">
        <v>2.8244980812072752E-2</v>
      </c>
      <c r="F228" s="4">
        <v>348755.34486824868</v>
      </c>
      <c r="G228" s="4">
        <v>348755.37311322952</v>
      </c>
      <c r="H228" s="5">
        <f t="shared" si="0"/>
        <v>0</v>
      </c>
      <c r="I228" t="s">
        <v>147</v>
      </c>
      <c r="J228" t="s">
        <v>111</v>
      </c>
      <c r="K228" s="5">
        <f>41 / 86400</f>
        <v>4.7453703703703704E-4</v>
      </c>
      <c r="L228" s="5">
        <f>60 / 86400</f>
        <v>6.9444444444444447E-4</v>
      </c>
    </row>
    <row r="229" spans="1:12" x14ac:dyDescent="0.25">
      <c r="A229" s="3">
        <v>45706.351770833338</v>
      </c>
      <c r="B229" t="s">
        <v>185</v>
      </c>
      <c r="C229" s="3">
        <v>45706.352696759262</v>
      </c>
      <c r="D229" t="s">
        <v>184</v>
      </c>
      <c r="E229" s="4">
        <v>0.41718629628419879</v>
      </c>
      <c r="F229" s="4">
        <v>348755.39666078467</v>
      </c>
      <c r="G229" s="4">
        <v>348755.81384708092</v>
      </c>
      <c r="H229" s="5">
        <f t="shared" si="0"/>
        <v>0</v>
      </c>
      <c r="I229" t="s">
        <v>129</v>
      </c>
      <c r="J229" t="s">
        <v>79</v>
      </c>
      <c r="K229" s="5">
        <f>80 / 86400</f>
        <v>9.2592592592592596E-4</v>
      </c>
      <c r="L229" s="5">
        <f>20 / 86400</f>
        <v>2.3148148148148149E-4</v>
      </c>
    </row>
    <row r="230" spans="1:12" x14ac:dyDescent="0.25">
      <c r="A230" s="3">
        <v>45706.35292824074</v>
      </c>
      <c r="B230" t="s">
        <v>184</v>
      </c>
      <c r="C230" s="3">
        <v>45706.355937500004</v>
      </c>
      <c r="D230" t="s">
        <v>181</v>
      </c>
      <c r="E230" s="4">
        <v>2.5920773453712465</v>
      </c>
      <c r="F230" s="4">
        <v>348755.97621960368</v>
      </c>
      <c r="G230" s="4">
        <v>348758.56829694903</v>
      </c>
      <c r="H230" s="5">
        <f t="shared" si="0"/>
        <v>0</v>
      </c>
      <c r="I230" t="s">
        <v>174</v>
      </c>
      <c r="J230" t="s">
        <v>169</v>
      </c>
      <c r="K230" s="5">
        <f>260 / 86400</f>
        <v>3.0092592592592593E-3</v>
      </c>
      <c r="L230" s="5">
        <f>20 / 86400</f>
        <v>2.3148148148148149E-4</v>
      </c>
    </row>
    <row r="231" spans="1:12" x14ac:dyDescent="0.25">
      <c r="A231" s="3">
        <v>45706.356168981481</v>
      </c>
      <c r="B231" t="s">
        <v>181</v>
      </c>
      <c r="C231" s="3">
        <v>45706.356400462959</v>
      </c>
      <c r="D231" t="s">
        <v>181</v>
      </c>
      <c r="E231" s="4">
        <v>7.4976723790168764E-3</v>
      </c>
      <c r="F231" s="4">
        <v>348758.57058580691</v>
      </c>
      <c r="G231" s="4">
        <v>348758.57808347931</v>
      </c>
      <c r="H231" s="5">
        <f t="shared" si="0"/>
        <v>0</v>
      </c>
      <c r="I231" t="s">
        <v>111</v>
      </c>
      <c r="J231" t="s">
        <v>163</v>
      </c>
      <c r="K231" s="5">
        <f>20 / 86400</f>
        <v>2.3148148148148149E-4</v>
      </c>
      <c r="L231" s="5">
        <f>20 / 86400</f>
        <v>2.3148148148148149E-4</v>
      </c>
    </row>
    <row r="232" spans="1:12" x14ac:dyDescent="0.25">
      <c r="A232" s="3">
        <v>45706.356631944444</v>
      </c>
      <c r="B232" t="s">
        <v>181</v>
      </c>
      <c r="C232" s="3">
        <v>45706.357094907406</v>
      </c>
      <c r="D232" t="s">
        <v>181</v>
      </c>
      <c r="E232" s="4">
        <v>2.8767535150051118E-2</v>
      </c>
      <c r="F232" s="4">
        <v>348758.60125332157</v>
      </c>
      <c r="G232" s="4">
        <v>348758.63002085674</v>
      </c>
      <c r="H232" s="5">
        <f t="shared" si="0"/>
        <v>0</v>
      </c>
      <c r="I232" t="s">
        <v>170</v>
      </c>
      <c r="J232" t="s">
        <v>170</v>
      </c>
      <c r="K232" s="5">
        <f>40 / 86400</f>
        <v>4.6296296296296298E-4</v>
      </c>
      <c r="L232" s="5">
        <f>49 / 86400</f>
        <v>5.6712962962962967E-4</v>
      </c>
    </row>
    <row r="233" spans="1:12" x14ac:dyDescent="0.25">
      <c r="A233" s="3">
        <v>45706.357662037037</v>
      </c>
      <c r="B233" t="s">
        <v>181</v>
      </c>
      <c r="C233" s="3">
        <v>45706.357893518521</v>
      </c>
      <c r="D233" t="s">
        <v>181</v>
      </c>
      <c r="E233" s="4">
        <v>3.8651021897792813E-2</v>
      </c>
      <c r="F233" s="4">
        <v>348758.65006194694</v>
      </c>
      <c r="G233" s="4">
        <v>348758.68871296884</v>
      </c>
      <c r="H233" s="5">
        <f t="shared" si="0"/>
        <v>0</v>
      </c>
      <c r="I233" t="s">
        <v>147</v>
      </c>
      <c r="J233" t="s">
        <v>150</v>
      </c>
      <c r="K233" s="5">
        <f>20 / 86400</f>
        <v>2.3148148148148149E-4</v>
      </c>
      <c r="L233" s="5">
        <f>20 / 86400</f>
        <v>2.3148148148148149E-4</v>
      </c>
    </row>
    <row r="234" spans="1:12" x14ac:dyDescent="0.25">
      <c r="A234" s="3">
        <v>45706.358124999999</v>
      </c>
      <c r="B234" t="s">
        <v>181</v>
      </c>
      <c r="C234" s="3">
        <v>45706.358356481476</v>
      </c>
      <c r="D234" t="s">
        <v>181</v>
      </c>
      <c r="E234" s="4">
        <v>1.2879435420036316E-3</v>
      </c>
      <c r="F234" s="4">
        <v>348758.71006737952</v>
      </c>
      <c r="G234" s="4">
        <v>348758.71135532309</v>
      </c>
      <c r="H234" s="5">
        <f t="shared" si="0"/>
        <v>0</v>
      </c>
      <c r="I234" t="s">
        <v>170</v>
      </c>
      <c r="J234" t="s">
        <v>82</v>
      </c>
      <c r="K234" s="5">
        <f>20 / 86400</f>
        <v>2.3148148148148149E-4</v>
      </c>
      <c r="L234" s="5">
        <f>40 / 86400</f>
        <v>4.6296296296296298E-4</v>
      </c>
    </row>
    <row r="235" spans="1:12" x14ac:dyDescent="0.25">
      <c r="A235" s="3">
        <v>45706.358819444446</v>
      </c>
      <c r="B235" t="s">
        <v>181</v>
      </c>
      <c r="C235" s="3">
        <v>45706.363391203704</v>
      </c>
      <c r="D235" t="s">
        <v>76</v>
      </c>
      <c r="E235" s="4">
        <v>3.9749151728153227</v>
      </c>
      <c r="F235" s="4">
        <v>348758.74756687763</v>
      </c>
      <c r="G235" s="4">
        <v>348762.72248205042</v>
      </c>
      <c r="H235" s="5">
        <f t="shared" si="0"/>
        <v>0</v>
      </c>
      <c r="I235" t="s">
        <v>210</v>
      </c>
      <c r="J235" t="s">
        <v>169</v>
      </c>
      <c r="K235" s="5">
        <f>395 / 86400</f>
        <v>4.5717592592592589E-3</v>
      </c>
      <c r="L235" s="5">
        <f>20 / 86400</f>
        <v>2.3148148148148149E-4</v>
      </c>
    </row>
    <row r="236" spans="1:12" x14ac:dyDescent="0.25">
      <c r="A236" s="3">
        <v>45706.363622685181</v>
      </c>
      <c r="B236" t="s">
        <v>76</v>
      </c>
      <c r="C236" s="3">
        <v>45706.364317129628</v>
      </c>
      <c r="D236" t="s">
        <v>168</v>
      </c>
      <c r="E236" s="4">
        <v>0.44832713496685028</v>
      </c>
      <c r="F236" s="4">
        <v>348762.82626276166</v>
      </c>
      <c r="G236" s="4">
        <v>348763.27458989661</v>
      </c>
      <c r="H236" s="5">
        <f t="shared" si="0"/>
        <v>0</v>
      </c>
      <c r="I236" t="s">
        <v>211</v>
      </c>
      <c r="J236" t="s">
        <v>212</v>
      </c>
      <c r="K236" s="5">
        <f>60 / 86400</f>
        <v>6.9444444444444447E-4</v>
      </c>
      <c r="L236" s="5">
        <f>20 / 86400</f>
        <v>2.3148148148148149E-4</v>
      </c>
    </row>
    <row r="237" spans="1:12" x14ac:dyDescent="0.25">
      <c r="A237" s="3">
        <v>45706.364548611113</v>
      </c>
      <c r="B237" t="s">
        <v>168</v>
      </c>
      <c r="C237" s="3">
        <v>45706.366423611107</v>
      </c>
      <c r="D237" t="s">
        <v>76</v>
      </c>
      <c r="E237" s="4">
        <v>1.1554156017899513</v>
      </c>
      <c r="F237" s="4">
        <v>348763.28527756</v>
      </c>
      <c r="G237" s="4">
        <v>348764.4406931618</v>
      </c>
      <c r="H237" s="5">
        <f t="shared" si="0"/>
        <v>0</v>
      </c>
      <c r="I237" t="s">
        <v>49</v>
      </c>
      <c r="J237" t="s">
        <v>158</v>
      </c>
      <c r="K237" s="5">
        <f>162 / 86400</f>
        <v>1.8749999999999999E-3</v>
      </c>
      <c r="L237" s="5">
        <f>34 / 86400</f>
        <v>3.9351851851851852E-4</v>
      </c>
    </row>
    <row r="238" spans="1:12" x14ac:dyDescent="0.25">
      <c r="A238" s="3">
        <v>45706.36681712963</v>
      </c>
      <c r="B238" t="s">
        <v>76</v>
      </c>
      <c r="C238" s="3">
        <v>45706.367280092592</v>
      </c>
      <c r="D238" t="s">
        <v>76</v>
      </c>
      <c r="E238" s="4">
        <v>5.3522340118885042E-2</v>
      </c>
      <c r="F238" s="4">
        <v>348764.54901936662</v>
      </c>
      <c r="G238" s="4">
        <v>348764.60254170676</v>
      </c>
      <c r="H238" s="5">
        <f t="shared" si="0"/>
        <v>0</v>
      </c>
      <c r="I238" t="s">
        <v>147</v>
      </c>
      <c r="J238" t="s">
        <v>50</v>
      </c>
      <c r="K238" s="5">
        <f>40 / 86400</f>
        <v>4.6296296296296298E-4</v>
      </c>
      <c r="L238" s="5">
        <f>60 / 86400</f>
        <v>6.9444444444444447E-4</v>
      </c>
    </row>
    <row r="239" spans="1:12" x14ac:dyDescent="0.25">
      <c r="A239" s="3">
        <v>45706.367974537032</v>
      </c>
      <c r="B239" t="s">
        <v>76</v>
      </c>
      <c r="C239" s="3">
        <v>45706.368206018524</v>
      </c>
      <c r="D239" t="s">
        <v>76</v>
      </c>
      <c r="E239" s="4">
        <v>6.340332567691803E-3</v>
      </c>
      <c r="F239" s="4">
        <v>348764.62034543511</v>
      </c>
      <c r="G239" s="4">
        <v>348764.62668576767</v>
      </c>
      <c r="H239" s="5">
        <f t="shared" si="0"/>
        <v>0</v>
      </c>
      <c r="I239" t="s">
        <v>147</v>
      </c>
      <c r="J239" t="s">
        <v>163</v>
      </c>
      <c r="K239" s="5">
        <f>20 / 86400</f>
        <v>2.3148148148148149E-4</v>
      </c>
      <c r="L239" s="5">
        <f>11 / 86400</f>
        <v>1.273148148148148E-4</v>
      </c>
    </row>
    <row r="240" spans="1:12" x14ac:dyDescent="0.25">
      <c r="A240" s="3">
        <v>45706.368333333332</v>
      </c>
      <c r="B240" t="s">
        <v>76</v>
      </c>
      <c r="C240" s="3">
        <v>45706.368564814809</v>
      </c>
      <c r="D240" t="s">
        <v>76</v>
      </c>
      <c r="E240" s="4">
        <v>4.5617189347743989E-2</v>
      </c>
      <c r="F240" s="4">
        <v>348764.63231661404</v>
      </c>
      <c r="G240" s="4">
        <v>348764.67793380335</v>
      </c>
      <c r="H240" s="5">
        <f t="shared" si="0"/>
        <v>0</v>
      </c>
      <c r="I240" t="s">
        <v>32</v>
      </c>
      <c r="J240" t="s">
        <v>147</v>
      </c>
      <c r="K240" s="5">
        <f>20 / 86400</f>
        <v>2.3148148148148149E-4</v>
      </c>
      <c r="L240" s="5">
        <f>6 / 86400</f>
        <v>6.9444444444444444E-5</v>
      </c>
    </row>
    <row r="241" spans="1:12" x14ac:dyDescent="0.25">
      <c r="A241" s="3">
        <v>45706.368634259255</v>
      </c>
      <c r="B241" t="s">
        <v>76</v>
      </c>
      <c r="C241" s="3">
        <v>45706.369097222225</v>
      </c>
      <c r="D241" t="s">
        <v>76</v>
      </c>
      <c r="E241" s="4">
        <v>6.5966080129146579E-2</v>
      </c>
      <c r="F241" s="4">
        <v>348764.68362301053</v>
      </c>
      <c r="G241" s="4">
        <v>348764.74958909064</v>
      </c>
      <c r="H241" s="5">
        <f t="shared" si="0"/>
        <v>0</v>
      </c>
      <c r="I241" t="s">
        <v>93</v>
      </c>
      <c r="J241" t="s">
        <v>32</v>
      </c>
      <c r="K241" s="5">
        <f>40 / 86400</f>
        <v>4.6296296296296298E-4</v>
      </c>
      <c r="L241" s="5">
        <f>1 / 86400</f>
        <v>1.1574074074074073E-5</v>
      </c>
    </row>
    <row r="242" spans="1:12" x14ac:dyDescent="0.25">
      <c r="A242" s="3">
        <v>45706.369108796294</v>
      </c>
      <c r="B242" t="s">
        <v>213</v>
      </c>
      <c r="C242" s="3">
        <v>45706.369351851856</v>
      </c>
      <c r="D242" t="s">
        <v>76</v>
      </c>
      <c r="E242" s="4">
        <v>3.0671461880207061E-2</v>
      </c>
      <c r="F242" s="4">
        <v>348764.7791252688</v>
      </c>
      <c r="G242" s="4">
        <v>348764.8097967307</v>
      </c>
      <c r="H242" s="5">
        <f t="shared" si="0"/>
        <v>0</v>
      </c>
      <c r="I242" t="s">
        <v>150</v>
      </c>
      <c r="J242" t="s">
        <v>50</v>
      </c>
      <c r="K242" s="5">
        <f>21 / 86400</f>
        <v>2.4305555555555555E-4</v>
      </c>
      <c r="L242" s="5">
        <f>10 / 86400</f>
        <v>1.1574074074074075E-4</v>
      </c>
    </row>
    <row r="243" spans="1:12" x14ac:dyDescent="0.25">
      <c r="A243" s="3">
        <v>45706.369467592594</v>
      </c>
      <c r="B243" t="s">
        <v>76</v>
      </c>
      <c r="C243" s="3">
        <v>45706.369699074072</v>
      </c>
      <c r="D243" t="s">
        <v>214</v>
      </c>
      <c r="E243" s="4">
        <v>9.6313394308090213E-3</v>
      </c>
      <c r="F243" s="4">
        <v>348764.81390488945</v>
      </c>
      <c r="G243" s="4">
        <v>348764.82353622891</v>
      </c>
      <c r="H243" s="5">
        <f t="shared" si="0"/>
        <v>0</v>
      </c>
      <c r="I243" t="s">
        <v>32</v>
      </c>
      <c r="J243" t="s">
        <v>111</v>
      </c>
      <c r="K243" s="5">
        <f>20 / 86400</f>
        <v>2.3148148148148149E-4</v>
      </c>
      <c r="L243" s="5">
        <f>40 / 86400</f>
        <v>4.6296296296296298E-4</v>
      </c>
    </row>
    <row r="244" spans="1:12" x14ac:dyDescent="0.25">
      <c r="A244" s="3">
        <v>45706.370162037041</v>
      </c>
      <c r="B244" t="s">
        <v>95</v>
      </c>
      <c r="C244" s="3">
        <v>45706.370856481481</v>
      </c>
      <c r="D244" t="s">
        <v>95</v>
      </c>
      <c r="E244" s="4">
        <v>0.16473479133844376</v>
      </c>
      <c r="F244" s="4">
        <v>348764.87412941328</v>
      </c>
      <c r="G244" s="4">
        <v>348765.03886420466</v>
      </c>
      <c r="H244" s="5">
        <f t="shared" si="0"/>
        <v>0</v>
      </c>
      <c r="I244" t="s">
        <v>136</v>
      </c>
      <c r="J244" t="s">
        <v>159</v>
      </c>
      <c r="K244" s="5">
        <f>60 / 86400</f>
        <v>6.9444444444444447E-4</v>
      </c>
      <c r="L244" s="5">
        <f>20 / 86400</f>
        <v>2.3148148148148149E-4</v>
      </c>
    </row>
    <row r="245" spans="1:12" x14ac:dyDescent="0.25">
      <c r="A245" s="3">
        <v>45706.371087962965</v>
      </c>
      <c r="B245" t="s">
        <v>95</v>
      </c>
      <c r="C245" s="3">
        <v>45706.371550925927</v>
      </c>
      <c r="D245" t="s">
        <v>95</v>
      </c>
      <c r="E245" s="4">
        <v>8.0913491129875184E-2</v>
      </c>
      <c r="F245" s="4">
        <v>348765.04798150109</v>
      </c>
      <c r="G245" s="4">
        <v>348765.12889499223</v>
      </c>
      <c r="H245" s="5">
        <f t="shared" si="0"/>
        <v>0</v>
      </c>
      <c r="I245" t="s">
        <v>171</v>
      </c>
      <c r="J245" t="s">
        <v>150</v>
      </c>
      <c r="K245" s="5">
        <f>40 / 86400</f>
        <v>4.6296296296296298E-4</v>
      </c>
      <c r="L245" s="5">
        <f>60 / 86400</f>
        <v>6.9444444444444447E-4</v>
      </c>
    </row>
    <row r="246" spans="1:12" x14ac:dyDescent="0.25">
      <c r="A246" s="3">
        <v>45706.372245370367</v>
      </c>
      <c r="B246" t="s">
        <v>95</v>
      </c>
      <c r="C246" s="3">
        <v>45706.373599537037</v>
      </c>
      <c r="D246" t="s">
        <v>95</v>
      </c>
      <c r="E246" s="4">
        <v>0.25381852525472642</v>
      </c>
      <c r="F246" s="4">
        <v>348765.16933800135</v>
      </c>
      <c r="G246" s="4">
        <v>348765.42315652664</v>
      </c>
      <c r="H246" s="5">
        <f t="shared" si="0"/>
        <v>0</v>
      </c>
      <c r="I246" t="s">
        <v>57</v>
      </c>
      <c r="J246" t="s">
        <v>147</v>
      </c>
      <c r="K246" s="5">
        <f>117 / 86400</f>
        <v>1.3541666666666667E-3</v>
      </c>
      <c r="L246" s="5">
        <f>20 / 86400</f>
        <v>2.3148148148148149E-4</v>
      </c>
    </row>
    <row r="247" spans="1:12" x14ac:dyDescent="0.25">
      <c r="A247" s="3">
        <v>45706.373831018514</v>
      </c>
      <c r="B247" t="s">
        <v>95</v>
      </c>
      <c r="C247" s="3">
        <v>45706.374293981484</v>
      </c>
      <c r="D247" t="s">
        <v>95</v>
      </c>
      <c r="E247" s="4">
        <v>6.1393132388591766E-2</v>
      </c>
      <c r="F247" s="4">
        <v>348765.47140028654</v>
      </c>
      <c r="G247" s="4">
        <v>348765.53279341897</v>
      </c>
      <c r="H247" s="5">
        <f t="shared" si="0"/>
        <v>0</v>
      </c>
      <c r="I247" t="s">
        <v>38</v>
      </c>
      <c r="J247" t="s">
        <v>32</v>
      </c>
      <c r="K247" s="5">
        <f>40 / 86400</f>
        <v>4.6296296296296298E-4</v>
      </c>
      <c r="L247" s="5">
        <f>40 / 86400</f>
        <v>4.6296296296296298E-4</v>
      </c>
    </row>
    <row r="248" spans="1:12" x14ac:dyDescent="0.25">
      <c r="A248" s="3">
        <v>45706.374756944446</v>
      </c>
      <c r="B248" t="s">
        <v>95</v>
      </c>
      <c r="C248" s="3">
        <v>45706.37498842593</v>
      </c>
      <c r="D248" t="s">
        <v>95</v>
      </c>
      <c r="E248" s="4">
        <v>2.6864855289459228E-3</v>
      </c>
      <c r="F248" s="4">
        <v>348765.57016719895</v>
      </c>
      <c r="G248" s="4">
        <v>348765.57285368448</v>
      </c>
      <c r="H248" s="5">
        <f t="shared" si="0"/>
        <v>0</v>
      </c>
      <c r="I248" t="s">
        <v>127</v>
      </c>
      <c r="J248" t="s">
        <v>82</v>
      </c>
      <c r="K248" s="5">
        <f>20 / 86400</f>
        <v>2.3148148148148149E-4</v>
      </c>
      <c r="L248" s="5">
        <f>20 / 86400</f>
        <v>2.3148148148148149E-4</v>
      </c>
    </row>
    <row r="249" spans="1:12" x14ac:dyDescent="0.25">
      <c r="A249" s="3">
        <v>45706.375219907408</v>
      </c>
      <c r="B249" t="s">
        <v>95</v>
      </c>
      <c r="C249" s="3">
        <v>45706.375613425931</v>
      </c>
      <c r="D249" t="s">
        <v>95</v>
      </c>
      <c r="E249" s="4">
        <v>2.3234698414802551E-2</v>
      </c>
      <c r="F249" s="4">
        <v>348765.6059293552</v>
      </c>
      <c r="G249" s="4">
        <v>348765.62916405359</v>
      </c>
      <c r="H249" s="5">
        <f t="shared" si="0"/>
        <v>0</v>
      </c>
      <c r="I249" t="s">
        <v>50</v>
      </c>
      <c r="J249" t="s">
        <v>111</v>
      </c>
      <c r="K249" s="5">
        <f>34 / 86400</f>
        <v>3.9351851851851852E-4</v>
      </c>
      <c r="L249" s="5">
        <f>27 / 86400</f>
        <v>3.1250000000000001E-4</v>
      </c>
    </row>
    <row r="250" spans="1:12" x14ac:dyDescent="0.25">
      <c r="A250" s="3">
        <v>45706.375925925924</v>
      </c>
      <c r="B250" t="s">
        <v>95</v>
      </c>
      <c r="C250" s="3">
        <v>45706.376157407409</v>
      </c>
      <c r="D250" t="s">
        <v>95</v>
      </c>
      <c r="E250" s="4">
        <v>1.4677200734615327E-2</v>
      </c>
      <c r="F250" s="4">
        <v>348765.63239987503</v>
      </c>
      <c r="G250" s="4">
        <v>348765.64707707579</v>
      </c>
      <c r="H250" s="5">
        <f t="shared" si="0"/>
        <v>0</v>
      </c>
      <c r="I250" t="s">
        <v>50</v>
      </c>
      <c r="J250" t="s">
        <v>170</v>
      </c>
      <c r="K250" s="5">
        <f>20 / 86400</f>
        <v>2.3148148148148149E-4</v>
      </c>
      <c r="L250" s="5">
        <f>20 / 86400</f>
        <v>2.3148148148148149E-4</v>
      </c>
    </row>
    <row r="251" spans="1:12" x14ac:dyDescent="0.25">
      <c r="A251" s="3">
        <v>45706.376388888893</v>
      </c>
      <c r="B251" t="s">
        <v>95</v>
      </c>
      <c r="C251" s="3">
        <v>45706.378240740742</v>
      </c>
      <c r="D251" t="s">
        <v>95</v>
      </c>
      <c r="E251" s="4">
        <v>0.6211365932822227</v>
      </c>
      <c r="F251" s="4">
        <v>348765.68145338626</v>
      </c>
      <c r="G251" s="4">
        <v>348766.30258997955</v>
      </c>
      <c r="H251" s="5">
        <f t="shared" si="0"/>
        <v>0</v>
      </c>
      <c r="I251" t="s">
        <v>107</v>
      </c>
      <c r="J251" t="s">
        <v>57</v>
      </c>
      <c r="K251" s="5">
        <f>160 / 86400</f>
        <v>1.8518518518518519E-3</v>
      </c>
      <c r="L251" s="5">
        <f>10 / 86400</f>
        <v>1.1574074074074075E-4</v>
      </c>
    </row>
    <row r="252" spans="1:12" x14ac:dyDescent="0.25">
      <c r="A252" s="3">
        <v>45706.37835648148</v>
      </c>
      <c r="B252" t="s">
        <v>95</v>
      </c>
      <c r="C252" s="3">
        <v>45706.378854166665</v>
      </c>
      <c r="D252" t="s">
        <v>215</v>
      </c>
      <c r="E252" s="4">
        <v>0.17801968860626222</v>
      </c>
      <c r="F252" s="4">
        <v>348766.3084661793</v>
      </c>
      <c r="G252" s="4">
        <v>348766.48648586794</v>
      </c>
      <c r="H252" s="5">
        <f t="shared" ref="H252:H315" si="1">0 / 86400</f>
        <v>0</v>
      </c>
      <c r="I252" t="s">
        <v>44</v>
      </c>
      <c r="J252" t="s">
        <v>38</v>
      </c>
      <c r="K252" s="5">
        <f>43 / 86400</f>
        <v>4.9768518518518521E-4</v>
      </c>
      <c r="L252" s="5">
        <f>40 / 86400</f>
        <v>4.6296296296296298E-4</v>
      </c>
    </row>
    <row r="253" spans="1:12" x14ac:dyDescent="0.25">
      <c r="A253" s="3">
        <v>45706.379317129627</v>
      </c>
      <c r="B253" t="s">
        <v>95</v>
      </c>
      <c r="C253" s="3">
        <v>45706.380636574075</v>
      </c>
      <c r="D253" t="s">
        <v>105</v>
      </c>
      <c r="E253" s="4">
        <v>0.27613264179229735</v>
      </c>
      <c r="F253" s="4">
        <v>348766.53193849995</v>
      </c>
      <c r="G253" s="4">
        <v>348766.80807114171</v>
      </c>
      <c r="H253" s="5">
        <f t="shared" si="1"/>
        <v>0</v>
      </c>
      <c r="I253" t="s">
        <v>79</v>
      </c>
      <c r="J253" t="s">
        <v>171</v>
      </c>
      <c r="K253" s="5">
        <f>114 / 86400</f>
        <v>1.3194444444444445E-3</v>
      </c>
      <c r="L253" s="5">
        <f>20 / 86400</f>
        <v>2.3148148148148149E-4</v>
      </c>
    </row>
    <row r="254" spans="1:12" x14ac:dyDescent="0.25">
      <c r="A254" s="3">
        <v>45706.380868055552</v>
      </c>
      <c r="B254" t="s">
        <v>105</v>
      </c>
      <c r="C254" s="3">
        <v>45706.381099537037</v>
      </c>
      <c r="D254" t="s">
        <v>216</v>
      </c>
      <c r="E254" s="4">
        <v>7.0382268905639644E-2</v>
      </c>
      <c r="F254" s="4">
        <v>348766.82753325731</v>
      </c>
      <c r="G254" s="4">
        <v>348766.89791552624</v>
      </c>
      <c r="H254" s="5">
        <f t="shared" si="1"/>
        <v>0</v>
      </c>
      <c r="I254" t="s">
        <v>57</v>
      </c>
      <c r="J254" t="s">
        <v>44</v>
      </c>
      <c r="K254" s="5">
        <f>20 / 86400</f>
        <v>2.3148148148148149E-4</v>
      </c>
      <c r="L254" s="5">
        <f>20 / 86400</f>
        <v>2.3148148148148149E-4</v>
      </c>
    </row>
    <row r="255" spans="1:12" x14ac:dyDescent="0.25">
      <c r="A255" s="3">
        <v>45706.381331018521</v>
      </c>
      <c r="B255" t="s">
        <v>216</v>
      </c>
      <c r="C255" s="3">
        <v>45706.382719907408</v>
      </c>
      <c r="D255" t="s">
        <v>217</v>
      </c>
      <c r="E255" s="4">
        <v>0.46551909339427949</v>
      </c>
      <c r="F255" s="4">
        <v>348766.93973304459</v>
      </c>
      <c r="G255" s="4">
        <v>348767.40525213798</v>
      </c>
      <c r="H255" s="5">
        <f t="shared" si="1"/>
        <v>0</v>
      </c>
      <c r="I255" t="s">
        <v>211</v>
      </c>
      <c r="J255" t="s">
        <v>57</v>
      </c>
      <c r="K255" s="5">
        <f>120 / 86400</f>
        <v>1.3888888888888889E-3</v>
      </c>
      <c r="L255" s="5">
        <f>10 / 86400</f>
        <v>1.1574074074074075E-4</v>
      </c>
    </row>
    <row r="256" spans="1:12" x14ac:dyDescent="0.25">
      <c r="A256" s="3">
        <v>45706.382835648154</v>
      </c>
      <c r="B256" t="s">
        <v>217</v>
      </c>
      <c r="C256" s="3">
        <v>45706.384687500002</v>
      </c>
      <c r="D256" t="s">
        <v>216</v>
      </c>
      <c r="E256" s="4">
        <v>0.52152629387378691</v>
      </c>
      <c r="F256" s="4">
        <v>348767.4150426304</v>
      </c>
      <c r="G256" s="4">
        <v>348767.93656892423</v>
      </c>
      <c r="H256" s="5">
        <f t="shared" si="1"/>
        <v>0</v>
      </c>
      <c r="I256" t="s">
        <v>136</v>
      </c>
      <c r="J256" t="s">
        <v>25</v>
      </c>
      <c r="K256" s="5">
        <f>160 / 86400</f>
        <v>1.8518518518518519E-3</v>
      </c>
      <c r="L256" s="5">
        <f>40 / 86400</f>
        <v>4.6296296296296298E-4</v>
      </c>
    </row>
    <row r="257" spans="1:12" x14ac:dyDescent="0.25">
      <c r="A257" s="3">
        <v>45706.385150462964</v>
      </c>
      <c r="B257" t="s">
        <v>104</v>
      </c>
      <c r="C257" s="3">
        <v>45706.386944444443</v>
      </c>
      <c r="D257" t="s">
        <v>216</v>
      </c>
      <c r="E257" s="4">
        <v>1.0634163880944252</v>
      </c>
      <c r="F257" s="4">
        <v>348767.99555829569</v>
      </c>
      <c r="G257" s="4">
        <v>348769.05897468375</v>
      </c>
      <c r="H257" s="5">
        <f t="shared" si="1"/>
        <v>0</v>
      </c>
      <c r="I257" t="s">
        <v>191</v>
      </c>
      <c r="J257" t="s">
        <v>31</v>
      </c>
      <c r="K257" s="5">
        <f>155 / 86400</f>
        <v>1.7939814814814815E-3</v>
      </c>
      <c r="L257" s="5">
        <f>20 / 86400</f>
        <v>2.3148148148148149E-4</v>
      </c>
    </row>
    <row r="258" spans="1:12" x14ac:dyDescent="0.25">
      <c r="A258" s="3">
        <v>45706.387175925927</v>
      </c>
      <c r="B258" t="s">
        <v>104</v>
      </c>
      <c r="C258" s="3">
        <v>45706.387638888889</v>
      </c>
      <c r="D258" t="s">
        <v>216</v>
      </c>
      <c r="E258" s="4">
        <v>0.11209466755390167</v>
      </c>
      <c r="F258" s="4">
        <v>348769.10392272717</v>
      </c>
      <c r="G258" s="4">
        <v>348769.21601739473</v>
      </c>
      <c r="H258" s="5">
        <f t="shared" si="1"/>
        <v>0</v>
      </c>
      <c r="I258" t="s">
        <v>20</v>
      </c>
      <c r="J258" t="s">
        <v>159</v>
      </c>
      <c r="K258" s="5">
        <f>40 / 86400</f>
        <v>4.6296296296296298E-4</v>
      </c>
      <c r="L258" s="5">
        <f>80 / 86400</f>
        <v>9.2592592592592596E-4</v>
      </c>
    </row>
    <row r="259" spans="1:12" x14ac:dyDescent="0.25">
      <c r="A259" s="3">
        <v>45706.388564814813</v>
      </c>
      <c r="B259" t="s">
        <v>216</v>
      </c>
      <c r="C259" s="3">
        <v>45706.389490740738</v>
      </c>
      <c r="D259" t="s">
        <v>216</v>
      </c>
      <c r="E259" s="4">
        <v>0.5298500933051109</v>
      </c>
      <c r="F259" s="4">
        <v>348769.25443652715</v>
      </c>
      <c r="G259" s="4">
        <v>348769.78428662044</v>
      </c>
      <c r="H259" s="5">
        <f t="shared" si="1"/>
        <v>0</v>
      </c>
      <c r="I259" t="s">
        <v>107</v>
      </c>
      <c r="J259" t="s">
        <v>151</v>
      </c>
      <c r="K259" s="5">
        <f>80 / 86400</f>
        <v>9.2592592592592596E-4</v>
      </c>
      <c r="L259" s="5">
        <f>20 / 86400</f>
        <v>2.3148148148148149E-4</v>
      </c>
    </row>
    <row r="260" spans="1:12" x14ac:dyDescent="0.25">
      <c r="A260" s="3">
        <v>45706.389722222222</v>
      </c>
      <c r="B260" t="s">
        <v>216</v>
      </c>
      <c r="C260" s="3">
        <v>45706.391805555555</v>
      </c>
      <c r="D260" t="s">
        <v>218</v>
      </c>
      <c r="E260" s="4">
        <v>1.1707498707771302</v>
      </c>
      <c r="F260" s="4">
        <v>348769.78864107624</v>
      </c>
      <c r="G260" s="4">
        <v>348770.95939094707</v>
      </c>
      <c r="H260" s="5">
        <f t="shared" si="1"/>
        <v>0</v>
      </c>
      <c r="I260" t="s">
        <v>188</v>
      </c>
      <c r="J260" t="s">
        <v>143</v>
      </c>
      <c r="K260" s="5">
        <f>180 / 86400</f>
        <v>2.0833333333333333E-3</v>
      </c>
      <c r="L260" s="5">
        <f>60 / 86400</f>
        <v>6.9444444444444447E-4</v>
      </c>
    </row>
    <row r="261" spans="1:12" x14ac:dyDescent="0.25">
      <c r="A261" s="3">
        <v>45706.392500000002</v>
      </c>
      <c r="B261" t="s">
        <v>218</v>
      </c>
      <c r="C261" s="3">
        <v>45706.394583333335</v>
      </c>
      <c r="D261" t="s">
        <v>219</v>
      </c>
      <c r="E261" s="4">
        <v>1.0803986725211143</v>
      </c>
      <c r="F261" s="4">
        <v>348770.97701037995</v>
      </c>
      <c r="G261" s="4">
        <v>348772.0574090525</v>
      </c>
      <c r="H261" s="5">
        <f t="shared" si="1"/>
        <v>0</v>
      </c>
      <c r="I261" t="s">
        <v>182</v>
      </c>
      <c r="J261" t="s">
        <v>130</v>
      </c>
      <c r="K261" s="5">
        <f>180 / 86400</f>
        <v>2.0833333333333333E-3</v>
      </c>
      <c r="L261" s="5">
        <f>20 / 86400</f>
        <v>2.3148148148148149E-4</v>
      </c>
    </row>
    <row r="262" spans="1:12" x14ac:dyDescent="0.25">
      <c r="A262" s="3">
        <v>45706.394814814819</v>
      </c>
      <c r="B262" t="s">
        <v>219</v>
      </c>
      <c r="C262" s="3">
        <v>45706.395740740743</v>
      </c>
      <c r="D262" t="s">
        <v>220</v>
      </c>
      <c r="E262" s="4">
        <v>0.69932710033655165</v>
      </c>
      <c r="F262" s="4">
        <v>348772.06065472111</v>
      </c>
      <c r="G262" s="4">
        <v>348772.75998182141</v>
      </c>
      <c r="H262" s="5">
        <f t="shared" si="1"/>
        <v>0</v>
      </c>
      <c r="I262" t="s">
        <v>221</v>
      </c>
      <c r="J262" t="s">
        <v>156</v>
      </c>
      <c r="K262" s="5">
        <f>80 / 86400</f>
        <v>9.2592592592592596E-4</v>
      </c>
      <c r="L262" s="5">
        <f>2 / 86400</f>
        <v>2.3148148148148147E-5</v>
      </c>
    </row>
    <row r="263" spans="1:12" x14ac:dyDescent="0.25">
      <c r="A263" s="3">
        <v>45706.39576388889</v>
      </c>
      <c r="B263" t="s">
        <v>220</v>
      </c>
      <c r="C263" s="3">
        <v>45706.396458333329</v>
      </c>
      <c r="D263" t="s">
        <v>222</v>
      </c>
      <c r="E263" s="4">
        <v>0.45332535201311114</v>
      </c>
      <c r="F263" s="4">
        <v>348772.76292008918</v>
      </c>
      <c r="G263" s="4">
        <v>348773.21624544117</v>
      </c>
      <c r="H263" s="5">
        <f t="shared" si="1"/>
        <v>0</v>
      </c>
      <c r="I263" t="s">
        <v>47</v>
      </c>
      <c r="J263" t="s">
        <v>212</v>
      </c>
      <c r="K263" s="5">
        <f>60 / 86400</f>
        <v>6.9444444444444447E-4</v>
      </c>
      <c r="L263" s="5">
        <f>56 / 86400</f>
        <v>6.4814814814814813E-4</v>
      </c>
    </row>
    <row r="264" spans="1:12" x14ac:dyDescent="0.25">
      <c r="A264" s="3">
        <v>45706.397106481483</v>
      </c>
      <c r="B264" t="s">
        <v>222</v>
      </c>
      <c r="C264" s="3">
        <v>45706.397569444445</v>
      </c>
      <c r="D264" t="s">
        <v>223</v>
      </c>
      <c r="E264" s="4">
        <v>0.10883234369754791</v>
      </c>
      <c r="F264" s="4">
        <v>348773.22453749791</v>
      </c>
      <c r="G264" s="4">
        <v>348773.33336984162</v>
      </c>
      <c r="H264" s="5">
        <f t="shared" si="1"/>
        <v>0</v>
      </c>
      <c r="I264" t="s">
        <v>44</v>
      </c>
      <c r="J264" t="s">
        <v>159</v>
      </c>
      <c r="K264" s="5">
        <f>40 / 86400</f>
        <v>4.6296296296296298E-4</v>
      </c>
      <c r="L264" s="5">
        <f>20 / 86400</f>
        <v>2.3148148148148149E-4</v>
      </c>
    </row>
    <row r="265" spans="1:12" x14ac:dyDescent="0.25">
      <c r="A265" s="3">
        <v>45706.39780092593</v>
      </c>
      <c r="B265" t="s">
        <v>223</v>
      </c>
      <c r="C265" s="3">
        <v>45706.399212962962</v>
      </c>
      <c r="D265" t="s">
        <v>224</v>
      </c>
      <c r="E265" s="4">
        <v>9.7834417939186097E-2</v>
      </c>
      <c r="F265" s="4">
        <v>348773.33469494956</v>
      </c>
      <c r="G265" s="4">
        <v>348773.43252936751</v>
      </c>
      <c r="H265" s="5">
        <f t="shared" si="1"/>
        <v>0</v>
      </c>
      <c r="I265" t="s">
        <v>32</v>
      </c>
      <c r="J265" t="s">
        <v>170</v>
      </c>
      <c r="K265" s="5">
        <f>122 / 86400</f>
        <v>1.4120370370370369E-3</v>
      </c>
      <c r="L265" s="5">
        <f>20 / 86400</f>
        <v>2.3148148148148149E-4</v>
      </c>
    </row>
    <row r="266" spans="1:12" x14ac:dyDescent="0.25">
      <c r="A266" s="3">
        <v>45706.39944444444</v>
      </c>
      <c r="B266" t="s">
        <v>224</v>
      </c>
      <c r="C266" s="3">
        <v>45706.400104166663</v>
      </c>
      <c r="D266" t="s">
        <v>224</v>
      </c>
      <c r="E266" s="4">
        <v>2.2875783681869506E-2</v>
      </c>
      <c r="F266" s="4">
        <v>348773.44034118543</v>
      </c>
      <c r="G266" s="4">
        <v>348773.46321696916</v>
      </c>
      <c r="H266" s="5">
        <f t="shared" si="1"/>
        <v>0</v>
      </c>
      <c r="I266" t="s">
        <v>50</v>
      </c>
      <c r="J266" t="s">
        <v>163</v>
      </c>
      <c r="K266" s="5">
        <f>57 / 86400</f>
        <v>6.5972222222222224E-4</v>
      </c>
      <c r="L266" s="5">
        <f>21 / 86400</f>
        <v>2.4305555555555555E-4</v>
      </c>
    </row>
    <row r="267" spans="1:12" x14ac:dyDescent="0.25">
      <c r="A267" s="3">
        <v>45706.400347222225</v>
      </c>
      <c r="B267" t="s">
        <v>224</v>
      </c>
      <c r="C267" s="3">
        <v>45706.400567129633</v>
      </c>
      <c r="D267" t="s">
        <v>224</v>
      </c>
      <c r="E267" s="4">
        <v>4.8889685869216923E-3</v>
      </c>
      <c r="F267" s="4">
        <v>348773.46607467887</v>
      </c>
      <c r="G267" s="4">
        <v>348773.47096364747</v>
      </c>
      <c r="H267" s="5">
        <f t="shared" si="1"/>
        <v>0</v>
      </c>
      <c r="I267" t="s">
        <v>170</v>
      </c>
      <c r="J267" t="s">
        <v>163</v>
      </c>
      <c r="K267" s="5">
        <f>19 / 86400</f>
        <v>2.199074074074074E-4</v>
      </c>
      <c r="L267" s="5">
        <f>20 / 86400</f>
        <v>2.3148148148148149E-4</v>
      </c>
    </row>
    <row r="268" spans="1:12" x14ac:dyDescent="0.25">
      <c r="A268" s="3">
        <v>45706.40079861111</v>
      </c>
      <c r="B268" t="s">
        <v>225</v>
      </c>
      <c r="C268" s="3">
        <v>45706.401493055557</v>
      </c>
      <c r="D268" t="s">
        <v>220</v>
      </c>
      <c r="E268" s="4">
        <v>0.36134076792001724</v>
      </c>
      <c r="F268" s="4">
        <v>348773.48082660226</v>
      </c>
      <c r="G268" s="4">
        <v>348773.8421673702</v>
      </c>
      <c r="H268" s="5">
        <f t="shared" si="1"/>
        <v>0</v>
      </c>
      <c r="I268" t="s">
        <v>162</v>
      </c>
      <c r="J268" t="s">
        <v>130</v>
      </c>
      <c r="K268" s="5">
        <f>60 / 86400</f>
        <v>6.9444444444444447E-4</v>
      </c>
      <c r="L268" s="5">
        <f>20 / 86400</f>
        <v>2.3148148148148149E-4</v>
      </c>
    </row>
    <row r="269" spans="1:12" x14ac:dyDescent="0.25">
      <c r="A269" s="3">
        <v>45706.401724537034</v>
      </c>
      <c r="B269" t="s">
        <v>220</v>
      </c>
      <c r="C269" s="3">
        <v>45706.403043981481</v>
      </c>
      <c r="D269" t="s">
        <v>226</v>
      </c>
      <c r="E269" s="4">
        <v>0.61655751752853394</v>
      </c>
      <c r="F269" s="4">
        <v>348773.84700139106</v>
      </c>
      <c r="G269" s="4">
        <v>348774.46355890861</v>
      </c>
      <c r="H269" s="5">
        <f t="shared" si="1"/>
        <v>0</v>
      </c>
      <c r="I269" t="s">
        <v>211</v>
      </c>
      <c r="J269" t="s">
        <v>79</v>
      </c>
      <c r="K269" s="5">
        <f>114 / 86400</f>
        <v>1.3194444444444445E-3</v>
      </c>
      <c r="L269" s="5">
        <f>60 / 86400</f>
        <v>6.9444444444444447E-4</v>
      </c>
    </row>
    <row r="270" spans="1:12" x14ac:dyDescent="0.25">
      <c r="A270" s="3">
        <v>45706.403738425928</v>
      </c>
      <c r="B270" t="s">
        <v>227</v>
      </c>
      <c r="C270" s="3">
        <v>45706.405474537038</v>
      </c>
      <c r="D270" t="s">
        <v>176</v>
      </c>
      <c r="E270" s="4">
        <v>1.0219217822551727</v>
      </c>
      <c r="F270" s="4">
        <v>348774.56729464704</v>
      </c>
      <c r="G270" s="4">
        <v>348775.58921642927</v>
      </c>
      <c r="H270" s="5">
        <f t="shared" si="1"/>
        <v>0</v>
      </c>
      <c r="I270" t="s">
        <v>228</v>
      </c>
      <c r="J270" t="s">
        <v>31</v>
      </c>
      <c r="K270" s="5">
        <f>150 / 86400</f>
        <v>1.736111111111111E-3</v>
      </c>
      <c r="L270" s="5">
        <f>20 / 86400</f>
        <v>2.3148148148148149E-4</v>
      </c>
    </row>
    <row r="271" spans="1:12" x14ac:dyDescent="0.25">
      <c r="A271" s="3">
        <v>45706.405706018515</v>
      </c>
      <c r="B271" t="s">
        <v>176</v>
      </c>
      <c r="C271" s="3">
        <v>45706.406863425931</v>
      </c>
      <c r="D271" t="s">
        <v>229</v>
      </c>
      <c r="E271" s="4">
        <v>0.5505956581234932</v>
      </c>
      <c r="F271" s="4">
        <v>348775.59106029174</v>
      </c>
      <c r="G271" s="4">
        <v>348776.14165594988</v>
      </c>
      <c r="H271" s="5">
        <f t="shared" si="1"/>
        <v>0</v>
      </c>
      <c r="I271" t="s">
        <v>175</v>
      </c>
      <c r="J271" t="s">
        <v>35</v>
      </c>
      <c r="K271" s="5">
        <f>100 / 86400</f>
        <v>1.1574074074074073E-3</v>
      </c>
      <c r="L271" s="5">
        <f>60 / 86400</f>
        <v>6.9444444444444447E-4</v>
      </c>
    </row>
    <row r="272" spans="1:12" x14ac:dyDescent="0.25">
      <c r="A272" s="3">
        <v>45706.407557870371</v>
      </c>
      <c r="B272" t="s">
        <v>229</v>
      </c>
      <c r="C272" s="3">
        <v>45706.409363425926</v>
      </c>
      <c r="D272" t="s">
        <v>230</v>
      </c>
      <c r="E272" s="4">
        <v>0.83362574547529222</v>
      </c>
      <c r="F272" s="4">
        <v>348776.18894150987</v>
      </c>
      <c r="G272" s="4">
        <v>348777.02256725531</v>
      </c>
      <c r="H272" s="5">
        <f t="shared" si="1"/>
        <v>0</v>
      </c>
      <c r="I272" t="s">
        <v>182</v>
      </c>
      <c r="J272" t="s">
        <v>79</v>
      </c>
      <c r="K272" s="5">
        <f>156 / 86400</f>
        <v>1.8055555555555555E-3</v>
      </c>
      <c r="L272" s="5">
        <f>40 / 86400</f>
        <v>4.6296296296296298E-4</v>
      </c>
    </row>
    <row r="273" spans="1:12" x14ac:dyDescent="0.25">
      <c r="A273" s="3">
        <v>45706.409826388888</v>
      </c>
      <c r="B273" t="s">
        <v>230</v>
      </c>
      <c r="C273" s="3">
        <v>45706.411956018521</v>
      </c>
      <c r="D273" t="s">
        <v>231</v>
      </c>
      <c r="E273" s="4">
        <v>0.6353257365822792</v>
      </c>
      <c r="F273" s="4">
        <v>348777.24144051626</v>
      </c>
      <c r="G273" s="4">
        <v>348777.8767662528</v>
      </c>
      <c r="H273" s="5">
        <f t="shared" si="1"/>
        <v>0</v>
      </c>
      <c r="I273" t="s">
        <v>143</v>
      </c>
      <c r="J273" t="s">
        <v>25</v>
      </c>
      <c r="K273" s="5">
        <f>184 / 86400</f>
        <v>2.1296296296296298E-3</v>
      </c>
      <c r="L273" s="5">
        <f>24 / 86400</f>
        <v>2.7777777777777778E-4</v>
      </c>
    </row>
    <row r="274" spans="1:12" x14ac:dyDescent="0.25">
      <c r="A274" s="3">
        <v>45706.412233796298</v>
      </c>
      <c r="B274" t="s">
        <v>231</v>
      </c>
      <c r="C274" s="3">
        <v>45706.412465277783</v>
      </c>
      <c r="D274" t="s">
        <v>231</v>
      </c>
      <c r="E274" s="4">
        <v>1.7784029304981231E-2</v>
      </c>
      <c r="F274" s="4">
        <v>348777.88435882755</v>
      </c>
      <c r="G274" s="4">
        <v>348777.90214285685</v>
      </c>
      <c r="H274" s="5">
        <f t="shared" si="1"/>
        <v>0</v>
      </c>
      <c r="I274" t="s">
        <v>50</v>
      </c>
      <c r="J274" t="s">
        <v>170</v>
      </c>
      <c r="K274" s="5">
        <f>20 / 86400</f>
        <v>2.3148148148148149E-4</v>
      </c>
      <c r="L274" s="5">
        <f>40 / 86400</f>
        <v>4.6296296296296298E-4</v>
      </c>
    </row>
    <row r="275" spans="1:12" x14ac:dyDescent="0.25">
      <c r="A275" s="3">
        <v>45706.412928240738</v>
      </c>
      <c r="B275" t="s">
        <v>231</v>
      </c>
      <c r="C275" s="3">
        <v>45706.413159722222</v>
      </c>
      <c r="D275" t="s">
        <v>231</v>
      </c>
      <c r="E275" s="4">
        <v>7.5696683526039121E-3</v>
      </c>
      <c r="F275" s="4">
        <v>348777.90982910019</v>
      </c>
      <c r="G275" s="4">
        <v>348777.91739876854</v>
      </c>
      <c r="H275" s="5">
        <f t="shared" si="1"/>
        <v>0</v>
      </c>
      <c r="I275" t="s">
        <v>163</v>
      </c>
      <c r="J275" t="s">
        <v>163</v>
      </c>
      <c r="K275" s="5">
        <f>20 / 86400</f>
        <v>2.3148148148148149E-4</v>
      </c>
      <c r="L275" s="5">
        <f>5 / 86400</f>
        <v>5.7870370370370373E-5</v>
      </c>
    </row>
    <row r="276" spans="1:12" x14ac:dyDescent="0.25">
      <c r="A276" s="3">
        <v>45706.413217592592</v>
      </c>
      <c r="B276" t="s">
        <v>231</v>
      </c>
      <c r="C276" s="3">
        <v>45706.41405092593</v>
      </c>
      <c r="D276" t="s">
        <v>231</v>
      </c>
      <c r="E276" s="4">
        <v>9.8262887597084042E-2</v>
      </c>
      <c r="F276" s="4">
        <v>348777.92149871192</v>
      </c>
      <c r="G276" s="4">
        <v>348778.01976159954</v>
      </c>
      <c r="H276" s="5">
        <f t="shared" si="1"/>
        <v>0</v>
      </c>
      <c r="I276" t="s">
        <v>150</v>
      </c>
      <c r="J276" t="s">
        <v>50</v>
      </c>
      <c r="K276" s="5">
        <f>72 / 86400</f>
        <v>8.3333333333333339E-4</v>
      </c>
      <c r="L276" s="5">
        <f>80 / 86400</f>
        <v>9.2592592592592596E-4</v>
      </c>
    </row>
    <row r="277" spans="1:12" x14ac:dyDescent="0.25">
      <c r="A277" s="3">
        <v>45706.414976851855</v>
      </c>
      <c r="B277" t="s">
        <v>231</v>
      </c>
      <c r="C277" s="3">
        <v>45706.415208333332</v>
      </c>
      <c r="D277" t="s">
        <v>231</v>
      </c>
      <c r="E277" s="4">
        <v>2.1443704962730409E-3</v>
      </c>
      <c r="F277" s="4">
        <v>348778.03376261995</v>
      </c>
      <c r="G277" s="4">
        <v>348778.03590699047</v>
      </c>
      <c r="H277" s="5">
        <f t="shared" si="1"/>
        <v>0</v>
      </c>
      <c r="I277" t="s">
        <v>163</v>
      </c>
      <c r="J277" t="s">
        <v>82</v>
      </c>
      <c r="K277" s="5">
        <f>20 / 86400</f>
        <v>2.3148148148148149E-4</v>
      </c>
      <c r="L277" s="5">
        <f>140 / 86400</f>
        <v>1.6203703703703703E-3</v>
      </c>
    </row>
    <row r="278" spans="1:12" x14ac:dyDescent="0.25">
      <c r="A278" s="3">
        <v>45706.416828703703</v>
      </c>
      <c r="B278" t="s">
        <v>231</v>
      </c>
      <c r="C278" s="3">
        <v>45706.41706018518</v>
      </c>
      <c r="D278" t="s">
        <v>231</v>
      </c>
      <c r="E278" s="4">
        <v>1.046853768825531E-2</v>
      </c>
      <c r="F278" s="4">
        <v>348778.06063506851</v>
      </c>
      <c r="G278" s="4">
        <v>348778.0711036062</v>
      </c>
      <c r="H278" s="5">
        <f t="shared" si="1"/>
        <v>0</v>
      </c>
      <c r="I278" t="s">
        <v>163</v>
      </c>
      <c r="J278" t="s">
        <v>111</v>
      </c>
      <c r="K278" s="5">
        <f>20 / 86400</f>
        <v>2.3148148148148149E-4</v>
      </c>
      <c r="L278" s="5">
        <f>40 / 86400</f>
        <v>4.6296296296296298E-4</v>
      </c>
    </row>
    <row r="279" spans="1:12" x14ac:dyDescent="0.25">
      <c r="A279" s="3">
        <v>45706.417523148149</v>
      </c>
      <c r="B279" t="s">
        <v>231</v>
      </c>
      <c r="C279" s="3">
        <v>45706.417986111112</v>
      </c>
      <c r="D279" t="s">
        <v>231</v>
      </c>
      <c r="E279" s="4">
        <v>4.5655610561370847E-3</v>
      </c>
      <c r="F279" s="4">
        <v>348778.08211631101</v>
      </c>
      <c r="G279" s="4">
        <v>348778.08668187208</v>
      </c>
      <c r="H279" s="5">
        <f t="shared" si="1"/>
        <v>0</v>
      </c>
      <c r="I279" t="s">
        <v>163</v>
      </c>
      <c r="J279" t="s">
        <v>82</v>
      </c>
      <c r="K279" s="5">
        <f>40 / 86400</f>
        <v>4.6296296296296298E-4</v>
      </c>
      <c r="L279" s="5">
        <f>15 / 86400</f>
        <v>1.7361111111111112E-4</v>
      </c>
    </row>
    <row r="280" spans="1:12" x14ac:dyDescent="0.25">
      <c r="A280" s="3">
        <v>45706.41815972222</v>
      </c>
      <c r="B280" t="s">
        <v>231</v>
      </c>
      <c r="C280" s="3">
        <v>45706.418923611112</v>
      </c>
      <c r="D280" t="s">
        <v>231</v>
      </c>
      <c r="E280" s="4">
        <v>3.0600725471973421E-2</v>
      </c>
      <c r="F280" s="4">
        <v>348778.10091270349</v>
      </c>
      <c r="G280" s="4">
        <v>348778.13151342899</v>
      </c>
      <c r="H280" s="5">
        <f t="shared" si="1"/>
        <v>0</v>
      </c>
      <c r="I280" t="s">
        <v>150</v>
      </c>
      <c r="J280" t="s">
        <v>111</v>
      </c>
      <c r="K280" s="5">
        <f>66 / 86400</f>
        <v>7.6388888888888893E-4</v>
      </c>
      <c r="L280" s="5">
        <f>19 / 86400</f>
        <v>2.199074074074074E-4</v>
      </c>
    </row>
    <row r="281" spans="1:12" x14ac:dyDescent="0.25">
      <c r="A281" s="3">
        <v>45706.41914351852</v>
      </c>
      <c r="B281" t="s">
        <v>231</v>
      </c>
      <c r="C281" s="3">
        <v>45706.423171296294</v>
      </c>
      <c r="D281" t="s">
        <v>232</v>
      </c>
      <c r="E281" s="4">
        <v>1.505719294309616</v>
      </c>
      <c r="F281" s="4">
        <v>348778.141666996</v>
      </c>
      <c r="G281" s="4">
        <v>348779.64738629031</v>
      </c>
      <c r="H281" s="5">
        <f t="shared" si="1"/>
        <v>0</v>
      </c>
      <c r="I281" t="s">
        <v>152</v>
      </c>
      <c r="J281" t="s">
        <v>28</v>
      </c>
      <c r="K281" s="5">
        <f>348 / 86400</f>
        <v>4.0277777777777777E-3</v>
      </c>
      <c r="L281" s="5">
        <f>20 / 86400</f>
        <v>2.3148148148148149E-4</v>
      </c>
    </row>
    <row r="282" spans="1:12" x14ac:dyDescent="0.25">
      <c r="A282" s="3">
        <v>45706.423402777778</v>
      </c>
      <c r="B282" t="s">
        <v>232</v>
      </c>
      <c r="C282" s="3">
        <v>45706.423634259263</v>
      </c>
      <c r="D282" t="s">
        <v>232</v>
      </c>
      <c r="E282" s="4">
        <v>1.4902857244014739E-2</v>
      </c>
      <c r="F282" s="4">
        <v>348779.6664616866</v>
      </c>
      <c r="G282" s="4">
        <v>348779.68136454385</v>
      </c>
      <c r="H282" s="5">
        <f t="shared" si="1"/>
        <v>0</v>
      </c>
      <c r="I282" t="s">
        <v>32</v>
      </c>
      <c r="J282" t="s">
        <v>170</v>
      </c>
      <c r="K282" s="5">
        <f>20 / 86400</f>
        <v>2.3148148148148149E-4</v>
      </c>
      <c r="L282" s="5">
        <f>100 / 86400</f>
        <v>1.1574074074074073E-3</v>
      </c>
    </row>
    <row r="283" spans="1:12" x14ac:dyDescent="0.25">
      <c r="A283" s="3">
        <v>45706.424791666665</v>
      </c>
      <c r="B283" t="s">
        <v>232</v>
      </c>
      <c r="C283" s="3">
        <v>45706.425023148149</v>
      </c>
      <c r="D283" t="s">
        <v>232</v>
      </c>
      <c r="E283" s="4">
        <v>1.8568480253219603E-2</v>
      </c>
      <c r="F283" s="4">
        <v>348779.71123255341</v>
      </c>
      <c r="G283" s="4">
        <v>348779.72980103368</v>
      </c>
      <c r="H283" s="5">
        <f t="shared" si="1"/>
        <v>0</v>
      </c>
      <c r="I283" t="s">
        <v>111</v>
      </c>
      <c r="J283" t="s">
        <v>170</v>
      </c>
      <c r="K283" s="5">
        <f>20 / 86400</f>
        <v>2.3148148148148149E-4</v>
      </c>
      <c r="L283" s="5">
        <f>40 / 86400</f>
        <v>4.6296296296296298E-4</v>
      </c>
    </row>
    <row r="284" spans="1:12" x14ac:dyDescent="0.25">
      <c r="A284" s="3">
        <v>45706.425486111111</v>
      </c>
      <c r="B284" t="s">
        <v>232</v>
      </c>
      <c r="C284" s="3">
        <v>45706.426412037035</v>
      </c>
      <c r="D284" t="s">
        <v>232</v>
      </c>
      <c r="E284" s="4">
        <v>3.2986536204814912E-2</v>
      </c>
      <c r="F284" s="4">
        <v>348779.75847365195</v>
      </c>
      <c r="G284" s="4">
        <v>348779.79146018816</v>
      </c>
      <c r="H284" s="5">
        <f t="shared" si="1"/>
        <v>0</v>
      </c>
      <c r="I284" t="s">
        <v>150</v>
      </c>
      <c r="J284" t="s">
        <v>163</v>
      </c>
      <c r="K284" s="5">
        <f>80 / 86400</f>
        <v>9.2592592592592596E-4</v>
      </c>
      <c r="L284" s="5">
        <f>20 / 86400</f>
        <v>2.3148148148148149E-4</v>
      </c>
    </row>
    <row r="285" spans="1:12" x14ac:dyDescent="0.25">
      <c r="A285" s="3">
        <v>45706.42664351852</v>
      </c>
      <c r="B285" t="s">
        <v>232</v>
      </c>
      <c r="C285" s="3">
        <v>45706.429305555561</v>
      </c>
      <c r="D285" t="s">
        <v>233</v>
      </c>
      <c r="E285" s="4">
        <v>0.9804016792178154</v>
      </c>
      <c r="F285" s="4">
        <v>348779.82036480546</v>
      </c>
      <c r="G285" s="4">
        <v>348780.8007664847</v>
      </c>
      <c r="H285" s="5">
        <f t="shared" si="1"/>
        <v>0</v>
      </c>
      <c r="I285" t="s">
        <v>156</v>
      </c>
      <c r="J285" t="s">
        <v>38</v>
      </c>
      <c r="K285" s="5">
        <f>230 / 86400</f>
        <v>2.662037037037037E-3</v>
      </c>
      <c r="L285" s="5">
        <f>160 / 86400</f>
        <v>1.8518518518518519E-3</v>
      </c>
    </row>
    <row r="286" spans="1:12" x14ac:dyDescent="0.25">
      <c r="A286" s="3">
        <v>45706.431157407409</v>
      </c>
      <c r="B286" t="s">
        <v>233</v>
      </c>
      <c r="C286" s="3">
        <v>45706.432013888887</v>
      </c>
      <c r="D286" t="s">
        <v>234</v>
      </c>
      <c r="E286" s="4">
        <v>0.215235902428627</v>
      </c>
      <c r="F286" s="4">
        <v>348780.82057879661</v>
      </c>
      <c r="G286" s="4">
        <v>348781.03581469908</v>
      </c>
      <c r="H286" s="5">
        <f t="shared" si="1"/>
        <v>0</v>
      </c>
      <c r="I286" t="s">
        <v>136</v>
      </c>
      <c r="J286" t="s">
        <v>159</v>
      </c>
      <c r="K286" s="5">
        <f>74 / 86400</f>
        <v>8.564814814814815E-4</v>
      </c>
      <c r="L286" s="5">
        <f>20 / 86400</f>
        <v>2.3148148148148149E-4</v>
      </c>
    </row>
    <row r="287" spans="1:12" x14ac:dyDescent="0.25">
      <c r="A287" s="3">
        <v>45706.432245370372</v>
      </c>
      <c r="B287" t="s">
        <v>234</v>
      </c>
      <c r="C287" s="3">
        <v>45706.435289351852</v>
      </c>
      <c r="D287" t="s">
        <v>235</v>
      </c>
      <c r="E287" s="4">
        <v>1.8007259938716889</v>
      </c>
      <c r="F287" s="4">
        <v>348781.03663043777</v>
      </c>
      <c r="G287" s="4">
        <v>348782.83735643164</v>
      </c>
      <c r="H287" s="5">
        <f t="shared" si="1"/>
        <v>0</v>
      </c>
      <c r="I287" t="s">
        <v>221</v>
      </c>
      <c r="J287" t="s">
        <v>31</v>
      </c>
      <c r="K287" s="5">
        <f>263 / 86400</f>
        <v>3.0439814814814813E-3</v>
      </c>
      <c r="L287" s="5">
        <f>20 / 86400</f>
        <v>2.3148148148148149E-4</v>
      </c>
    </row>
    <row r="288" spans="1:12" x14ac:dyDescent="0.25">
      <c r="A288" s="3">
        <v>45706.435520833329</v>
      </c>
      <c r="B288" t="s">
        <v>236</v>
      </c>
      <c r="C288" s="3">
        <v>45706.435752314814</v>
      </c>
      <c r="D288" t="s">
        <v>236</v>
      </c>
      <c r="E288" s="4">
        <v>0</v>
      </c>
      <c r="F288" s="4">
        <v>348783.08581109508</v>
      </c>
      <c r="G288" s="4">
        <v>348783.08581109508</v>
      </c>
      <c r="H288" s="5">
        <f t="shared" si="1"/>
        <v>0</v>
      </c>
      <c r="I288" t="s">
        <v>188</v>
      </c>
      <c r="J288" t="s">
        <v>82</v>
      </c>
      <c r="K288" s="5">
        <f>20 / 86400</f>
        <v>2.3148148148148149E-4</v>
      </c>
      <c r="L288" s="5">
        <f>20 / 86400</f>
        <v>2.3148148148148149E-4</v>
      </c>
    </row>
    <row r="289" spans="1:12" x14ac:dyDescent="0.25">
      <c r="A289" s="3">
        <v>45706.435983796298</v>
      </c>
      <c r="B289" t="s">
        <v>237</v>
      </c>
      <c r="C289" s="3">
        <v>45706.436296296291</v>
      </c>
      <c r="D289" t="s">
        <v>237</v>
      </c>
      <c r="E289" s="4">
        <v>2.708610188961029E-2</v>
      </c>
      <c r="F289" s="4">
        <v>348783.28199734341</v>
      </c>
      <c r="G289" s="4">
        <v>348783.30908344529</v>
      </c>
      <c r="H289" s="5">
        <f t="shared" si="1"/>
        <v>0</v>
      </c>
      <c r="I289" t="s">
        <v>32</v>
      </c>
      <c r="J289" t="s">
        <v>127</v>
      </c>
      <c r="K289" s="5">
        <f>27 / 86400</f>
        <v>3.1250000000000001E-4</v>
      </c>
      <c r="L289" s="5">
        <f>20 / 86400</f>
        <v>2.3148148148148149E-4</v>
      </c>
    </row>
    <row r="290" spans="1:12" x14ac:dyDescent="0.25">
      <c r="A290" s="3">
        <v>45706.436527777776</v>
      </c>
      <c r="B290" t="s">
        <v>237</v>
      </c>
      <c r="C290" s="3">
        <v>45706.437164351853</v>
      </c>
      <c r="D290" t="s">
        <v>237</v>
      </c>
      <c r="E290" s="4">
        <v>9.3276467323303216E-3</v>
      </c>
      <c r="F290" s="4">
        <v>348783.31141168333</v>
      </c>
      <c r="G290" s="4">
        <v>348783.32073933003</v>
      </c>
      <c r="H290" s="5">
        <f t="shared" si="1"/>
        <v>0</v>
      </c>
      <c r="I290" t="s">
        <v>50</v>
      </c>
      <c r="J290" t="s">
        <v>163</v>
      </c>
      <c r="K290" s="5">
        <f>55 / 86400</f>
        <v>6.3657407407407413E-4</v>
      </c>
      <c r="L290" s="5">
        <f>8 / 86400</f>
        <v>9.2592592592592588E-5</v>
      </c>
    </row>
    <row r="291" spans="1:12" x14ac:dyDescent="0.25">
      <c r="A291" s="3">
        <v>45706.437256944446</v>
      </c>
      <c r="B291" t="s">
        <v>238</v>
      </c>
      <c r="C291" s="3">
        <v>45706.437997685185</v>
      </c>
      <c r="D291" t="s">
        <v>239</v>
      </c>
      <c r="E291" s="4">
        <v>0.45394728726148603</v>
      </c>
      <c r="F291" s="4">
        <v>348783.44327059935</v>
      </c>
      <c r="G291" s="4">
        <v>348783.89721788664</v>
      </c>
      <c r="H291" s="5">
        <f t="shared" si="1"/>
        <v>0</v>
      </c>
      <c r="I291" t="s">
        <v>135</v>
      </c>
      <c r="J291" t="s">
        <v>158</v>
      </c>
      <c r="K291" s="5">
        <f>64 / 86400</f>
        <v>7.407407407407407E-4</v>
      </c>
      <c r="L291" s="5">
        <f>12 / 86400</f>
        <v>1.3888888888888889E-4</v>
      </c>
    </row>
    <row r="292" spans="1:12" x14ac:dyDescent="0.25">
      <c r="A292" s="3">
        <v>45706.43813657407</v>
      </c>
      <c r="B292" t="s">
        <v>239</v>
      </c>
      <c r="C292" s="3">
        <v>45706.438819444447</v>
      </c>
      <c r="D292" t="s">
        <v>240</v>
      </c>
      <c r="E292" s="4">
        <v>5.6425771474838259E-2</v>
      </c>
      <c r="F292" s="4">
        <v>348783.90423598076</v>
      </c>
      <c r="G292" s="4">
        <v>348783.96066175221</v>
      </c>
      <c r="H292" s="5">
        <f t="shared" si="1"/>
        <v>0</v>
      </c>
      <c r="I292" t="s">
        <v>32</v>
      </c>
      <c r="J292" t="s">
        <v>170</v>
      </c>
      <c r="K292" s="5">
        <f>59 / 86400</f>
        <v>6.8287037037037036E-4</v>
      </c>
      <c r="L292" s="5">
        <f>27 / 86400</f>
        <v>3.1250000000000001E-4</v>
      </c>
    </row>
    <row r="293" spans="1:12" x14ac:dyDescent="0.25">
      <c r="A293" s="3">
        <v>45706.43913194444</v>
      </c>
      <c r="B293" t="s">
        <v>240</v>
      </c>
      <c r="C293" s="3">
        <v>45706.43959490741</v>
      </c>
      <c r="D293" t="s">
        <v>241</v>
      </c>
      <c r="E293" s="4">
        <v>6.7552219629287716E-2</v>
      </c>
      <c r="F293" s="4">
        <v>348783.96961423772</v>
      </c>
      <c r="G293" s="4">
        <v>348784.03716645733</v>
      </c>
      <c r="H293" s="5">
        <f t="shared" si="1"/>
        <v>0</v>
      </c>
      <c r="I293" t="s">
        <v>150</v>
      </c>
      <c r="J293" t="s">
        <v>32</v>
      </c>
      <c r="K293" s="5">
        <f>40 / 86400</f>
        <v>4.6296296296296298E-4</v>
      </c>
      <c r="L293" s="5">
        <f>20 / 86400</f>
        <v>2.3148148148148149E-4</v>
      </c>
    </row>
    <row r="294" spans="1:12" x14ac:dyDescent="0.25">
      <c r="A294" s="3">
        <v>45706.439826388887</v>
      </c>
      <c r="B294" t="s">
        <v>241</v>
      </c>
      <c r="C294" s="3">
        <v>45706.440983796296</v>
      </c>
      <c r="D294" t="s">
        <v>242</v>
      </c>
      <c r="E294" s="4">
        <v>0.27286977314949035</v>
      </c>
      <c r="F294" s="4">
        <v>348784.04237416916</v>
      </c>
      <c r="G294" s="4">
        <v>348784.31524394231</v>
      </c>
      <c r="H294" s="5">
        <f t="shared" si="1"/>
        <v>0</v>
      </c>
      <c r="I294" t="s">
        <v>162</v>
      </c>
      <c r="J294" t="s">
        <v>159</v>
      </c>
      <c r="K294" s="5">
        <f>100 / 86400</f>
        <v>1.1574074074074073E-3</v>
      </c>
      <c r="L294" s="5">
        <f>40 / 86400</f>
        <v>4.6296296296296298E-4</v>
      </c>
    </row>
    <row r="295" spans="1:12" x14ac:dyDescent="0.25">
      <c r="A295" s="3">
        <v>45706.441446759258</v>
      </c>
      <c r="B295" t="s">
        <v>243</v>
      </c>
      <c r="C295" s="3">
        <v>45706.442673611113</v>
      </c>
      <c r="D295" t="s">
        <v>244</v>
      </c>
      <c r="E295" s="4">
        <v>0.49554371923208235</v>
      </c>
      <c r="F295" s="4">
        <v>348784.38713475614</v>
      </c>
      <c r="G295" s="4">
        <v>348784.88267847541</v>
      </c>
      <c r="H295" s="5">
        <f t="shared" si="1"/>
        <v>0</v>
      </c>
      <c r="I295" t="s">
        <v>175</v>
      </c>
      <c r="J295" t="s">
        <v>62</v>
      </c>
      <c r="K295" s="5">
        <f>106 / 86400</f>
        <v>1.2268518518518518E-3</v>
      </c>
      <c r="L295" s="5">
        <f>3 / 86400</f>
        <v>3.4722222222222222E-5</v>
      </c>
    </row>
    <row r="296" spans="1:12" x14ac:dyDescent="0.25">
      <c r="A296" s="3">
        <v>45706.442708333328</v>
      </c>
      <c r="B296" t="s">
        <v>244</v>
      </c>
      <c r="C296" s="3">
        <v>45706.443171296298</v>
      </c>
      <c r="D296" t="s">
        <v>244</v>
      </c>
      <c r="E296" s="4">
        <v>5.07058100104332E-2</v>
      </c>
      <c r="F296" s="4">
        <v>348784.88773920859</v>
      </c>
      <c r="G296" s="4">
        <v>348784.9384450186</v>
      </c>
      <c r="H296" s="5">
        <f t="shared" si="1"/>
        <v>0</v>
      </c>
      <c r="I296" t="s">
        <v>32</v>
      </c>
      <c r="J296" t="s">
        <v>50</v>
      </c>
      <c r="K296" s="5">
        <f>40 / 86400</f>
        <v>4.6296296296296298E-4</v>
      </c>
      <c r="L296" s="5">
        <f>100 / 86400</f>
        <v>1.1574074074074073E-3</v>
      </c>
    </row>
    <row r="297" spans="1:12" x14ac:dyDescent="0.25">
      <c r="A297" s="3">
        <v>45706.444328703699</v>
      </c>
      <c r="B297" t="s">
        <v>245</v>
      </c>
      <c r="C297" s="3">
        <v>45706.446782407409</v>
      </c>
      <c r="D297" t="s">
        <v>246</v>
      </c>
      <c r="E297" s="4">
        <v>0.59795290762186049</v>
      </c>
      <c r="F297" s="4">
        <v>348784.96609135257</v>
      </c>
      <c r="G297" s="4">
        <v>348785.56404426019</v>
      </c>
      <c r="H297" s="5">
        <f t="shared" si="1"/>
        <v>0</v>
      </c>
      <c r="I297" t="s">
        <v>31</v>
      </c>
      <c r="J297" t="s">
        <v>159</v>
      </c>
      <c r="K297" s="5">
        <f>212 / 86400</f>
        <v>2.4537037037037036E-3</v>
      </c>
      <c r="L297" s="5">
        <f>4 / 86400</f>
        <v>4.6296296296296294E-5</v>
      </c>
    </row>
    <row r="298" spans="1:12" x14ac:dyDescent="0.25">
      <c r="A298" s="3">
        <v>45706.446828703702</v>
      </c>
      <c r="B298" t="s">
        <v>247</v>
      </c>
      <c r="C298" s="3">
        <v>45706.447060185186</v>
      </c>
      <c r="D298" t="s">
        <v>246</v>
      </c>
      <c r="E298" s="4">
        <v>2.4060299813747407E-2</v>
      </c>
      <c r="F298" s="4">
        <v>348785.57261290459</v>
      </c>
      <c r="G298" s="4">
        <v>348785.59667320445</v>
      </c>
      <c r="H298" s="5">
        <f t="shared" si="1"/>
        <v>0</v>
      </c>
      <c r="I298" t="s">
        <v>50</v>
      </c>
      <c r="J298" t="s">
        <v>127</v>
      </c>
      <c r="K298" s="5">
        <f>20 / 86400</f>
        <v>2.3148148148148149E-4</v>
      </c>
      <c r="L298" s="5">
        <f>86 / 86400</f>
        <v>9.9537037037037042E-4</v>
      </c>
    </row>
    <row r="299" spans="1:12" x14ac:dyDescent="0.25">
      <c r="A299" s="3">
        <v>45706.448055555556</v>
      </c>
      <c r="B299" t="s">
        <v>246</v>
      </c>
      <c r="C299" s="3">
        <v>45706.448333333334</v>
      </c>
      <c r="D299" t="s">
        <v>248</v>
      </c>
      <c r="E299" s="4">
        <v>1.4390958905220031E-2</v>
      </c>
      <c r="F299" s="4">
        <v>348785.63753004069</v>
      </c>
      <c r="G299" s="4">
        <v>348785.65192099957</v>
      </c>
      <c r="H299" s="5">
        <f t="shared" si="1"/>
        <v>0</v>
      </c>
      <c r="I299" t="s">
        <v>159</v>
      </c>
      <c r="J299" t="s">
        <v>111</v>
      </c>
      <c r="K299" s="5">
        <f>24 / 86400</f>
        <v>2.7777777777777778E-4</v>
      </c>
      <c r="L299" s="5">
        <f>120 / 86400</f>
        <v>1.3888888888888889E-3</v>
      </c>
    </row>
    <row r="300" spans="1:12" x14ac:dyDescent="0.25">
      <c r="A300" s="3">
        <v>45706.449722222227</v>
      </c>
      <c r="B300" t="s">
        <v>249</v>
      </c>
      <c r="C300" s="3">
        <v>45706.449953703705</v>
      </c>
      <c r="D300" t="s">
        <v>249</v>
      </c>
      <c r="E300" s="4">
        <v>1.3343590915203095E-2</v>
      </c>
      <c r="F300" s="4">
        <v>348785.77187947574</v>
      </c>
      <c r="G300" s="4">
        <v>348785.78522306663</v>
      </c>
      <c r="H300" s="5">
        <f t="shared" si="1"/>
        <v>0</v>
      </c>
      <c r="I300" t="s">
        <v>127</v>
      </c>
      <c r="J300" t="s">
        <v>111</v>
      </c>
      <c r="K300" s="5">
        <f>20 / 86400</f>
        <v>2.3148148148148149E-4</v>
      </c>
      <c r="L300" s="5">
        <f>53 / 86400</f>
        <v>6.134259259259259E-4</v>
      </c>
    </row>
    <row r="301" spans="1:12" x14ac:dyDescent="0.25">
      <c r="A301" s="3">
        <v>45706.450567129628</v>
      </c>
      <c r="B301" t="s">
        <v>250</v>
      </c>
      <c r="C301" s="3">
        <v>45706.45103009259</v>
      </c>
      <c r="D301" t="s">
        <v>100</v>
      </c>
      <c r="E301" s="4">
        <v>7.9612031698226934E-2</v>
      </c>
      <c r="F301" s="4">
        <v>348785.79650654033</v>
      </c>
      <c r="G301" s="4">
        <v>348785.87611857202</v>
      </c>
      <c r="H301" s="5">
        <f t="shared" si="1"/>
        <v>0</v>
      </c>
      <c r="I301" t="s">
        <v>50</v>
      </c>
      <c r="J301" t="s">
        <v>150</v>
      </c>
      <c r="K301" s="5">
        <f>40 / 86400</f>
        <v>4.6296296296296298E-4</v>
      </c>
      <c r="L301" s="5">
        <f>60 / 86400</f>
        <v>6.9444444444444447E-4</v>
      </c>
    </row>
    <row r="302" spans="1:12" x14ac:dyDescent="0.25">
      <c r="A302" s="3">
        <v>45706.451724537037</v>
      </c>
      <c r="B302" t="s">
        <v>100</v>
      </c>
      <c r="C302" s="3">
        <v>45706.45239583333</v>
      </c>
      <c r="D302" t="s">
        <v>251</v>
      </c>
      <c r="E302" s="4">
        <v>0.13971160161495208</v>
      </c>
      <c r="F302" s="4">
        <v>348785.89394885418</v>
      </c>
      <c r="G302" s="4">
        <v>348786.03366045584</v>
      </c>
      <c r="H302" s="5">
        <f t="shared" si="1"/>
        <v>0</v>
      </c>
      <c r="I302" t="s">
        <v>136</v>
      </c>
      <c r="J302" t="s">
        <v>171</v>
      </c>
      <c r="K302" s="5">
        <f>58 / 86400</f>
        <v>6.7129629629629625E-4</v>
      </c>
      <c r="L302" s="5">
        <f>11 / 86400</f>
        <v>1.273148148148148E-4</v>
      </c>
    </row>
    <row r="303" spans="1:12" x14ac:dyDescent="0.25">
      <c r="A303" s="3">
        <v>45706.452523148153</v>
      </c>
      <c r="B303" t="s">
        <v>251</v>
      </c>
      <c r="C303" s="3">
        <v>45706.45275462963</v>
      </c>
      <c r="D303" t="s">
        <v>252</v>
      </c>
      <c r="E303" s="4">
        <v>3.4587158560752868E-2</v>
      </c>
      <c r="F303" s="4">
        <v>348786.03821526089</v>
      </c>
      <c r="G303" s="4">
        <v>348786.07280241948</v>
      </c>
      <c r="H303" s="5">
        <f t="shared" si="1"/>
        <v>0</v>
      </c>
      <c r="I303" t="s">
        <v>32</v>
      </c>
      <c r="J303" t="s">
        <v>32</v>
      </c>
      <c r="K303" s="5">
        <f>20 / 86400</f>
        <v>2.3148148148148149E-4</v>
      </c>
      <c r="L303" s="5">
        <f>8 / 86400</f>
        <v>9.2592592592592588E-5</v>
      </c>
    </row>
    <row r="304" spans="1:12" x14ac:dyDescent="0.25">
      <c r="A304" s="3">
        <v>45706.452847222223</v>
      </c>
      <c r="B304" t="s">
        <v>252</v>
      </c>
      <c r="C304" s="3">
        <v>45706.453078703707</v>
      </c>
      <c r="D304" t="s">
        <v>253</v>
      </c>
      <c r="E304" s="4">
        <v>3.0239348113536835E-2</v>
      </c>
      <c r="F304" s="4">
        <v>348786.07791800814</v>
      </c>
      <c r="G304" s="4">
        <v>348786.10815735627</v>
      </c>
      <c r="H304" s="5">
        <f t="shared" si="1"/>
        <v>0</v>
      </c>
      <c r="I304" t="s">
        <v>50</v>
      </c>
      <c r="J304" t="s">
        <v>50</v>
      </c>
      <c r="K304" s="5">
        <f>20 / 86400</f>
        <v>2.3148148148148149E-4</v>
      </c>
      <c r="L304" s="5">
        <f>60 / 86400</f>
        <v>6.9444444444444447E-4</v>
      </c>
    </row>
    <row r="305" spans="1:12" x14ac:dyDescent="0.25">
      <c r="A305" s="3">
        <v>45706.453773148147</v>
      </c>
      <c r="B305" t="s">
        <v>253</v>
      </c>
      <c r="C305" s="3">
        <v>45706.454976851848</v>
      </c>
      <c r="D305" t="s">
        <v>100</v>
      </c>
      <c r="E305" s="4">
        <v>0.31436186110973358</v>
      </c>
      <c r="F305" s="4">
        <v>348786.13789791439</v>
      </c>
      <c r="G305" s="4">
        <v>348786.45225977554</v>
      </c>
      <c r="H305" s="5">
        <f t="shared" si="1"/>
        <v>0</v>
      </c>
      <c r="I305" t="s">
        <v>28</v>
      </c>
      <c r="J305" t="s">
        <v>93</v>
      </c>
      <c r="K305" s="5">
        <f>104 / 86400</f>
        <v>1.2037037037037038E-3</v>
      </c>
      <c r="L305" s="5">
        <f>20 / 86400</f>
        <v>2.3148148148148149E-4</v>
      </c>
    </row>
    <row r="306" spans="1:12" x14ac:dyDescent="0.25">
      <c r="A306" s="3">
        <v>45706.455208333333</v>
      </c>
      <c r="B306" t="s">
        <v>100</v>
      </c>
      <c r="C306" s="3">
        <v>45706.455671296295</v>
      </c>
      <c r="D306" t="s">
        <v>239</v>
      </c>
      <c r="E306" s="4">
        <v>8.2321291089057919E-2</v>
      </c>
      <c r="F306" s="4">
        <v>348786.45704369224</v>
      </c>
      <c r="G306" s="4">
        <v>348786.53936498333</v>
      </c>
      <c r="H306" s="5">
        <f t="shared" si="1"/>
        <v>0</v>
      </c>
      <c r="I306" t="s">
        <v>171</v>
      </c>
      <c r="J306" t="s">
        <v>150</v>
      </c>
      <c r="K306" s="5">
        <f>40 / 86400</f>
        <v>4.6296296296296298E-4</v>
      </c>
      <c r="L306" s="5">
        <f>24 / 86400</f>
        <v>2.7777777777777778E-4</v>
      </c>
    </row>
    <row r="307" spans="1:12" x14ac:dyDescent="0.25">
      <c r="A307" s="3">
        <v>45706.455949074079</v>
      </c>
      <c r="B307" t="s">
        <v>239</v>
      </c>
      <c r="C307" s="3">
        <v>45706.456180555557</v>
      </c>
      <c r="D307" t="s">
        <v>239</v>
      </c>
      <c r="E307" s="4">
        <v>0</v>
      </c>
      <c r="F307" s="4">
        <v>348786.54736682487</v>
      </c>
      <c r="G307" s="4">
        <v>348786.54736682487</v>
      </c>
      <c r="H307" s="5">
        <f t="shared" si="1"/>
        <v>0</v>
      </c>
      <c r="I307" t="s">
        <v>50</v>
      </c>
      <c r="J307" t="s">
        <v>82</v>
      </c>
      <c r="K307" s="5">
        <f>20 / 86400</f>
        <v>2.3148148148148149E-4</v>
      </c>
      <c r="L307" s="5">
        <f>10 / 86400</f>
        <v>1.1574074074074075E-4</v>
      </c>
    </row>
    <row r="308" spans="1:12" x14ac:dyDescent="0.25">
      <c r="A308" s="3">
        <v>45706.456296296295</v>
      </c>
      <c r="B308" t="s">
        <v>254</v>
      </c>
      <c r="C308" s="3">
        <v>45706.457129629634</v>
      </c>
      <c r="D308" t="s">
        <v>255</v>
      </c>
      <c r="E308" s="4">
        <v>0.32333196085691451</v>
      </c>
      <c r="F308" s="4">
        <v>348786.62454649026</v>
      </c>
      <c r="G308" s="4">
        <v>348786.94787845109</v>
      </c>
      <c r="H308" s="5">
        <f t="shared" si="1"/>
        <v>0</v>
      </c>
      <c r="I308" t="s">
        <v>212</v>
      </c>
      <c r="J308" t="s">
        <v>28</v>
      </c>
      <c r="K308" s="5">
        <f>72 / 86400</f>
        <v>8.3333333333333339E-4</v>
      </c>
      <c r="L308" s="5">
        <f>50 / 86400</f>
        <v>5.7870370370370367E-4</v>
      </c>
    </row>
    <row r="309" spans="1:12" x14ac:dyDescent="0.25">
      <c r="A309" s="3">
        <v>45706.457708333328</v>
      </c>
      <c r="B309" t="s">
        <v>256</v>
      </c>
      <c r="C309" s="3">
        <v>45706.458402777775</v>
      </c>
      <c r="D309" t="s">
        <v>235</v>
      </c>
      <c r="E309" s="4">
        <v>0.14885401964187622</v>
      </c>
      <c r="F309" s="4">
        <v>348787.30425843311</v>
      </c>
      <c r="G309" s="4">
        <v>348787.45311245276</v>
      </c>
      <c r="H309" s="5">
        <f t="shared" si="1"/>
        <v>0</v>
      </c>
      <c r="I309" t="s">
        <v>196</v>
      </c>
      <c r="J309" t="s">
        <v>171</v>
      </c>
      <c r="K309" s="5">
        <f>60 / 86400</f>
        <v>6.9444444444444447E-4</v>
      </c>
      <c r="L309" s="5">
        <f>20 / 86400</f>
        <v>2.3148148148148149E-4</v>
      </c>
    </row>
    <row r="310" spans="1:12" x14ac:dyDescent="0.25">
      <c r="A310" s="3">
        <v>45706.458634259259</v>
      </c>
      <c r="B310" t="s">
        <v>235</v>
      </c>
      <c r="C310" s="3">
        <v>45706.459849537037</v>
      </c>
      <c r="D310" t="s">
        <v>257</v>
      </c>
      <c r="E310" s="4">
        <v>0.46187784129381182</v>
      </c>
      <c r="F310" s="4">
        <v>348787.45638361137</v>
      </c>
      <c r="G310" s="4">
        <v>348787.91826145269</v>
      </c>
      <c r="H310" s="5">
        <f t="shared" si="1"/>
        <v>0</v>
      </c>
      <c r="I310" t="s">
        <v>165</v>
      </c>
      <c r="J310" t="s">
        <v>28</v>
      </c>
      <c r="K310" s="5">
        <f>105 / 86400</f>
        <v>1.2152777777777778E-3</v>
      </c>
      <c r="L310" s="5">
        <f>100 / 86400</f>
        <v>1.1574074074074073E-3</v>
      </c>
    </row>
    <row r="311" spans="1:12" x14ac:dyDescent="0.25">
      <c r="A311" s="3">
        <v>45706.461006944446</v>
      </c>
      <c r="B311" t="s">
        <v>258</v>
      </c>
      <c r="C311" s="3">
        <v>45706.461469907408</v>
      </c>
      <c r="D311" t="s">
        <v>259</v>
      </c>
      <c r="E311" s="4">
        <v>0.31143770313262942</v>
      </c>
      <c r="F311" s="4">
        <v>348787.949262287</v>
      </c>
      <c r="G311" s="4">
        <v>348788.26069999015</v>
      </c>
      <c r="H311" s="5">
        <f t="shared" si="1"/>
        <v>0</v>
      </c>
      <c r="I311" t="s">
        <v>228</v>
      </c>
      <c r="J311" t="s">
        <v>175</v>
      </c>
      <c r="K311" s="5">
        <f>40 / 86400</f>
        <v>4.6296296296296298E-4</v>
      </c>
      <c r="L311" s="5">
        <f>15 / 86400</f>
        <v>1.7361111111111112E-4</v>
      </c>
    </row>
    <row r="312" spans="1:12" x14ac:dyDescent="0.25">
      <c r="A312" s="3">
        <v>45706.461643518516</v>
      </c>
      <c r="B312" t="s">
        <v>259</v>
      </c>
      <c r="C312" s="3">
        <v>45706.462523148148</v>
      </c>
      <c r="D312" t="s">
        <v>260</v>
      </c>
      <c r="E312" s="4">
        <v>0.20885083770751953</v>
      </c>
      <c r="F312" s="4">
        <v>348788.26316580718</v>
      </c>
      <c r="G312" s="4">
        <v>348788.4720166449</v>
      </c>
      <c r="H312" s="5">
        <f t="shared" si="1"/>
        <v>0</v>
      </c>
      <c r="I312" t="s">
        <v>28</v>
      </c>
      <c r="J312" t="s">
        <v>159</v>
      </c>
      <c r="K312" s="5">
        <f>76 / 86400</f>
        <v>8.7962962962962962E-4</v>
      </c>
      <c r="L312" s="5">
        <f>38 / 86400</f>
        <v>4.3981481481481481E-4</v>
      </c>
    </row>
    <row r="313" spans="1:12" x14ac:dyDescent="0.25">
      <c r="A313" s="3">
        <v>45706.462962962964</v>
      </c>
      <c r="B313" t="s">
        <v>261</v>
      </c>
      <c r="C313" s="3">
        <v>45706.463888888888</v>
      </c>
      <c r="D313" t="s">
        <v>262</v>
      </c>
      <c r="E313" s="4">
        <v>0.46300249034166335</v>
      </c>
      <c r="F313" s="4">
        <v>348788.4885852788</v>
      </c>
      <c r="G313" s="4">
        <v>348788.95158776914</v>
      </c>
      <c r="H313" s="5">
        <f t="shared" si="1"/>
        <v>0</v>
      </c>
      <c r="I313" t="s">
        <v>135</v>
      </c>
      <c r="J313" t="s">
        <v>136</v>
      </c>
      <c r="K313" s="5">
        <f>80 / 86400</f>
        <v>9.2592592592592596E-4</v>
      </c>
      <c r="L313" s="5">
        <f>100 / 86400</f>
        <v>1.1574074074074073E-3</v>
      </c>
    </row>
    <row r="314" spans="1:12" x14ac:dyDescent="0.25">
      <c r="A314" s="3">
        <v>45706.465046296296</v>
      </c>
      <c r="B314" t="s">
        <v>234</v>
      </c>
      <c r="C314" s="3">
        <v>45706.465439814812</v>
      </c>
      <c r="D314" t="s">
        <v>263</v>
      </c>
      <c r="E314" s="4">
        <v>7.2398473143577571E-2</v>
      </c>
      <c r="F314" s="4">
        <v>348789.32382638543</v>
      </c>
      <c r="G314" s="4">
        <v>348789.39622485859</v>
      </c>
      <c r="H314" s="5">
        <f t="shared" si="1"/>
        <v>0</v>
      </c>
      <c r="I314" t="s">
        <v>28</v>
      </c>
      <c r="J314" t="s">
        <v>147</v>
      </c>
      <c r="K314" s="5">
        <f>34 / 86400</f>
        <v>3.9351851851851852E-4</v>
      </c>
      <c r="L314" s="5">
        <f>24 / 86400</f>
        <v>2.7777777777777778E-4</v>
      </c>
    </row>
    <row r="315" spans="1:12" x14ac:dyDescent="0.25">
      <c r="A315" s="3">
        <v>45706.465717592597</v>
      </c>
      <c r="B315" t="s">
        <v>263</v>
      </c>
      <c r="C315" s="3">
        <v>45706.466643518521</v>
      </c>
      <c r="D315" t="s">
        <v>263</v>
      </c>
      <c r="E315" s="4">
        <v>0.123460799574852</v>
      </c>
      <c r="F315" s="4">
        <v>348789.4105006007</v>
      </c>
      <c r="G315" s="4">
        <v>348789.53396140027</v>
      </c>
      <c r="H315" s="5">
        <f t="shared" si="1"/>
        <v>0</v>
      </c>
      <c r="I315" t="s">
        <v>57</v>
      </c>
      <c r="J315" t="s">
        <v>32</v>
      </c>
      <c r="K315" s="5">
        <f>80 / 86400</f>
        <v>9.2592592592592596E-4</v>
      </c>
      <c r="L315" s="5">
        <f>19 / 86400</f>
        <v>2.199074074074074E-4</v>
      </c>
    </row>
    <row r="316" spans="1:12" x14ac:dyDescent="0.25">
      <c r="A316" s="3">
        <v>45706.466863425929</v>
      </c>
      <c r="B316" t="s">
        <v>263</v>
      </c>
      <c r="C316" s="3">
        <v>45706.467800925922</v>
      </c>
      <c r="D316" t="s">
        <v>263</v>
      </c>
      <c r="E316" s="4">
        <v>0.19243258059024812</v>
      </c>
      <c r="F316" s="4">
        <v>348789.54345023324</v>
      </c>
      <c r="G316" s="4">
        <v>348789.73588281381</v>
      </c>
      <c r="H316" s="5">
        <f t="shared" ref="H316:H379" si="2">0 / 86400</f>
        <v>0</v>
      </c>
      <c r="I316" t="s">
        <v>25</v>
      </c>
      <c r="J316" t="s">
        <v>171</v>
      </c>
      <c r="K316" s="5">
        <f>81 / 86400</f>
        <v>9.3749999999999997E-4</v>
      </c>
      <c r="L316" s="5">
        <f>3 / 86400</f>
        <v>3.4722222222222222E-5</v>
      </c>
    </row>
    <row r="317" spans="1:12" x14ac:dyDescent="0.25">
      <c r="A317" s="3">
        <v>45706.467835648145</v>
      </c>
      <c r="B317" t="s">
        <v>263</v>
      </c>
      <c r="C317" s="3">
        <v>45706.469039351854</v>
      </c>
      <c r="D317" t="s">
        <v>264</v>
      </c>
      <c r="E317" s="4">
        <v>0.48684365540742874</v>
      </c>
      <c r="F317" s="4">
        <v>348789.73857678124</v>
      </c>
      <c r="G317" s="4">
        <v>348790.22542043665</v>
      </c>
      <c r="H317" s="5">
        <f t="shared" si="2"/>
        <v>0</v>
      </c>
      <c r="I317" t="s">
        <v>152</v>
      </c>
      <c r="J317" t="s">
        <v>62</v>
      </c>
      <c r="K317" s="5">
        <f>104 / 86400</f>
        <v>1.2037037037037038E-3</v>
      </c>
      <c r="L317" s="5">
        <f>40 / 86400</f>
        <v>4.6296296296296298E-4</v>
      </c>
    </row>
    <row r="318" spans="1:12" x14ac:dyDescent="0.25">
      <c r="A318" s="3">
        <v>45706.469502314816</v>
      </c>
      <c r="B318" t="s">
        <v>264</v>
      </c>
      <c r="C318" s="3">
        <v>45706.470659722225</v>
      </c>
      <c r="D318" t="s">
        <v>265</v>
      </c>
      <c r="E318" s="4">
        <v>6.130804347991943E-2</v>
      </c>
      <c r="F318" s="4">
        <v>348790.2472389352</v>
      </c>
      <c r="G318" s="4">
        <v>348790.30854697869</v>
      </c>
      <c r="H318" s="5">
        <f t="shared" si="2"/>
        <v>0</v>
      </c>
      <c r="I318" t="s">
        <v>50</v>
      </c>
      <c r="J318" t="s">
        <v>111</v>
      </c>
      <c r="K318" s="5">
        <f>100 / 86400</f>
        <v>1.1574074074074073E-3</v>
      </c>
      <c r="L318" s="5">
        <f>20 / 86400</f>
        <v>2.3148148148148149E-4</v>
      </c>
    </row>
    <row r="319" spans="1:12" x14ac:dyDescent="0.25">
      <c r="A319" s="3">
        <v>45706.470891203702</v>
      </c>
      <c r="B319" t="s">
        <v>265</v>
      </c>
      <c r="C319" s="3">
        <v>45706.471122685187</v>
      </c>
      <c r="D319" t="s">
        <v>266</v>
      </c>
      <c r="E319" s="4">
        <v>3.5689484477043152E-3</v>
      </c>
      <c r="F319" s="4">
        <v>348790.3555641647</v>
      </c>
      <c r="G319" s="4">
        <v>348790.35913311312</v>
      </c>
      <c r="H319" s="5">
        <f t="shared" si="2"/>
        <v>0</v>
      </c>
      <c r="I319" t="s">
        <v>50</v>
      </c>
      <c r="J319" t="s">
        <v>163</v>
      </c>
      <c r="K319" s="5">
        <f>20 / 86400</f>
        <v>2.3148148148148149E-4</v>
      </c>
      <c r="L319" s="5">
        <f>20 / 86400</f>
        <v>2.3148148148148149E-4</v>
      </c>
    </row>
    <row r="320" spans="1:12" x14ac:dyDescent="0.25">
      <c r="A320" s="3">
        <v>45706.471354166672</v>
      </c>
      <c r="B320" t="s">
        <v>266</v>
      </c>
      <c r="C320" s="3">
        <v>45706.473506944443</v>
      </c>
      <c r="D320" t="s">
        <v>231</v>
      </c>
      <c r="E320" s="4">
        <v>0.62742832285165784</v>
      </c>
      <c r="F320" s="4">
        <v>348790.39567144372</v>
      </c>
      <c r="G320" s="4">
        <v>348791.02309976658</v>
      </c>
      <c r="H320" s="5">
        <f t="shared" si="2"/>
        <v>0</v>
      </c>
      <c r="I320" t="s">
        <v>79</v>
      </c>
      <c r="J320" t="s">
        <v>25</v>
      </c>
      <c r="K320" s="5">
        <f>186 / 86400</f>
        <v>2.1527777777777778E-3</v>
      </c>
      <c r="L320" s="5">
        <f>15 / 86400</f>
        <v>1.7361111111111112E-4</v>
      </c>
    </row>
    <row r="321" spans="1:12" x14ac:dyDescent="0.25">
      <c r="A321" s="3">
        <v>45706.473680555559</v>
      </c>
      <c r="B321" t="s">
        <v>267</v>
      </c>
      <c r="C321" s="3">
        <v>45706.474629629629</v>
      </c>
      <c r="D321" t="s">
        <v>268</v>
      </c>
      <c r="E321" s="4">
        <v>0.23611053454875947</v>
      </c>
      <c r="F321" s="4">
        <v>348791.04628427461</v>
      </c>
      <c r="G321" s="4">
        <v>348791.28239480912</v>
      </c>
      <c r="H321" s="5">
        <f t="shared" si="2"/>
        <v>0</v>
      </c>
      <c r="I321" t="s">
        <v>38</v>
      </c>
      <c r="J321" t="s">
        <v>159</v>
      </c>
      <c r="K321" s="5">
        <f>82 / 86400</f>
        <v>9.4907407407407408E-4</v>
      </c>
      <c r="L321" s="5">
        <f>19 / 86400</f>
        <v>2.199074074074074E-4</v>
      </c>
    </row>
    <row r="322" spans="1:12" x14ac:dyDescent="0.25">
      <c r="A322" s="3">
        <v>45706.474849537037</v>
      </c>
      <c r="B322" t="s">
        <v>268</v>
      </c>
      <c r="C322" s="3">
        <v>45706.475312499999</v>
      </c>
      <c r="D322" t="s">
        <v>269</v>
      </c>
      <c r="E322" s="4">
        <v>8.5330348908901218E-2</v>
      </c>
      <c r="F322" s="4">
        <v>348791.31696267292</v>
      </c>
      <c r="G322" s="4">
        <v>348791.40229302185</v>
      </c>
      <c r="H322" s="5">
        <f t="shared" si="2"/>
        <v>0</v>
      </c>
      <c r="I322" t="s">
        <v>44</v>
      </c>
      <c r="J322" t="s">
        <v>147</v>
      </c>
      <c r="K322" s="5">
        <f>40 / 86400</f>
        <v>4.6296296296296298E-4</v>
      </c>
      <c r="L322" s="5">
        <f>72 / 86400</f>
        <v>8.3333333333333339E-4</v>
      </c>
    </row>
    <row r="323" spans="1:12" x14ac:dyDescent="0.25">
      <c r="A323" s="3">
        <v>45706.476145833338</v>
      </c>
      <c r="B323" t="s">
        <v>269</v>
      </c>
      <c r="C323" s="3">
        <v>45706.477141203708</v>
      </c>
      <c r="D323" t="s">
        <v>270</v>
      </c>
      <c r="E323" s="4">
        <v>0.42153307205438612</v>
      </c>
      <c r="F323" s="4">
        <v>348791.44774495345</v>
      </c>
      <c r="G323" s="4">
        <v>348791.86927802552</v>
      </c>
      <c r="H323" s="5">
        <f t="shared" si="2"/>
        <v>0</v>
      </c>
      <c r="I323" t="s">
        <v>158</v>
      </c>
      <c r="J323" t="s">
        <v>20</v>
      </c>
      <c r="K323" s="5">
        <f>86 / 86400</f>
        <v>9.9537037037037042E-4</v>
      </c>
      <c r="L323" s="5">
        <f>65 / 86400</f>
        <v>7.5231481481481482E-4</v>
      </c>
    </row>
    <row r="324" spans="1:12" x14ac:dyDescent="0.25">
      <c r="A324" s="3">
        <v>45706.477893518517</v>
      </c>
      <c r="B324" t="s">
        <v>270</v>
      </c>
      <c r="C324" s="3">
        <v>45706.479861111111</v>
      </c>
      <c r="D324" t="s">
        <v>271</v>
      </c>
      <c r="E324" s="4">
        <v>1.2092312674522401</v>
      </c>
      <c r="F324" s="4">
        <v>348791.87690161308</v>
      </c>
      <c r="G324" s="4">
        <v>348793.08613288053</v>
      </c>
      <c r="H324" s="5">
        <f t="shared" si="2"/>
        <v>0</v>
      </c>
      <c r="I324" t="s">
        <v>71</v>
      </c>
      <c r="J324" t="s">
        <v>158</v>
      </c>
      <c r="K324" s="5">
        <f>170 / 86400</f>
        <v>1.9675925925925924E-3</v>
      </c>
      <c r="L324" s="5">
        <f>20 / 86400</f>
        <v>2.3148148148148149E-4</v>
      </c>
    </row>
    <row r="325" spans="1:12" x14ac:dyDescent="0.25">
      <c r="A325" s="3">
        <v>45706.480092592596</v>
      </c>
      <c r="B325" t="s">
        <v>271</v>
      </c>
      <c r="C325" s="3">
        <v>45706.48101851852</v>
      </c>
      <c r="D325" t="s">
        <v>176</v>
      </c>
      <c r="E325" s="4">
        <v>0.77505583101511</v>
      </c>
      <c r="F325" s="4">
        <v>348793.1359625042</v>
      </c>
      <c r="G325" s="4">
        <v>348793.9110183352</v>
      </c>
      <c r="H325" s="5">
        <f t="shared" si="2"/>
        <v>0</v>
      </c>
      <c r="I325" t="s">
        <v>165</v>
      </c>
      <c r="J325" t="s">
        <v>162</v>
      </c>
      <c r="K325" s="5">
        <f>80 / 86400</f>
        <v>9.2592592592592596E-4</v>
      </c>
      <c r="L325" s="5">
        <f>20 / 86400</f>
        <v>2.3148148148148149E-4</v>
      </c>
    </row>
    <row r="326" spans="1:12" x14ac:dyDescent="0.25">
      <c r="A326" s="3">
        <v>45706.481249999997</v>
      </c>
      <c r="B326" t="s">
        <v>272</v>
      </c>
      <c r="C326" s="3">
        <v>45706.482858796298</v>
      </c>
      <c r="D326" t="s">
        <v>177</v>
      </c>
      <c r="E326" s="4">
        <v>0.72236883795261386</v>
      </c>
      <c r="F326" s="4">
        <v>348794.0266900743</v>
      </c>
      <c r="G326" s="4">
        <v>348794.74905891228</v>
      </c>
      <c r="H326" s="5">
        <f t="shared" si="2"/>
        <v>0</v>
      </c>
      <c r="I326" t="s">
        <v>129</v>
      </c>
      <c r="J326" t="s">
        <v>79</v>
      </c>
      <c r="K326" s="5">
        <f>139 / 86400</f>
        <v>1.6087962962962963E-3</v>
      </c>
      <c r="L326" s="5">
        <f>20 / 86400</f>
        <v>2.3148148148148149E-4</v>
      </c>
    </row>
    <row r="327" spans="1:12" x14ac:dyDescent="0.25">
      <c r="A327" s="3">
        <v>45706.483090277776</v>
      </c>
      <c r="B327" t="s">
        <v>273</v>
      </c>
      <c r="C327" s="3">
        <v>45706.483784722222</v>
      </c>
      <c r="D327" t="s">
        <v>274</v>
      </c>
      <c r="E327" s="4">
        <v>0.16852820783853531</v>
      </c>
      <c r="F327" s="4">
        <v>348794.76833149936</v>
      </c>
      <c r="G327" s="4">
        <v>348794.93685970717</v>
      </c>
      <c r="H327" s="5">
        <f t="shared" si="2"/>
        <v>0</v>
      </c>
      <c r="I327" t="s">
        <v>136</v>
      </c>
      <c r="J327" t="s">
        <v>159</v>
      </c>
      <c r="K327" s="5">
        <f>60 / 86400</f>
        <v>6.9444444444444447E-4</v>
      </c>
      <c r="L327" s="5">
        <f>25 / 86400</f>
        <v>2.8935185185185184E-4</v>
      </c>
    </row>
    <row r="328" spans="1:12" x14ac:dyDescent="0.25">
      <c r="A328" s="3">
        <v>45706.484074074076</v>
      </c>
      <c r="B328" t="s">
        <v>275</v>
      </c>
      <c r="C328" s="3">
        <v>45706.485416666663</v>
      </c>
      <c r="D328" t="s">
        <v>276</v>
      </c>
      <c r="E328" s="4">
        <v>0.14478657984733581</v>
      </c>
      <c r="F328" s="4">
        <v>348794.95865112793</v>
      </c>
      <c r="G328" s="4">
        <v>348795.10343770776</v>
      </c>
      <c r="H328" s="5">
        <f t="shared" si="2"/>
        <v>0</v>
      </c>
      <c r="I328" t="s">
        <v>50</v>
      </c>
      <c r="J328" t="s">
        <v>127</v>
      </c>
      <c r="K328" s="5">
        <f>116 / 86400</f>
        <v>1.3425925925925925E-3</v>
      </c>
      <c r="L328" s="5">
        <f>8 / 86400</f>
        <v>9.2592592592592588E-5</v>
      </c>
    </row>
    <row r="329" spans="1:12" x14ac:dyDescent="0.25">
      <c r="A329" s="3">
        <v>45706.485509259262</v>
      </c>
      <c r="B329" t="s">
        <v>277</v>
      </c>
      <c r="C329" s="3">
        <v>45706.486516203702</v>
      </c>
      <c r="D329" t="s">
        <v>278</v>
      </c>
      <c r="E329" s="4">
        <v>0.23970441752672195</v>
      </c>
      <c r="F329" s="4">
        <v>348795.15483025898</v>
      </c>
      <c r="G329" s="4">
        <v>348795.39453467651</v>
      </c>
      <c r="H329" s="5">
        <f t="shared" si="2"/>
        <v>0</v>
      </c>
      <c r="I329" t="s">
        <v>152</v>
      </c>
      <c r="J329" t="s">
        <v>159</v>
      </c>
      <c r="K329" s="5">
        <f>87 / 86400</f>
        <v>1.0069444444444444E-3</v>
      </c>
      <c r="L329" s="5">
        <f>14 / 86400</f>
        <v>1.6203703703703703E-4</v>
      </c>
    </row>
    <row r="330" spans="1:12" x14ac:dyDescent="0.25">
      <c r="A330" s="3">
        <v>45706.486678240741</v>
      </c>
      <c r="B330" t="s">
        <v>279</v>
      </c>
      <c r="C330" s="3">
        <v>45706.48741898148</v>
      </c>
      <c r="D330" t="s">
        <v>280</v>
      </c>
      <c r="E330" s="4">
        <v>9.0160179078578956E-2</v>
      </c>
      <c r="F330" s="4">
        <v>348795.40622145921</v>
      </c>
      <c r="G330" s="4">
        <v>348795.49638163828</v>
      </c>
      <c r="H330" s="5">
        <f t="shared" si="2"/>
        <v>0</v>
      </c>
      <c r="I330" t="s">
        <v>147</v>
      </c>
      <c r="J330" t="s">
        <v>50</v>
      </c>
      <c r="K330" s="5">
        <f>64 / 86400</f>
        <v>7.407407407407407E-4</v>
      </c>
      <c r="L330" s="5">
        <f>80 / 86400</f>
        <v>9.2592592592592596E-4</v>
      </c>
    </row>
    <row r="331" spans="1:12" x14ac:dyDescent="0.25">
      <c r="A331" s="3">
        <v>45706.488344907411</v>
      </c>
      <c r="B331" t="s">
        <v>281</v>
      </c>
      <c r="C331" s="3">
        <v>45706.489502314813</v>
      </c>
      <c r="D331" t="s">
        <v>282</v>
      </c>
      <c r="E331" s="4">
        <v>0.38312470203638077</v>
      </c>
      <c r="F331" s="4">
        <v>348795.64729114523</v>
      </c>
      <c r="G331" s="4">
        <v>348796.03041584726</v>
      </c>
      <c r="H331" s="5">
        <f t="shared" si="2"/>
        <v>0</v>
      </c>
      <c r="I331" t="s">
        <v>182</v>
      </c>
      <c r="J331" t="s">
        <v>57</v>
      </c>
      <c r="K331" s="5">
        <f>100 / 86400</f>
        <v>1.1574074074074073E-3</v>
      </c>
      <c r="L331" s="5">
        <f>40 / 86400</f>
        <v>4.6296296296296298E-4</v>
      </c>
    </row>
    <row r="332" spans="1:12" x14ac:dyDescent="0.25">
      <c r="A332" s="3">
        <v>45706.489965277782</v>
      </c>
      <c r="B332" t="s">
        <v>282</v>
      </c>
      <c r="C332" s="3">
        <v>45706.490682870368</v>
      </c>
      <c r="D332" t="s">
        <v>112</v>
      </c>
      <c r="E332" s="4">
        <v>8.1574736475944515E-2</v>
      </c>
      <c r="F332" s="4">
        <v>348796.04532212799</v>
      </c>
      <c r="G332" s="4">
        <v>348796.1268968645</v>
      </c>
      <c r="H332" s="5">
        <f t="shared" si="2"/>
        <v>0</v>
      </c>
      <c r="I332" t="s">
        <v>150</v>
      </c>
      <c r="J332" t="s">
        <v>50</v>
      </c>
      <c r="K332" s="5">
        <f>62 / 86400</f>
        <v>7.1759259259259259E-4</v>
      </c>
      <c r="L332" s="5">
        <f>60 / 86400</f>
        <v>6.9444444444444447E-4</v>
      </c>
    </row>
    <row r="333" spans="1:12" x14ac:dyDescent="0.25">
      <c r="A333" s="3">
        <v>45706.491377314815</v>
      </c>
      <c r="B333" t="s">
        <v>283</v>
      </c>
      <c r="C333" s="3">
        <v>45706.494641203702</v>
      </c>
      <c r="D333" t="s">
        <v>284</v>
      </c>
      <c r="E333" s="4">
        <v>1.9472255373001099</v>
      </c>
      <c r="F333" s="4">
        <v>348796.13783568051</v>
      </c>
      <c r="G333" s="4">
        <v>348798.08506121777</v>
      </c>
      <c r="H333" s="5">
        <f t="shared" si="2"/>
        <v>0</v>
      </c>
      <c r="I333" t="s">
        <v>165</v>
      </c>
      <c r="J333" t="s">
        <v>31</v>
      </c>
      <c r="K333" s="5">
        <f>282 / 86400</f>
        <v>3.2638888888888891E-3</v>
      </c>
      <c r="L333" s="5">
        <f>11 / 86400</f>
        <v>1.273148148148148E-4</v>
      </c>
    </row>
    <row r="334" spans="1:12" x14ac:dyDescent="0.25">
      <c r="A334" s="3">
        <v>45706.494768518518</v>
      </c>
      <c r="B334" t="s">
        <v>284</v>
      </c>
      <c r="C334" s="3">
        <v>45706.49523148148</v>
      </c>
      <c r="D334" t="s">
        <v>284</v>
      </c>
      <c r="E334" s="4">
        <v>0.1353235885500908</v>
      </c>
      <c r="F334" s="4">
        <v>348798.08852124226</v>
      </c>
      <c r="G334" s="4">
        <v>348798.22384483082</v>
      </c>
      <c r="H334" s="5">
        <f t="shared" si="2"/>
        <v>0</v>
      </c>
      <c r="I334" t="s">
        <v>198</v>
      </c>
      <c r="J334" t="s">
        <v>25</v>
      </c>
      <c r="K334" s="5">
        <f>40 / 86400</f>
        <v>4.6296296296296298E-4</v>
      </c>
      <c r="L334" s="5">
        <f>20 / 86400</f>
        <v>2.3148148148148149E-4</v>
      </c>
    </row>
    <row r="335" spans="1:12" x14ac:dyDescent="0.25">
      <c r="A335" s="3">
        <v>45706.495462962965</v>
      </c>
      <c r="B335" t="s">
        <v>285</v>
      </c>
      <c r="C335" s="3">
        <v>45706.495694444442</v>
      </c>
      <c r="D335" t="s">
        <v>285</v>
      </c>
      <c r="E335" s="4">
        <v>2.2095742225646973E-3</v>
      </c>
      <c r="F335" s="4">
        <v>348798.50433117058</v>
      </c>
      <c r="G335" s="4">
        <v>348798.5065407448</v>
      </c>
      <c r="H335" s="5">
        <f t="shared" si="2"/>
        <v>0</v>
      </c>
      <c r="I335" t="s">
        <v>163</v>
      </c>
      <c r="J335" t="s">
        <v>82</v>
      </c>
      <c r="K335" s="5">
        <f>20 / 86400</f>
        <v>2.3148148148148149E-4</v>
      </c>
      <c r="L335" s="5">
        <f>80 / 86400</f>
        <v>9.2592592592592596E-4</v>
      </c>
    </row>
    <row r="336" spans="1:12" x14ac:dyDescent="0.25">
      <c r="A336" s="3">
        <v>45706.496620370366</v>
      </c>
      <c r="B336" t="s">
        <v>218</v>
      </c>
      <c r="C336" s="3">
        <v>45706.497314814813</v>
      </c>
      <c r="D336" t="s">
        <v>216</v>
      </c>
      <c r="E336" s="4">
        <v>0.61109898382425309</v>
      </c>
      <c r="F336" s="4">
        <v>348798.62975440896</v>
      </c>
      <c r="G336" s="4">
        <v>348799.24085339275</v>
      </c>
      <c r="H336" s="5">
        <f t="shared" si="2"/>
        <v>0</v>
      </c>
      <c r="I336" t="s">
        <v>286</v>
      </c>
      <c r="J336" t="s">
        <v>211</v>
      </c>
      <c r="K336" s="5">
        <f>60 / 86400</f>
        <v>6.9444444444444447E-4</v>
      </c>
      <c r="L336" s="5">
        <f>12 / 86400</f>
        <v>1.3888888888888889E-4</v>
      </c>
    </row>
    <row r="337" spans="1:12" x14ac:dyDescent="0.25">
      <c r="A337" s="3">
        <v>45706.497453703705</v>
      </c>
      <c r="B337" t="s">
        <v>216</v>
      </c>
      <c r="C337" s="3">
        <v>45706.497881944444</v>
      </c>
      <c r="D337" t="s">
        <v>287</v>
      </c>
      <c r="E337" s="4">
        <v>9.9809963881969457E-2</v>
      </c>
      <c r="F337" s="4">
        <v>348799.24848957354</v>
      </c>
      <c r="G337" s="4">
        <v>348799.34829953744</v>
      </c>
      <c r="H337" s="5">
        <f t="shared" si="2"/>
        <v>0</v>
      </c>
      <c r="I337" t="s">
        <v>57</v>
      </c>
      <c r="J337" t="s">
        <v>159</v>
      </c>
      <c r="K337" s="5">
        <f>37 / 86400</f>
        <v>4.2824074074074075E-4</v>
      </c>
      <c r="L337" s="5">
        <f>20 / 86400</f>
        <v>2.3148148148148149E-4</v>
      </c>
    </row>
    <row r="338" spans="1:12" x14ac:dyDescent="0.25">
      <c r="A338" s="3">
        <v>45706.498113425929</v>
      </c>
      <c r="B338" t="s">
        <v>216</v>
      </c>
      <c r="C338" s="3">
        <v>45706.498807870375</v>
      </c>
      <c r="D338" t="s">
        <v>216</v>
      </c>
      <c r="E338" s="4">
        <v>0.30418331456184389</v>
      </c>
      <c r="F338" s="4">
        <v>348799.38549233187</v>
      </c>
      <c r="G338" s="4">
        <v>348799.68967564643</v>
      </c>
      <c r="H338" s="5">
        <f t="shared" si="2"/>
        <v>0</v>
      </c>
      <c r="I338" t="s">
        <v>35</v>
      </c>
      <c r="J338" t="s">
        <v>20</v>
      </c>
      <c r="K338" s="5">
        <f>60 / 86400</f>
        <v>6.9444444444444447E-4</v>
      </c>
      <c r="L338" s="5">
        <f>40 / 86400</f>
        <v>4.6296296296296298E-4</v>
      </c>
    </row>
    <row r="339" spans="1:12" x14ac:dyDescent="0.25">
      <c r="A339" s="3">
        <v>45706.49927083333</v>
      </c>
      <c r="B339" t="s">
        <v>216</v>
      </c>
      <c r="C339" s="3">
        <v>45706.499965277777</v>
      </c>
      <c r="D339" t="s">
        <v>104</v>
      </c>
      <c r="E339" s="4">
        <v>0.39260566973686217</v>
      </c>
      <c r="F339" s="4">
        <v>348799.70309149683</v>
      </c>
      <c r="G339" s="4">
        <v>348800.09569716657</v>
      </c>
      <c r="H339" s="5">
        <f t="shared" si="2"/>
        <v>0</v>
      </c>
      <c r="I339" t="s">
        <v>135</v>
      </c>
      <c r="J339" t="s">
        <v>151</v>
      </c>
      <c r="K339" s="5">
        <f>60 / 86400</f>
        <v>6.9444444444444447E-4</v>
      </c>
      <c r="L339" s="5">
        <f>40 / 86400</f>
        <v>4.6296296296296298E-4</v>
      </c>
    </row>
    <row r="340" spans="1:12" x14ac:dyDescent="0.25">
      <c r="A340" s="3">
        <v>45706.500428240739</v>
      </c>
      <c r="B340" t="s">
        <v>104</v>
      </c>
      <c r="C340" s="3">
        <v>45706.500659722224</v>
      </c>
      <c r="D340" t="s">
        <v>104</v>
      </c>
      <c r="E340" s="4">
        <v>9.6569260478019711E-2</v>
      </c>
      <c r="F340" s="4">
        <v>348800.18250490585</v>
      </c>
      <c r="G340" s="4">
        <v>348800.27907416638</v>
      </c>
      <c r="H340" s="5">
        <f t="shared" si="2"/>
        <v>0</v>
      </c>
      <c r="I340" t="s">
        <v>198</v>
      </c>
      <c r="J340" t="s">
        <v>62</v>
      </c>
      <c r="K340" s="5">
        <f>20 / 86400</f>
        <v>2.3148148148148149E-4</v>
      </c>
      <c r="L340" s="5">
        <f>45 / 86400</f>
        <v>5.2083333333333333E-4</v>
      </c>
    </row>
    <row r="341" spans="1:12" x14ac:dyDescent="0.25">
      <c r="A341" s="3">
        <v>45706.501180555555</v>
      </c>
      <c r="B341" t="s">
        <v>134</v>
      </c>
      <c r="C341" s="3">
        <v>45706.50309027778</v>
      </c>
      <c r="D341" t="s">
        <v>216</v>
      </c>
      <c r="E341" s="4">
        <v>1.1671925779581069</v>
      </c>
      <c r="F341" s="4">
        <v>348800.28890645865</v>
      </c>
      <c r="G341" s="4">
        <v>348801.45609903662</v>
      </c>
      <c r="H341" s="5">
        <f t="shared" si="2"/>
        <v>0</v>
      </c>
      <c r="I341" t="s">
        <v>98</v>
      </c>
      <c r="J341" t="s">
        <v>31</v>
      </c>
      <c r="K341" s="5">
        <f>165 / 86400</f>
        <v>1.9097222222222222E-3</v>
      </c>
      <c r="L341" s="5">
        <f>33 / 86400</f>
        <v>3.8194444444444446E-4</v>
      </c>
    </row>
    <row r="342" spans="1:12" x14ac:dyDescent="0.25">
      <c r="A342" s="3">
        <v>45706.503472222219</v>
      </c>
      <c r="B342" t="s">
        <v>288</v>
      </c>
      <c r="C342" s="3">
        <v>45706.504108796296</v>
      </c>
      <c r="D342" t="s">
        <v>104</v>
      </c>
      <c r="E342" s="4">
        <v>6.2488384068012236E-2</v>
      </c>
      <c r="F342" s="4">
        <v>348801.56881864066</v>
      </c>
      <c r="G342" s="4">
        <v>348801.63130702474</v>
      </c>
      <c r="H342" s="5">
        <f t="shared" si="2"/>
        <v>0</v>
      </c>
      <c r="I342" t="s">
        <v>32</v>
      </c>
      <c r="J342" t="s">
        <v>127</v>
      </c>
      <c r="K342" s="5">
        <f>55 / 86400</f>
        <v>6.3657407407407413E-4</v>
      </c>
      <c r="L342" s="5">
        <f>36 / 86400</f>
        <v>4.1666666666666669E-4</v>
      </c>
    </row>
    <row r="343" spans="1:12" x14ac:dyDescent="0.25">
      <c r="A343" s="3">
        <v>45706.504525462966</v>
      </c>
      <c r="B343" t="s">
        <v>104</v>
      </c>
      <c r="C343" s="3">
        <v>45706.505879629629</v>
      </c>
      <c r="D343" t="s">
        <v>105</v>
      </c>
      <c r="E343" s="4">
        <v>0.29040083903074265</v>
      </c>
      <c r="F343" s="4">
        <v>348801.6519354122</v>
      </c>
      <c r="G343" s="4">
        <v>348801.94233625126</v>
      </c>
      <c r="H343" s="5">
        <f t="shared" si="2"/>
        <v>0</v>
      </c>
      <c r="I343" t="s">
        <v>35</v>
      </c>
      <c r="J343" t="s">
        <v>171</v>
      </c>
      <c r="K343" s="5">
        <f>117 / 86400</f>
        <v>1.3541666666666667E-3</v>
      </c>
      <c r="L343" s="5">
        <f>20 / 86400</f>
        <v>2.3148148148148149E-4</v>
      </c>
    </row>
    <row r="344" spans="1:12" x14ac:dyDescent="0.25">
      <c r="A344" s="3">
        <v>45706.506111111114</v>
      </c>
      <c r="B344" t="s">
        <v>105</v>
      </c>
      <c r="C344" s="3">
        <v>45706.507268518515</v>
      </c>
      <c r="D344" t="s">
        <v>289</v>
      </c>
      <c r="E344" s="4">
        <v>0.17791949027776718</v>
      </c>
      <c r="F344" s="4">
        <v>348801.95088563533</v>
      </c>
      <c r="G344" s="4">
        <v>348802.1288051256</v>
      </c>
      <c r="H344" s="5">
        <f t="shared" si="2"/>
        <v>0</v>
      </c>
      <c r="I344" t="s">
        <v>38</v>
      </c>
      <c r="J344" t="s">
        <v>32</v>
      </c>
      <c r="K344" s="5">
        <f>100 / 86400</f>
        <v>1.1574074074074073E-3</v>
      </c>
      <c r="L344" s="5">
        <f>20 / 86400</f>
        <v>2.3148148148148149E-4</v>
      </c>
    </row>
    <row r="345" spans="1:12" x14ac:dyDescent="0.25">
      <c r="A345" s="3">
        <v>45706.5075</v>
      </c>
      <c r="B345" t="s">
        <v>216</v>
      </c>
      <c r="C345" s="3">
        <v>45706.508657407408</v>
      </c>
      <c r="D345" t="s">
        <v>216</v>
      </c>
      <c r="E345" s="4">
        <v>0.47852680015563964</v>
      </c>
      <c r="F345" s="4">
        <v>348802.46451727132</v>
      </c>
      <c r="G345" s="4">
        <v>348802.94304407149</v>
      </c>
      <c r="H345" s="5">
        <f t="shared" si="2"/>
        <v>0</v>
      </c>
      <c r="I345" t="s">
        <v>175</v>
      </c>
      <c r="J345" t="s">
        <v>62</v>
      </c>
      <c r="K345" s="5">
        <f>100 / 86400</f>
        <v>1.1574074074074073E-3</v>
      </c>
      <c r="L345" s="5">
        <f>40 / 86400</f>
        <v>4.6296296296296298E-4</v>
      </c>
    </row>
    <row r="346" spans="1:12" x14ac:dyDescent="0.25">
      <c r="A346" s="3">
        <v>45706.509120370371</v>
      </c>
      <c r="B346" t="s">
        <v>215</v>
      </c>
      <c r="C346" s="3">
        <v>45706.509583333333</v>
      </c>
      <c r="D346" t="s">
        <v>95</v>
      </c>
      <c r="E346" s="4">
        <v>0.2610762705206871</v>
      </c>
      <c r="F346" s="4">
        <v>348803.02308147494</v>
      </c>
      <c r="G346" s="4">
        <v>348803.28415774548</v>
      </c>
      <c r="H346" s="5">
        <f t="shared" si="2"/>
        <v>0</v>
      </c>
      <c r="I346" t="s">
        <v>290</v>
      </c>
      <c r="J346" t="s">
        <v>143</v>
      </c>
      <c r="K346" s="5">
        <f>40 / 86400</f>
        <v>4.6296296296296298E-4</v>
      </c>
      <c r="L346" s="5">
        <f>4 / 86400</f>
        <v>4.6296296296296294E-5</v>
      </c>
    </row>
    <row r="347" spans="1:12" x14ac:dyDescent="0.25">
      <c r="A347" s="3">
        <v>45706.509629629625</v>
      </c>
      <c r="B347" t="s">
        <v>95</v>
      </c>
      <c r="C347" s="3">
        <v>45706.511481481481</v>
      </c>
      <c r="D347" t="s">
        <v>95</v>
      </c>
      <c r="E347" s="4">
        <v>1.1277801063060759</v>
      </c>
      <c r="F347" s="4">
        <v>348803.28766753967</v>
      </c>
      <c r="G347" s="4">
        <v>348804.41544764594</v>
      </c>
      <c r="H347" s="5">
        <f t="shared" si="2"/>
        <v>0</v>
      </c>
      <c r="I347" t="s">
        <v>92</v>
      </c>
      <c r="J347" t="s">
        <v>31</v>
      </c>
      <c r="K347" s="5">
        <f>160 / 86400</f>
        <v>1.8518518518518519E-3</v>
      </c>
      <c r="L347" s="5">
        <f>20 / 86400</f>
        <v>2.3148148148148149E-4</v>
      </c>
    </row>
    <row r="348" spans="1:12" x14ac:dyDescent="0.25">
      <c r="A348" s="3">
        <v>45706.511712962965</v>
      </c>
      <c r="B348" t="s">
        <v>95</v>
      </c>
      <c r="C348" s="3">
        <v>45706.514386574076</v>
      </c>
      <c r="D348" t="s">
        <v>76</v>
      </c>
      <c r="E348" s="4">
        <v>1.5045933864712715</v>
      </c>
      <c r="F348" s="4">
        <v>348804.52911820984</v>
      </c>
      <c r="G348" s="4">
        <v>348806.03371159633</v>
      </c>
      <c r="H348" s="5">
        <f t="shared" si="2"/>
        <v>0</v>
      </c>
      <c r="I348" t="s">
        <v>49</v>
      </c>
      <c r="J348" t="s">
        <v>143</v>
      </c>
      <c r="K348" s="5">
        <f>231 / 86400</f>
        <v>2.673611111111111E-3</v>
      </c>
      <c r="L348" s="5">
        <f>32 / 86400</f>
        <v>3.7037037037037035E-4</v>
      </c>
    </row>
    <row r="349" spans="1:12" x14ac:dyDescent="0.25">
      <c r="A349" s="3">
        <v>45706.514756944445</v>
      </c>
      <c r="B349" t="s">
        <v>76</v>
      </c>
      <c r="C349" s="3">
        <v>45706.515682870369</v>
      </c>
      <c r="D349" t="s">
        <v>76</v>
      </c>
      <c r="E349" s="4">
        <v>0.16883045595884322</v>
      </c>
      <c r="F349" s="4">
        <v>348806.03593929141</v>
      </c>
      <c r="G349" s="4">
        <v>348806.20476974739</v>
      </c>
      <c r="H349" s="5">
        <f t="shared" si="2"/>
        <v>0</v>
      </c>
      <c r="I349" t="s">
        <v>171</v>
      </c>
      <c r="J349" t="s">
        <v>147</v>
      </c>
      <c r="K349" s="5">
        <f>80 / 86400</f>
        <v>9.2592592592592596E-4</v>
      </c>
      <c r="L349" s="5">
        <f>40 / 86400</f>
        <v>4.6296296296296298E-4</v>
      </c>
    </row>
    <row r="350" spans="1:12" x14ac:dyDescent="0.25">
      <c r="A350" s="3">
        <v>45706.516145833331</v>
      </c>
      <c r="B350" t="s">
        <v>76</v>
      </c>
      <c r="C350" s="3">
        <v>45706.517696759256</v>
      </c>
      <c r="D350" t="s">
        <v>291</v>
      </c>
      <c r="E350" s="4">
        <v>0.90537899899482732</v>
      </c>
      <c r="F350" s="4">
        <v>348806.22076165467</v>
      </c>
      <c r="G350" s="4">
        <v>348807.12614065368</v>
      </c>
      <c r="H350" s="5">
        <f t="shared" si="2"/>
        <v>0</v>
      </c>
      <c r="I350" t="s">
        <v>290</v>
      </c>
      <c r="J350" t="s">
        <v>151</v>
      </c>
      <c r="K350" s="5">
        <f>134 / 86400</f>
        <v>1.5509259259259259E-3</v>
      </c>
      <c r="L350" s="5">
        <f>60 / 86400</f>
        <v>6.9444444444444447E-4</v>
      </c>
    </row>
    <row r="351" spans="1:12" x14ac:dyDescent="0.25">
      <c r="A351" s="3">
        <v>45706.518391203703</v>
      </c>
      <c r="B351" t="s">
        <v>291</v>
      </c>
      <c r="C351" s="3">
        <v>45706.519780092596</v>
      </c>
      <c r="D351" t="s">
        <v>292</v>
      </c>
      <c r="E351" s="4">
        <v>0.77629931038618083</v>
      </c>
      <c r="F351" s="4">
        <v>348807.15214050666</v>
      </c>
      <c r="G351" s="4">
        <v>348807.92843981704</v>
      </c>
      <c r="H351" s="5">
        <f t="shared" si="2"/>
        <v>0</v>
      </c>
      <c r="I351" t="s">
        <v>129</v>
      </c>
      <c r="J351" t="s">
        <v>143</v>
      </c>
      <c r="K351" s="5">
        <f>120 / 86400</f>
        <v>1.3888888888888889E-3</v>
      </c>
      <c r="L351" s="5">
        <f>20 / 86400</f>
        <v>2.3148148148148149E-4</v>
      </c>
    </row>
    <row r="352" spans="1:12" x14ac:dyDescent="0.25">
      <c r="A352" s="3">
        <v>45706.520011574074</v>
      </c>
      <c r="B352" t="s">
        <v>292</v>
      </c>
      <c r="C352" s="3">
        <v>45706.522094907406</v>
      </c>
      <c r="D352" t="s">
        <v>180</v>
      </c>
      <c r="E352" s="4">
        <v>1.8953555252552032</v>
      </c>
      <c r="F352" s="4">
        <v>348807.93225590378</v>
      </c>
      <c r="G352" s="4">
        <v>348809.82761142903</v>
      </c>
      <c r="H352" s="5">
        <f t="shared" si="2"/>
        <v>0</v>
      </c>
      <c r="I352" t="s">
        <v>196</v>
      </c>
      <c r="J352" t="s">
        <v>24</v>
      </c>
      <c r="K352" s="5">
        <f>180 / 86400</f>
        <v>2.0833333333333333E-3</v>
      </c>
      <c r="L352" s="5">
        <f>41 / 86400</f>
        <v>4.7453703703703704E-4</v>
      </c>
    </row>
    <row r="353" spans="1:12" x14ac:dyDescent="0.25">
      <c r="A353" s="3">
        <v>45706.522569444445</v>
      </c>
      <c r="B353" t="s">
        <v>293</v>
      </c>
      <c r="C353" s="3">
        <v>45706.523715277777</v>
      </c>
      <c r="D353" t="s">
        <v>294</v>
      </c>
      <c r="E353" s="4">
        <v>0.78789268660545353</v>
      </c>
      <c r="F353" s="4">
        <v>348809.97484728962</v>
      </c>
      <c r="G353" s="4">
        <v>348810.76273997623</v>
      </c>
      <c r="H353" s="5">
        <f t="shared" si="2"/>
        <v>0</v>
      </c>
      <c r="I353" t="s">
        <v>208</v>
      </c>
      <c r="J353" t="s">
        <v>182</v>
      </c>
      <c r="K353" s="5">
        <f>99 / 86400</f>
        <v>1.1458333333333333E-3</v>
      </c>
      <c r="L353" s="5">
        <f>60 / 86400</f>
        <v>6.9444444444444447E-4</v>
      </c>
    </row>
    <row r="354" spans="1:12" x14ac:dyDescent="0.25">
      <c r="A354" s="3">
        <v>45706.524409722224</v>
      </c>
      <c r="B354" t="s">
        <v>181</v>
      </c>
      <c r="C354" s="3">
        <v>45706.525104166663</v>
      </c>
      <c r="D354" t="s">
        <v>83</v>
      </c>
      <c r="E354" s="4">
        <v>0.62377317166328428</v>
      </c>
      <c r="F354" s="4">
        <v>348810.92509268736</v>
      </c>
      <c r="G354" s="4">
        <v>348811.54886585905</v>
      </c>
      <c r="H354" s="5">
        <f t="shared" si="2"/>
        <v>0</v>
      </c>
      <c r="I354" t="s">
        <v>196</v>
      </c>
      <c r="J354" t="s">
        <v>211</v>
      </c>
      <c r="K354" s="5">
        <f>60 / 86400</f>
        <v>6.9444444444444447E-4</v>
      </c>
      <c r="L354" s="5">
        <f>11 / 86400</f>
        <v>1.273148148148148E-4</v>
      </c>
    </row>
    <row r="355" spans="1:12" x14ac:dyDescent="0.25">
      <c r="A355" s="3">
        <v>45706.525231481486</v>
      </c>
      <c r="B355" t="s">
        <v>83</v>
      </c>
      <c r="C355" s="3">
        <v>45706.525462962964</v>
      </c>
      <c r="D355" t="s">
        <v>183</v>
      </c>
      <c r="E355" s="4">
        <v>2.8071050405502319E-2</v>
      </c>
      <c r="F355" s="4">
        <v>348811.55084183789</v>
      </c>
      <c r="G355" s="4">
        <v>348811.5789128883</v>
      </c>
      <c r="H355" s="5">
        <f t="shared" si="2"/>
        <v>0</v>
      </c>
      <c r="I355" t="s">
        <v>50</v>
      </c>
      <c r="J355" t="s">
        <v>50</v>
      </c>
      <c r="K355" s="5">
        <f>20 / 86400</f>
        <v>2.3148148148148149E-4</v>
      </c>
      <c r="L355" s="5">
        <f>40 / 86400</f>
        <v>4.6296296296296298E-4</v>
      </c>
    </row>
    <row r="356" spans="1:12" x14ac:dyDescent="0.25">
      <c r="A356" s="3">
        <v>45706.525925925926</v>
      </c>
      <c r="B356" t="s">
        <v>89</v>
      </c>
      <c r="C356" s="3">
        <v>45706.526620370365</v>
      </c>
      <c r="D356" t="s">
        <v>181</v>
      </c>
      <c r="E356" s="4">
        <v>0.49009577721357345</v>
      </c>
      <c r="F356" s="4">
        <v>348811.63390463241</v>
      </c>
      <c r="G356" s="4">
        <v>348812.12400040962</v>
      </c>
      <c r="H356" s="5">
        <f t="shared" si="2"/>
        <v>0</v>
      </c>
      <c r="I356" t="s">
        <v>208</v>
      </c>
      <c r="J356" t="s">
        <v>182</v>
      </c>
      <c r="K356" s="5">
        <f>60 / 86400</f>
        <v>6.9444444444444447E-4</v>
      </c>
      <c r="L356" s="5">
        <f>40 / 86400</f>
        <v>4.6296296296296298E-4</v>
      </c>
    </row>
    <row r="357" spans="1:12" x14ac:dyDescent="0.25">
      <c r="A357" s="3">
        <v>45706.527083333334</v>
      </c>
      <c r="B357" t="s">
        <v>181</v>
      </c>
      <c r="C357" s="3">
        <v>45706.529398148152</v>
      </c>
      <c r="D357" t="s">
        <v>184</v>
      </c>
      <c r="E357" s="4">
        <v>1.7648940970301628</v>
      </c>
      <c r="F357" s="4">
        <v>348812.28177604813</v>
      </c>
      <c r="G357" s="4">
        <v>348814.04667014518</v>
      </c>
      <c r="H357" s="5">
        <f t="shared" si="2"/>
        <v>0</v>
      </c>
      <c r="I357" t="s">
        <v>191</v>
      </c>
      <c r="J357" t="s">
        <v>139</v>
      </c>
      <c r="K357" s="5">
        <f>200 / 86400</f>
        <v>2.3148148148148147E-3</v>
      </c>
      <c r="L357" s="5">
        <f>35 / 86400</f>
        <v>4.0509259259259258E-4</v>
      </c>
    </row>
    <row r="358" spans="1:12" x14ac:dyDescent="0.25">
      <c r="A358" s="3">
        <v>45706.529803240745</v>
      </c>
      <c r="B358" t="s">
        <v>184</v>
      </c>
      <c r="C358" s="3">
        <v>45706.534687499996</v>
      </c>
      <c r="D358" t="s">
        <v>187</v>
      </c>
      <c r="E358" s="4">
        <v>4.2479026780724523</v>
      </c>
      <c r="F358" s="4">
        <v>348814.05729876825</v>
      </c>
      <c r="G358" s="4">
        <v>348818.30520144635</v>
      </c>
      <c r="H358" s="5">
        <f t="shared" si="2"/>
        <v>0</v>
      </c>
      <c r="I358" t="s">
        <v>61</v>
      </c>
      <c r="J358" t="s">
        <v>169</v>
      </c>
      <c r="K358" s="5">
        <f>422 / 86400</f>
        <v>4.8842592592592592E-3</v>
      </c>
      <c r="L358" s="5">
        <f>20 / 86400</f>
        <v>2.3148148148148149E-4</v>
      </c>
    </row>
    <row r="359" spans="1:12" x14ac:dyDescent="0.25">
      <c r="A359" s="3">
        <v>45706.534918981481</v>
      </c>
      <c r="B359" t="s">
        <v>192</v>
      </c>
      <c r="C359" s="3">
        <v>45706.539317129631</v>
      </c>
      <c r="D359" t="s">
        <v>192</v>
      </c>
      <c r="E359" s="4">
        <v>3.131652041912079</v>
      </c>
      <c r="F359" s="4">
        <v>348818.4463159194</v>
      </c>
      <c r="G359" s="4">
        <v>348821.57796796132</v>
      </c>
      <c r="H359" s="5">
        <f t="shared" si="2"/>
        <v>0</v>
      </c>
      <c r="I359" t="s">
        <v>98</v>
      </c>
      <c r="J359" t="s">
        <v>295</v>
      </c>
      <c r="K359" s="5">
        <f>380 / 86400</f>
        <v>4.3981481481481484E-3</v>
      </c>
      <c r="L359" s="5">
        <f>20 / 86400</f>
        <v>2.3148148148148149E-4</v>
      </c>
    </row>
    <row r="360" spans="1:12" x14ac:dyDescent="0.25">
      <c r="A360" s="3">
        <v>45706.539548611108</v>
      </c>
      <c r="B360" t="s">
        <v>192</v>
      </c>
      <c r="C360" s="3">
        <v>45706.540243055555</v>
      </c>
      <c r="D360" t="s">
        <v>192</v>
      </c>
      <c r="E360" s="4">
        <v>0.5386581771969795</v>
      </c>
      <c r="F360" s="4">
        <v>348821.68184596882</v>
      </c>
      <c r="G360" s="4">
        <v>348822.22050414601</v>
      </c>
      <c r="H360" s="5">
        <f t="shared" si="2"/>
        <v>0</v>
      </c>
      <c r="I360" t="s">
        <v>188</v>
      </c>
      <c r="J360" t="s">
        <v>139</v>
      </c>
      <c r="K360" s="5">
        <f>60 / 86400</f>
        <v>6.9444444444444447E-4</v>
      </c>
      <c r="L360" s="5">
        <f>26 / 86400</f>
        <v>3.0092592592592595E-4</v>
      </c>
    </row>
    <row r="361" spans="1:12" x14ac:dyDescent="0.25">
      <c r="A361" s="3">
        <v>45706.540543981479</v>
      </c>
      <c r="B361" t="s">
        <v>192</v>
      </c>
      <c r="C361" s="3">
        <v>45706.5465625</v>
      </c>
      <c r="D361" t="s">
        <v>296</v>
      </c>
      <c r="E361" s="4">
        <v>5.3904031340479852</v>
      </c>
      <c r="F361" s="4">
        <v>348822.2230689518</v>
      </c>
      <c r="G361" s="4">
        <v>348827.61347208585</v>
      </c>
      <c r="H361" s="5">
        <f t="shared" si="2"/>
        <v>0</v>
      </c>
      <c r="I361" t="s">
        <v>196</v>
      </c>
      <c r="J361" t="s">
        <v>211</v>
      </c>
      <c r="K361" s="5">
        <f>520 / 86400</f>
        <v>6.0185185185185185E-3</v>
      </c>
      <c r="L361" s="5">
        <f>20 / 86400</f>
        <v>2.3148148148148149E-4</v>
      </c>
    </row>
    <row r="362" spans="1:12" x14ac:dyDescent="0.25">
      <c r="A362" s="3">
        <v>45706.546793981484</v>
      </c>
      <c r="B362" t="s">
        <v>296</v>
      </c>
      <c r="C362" s="3">
        <v>45706.549340277779</v>
      </c>
      <c r="D362" t="s">
        <v>202</v>
      </c>
      <c r="E362" s="4">
        <v>1.1289312546253205</v>
      </c>
      <c r="F362" s="4">
        <v>348827.64564649359</v>
      </c>
      <c r="G362" s="4">
        <v>348828.77457774826</v>
      </c>
      <c r="H362" s="5">
        <f t="shared" si="2"/>
        <v>0</v>
      </c>
      <c r="I362" t="s">
        <v>162</v>
      </c>
      <c r="J362" t="s">
        <v>20</v>
      </c>
      <c r="K362" s="5">
        <f>220 / 86400</f>
        <v>2.5462962962962965E-3</v>
      </c>
      <c r="L362" s="5">
        <f>10 / 86400</f>
        <v>1.1574074074074075E-4</v>
      </c>
    </row>
    <row r="363" spans="1:12" x14ac:dyDescent="0.25">
      <c r="A363" s="3">
        <v>45706.549456018518</v>
      </c>
      <c r="B363" t="s">
        <v>202</v>
      </c>
      <c r="C363" s="3">
        <v>45706.549861111111</v>
      </c>
      <c r="D363" t="s">
        <v>297</v>
      </c>
      <c r="E363" s="4">
        <v>9.8784221589565277E-2</v>
      </c>
      <c r="F363" s="4">
        <v>348828.78106108768</v>
      </c>
      <c r="G363" s="4">
        <v>348828.87984530925</v>
      </c>
      <c r="H363" s="5">
        <f t="shared" si="2"/>
        <v>0</v>
      </c>
      <c r="I363" t="s">
        <v>147</v>
      </c>
      <c r="J363" t="s">
        <v>159</v>
      </c>
      <c r="K363" s="5">
        <f>35 / 86400</f>
        <v>4.0509259259259258E-4</v>
      </c>
      <c r="L363" s="5">
        <f>18 / 86400</f>
        <v>2.0833333333333335E-4</v>
      </c>
    </row>
    <row r="364" spans="1:12" x14ac:dyDescent="0.25">
      <c r="A364" s="3">
        <v>45706.550069444449</v>
      </c>
      <c r="B364" t="s">
        <v>297</v>
      </c>
      <c r="C364" s="3">
        <v>45706.551712962959</v>
      </c>
      <c r="D364" t="s">
        <v>201</v>
      </c>
      <c r="E364" s="4">
        <v>0.60681910091638569</v>
      </c>
      <c r="F364" s="4">
        <v>348828.90626109549</v>
      </c>
      <c r="G364" s="4">
        <v>348829.5130801964</v>
      </c>
      <c r="H364" s="5">
        <f t="shared" si="2"/>
        <v>0</v>
      </c>
      <c r="I364" t="s">
        <v>31</v>
      </c>
      <c r="J364" t="s">
        <v>38</v>
      </c>
      <c r="K364" s="5">
        <f>142 / 86400</f>
        <v>1.6435185185185185E-3</v>
      </c>
      <c r="L364" s="5">
        <f>20 / 86400</f>
        <v>2.3148148148148149E-4</v>
      </c>
    </row>
    <row r="365" spans="1:12" x14ac:dyDescent="0.25">
      <c r="A365" s="3">
        <v>45706.551944444444</v>
      </c>
      <c r="B365" t="s">
        <v>201</v>
      </c>
      <c r="C365" s="3">
        <v>45706.552615740744</v>
      </c>
      <c r="D365" t="s">
        <v>298</v>
      </c>
      <c r="E365" s="4">
        <v>0.13234795767068863</v>
      </c>
      <c r="F365" s="4">
        <v>348829.61354543053</v>
      </c>
      <c r="G365" s="4">
        <v>348829.74589338823</v>
      </c>
      <c r="H365" s="5">
        <f t="shared" si="2"/>
        <v>0</v>
      </c>
      <c r="I365" t="s">
        <v>136</v>
      </c>
      <c r="J365" t="s">
        <v>147</v>
      </c>
      <c r="K365" s="5">
        <f>58 / 86400</f>
        <v>6.7129629629629625E-4</v>
      </c>
      <c r="L365" s="5">
        <f>2369 / 86400</f>
        <v>2.7418981481481482E-2</v>
      </c>
    </row>
    <row r="366" spans="1:12" x14ac:dyDescent="0.25">
      <c r="A366" s="3">
        <v>45706.580034722225</v>
      </c>
      <c r="B366" t="s">
        <v>299</v>
      </c>
      <c r="C366" s="3">
        <v>45706.593136574069</v>
      </c>
      <c r="D366" t="s">
        <v>298</v>
      </c>
      <c r="E366" s="4">
        <v>0.12279637908935546</v>
      </c>
      <c r="F366" s="4">
        <v>348829.77737562417</v>
      </c>
      <c r="G366" s="4">
        <v>348829.90017200325</v>
      </c>
      <c r="H366" s="5">
        <f t="shared" si="2"/>
        <v>0</v>
      </c>
      <c r="I366" t="s">
        <v>32</v>
      </c>
      <c r="J366" t="s">
        <v>82</v>
      </c>
      <c r="K366" s="5">
        <f>1132 / 86400</f>
        <v>1.3101851851851852E-2</v>
      </c>
      <c r="L366" s="5">
        <f>112 / 86400</f>
        <v>1.2962962962962963E-3</v>
      </c>
    </row>
    <row r="367" spans="1:12" x14ac:dyDescent="0.25">
      <c r="A367" s="3">
        <v>45706.59443287037</v>
      </c>
      <c r="B367" t="s">
        <v>299</v>
      </c>
      <c r="C367" s="3">
        <v>45706.594664351855</v>
      </c>
      <c r="D367" t="s">
        <v>300</v>
      </c>
      <c r="E367" s="4">
        <v>3.7268666744232175E-2</v>
      </c>
      <c r="F367" s="4">
        <v>348829.97193368641</v>
      </c>
      <c r="G367" s="4">
        <v>348830.00920235319</v>
      </c>
      <c r="H367" s="5">
        <f t="shared" si="2"/>
        <v>0</v>
      </c>
      <c r="I367" t="s">
        <v>50</v>
      </c>
      <c r="J367" t="s">
        <v>150</v>
      </c>
      <c r="K367" s="5">
        <f>20 / 86400</f>
        <v>2.3148148148148149E-4</v>
      </c>
      <c r="L367" s="5">
        <f>4 / 86400</f>
        <v>4.6296296296296294E-5</v>
      </c>
    </row>
    <row r="368" spans="1:12" x14ac:dyDescent="0.25">
      <c r="A368" s="3">
        <v>45706.594710648147</v>
      </c>
      <c r="B368" t="s">
        <v>300</v>
      </c>
      <c r="C368" s="3">
        <v>45706.594942129625</v>
      </c>
      <c r="D368" t="s">
        <v>300</v>
      </c>
      <c r="E368" s="4">
        <v>1.8314822316169738E-3</v>
      </c>
      <c r="F368" s="4">
        <v>348830.01484649297</v>
      </c>
      <c r="G368" s="4">
        <v>348830.01667797519</v>
      </c>
      <c r="H368" s="5">
        <f t="shared" si="2"/>
        <v>0</v>
      </c>
      <c r="I368" t="s">
        <v>50</v>
      </c>
      <c r="J368" t="s">
        <v>82</v>
      </c>
      <c r="K368" s="5">
        <f>20 / 86400</f>
        <v>2.3148148148148149E-4</v>
      </c>
      <c r="L368" s="5">
        <f>26 / 86400</f>
        <v>3.0092592592592595E-4</v>
      </c>
    </row>
    <row r="369" spans="1:12" x14ac:dyDescent="0.25">
      <c r="A369" s="3">
        <v>45706.595243055555</v>
      </c>
      <c r="B369" t="s">
        <v>300</v>
      </c>
      <c r="C369" s="3">
        <v>45706.59710648148</v>
      </c>
      <c r="D369" t="s">
        <v>301</v>
      </c>
      <c r="E369" s="4">
        <v>0.52287603563070295</v>
      </c>
      <c r="F369" s="4">
        <v>348830.02984231972</v>
      </c>
      <c r="G369" s="4">
        <v>348830.55271835538</v>
      </c>
      <c r="H369" s="5">
        <f t="shared" si="2"/>
        <v>0</v>
      </c>
      <c r="I369" t="s">
        <v>38</v>
      </c>
      <c r="J369" t="s">
        <v>25</v>
      </c>
      <c r="K369" s="5">
        <f>161 / 86400</f>
        <v>1.8634259259259259E-3</v>
      </c>
      <c r="L369" s="5">
        <f>20 / 86400</f>
        <v>2.3148148148148149E-4</v>
      </c>
    </row>
    <row r="370" spans="1:12" x14ac:dyDescent="0.25">
      <c r="A370" s="3">
        <v>45706.597337962958</v>
      </c>
      <c r="B370" t="s">
        <v>302</v>
      </c>
      <c r="C370" s="3">
        <v>45706.59756944445</v>
      </c>
      <c r="D370" t="s">
        <v>302</v>
      </c>
      <c r="E370" s="4">
        <v>5.4558811902999875E-2</v>
      </c>
      <c r="F370" s="4">
        <v>348830.59840402787</v>
      </c>
      <c r="G370" s="4">
        <v>348830.65296283975</v>
      </c>
      <c r="H370" s="5">
        <f t="shared" si="2"/>
        <v>0</v>
      </c>
      <c r="I370" t="s">
        <v>171</v>
      </c>
      <c r="J370" t="s">
        <v>159</v>
      </c>
      <c r="K370" s="5">
        <f>20 / 86400</f>
        <v>2.3148148148148149E-4</v>
      </c>
      <c r="L370" s="5">
        <f>20 / 86400</f>
        <v>2.3148148148148149E-4</v>
      </c>
    </row>
    <row r="371" spans="1:12" x14ac:dyDescent="0.25">
      <c r="A371" s="3">
        <v>45706.597800925927</v>
      </c>
      <c r="B371" t="s">
        <v>302</v>
      </c>
      <c r="C371" s="3">
        <v>45706.598298611112</v>
      </c>
      <c r="D371" t="s">
        <v>303</v>
      </c>
      <c r="E371" s="4">
        <v>0.15147890269756317</v>
      </c>
      <c r="F371" s="4">
        <v>348830.68688807223</v>
      </c>
      <c r="G371" s="4">
        <v>348830.83836697496</v>
      </c>
      <c r="H371" s="5">
        <f t="shared" si="2"/>
        <v>0</v>
      </c>
      <c r="I371" t="s">
        <v>38</v>
      </c>
      <c r="J371" t="s">
        <v>44</v>
      </c>
      <c r="K371" s="5">
        <f>43 / 86400</f>
        <v>4.9768518518518521E-4</v>
      </c>
      <c r="L371" s="5">
        <f>20 / 86400</f>
        <v>2.3148148148148149E-4</v>
      </c>
    </row>
    <row r="372" spans="1:12" x14ac:dyDescent="0.25">
      <c r="A372" s="3">
        <v>45706.598530092597</v>
      </c>
      <c r="B372" t="s">
        <v>303</v>
      </c>
      <c r="C372" s="3">
        <v>45706.599224537036</v>
      </c>
      <c r="D372" t="s">
        <v>303</v>
      </c>
      <c r="E372" s="4">
        <v>8.7669864892959588E-3</v>
      </c>
      <c r="F372" s="4">
        <v>348830.86588196451</v>
      </c>
      <c r="G372" s="4">
        <v>348830.87464895099</v>
      </c>
      <c r="H372" s="5">
        <f t="shared" si="2"/>
        <v>0</v>
      </c>
      <c r="I372" t="s">
        <v>170</v>
      </c>
      <c r="J372" t="s">
        <v>163</v>
      </c>
      <c r="K372" s="5">
        <f>60 / 86400</f>
        <v>6.9444444444444447E-4</v>
      </c>
      <c r="L372" s="5">
        <f>20 / 86400</f>
        <v>2.3148148148148149E-4</v>
      </c>
    </row>
    <row r="373" spans="1:12" x14ac:dyDescent="0.25">
      <c r="A373" s="3">
        <v>45706.599456018521</v>
      </c>
      <c r="B373" t="s">
        <v>304</v>
      </c>
      <c r="C373" s="3">
        <v>45706.599687499998</v>
      </c>
      <c r="D373" t="s">
        <v>304</v>
      </c>
      <c r="E373" s="4">
        <v>9.7337765693664546E-3</v>
      </c>
      <c r="F373" s="4">
        <v>348830.88397728727</v>
      </c>
      <c r="G373" s="4">
        <v>348830.89371106384</v>
      </c>
      <c r="H373" s="5">
        <f t="shared" si="2"/>
        <v>0</v>
      </c>
      <c r="I373" t="s">
        <v>111</v>
      </c>
      <c r="J373" t="s">
        <v>111</v>
      </c>
      <c r="K373" s="5">
        <f>20 / 86400</f>
        <v>2.3148148148148149E-4</v>
      </c>
      <c r="L373" s="5">
        <f>80 / 86400</f>
        <v>9.2592592592592596E-4</v>
      </c>
    </row>
    <row r="374" spans="1:12" x14ac:dyDescent="0.25">
      <c r="A374" s="3">
        <v>45706.600613425922</v>
      </c>
      <c r="B374" t="s">
        <v>303</v>
      </c>
      <c r="C374" s="3">
        <v>45706.600844907407</v>
      </c>
      <c r="D374" t="s">
        <v>303</v>
      </c>
      <c r="E374" s="4">
        <v>4.02947336435318E-3</v>
      </c>
      <c r="F374" s="4">
        <v>348830.90994308447</v>
      </c>
      <c r="G374" s="4">
        <v>348830.91397255787</v>
      </c>
      <c r="H374" s="5">
        <f t="shared" si="2"/>
        <v>0</v>
      </c>
      <c r="I374" t="s">
        <v>163</v>
      </c>
      <c r="J374" t="s">
        <v>163</v>
      </c>
      <c r="K374" s="5">
        <f>20 / 86400</f>
        <v>2.3148148148148149E-4</v>
      </c>
      <c r="L374" s="5">
        <f>80 / 86400</f>
        <v>9.2592592592592596E-4</v>
      </c>
    </row>
    <row r="375" spans="1:12" x14ac:dyDescent="0.25">
      <c r="A375" s="3">
        <v>45706.601770833338</v>
      </c>
      <c r="B375" t="s">
        <v>304</v>
      </c>
      <c r="C375" s="3">
        <v>45706.602337962962</v>
      </c>
      <c r="D375" t="s">
        <v>202</v>
      </c>
      <c r="E375" s="4">
        <v>0.21376868581771852</v>
      </c>
      <c r="F375" s="4">
        <v>348830.9329496877</v>
      </c>
      <c r="G375" s="4">
        <v>348831.14671837352</v>
      </c>
      <c r="H375" s="5">
        <f t="shared" si="2"/>
        <v>0</v>
      </c>
      <c r="I375" t="s">
        <v>57</v>
      </c>
      <c r="J375" t="s">
        <v>28</v>
      </c>
      <c r="K375" s="5">
        <f>49 / 86400</f>
        <v>5.6712962962962967E-4</v>
      </c>
      <c r="L375" s="5">
        <f>20 / 86400</f>
        <v>2.3148148148148149E-4</v>
      </c>
    </row>
    <row r="376" spans="1:12" x14ac:dyDescent="0.25">
      <c r="A376" s="3">
        <v>45706.60256944444</v>
      </c>
      <c r="B376" t="s">
        <v>202</v>
      </c>
      <c r="C376" s="3">
        <v>45706.604884259257</v>
      </c>
      <c r="D376" t="s">
        <v>195</v>
      </c>
      <c r="E376" s="4">
        <v>1.3284256849884988</v>
      </c>
      <c r="F376" s="4">
        <v>348831.1649546476</v>
      </c>
      <c r="G376" s="4">
        <v>348832.4933803326</v>
      </c>
      <c r="H376" s="5">
        <f t="shared" si="2"/>
        <v>0</v>
      </c>
      <c r="I376" t="s">
        <v>165</v>
      </c>
      <c r="J376" t="s">
        <v>151</v>
      </c>
      <c r="K376" s="5">
        <f>200 / 86400</f>
        <v>2.3148148148148147E-3</v>
      </c>
      <c r="L376" s="5">
        <f>40 / 86400</f>
        <v>4.6296296296296298E-4</v>
      </c>
    </row>
    <row r="377" spans="1:12" x14ac:dyDescent="0.25">
      <c r="A377" s="3">
        <v>45706.605347222227</v>
      </c>
      <c r="B377" t="s">
        <v>195</v>
      </c>
      <c r="C377" s="3">
        <v>45706.605810185181</v>
      </c>
      <c r="D377" t="s">
        <v>195</v>
      </c>
      <c r="E377" s="4">
        <v>0.19961810410022734</v>
      </c>
      <c r="F377" s="4">
        <v>348832.50055528281</v>
      </c>
      <c r="G377" s="4">
        <v>348832.70017338695</v>
      </c>
      <c r="H377" s="5">
        <f t="shared" si="2"/>
        <v>0</v>
      </c>
      <c r="I377" t="s">
        <v>182</v>
      </c>
      <c r="J377" t="s">
        <v>20</v>
      </c>
      <c r="K377" s="5">
        <f>40 / 86400</f>
        <v>4.6296296296296298E-4</v>
      </c>
      <c r="L377" s="5">
        <f>20 / 86400</f>
        <v>2.3148148148148149E-4</v>
      </c>
    </row>
    <row r="378" spans="1:12" x14ac:dyDescent="0.25">
      <c r="A378" s="3">
        <v>45706.606041666666</v>
      </c>
      <c r="B378" t="s">
        <v>195</v>
      </c>
      <c r="C378" s="3">
        <v>45706.606504629628</v>
      </c>
      <c r="D378" t="s">
        <v>305</v>
      </c>
      <c r="E378" s="4">
        <v>0.45850501012802125</v>
      </c>
      <c r="F378" s="4">
        <v>348832.90208927088</v>
      </c>
      <c r="G378" s="4">
        <v>348833.360594281</v>
      </c>
      <c r="H378" s="5">
        <f t="shared" si="2"/>
        <v>0</v>
      </c>
      <c r="I378" t="s">
        <v>206</v>
      </c>
      <c r="J378" t="s">
        <v>198</v>
      </c>
      <c r="K378" s="5">
        <f>40 / 86400</f>
        <v>4.6296296296296298E-4</v>
      </c>
      <c r="L378" s="5">
        <f>20 / 86400</f>
        <v>2.3148148148148149E-4</v>
      </c>
    </row>
    <row r="379" spans="1:12" x14ac:dyDescent="0.25">
      <c r="A379" s="3">
        <v>45706.606736111113</v>
      </c>
      <c r="B379" t="s">
        <v>194</v>
      </c>
      <c r="C379" s="3">
        <v>45706.60836805556</v>
      </c>
      <c r="D379" t="s">
        <v>193</v>
      </c>
      <c r="E379" s="4">
        <v>1.5664566289782524</v>
      </c>
      <c r="F379" s="4">
        <v>348833.41336378088</v>
      </c>
      <c r="G379" s="4">
        <v>348834.97982040985</v>
      </c>
      <c r="H379" s="5">
        <f t="shared" si="2"/>
        <v>0</v>
      </c>
      <c r="I379" t="s">
        <v>41</v>
      </c>
      <c r="J379" t="s">
        <v>135</v>
      </c>
      <c r="K379" s="5">
        <f>141 / 86400</f>
        <v>1.6319444444444445E-3</v>
      </c>
      <c r="L379" s="5">
        <f>20 / 86400</f>
        <v>2.3148148148148149E-4</v>
      </c>
    </row>
    <row r="380" spans="1:12" x14ac:dyDescent="0.25">
      <c r="A380" s="3">
        <v>45706.608599537038</v>
      </c>
      <c r="B380" t="s">
        <v>193</v>
      </c>
      <c r="C380" s="3">
        <v>45706.614525462966</v>
      </c>
      <c r="D380" t="s">
        <v>207</v>
      </c>
      <c r="E380" s="4">
        <v>6.0288081749081615</v>
      </c>
      <c r="F380" s="4">
        <v>348834.98426022445</v>
      </c>
      <c r="G380" s="4">
        <v>348841.01306839939</v>
      </c>
      <c r="H380" s="5">
        <f t="shared" ref="H380:H443" si="3">0 / 86400</f>
        <v>0</v>
      </c>
      <c r="I380" t="s">
        <v>60</v>
      </c>
      <c r="J380" t="s">
        <v>129</v>
      </c>
      <c r="K380" s="5">
        <f>512 / 86400</f>
        <v>5.9259259259259256E-3</v>
      </c>
      <c r="L380" s="5">
        <f>2 / 86400</f>
        <v>2.3148148148148147E-5</v>
      </c>
    </row>
    <row r="381" spans="1:12" x14ac:dyDescent="0.25">
      <c r="A381" s="3">
        <v>45706.614548611113</v>
      </c>
      <c r="B381" t="s">
        <v>207</v>
      </c>
      <c r="C381" s="3">
        <v>45706.618946759263</v>
      </c>
      <c r="D381" t="s">
        <v>184</v>
      </c>
      <c r="E381" s="4">
        <v>4.610733456790447</v>
      </c>
      <c r="F381" s="4">
        <v>348841.0176912254</v>
      </c>
      <c r="G381" s="4">
        <v>348845.62842468219</v>
      </c>
      <c r="H381" s="5">
        <f t="shared" si="3"/>
        <v>0</v>
      </c>
      <c r="I381" t="s">
        <v>27</v>
      </c>
      <c r="J381" t="s">
        <v>92</v>
      </c>
      <c r="K381" s="5">
        <f>380 / 86400</f>
        <v>4.3981481481481484E-3</v>
      </c>
      <c r="L381" s="5">
        <f>6 / 86400</f>
        <v>6.9444444444444444E-5</v>
      </c>
    </row>
    <row r="382" spans="1:12" x14ac:dyDescent="0.25">
      <c r="A382" s="3">
        <v>45706.619016203702</v>
      </c>
      <c r="B382" t="s">
        <v>184</v>
      </c>
      <c r="C382" s="3">
        <v>45706.619479166664</v>
      </c>
      <c r="D382" t="s">
        <v>185</v>
      </c>
      <c r="E382" s="4">
        <v>5.8478599488735197E-2</v>
      </c>
      <c r="F382" s="4">
        <v>348845.63216745132</v>
      </c>
      <c r="G382" s="4">
        <v>348845.69064605079</v>
      </c>
      <c r="H382" s="5">
        <f t="shared" si="3"/>
        <v>0</v>
      </c>
      <c r="I382" t="s">
        <v>150</v>
      </c>
      <c r="J382" t="s">
        <v>50</v>
      </c>
      <c r="K382" s="5">
        <f>40 / 86400</f>
        <v>4.6296296296296298E-4</v>
      </c>
      <c r="L382" s="5">
        <f>80 / 86400</f>
        <v>9.2592592592592596E-4</v>
      </c>
    </row>
    <row r="383" spans="1:12" x14ac:dyDescent="0.25">
      <c r="A383" s="3">
        <v>45706.620405092588</v>
      </c>
      <c r="B383" t="s">
        <v>185</v>
      </c>
      <c r="C383" s="3">
        <v>45706.620729166665</v>
      </c>
      <c r="D383" t="s">
        <v>185</v>
      </c>
      <c r="E383" s="4">
        <v>1.8897085189819335E-2</v>
      </c>
      <c r="F383" s="4">
        <v>348845.70368625526</v>
      </c>
      <c r="G383" s="4">
        <v>348845.72258334048</v>
      </c>
      <c r="H383" s="5">
        <f t="shared" si="3"/>
        <v>0</v>
      </c>
      <c r="I383" t="s">
        <v>159</v>
      </c>
      <c r="J383" t="s">
        <v>111</v>
      </c>
      <c r="K383" s="5">
        <f>28 / 86400</f>
        <v>3.2407407407407406E-4</v>
      </c>
      <c r="L383" s="5">
        <f>100 / 86400</f>
        <v>1.1574074074074073E-3</v>
      </c>
    </row>
    <row r="384" spans="1:12" x14ac:dyDescent="0.25">
      <c r="A384" s="3">
        <v>45706.621886574074</v>
      </c>
      <c r="B384" t="s">
        <v>185</v>
      </c>
      <c r="C384" s="3">
        <v>45706.622581018513</v>
      </c>
      <c r="D384" t="s">
        <v>184</v>
      </c>
      <c r="E384" s="4">
        <v>0.41179604583978652</v>
      </c>
      <c r="F384" s="4">
        <v>348845.73271050618</v>
      </c>
      <c r="G384" s="4">
        <v>348846.14450655202</v>
      </c>
      <c r="H384" s="5">
        <f t="shared" si="3"/>
        <v>0</v>
      </c>
      <c r="I384" t="s">
        <v>199</v>
      </c>
      <c r="J384" t="s">
        <v>31</v>
      </c>
      <c r="K384" s="5">
        <f>60 / 86400</f>
        <v>6.9444444444444447E-4</v>
      </c>
      <c r="L384" s="5">
        <f>20 / 86400</f>
        <v>2.3148148148148149E-4</v>
      </c>
    </row>
    <row r="385" spans="1:12" x14ac:dyDescent="0.25">
      <c r="A385" s="3">
        <v>45706.622812500005</v>
      </c>
      <c r="B385" t="s">
        <v>184</v>
      </c>
      <c r="C385" s="3">
        <v>45706.623738425929</v>
      </c>
      <c r="D385" t="s">
        <v>184</v>
      </c>
      <c r="E385" s="4">
        <v>0.55205055439472195</v>
      </c>
      <c r="F385" s="4">
        <v>348846.31430292729</v>
      </c>
      <c r="G385" s="4">
        <v>348846.86635348172</v>
      </c>
      <c r="H385" s="5">
        <f t="shared" si="3"/>
        <v>0</v>
      </c>
      <c r="I385" t="s">
        <v>286</v>
      </c>
      <c r="J385" t="s">
        <v>31</v>
      </c>
      <c r="K385" s="5">
        <f>80 / 86400</f>
        <v>9.2592592592592596E-4</v>
      </c>
      <c r="L385" s="5">
        <f>20 / 86400</f>
        <v>2.3148148148148149E-4</v>
      </c>
    </row>
    <row r="386" spans="1:12" x14ac:dyDescent="0.25">
      <c r="A386" s="3">
        <v>45706.623969907407</v>
      </c>
      <c r="B386" t="s">
        <v>184</v>
      </c>
      <c r="C386" s="3">
        <v>45706.625590277778</v>
      </c>
      <c r="D386" t="s">
        <v>181</v>
      </c>
      <c r="E386" s="4">
        <v>1.3572589769363403</v>
      </c>
      <c r="F386" s="4">
        <v>348846.86692956783</v>
      </c>
      <c r="G386" s="4">
        <v>348848.22418854473</v>
      </c>
      <c r="H386" s="5">
        <f t="shared" si="3"/>
        <v>0</v>
      </c>
      <c r="I386" t="s">
        <v>221</v>
      </c>
      <c r="J386" t="s">
        <v>162</v>
      </c>
      <c r="K386" s="5">
        <f>140 / 86400</f>
        <v>1.6203703703703703E-3</v>
      </c>
      <c r="L386" s="5">
        <f>3 / 86400</f>
        <v>3.4722222222222222E-5</v>
      </c>
    </row>
    <row r="387" spans="1:12" x14ac:dyDescent="0.25">
      <c r="A387" s="3">
        <v>45706.625625000001</v>
      </c>
      <c r="B387" t="s">
        <v>89</v>
      </c>
      <c r="C387" s="3">
        <v>45706.625856481478</v>
      </c>
      <c r="D387" t="s">
        <v>89</v>
      </c>
      <c r="E387" s="4">
        <v>1.58100905418396E-2</v>
      </c>
      <c r="F387" s="4">
        <v>348848.22756379296</v>
      </c>
      <c r="G387" s="4">
        <v>348848.24337388348</v>
      </c>
      <c r="H387" s="5">
        <f t="shared" si="3"/>
        <v>0</v>
      </c>
      <c r="I387" t="s">
        <v>171</v>
      </c>
      <c r="J387" t="s">
        <v>170</v>
      </c>
      <c r="K387" s="5">
        <f>20 / 86400</f>
        <v>2.3148148148148149E-4</v>
      </c>
      <c r="L387" s="5">
        <f>40 / 86400</f>
        <v>4.6296296296296298E-4</v>
      </c>
    </row>
    <row r="388" spans="1:12" x14ac:dyDescent="0.25">
      <c r="A388" s="3">
        <v>45706.626319444447</v>
      </c>
      <c r="B388" t="s">
        <v>181</v>
      </c>
      <c r="C388" s="3">
        <v>45706.627708333333</v>
      </c>
      <c r="D388" t="s">
        <v>306</v>
      </c>
      <c r="E388" s="4">
        <v>1.0787314066290856</v>
      </c>
      <c r="F388" s="4">
        <v>348848.39466162404</v>
      </c>
      <c r="G388" s="4">
        <v>348849.47339303064</v>
      </c>
      <c r="H388" s="5">
        <f t="shared" si="3"/>
        <v>0</v>
      </c>
      <c r="I388" t="s">
        <v>307</v>
      </c>
      <c r="J388" t="s">
        <v>139</v>
      </c>
      <c r="K388" s="5">
        <f>120 / 86400</f>
        <v>1.3888888888888889E-3</v>
      </c>
      <c r="L388" s="5">
        <f>20 / 86400</f>
        <v>2.3148148148148149E-4</v>
      </c>
    </row>
    <row r="389" spans="1:12" x14ac:dyDescent="0.25">
      <c r="A389" s="3">
        <v>45706.627939814818</v>
      </c>
      <c r="B389" t="s">
        <v>181</v>
      </c>
      <c r="C389" s="3">
        <v>45706.628634259258</v>
      </c>
      <c r="D389" t="s">
        <v>181</v>
      </c>
      <c r="E389" s="4">
        <v>0.42868220466375351</v>
      </c>
      <c r="F389" s="4">
        <v>348849.5445677801</v>
      </c>
      <c r="G389" s="4">
        <v>348849.97324998473</v>
      </c>
      <c r="H389" s="5">
        <f t="shared" si="3"/>
        <v>0</v>
      </c>
      <c r="I389" t="s">
        <v>208</v>
      </c>
      <c r="J389" t="s">
        <v>158</v>
      </c>
      <c r="K389" s="5">
        <f>60 / 86400</f>
        <v>6.9444444444444447E-4</v>
      </c>
      <c r="L389" s="5">
        <f>20 / 86400</f>
        <v>2.3148148148148149E-4</v>
      </c>
    </row>
    <row r="390" spans="1:12" x14ac:dyDescent="0.25">
      <c r="A390" s="3">
        <v>45706.628865740742</v>
      </c>
      <c r="B390" t="s">
        <v>76</v>
      </c>
      <c r="C390" s="3">
        <v>45706.630949074075</v>
      </c>
      <c r="D390" t="s">
        <v>76</v>
      </c>
      <c r="E390" s="4">
        <v>1.8295578163266182</v>
      </c>
      <c r="F390" s="4">
        <v>348850.07127420127</v>
      </c>
      <c r="G390" s="4">
        <v>348851.90083201759</v>
      </c>
      <c r="H390" s="5">
        <f t="shared" si="3"/>
        <v>0</v>
      </c>
      <c r="I390" t="s">
        <v>308</v>
      </c>
      <c r="J390" t="s">
        <v>211</v>
      </c>
      <c r="K390" s="5">
        <f>180 / 86400</f>
        <v>2.0833333333333333E-3</v>
      </c>
      <c r="L390" s="5">
        <f>60 / 86400</f>
        <v>6.9444444444444447E-4</v>
      </c>
    </row>
    <row r="391" spans="1:12" x14ac:dyDescent="0.25">
      <c r="A391" s="3">
        <v>45706.631643518514</v>
      </c>
      <c r="B391" t="s">
        <v>76</v>
      </c>
      <c r="C391" s="3">
        <v>45706.63280092593</v>
      </c>
      <c r="D391" t="s">
        <v>76</v>
      </c>
      <c r="E391" s="4">
        <v>1.0560649727582931</v>
      </c>
      <c r="F391" s="4">
        <v>348852.06744423206</v>
      </c>
      <c r="G391" s="4">
        <v>348853.12350920483</v>
      </c>
      <c r="H391" s="5">
        <f t="shared" si="3"/>
        <v>0</v>
      </c>
      <c r="I391" t="s">
        <v>308</v>
      </c>
      <c r="J391" t="s">
        <v>24</v>
      </c>
      <c r="K391" s="5">
        <f>100 / 86400</f>
        <v>1.1574074074074073E-3</v>
      </c>
      <c r="L391" s="5">
        <f>20 / 86400</f>
        <v>2.3148148148148149E-4</v>
      </c>
    </row>
    <row r="392" spans="1:12" x14ac:dyDescent="0.25">
      <c r="A392" s="3">
        <v>45706.633032407408</v>
      </c>
      <c r="B392" t="s">
        <v>76</v>
      </c>
      <c r="C392" s="3">
        <v>45706.63349537037</v>
      </c>
      <c r="D392" t="s">
        <v>168</v>
      </c>
      <c r="E392" s="4">
        <v>0.30886317640542982</v>
      </c>
      <c r="F392" s="4">
        <v>348853.27137834148</v>
      </c>
      <c r="G392" s="4">
        <v>348853.58024151792</v>
      </c>
      <c r="H392" s="5">
        <f t="shared" si="3"/>
        <v>0</v>
      </c>
      <c r="I392" t="s">
        <v>165</v>
      </c>
      <c r="J392" t="s">
        <v>175</v>
      </c>
      <c r="K392" s="5">
        <f>40 / 86400</f>
        <v>4.6296296296296298E-4</v>
      </c>
      <c r="L392" s="5">
        <f>20 / 86400</f>
        <v>2.3148148148148149E-4</v>
      </c>
    </row>
    <row r="393" spans="1:12" x14ac:dyDescent="0.25">
      <c r="A393" s="3">
        <v>45706.633726851855</v>
      </c>
      <c r="B393" t="s">
        <v>168</v>
      </c>
      <c r="C393" s="3">
        <v>45706.637199074074</v>
      </c>
      <c r="D393" t="s">
        <v>95</v>
      </c>
      <c r="E393" s="4">
        <v>1.9629990079998969</v>
      </c>
      <c r="F393" s="4">
        <v>348853.59272292181</v>
      </c>
      <c r="G393" s="4">
        <v>348855.55572192976</v>
      </c>
      <c r="H393" s="5">
        <f t="shared" si="3"/>
        <v>0</v>
      </c>
      <c r="I393" t="s">
        <v>191</v>
      </c>
      <c r="J393" t="s">
        <v>151</v>
      </c>
      <c r="K393" s="5">
        <f>300 / 86400</f>
        <v>3.472222222222222E-3</v>
      </c>
      <c r="L393" s="5">
        <f>40 / 86400</f>
        <v>4.6296296296296298E-4</v>
      </c>
    </row>
    <row r="394" spans="1:12" x14ac:dyDescent="0.25">
      <c r="A394" s="3">
        <v>45706.637662037036</v>
      </c>
      <c r="B394" t="s">
        <v>95</v>
      </c>
      <c r="C394" s="3">
        <v>45706.638124999998</v>
      </c>
      <c r="D394" t="s">
        <v>95</v>
      </c>
      <c r="E394" s="4">
        <v>2.5445188224315643E-2</v>
      </c>
      <c r="F394" s="4">
        <v>348855.5697048672</v>
      </c>
      <c r="G394" s="4">
        <v>348855.59515005542</v>
      </c>
      <c r="H394" s="5">
        <f t="shared" si="3"/>
        <v>0</v>
      </c>
      <c r="I394" t="s">
        <v>170</v>
      </c>
      <c r="J394" t="s">
        <v>111</v>
      </c>
      <c r="K394" s="5">
        <f>40 / 86400</f>
        <v>4.6296296296296298E-4</v>
      </c>
      <c r="L394" s="5">
        <f>20 / 86400</f>
        <v>2.3148148148148149E-4</v>
      </c>
    </row>
    <row r="395" spans="1:12" x14ac:dyDescent="0.25">
      <c r="A395" s="3">
        <v>45706.638356481482</v>
      </c>
      <c r="B395" t="s">
        <v>95</v>
      </c>
      <c r="C395" s="3">
        <v>45706.639050925922</v>
      </c>
      <c r="D395" t="s">
        <v>95</v>
      </c>
      <c r="E395" s="4">
        <v>0.13391636478900909</v>
      </c>
      <c r="F395" s="4">
        <v>348855.60276073759</v>
      </c>
      <c r="G395" s="4">
        <v>348855.7366771024</v>
      </c>
      <c r="H395" s="5">
        <f t="shared" si="3"/>
        <v>0</v>
      </c>
      <c r="I395" t="s">
        <v>31</v>
      </c>
      <c r="J395" t="s">
        <v>147</v>
      </c>
      <c r="K395" s="5">
        <f>60 / 86400</f>
        <v>6.9444444444444447E-4</v>
      </c>
      <c r="L395" s="5">
        <f>60 / 86400</f>
        <v>6.9444444444444447E-4</v>
      </c>
    </row>
    <row r="396" spans="1:12" x14ac:dyDescent="0.25">
      <c r="A396" s="3">
        <v>45706.639745370368</v>
      </c>
      <c r="B396" t="s">
        <v>95</v>
      </c>
      <c r="C396" s="3">
        <v>45706.639976851853</v>
      </c>
      <c r="D396" t="s">
        <v>95</v>
      </c>
      <c r="E396" s="4">
        <v>2.5286174476146697E-2</v>
      </c>
      <c r="F396" s="4">
        <v>348855.78604281292</v>
      </c>
      <c r="G396" s="4">
        <v>348855.81132898742</v>
      </c>
      <c r="H396" s="5">
        <f t="shared" si="3"/>
        <v>0</v>
      </c>
      <c r="I396" t="s">
        <v>28</v>
      </c>
      <c r="J396" t="s">
        <v>50</v>
      </c>
      <c r="K396" s="5">
        <f>20 / 86400</f>
        <v>2.3148148148148149E-4</v>
      </c>
      <c r="L396" s="5">
        <f>15 / 86400</f>
        <v>1.7361111111111112E-4</v>
      </c>
    </row>
    <row r="397" spans="1:12" x14ac:dyDescent="0.25">
      <c r="A397" s="3">
        <v>45706.640150462961</v>
      </c>
      <c r="B397" t="s">
        <v>95</v>
      </c>
      <c r="C397" s="3">
        <v>45706.64061342593</v>
      </c>
      <c r="D397" t="s">
        <v>95</v>
      </c>
      <c r="E397" s="4">
        <v>9.1813771665096286E-2</v>
      </c>
      <c r="F397" s="4">
        <v>348855.81351405493</v>
      </c>
      <c r="G397" s="4">
        <v>348855.90532782662</v>
      </c>
      <c r="H397" s="5">
        <f t="shared" si="3"/>
        <v>0</v>
      </c>
      <c r="I397" t="s">
        <v>171</v>
      </c>
      <c r="J397" t="s">
        <v>147</v>
      </c>
      <c r="K397" s="5">
        <f>40 / 86400</f>
        <v>4.6296296296296298E-4</v>
      </c>
      <c r="L397" s="5">
        <f>20 / 86400</f>
        <v>2.3148148148148149E-4</v>
      </c>
    </row>
    <row r="398" spans="1:12" x14ac:dyDescent="0.25">
      <c r="A398" s="3">
        <v>45706.640844907408</v>
      </c>
      <c r="B398" t="s">
        <v>95</v>
      </c>
      <c r="C398" s="3">
        <v>45706.641539351855</v>
      </c>
      <c r="D398" t="s">
        <v>95</v>
      </c>
      <c r="E398" s="4">
        <v>4.9841857850551605E-2</v>
      </c>
      <c r="F398" s="4">
        <v>348855.93718088069</v>
      </c>
      <c r="G398" s="4">
        <v>348855.9870227385</v>
      </c>
      <c r="H398" s="5">
        <f t="shared" si="3"/>
        <v>0</v>
      </c>
      <c r="I398" t="s">
        <v>25</v>
      </c>
      <c r="J398" t="s">
        <v>170</v>
      </c>
      <c r="K398" s="5">
        <f>60 / 86400</f>
        <v>6.9444444444444447E-4</v>
      </c>
      <c r="L398" s="5">
        <f>40 / 86400</f>
        <v>4.6296296296296298E-4</v>
      </c>
    </row>
    <row r="399" spans="1:12" x14ac:dyDescent="0.25">
      <c r="A399" s="3">
        <v>45706.642002314809</v>
      </c>
      <c r="B399" t="s">
        <v>95</v>
      </c>
      <c r="C399" s="3">
        <v>45706.642233796301</v>
      </c>
      <c r="D399" t="s">
        <v>95</v>
      </c>
      <c r="E399" s="4">
        <v>4.2823994815349577E-2</v>
      </c>
      <c r="F399" s="4">
        <v>348856.01550026448</v>
      </c>
      <c r="G399" s="4">
        <v>348856.0583242593</v>
      </c>
      <c r="H399" s="5">
        <f t="shared" si="3"/>
        <v>0</v>
      </c>
      <c r="I399" t="s">
        <v>25</v>
      </c>
      <c r="J399" t="s">
        <v>147</v>
      </c>
      <c r="K399" s="5">
        <f t="shared" ref="K399:L402" si="4">20 / 86400</f>
        <v>2.3148148148148149E-4</v>
      </c>
      <c r="L399" s="5">
        <f t="shared" si="4"/>
        <v>2.3148148148148149E-4</v>
      </c>
    </row>
    <row r="400" spans="1:12" x14ac:dyDescent="0.25">
      <c r="A400" s="3">
        <v>45706.642465277779</v>
      </c>
      <c r="B400" t="s">
        <v>95</v>
      </c>
      <c r="C400" s="3">
        <v>45706.642696759256</v>
      </c>
      <c r="D400" t="s">
        <v>95</v>
      </c>
      <c r="E400" s="4">
        <v>6.0145986676216123E-2</v>
      </c>
      <c r="F400" s="4">
        <v>348856.07845220109</v>
      </c>
      <c r="G400" s="4">
        <v>348856.13859818777</v>
      </c>
      <c r="H400" s="5">
        <f t="shared" si="3"/>
        <v>0</v>
      </c>
      <c r="I400" t="s">
        <v>38</v>
      </c>
      <c r="J400" t="s">
        <v>93</v>
      </c>
      <c r="K400" s="5">
        <f t="shared" si="4"/>
        <v>2.3148148148148149E-4</v>
      </c>
      <c r="L400" s="5">
        <f t="shared" si="4"/>
        <v>2.3148148148148149E-4</v>
      </c>
    </row>
    <row r="401" spans="1:12" x14ac:dyDescent="0.25">
      <c r="A401" s="3">
        <v>45706.642928240741</v>
      </c>
      <c r="B401" t="s">
        <v>95</v>
      </c>
      <c r="C401" s="3">
        <v>45706.643159722225</v>
      </c>
      <c r="D401" t="s">
        <v>95</v>
      </c>
      <c r="E401" s="4">
        <v>1.1905752062797547E-2</v>
      </c>
      <c r="F401" s="4">
        <v>348856.15341120964</v>
      </c>
      <c r="G401" s="4">
        <v>348856.16531696171</v>
      </c>
      <c r="H401" s="5">
        <f t="shared" si="3"/>
        <v>0</v>
      </c>
      <c r="I401" t="s">
        <v>32</v>
      </c>
      <c r="J401" t="s">
        <v>111</v>
      </c>
      <c r="K401" s="5">
        <f t="shared" si="4"/>
        <v>2.3148148148148149E-4</v>
      </c>
      <c r="L401" s="5">
        <f t="shared" si="4"/>
        <v>2.3148148148148149E-4</v>
      </c>
    </row>
    <row r="402" spans="1:12" x14ac:dyDescent="0.25">
      <c r="A402" s="3">
        <v>45706.643391203703</v>
      </c>
      <c r="B402" t="s">
        <v>95</v>
      </c>
      <c r="C402" s="3">
        <v>45706.64362268518</v>
      </c>
      <c r="D402" t="s">
        <v>95</v>
      </c>
      <c r="E402" s="4">
        <v>1.4986239075660705E-2</v>
      </c>
      <c r="F402" s="4">
        <v>348856.24601896672</v>
      </c>
      <c r="G402" s="4">
        <v>348856.2610052058</v>
      </c>
      <c r="H402" s="5">
        <f t="shared" si="3"/>
        <v>0</v>
      </c>
      <c r="I402" t="s">
        <v>25</v>
      </c>
      <c r="J402" t="s">
        <v>170</v>
      </c>
      <c r="K402" s="5">
        <f t="shared" si="4"/>
        <v>2.3148148148148149E-4</v>
      </c>
      <c r="L402" s="5">
        <f t="shared" si="4"/>
        <v>2.3148148148148149E-4</v>
      </c>
    </row>
    <row r="403" spans="1:12" x14ac:dyDescent="0.25">
      <c r="A403" s="3">
        <v>45706.643854166672</v>
      </c>
      <c r="B403" t="s">
        <v>95</v>
      </c>
      <c r="C403" s="3">
        <v>45706.644548611112</v>
      </c>
      <c r="D403" t="s">
        <v>95</v>
      </c>
      <c r="E403" s="4">
        <v>0.12773621821403502</v>
      </c>
      <c r="F403" s="4">
        <v>348856.2941115654</v>
      </c>
      <c r="G403" s="4">
        <v>348856.42184778361</v>
      </c>
      <c r="H403" s="5">
        <f t="shared" si="3"/>
        <v>0</v>
      </c>
      <c r="I403" t="s">
        <v>25</v>
      </c>
      <c r="J403" t="s">
        <v>147</v>
      </c>
      <c r="K403" s="5">
        <f>60 / 86400</f>
        <v>6.9444444444444447E-4</v>
      </c>
      <c r="L403" s="5">
        <f>14 / 86400</f>
        <v>1.6203703703703703E-4</v>
      </c>
    </row>
    <row r="404" spans="1:12" x14ac:dyDescent="0.25">
      <c r="A404" s="3">
        <v>45706.64471064815</v>
      </c>
      <c r="B404" t="s">
        <v>309</v>
      </c>
      <c r="C404" s="3">
        <v>45706.645405092597</v>
      </c>
      <c r="D404" t="s">
        <v>95</v>
      </c>
      <c r="E404" s="4">
        <v>0.1606607719063759</v>
      </c>
      <c r="F404" s="4">
        <v>348856.42466921569</v>
      </c>
      <c r="G404" s="4">
        <v>348856.58532998757</v>
      </c>
      <c r="H404" s="5">
        <f t="shared" si="3"/>
        <v>0</v>
      </c>
      <c r="I404" t="s">
        <v>57</v>
      </c>
      <c r="J404" t="s">
        <v>159</v>
      </c>
      <c r="K404" s="5">
        <f>60 / 86400</f>
        <v>6.9444444444444447E-4</v>
      </c>
      <c r="L404" s="5">
        <f>40 / 86400</f>
        <v>4.6296296296296298E-4</v>
      </c>
    </row>
    <row r="405" spans="1:12" x14ac:dyDescent="0.25">
      <c r="A405" s="3">
        <v>45706.645868055552</v>
      </c>
      <c r="B405" t="s">
        <v>95</v>
      </c>
      <c r="C405" s="3">
        <v>45706.646099537036</v>
      </c>
      <c r="D405" t="s">
        <v>95</v>
      </c>
      <c r="E405" s="4">
        <v>6.3006394326686865E-2</v>
      </c>
      <c r="F405" s="4">
        <v>348856.60116442817</v>
      </c>
      <c r="G405" s="4">
        <v>348856.66417082248</v>
      </c>
      <c r="H405" s="5">
        <f t="shared" si="3"/>
        <v>0</v>
      </c>
      <c r="I405" t="s">
        <v>38</v>
      </c>
      <c r="J405" t="s">
        <v>93</v>
      </c>
      <c r="K405" s="5">
        <f>20 / 86400</f>
        <v>2.3148148148148149E-4</v>
      </c>
      <c r="L405" s="5">
        <f>20 / 86400</f>
        <v>2.3148148148148149E-4</v>
      </c>
    </row>
    <row r="406" spans="1:12" x14ac:dyDescent="0.25">
      <c r="A406" s="3">
        <v>45706.646331018521</v>
      </c>
      <c r="B406" t="s">
        <v>95</v>
      </c>
      <c r="C406" s="3">
        <v>45706.646562499998</v>
      </c>
      <c r="D406" t="s">
        <v>95</v>
      </c>
      <c r="E406" s="4">
        <v>4.08724912405014E-2</v>
      </c>
      <c r="F406" s="4">
        <v>348856.66761984112</v>
      </c>
      <c r="G406" s="4">
        <v>348856.70849233231</v>
      </c>
      <c r="H406" s="5">
        <f t="shared" si="3"/>
        <v>0</v>
      </c>
      <c r="I406" t="s">
        <v>150</v>
      </c>
      <c r="J406" t="s">
        <v>150</v>
      </c>
      <c r="K406" s="5">
        <f>20 / 86400</f>
        <v>2.3148148148148149E-4</v>
      </c>
      <c r="L406" s="5">
        <f>40 / 86400</f>
        <v>4.6296296296296298E-4</v>
      </c>
    </row>
    <row r="407" spans="1:12" x14ac:dyDescent="0.25">
      <c r="A407" s="3">
        <v>45706.647025462968</v>
      </c>
      <c r="B407" t="s">
        <v>215</v>
      </c>
      <c r="C407" s="3">
        <v>45706.647488425922</v>
      </c>
      <c r="D407" t="s">
        <v>95</v>
      </c>
      <c r="E407" s="4">
        <v>0.12669615888595581</v>
      </c>
      <c r="F407" s="4">
        <v>348856.74739197642</v>
      </c>
      <c r="G407" s="4">
        <v>348856.87408813532</v>
      </c>
      <c r="H407" s="5">
        <f t="shared" si="3"/>
        <v>0</v>
      </c>
      <c r="I407" t="s">
        <v>28</v>
      </c>
      <c r="J407" t="s">
        <v>93</v>
      </c>
      <c r="K407" s="5">
        <f>40 / 86400</f>
        <v>4.6296296296296298E-4</v>
      </c>
      <c r="L407" s="5">
        <f>60 / 86400</f>
        <v>6.9444444444444447E-4</v>
      </c>
    </row>
    <row r="408" spans="1:12" x14ac:dyDescent="0.25">
      <c r="A408" s="3">
        <v>45706.648182870369</v>
      </c>
      <c r="B408" t="s">
        <v>216</v>
      </c>
      <c r="C408" s="3">
        <v>45706.648414351846</v>
      </c>
      <c r="D408" t="s">
        <v>105</v>
      </c>
      <c r="E408" s="4">
        <v>2.4601587474346161E-2</v>
      </c>
      <c r="F408" s="4">
        <v>348856.97378220916</v>
      </c>
      <c r="G408" s="4">
        <v>348856.99838379666</v>
      </c>
      <c r="H408" s="5">
        <f t="shared" si="3"/>
        <v>0</v>
      </c>
      <c r="I408" t="s">
        <v>163</v>
      </c>
      <c r="J408" t="s">
        <v>127</v>
      </c>
      <c r="K408" s="5">
        <f>20 / 86400</f>
        <v>2.3148148148148149E-4</v>
      </c>
      <c r="L408" s="5">
        <f>20 / 86400</f>
        <v>2.3148148148148149E-4</v>
      </c>
    </row>
    <row r="409" spans="1:12" x14ac:dyDescent="0.25">
      <c r="A409" s="3">
        <v>45706.648645833338</v>
      </c>
      <c r="B409" t="s">
        <v>105</v>
      </c>
      <c r="C409" s="3">
        <v>45706.650266203702</v>
      </c>
      <c r="D409" t="s">
        <v>310</v>
      </c>
      <c r="E409" s="4">
        <v>0.65944728225469584</v>
      </c>
      <c r="F409" s="4">
        <v>348857.01051694877</v>
      </c>
      <c r="G409" s="4">
        <v>348857.66996423103</v>
      </c>
      <c r="H409" s="5">
        <f t="shared" si="3"/>
        <v>0</v>
      </c>
      <c r="I409" t="s">
        <v>156</v>
      </c>
      <c r="J409" t="s">
        <v>62</v>
      </c>
      <c r="K409" s="5">
        <f>140 / 86400</f>
        <v>1.6203703703703703E-3</v>
      </c>
      <c r="L409" s="5">
        <f>20 / 86400</f>
        <v>2.3148148148148149E-4</v>
      </c>
    </row>
    <row r="410" spans="1:12" x14ac:dyDescent="0.25">
      <c r="A410" s="3">
        <v>45706.650497685187</v>
      </c>
      <c r="B410" t="s">
        <v>311</v>
      </c>
      <c r="C410" s="3">
        <v>45706.651886574073</v>
      </c>
      <c r="D410" t="s">
        <v>312</v>
      </c>
      <c r="E410" s="4">
        <v>0.42479998332262037</v>
      </c>
      <c r="F410" s="4">
        <v>348857.77363801136</v>
      </c>
      <c r="G410" s="4">
        <v>348858.19843799464</v>
      </c>
      <c r="H410" s="5">
        <f t="shared" si="3"/>
        <v>0</v>
      </c>
      <c r="I410" t="s">
        <v>211</v>
      </c>
      <c r="J410" t="s">
        <v>44</v>
      </c>
      <c r="K410" s="5">
        <f>120 / 86400</f>
        <v>1.3888888888888889E-3</v>
      </c>
      <c r="L410" s="5">
        <f>39 / 86400</f>
        <v>4.5138888888888887E-4</v>
      </c>
    </row>
    <row r="411" spans="1:12" x14ac:dyDescent="0.25">
      <c r="A411" s="3">
        <v>45706.652337962965</v>
      </c>
      <c r="B411" t="s">
        <v>312</v>
      </c>
      <c r="C411" s="3">
        <v>45706.653032407412</v>
      </c>
      <c r="D411" t="s">
        <v>216</v>
      </c>
      <c r="E411" s="4">
        <v>0.2563445371389389</v>
      </c>
      <c r="F411" s="4">
        <v>348858.2064910662</v>
      </c>
      <c r="G411" s="4">
        <v>348858.46283560334</v>
      </c>
      <c r="H411" s="5">
        <f t="shared" si="3"/>
        <v>0</v>
      </c>
      <c r="I411" t="s">
        <v>47</v>
      </c>
      <c r="J411" t="s">
        <v>38</v>
      </c>
      <c r="K411" s="5">
        <f>60 / 86400</f>
        <v>6.9444444444444447E-4</v>
      </c>
      <c r="L411" s="5">
        <f>20 / 86400</f>
        <v>2.3148148148148149E-4</v>
      </c>
    </row>
    <row r="412" spans="1:12" x14ac:dyDescent="0.25">
      <c r="A412" s="3">
        <v>45706.653263888889</v>
      </c>
      <c r="B412" t="s">
        <v>104</v>
      </c>
      <c r="C412" s="3">
        <v>45706.653958333336</v>
      </c>
      <c r="D412" t="s">
        <v>216</v>
      </c>
      <c r="E412" s="4">
        <v>0.52609451067447666</v>
      </c>
      <c r="F412" s="4">
        <v>348858.95124129899</v>
      </c>
      <c r="G412" s="4">
        <v>348859.47733580967</v>
      </c>
      <c r="H412" s="5">
        <f t="shared" si="3"/>
        <v>0</v>
      </c>
      <c r="I412" t="s">
        <v>199</v>
      </c>
      <c r="J412" t="s">
        <v>139</v>
      </c>
      <c r="K412" s="5">
        <f>60 / 86400</f>
        <v>6.9444444444444447E-4</v>
      </c>
      <c r="L412" s="5">
        <f>16 / 86400</f>
        <v>1.8518518518518518E-4</v>
      </c>
    </row>
    <row r="413" spans="1:12" x14ac:dyDescent="0.25">
      <c r="A413" s="3">
        <v>45706.654143518521</v>
      </c>
      <c r="B413" t="s">
        <v>216</v>
      </c>
      <c r="C413" s="3">
        <v>45706.655995370369</v>
      </c>
      <c r="D413" t="s">
        <v>216</v>
      </c>
      <c r="E413" s="4">
        <v>0.89547506874799732</v>
      </c>
      <c r="F413" s="4">
        <v>348859.5117350553</v>
      </c>
      <c r="G413" s="4">
        <v>348860.40721012407</v>
      </c>
      <c r="H413" s="5">
        <f t="shared" si="3"/>
        <v>0</v>
      </c>
      <c r="I413" t="s">
        <v>290</v>
      </c>
      <c r="J413" t="s">
        <v>35</v>
      </c>
      <c r="K413" s="5">
        <f>160 / 86400</f>
        <v>1.8518518518518519E-3</v>
      </c>
      <c r="L413" s="5">
        <f>40 / 86400</f>
        <v>4.6296296296296298E-4</v>
      </c>
    </row>
    <row r="414" spans="1:12" x14ac:dyDescent="0.25">
      <c r="A414" s="3">
        <v>45706.656458333338</v>
      </c>
      <c r="B414" t="s">
        <v>216</v>
      </c>
      <c r="C414" s="3">
        <v>45706.658773148149</v>
      </c>
      <c r="D414" t="s">
        <v>219</v>
      </c>
      <c r="E414" s="4">
        <v>1.5749358451962472</v>
      </c>
      <c r="F414" s="4">
        <v>348860.48847569904</v>
      </c>
      <c r="G414" s="4">
        <v>348862.06341154419</v>
      </c>
      <c r="H414" s="5">
        <f t="shared" si="3"/>
        <v>0</v>
      </c>
      <c r="I414" t="s">
        <v>221</v>
      </c>
      <c r="J414" t="s">
        <v>175</v>
      </c>
      <c r="K414" s="5">
        <f>200 / 86400</f>
        <v>2.3148148148148147E-3</v>
      </c>
      <c r="L414" s="5">
        <f>40 / 86400</f>
        <v>4.6296296296296298E-4</v>
      </c>
    </row>
    <row r="415" spans="1:12" x14ac:dyDescent="0.25">
      <c r="A415" s="3">
        <v>45706.659236111111</v>
      </c>
      <c r="B415" t="s">
        <v>219</v>
      </c>
      <c r="C415" s="3">
        <v>45706.661087962959</v>
      </c>
      <c r="D415" t="s">
        <v>222</v>
      </c>
      <c r="E415" s="4">
        <v>1.251087720155716</v>
      </c>
      <c r="F415" s="4">
        <v>348862.24942239298</v>
      </c>
      <c r="G415" s="4">
        <v>348863.50051011314</v>
      </c>
      <c r="H415" s="5">
        <f t="shared" si="3"/>
        <v>0</v>
      </c>
      <c r="I415" t="s">
        <v>199</v>
      </c>
      <c r="J415" t="s">
        <v>175</v>
      </c>
      <c r="K415" s="5">
        <f>160 / 86400</f>
        <v>1.8518518518518519E-3</v>
      </c>
      <c r="L415" s="5">
        <f>34 / 86400</f>
        <v>3.9351851851851852E-4</v>
      </c>
    </row>
    <row r="416" spans="1:12" x14ac:dyDescent="0.25">
      <c r="A416" s="3">
        <v>45706.661481481482</v>
      </c>
      <c r="B416" t="s">
        <v>223</v>
      </c>
      <c r="C416" s="3">
        <v>45706.662407407406</v>
      </c>
      <c r="D416" t="s">
        <v>224</v>
      </c>
      <c r="E416" s="4">
        <v>9.4819903075695045E-2</v>
      </c>
      <c r="F416" s="4">
        <v>348863.512651283</v>
      </c>
      <c r="G416" s="4">
        <v>348863.60747118609</v>
      </c>
      <c r="H416" s="5">
        <f t="shared" si="3"/>
        <v>0</v>
      </c>
      <c r="I416" t="s">
        <v>25</v>
      </c>
      <c r="J416" t="s">
        <v>127</v>
      </c>
      <c r="K416" s="5">
        <f>80 / 86400</f>
        <v>9.2592592592592596E-4</v>
      </c>
      <c r="L416" s="5">
        <f>1 / 86400</f>
        <v>1.1574074074074073E-5</v>
      </c>
    </row>
    <row r="417" spans="1:12" x14ac:dyDescent="0.25">
      <c r="A417" s="3">
        <v>45706.662418981483</v>
      </c>
      <c r="B417" t="s">
        <v>223</v>
      </c>
      <c r="C417" s="3">
        <v>45706.662650462968</v>
      </c>
      <c r="D417" t="s">
        <v>224</v>
      </c>
      <c r="E417" s="4">
        <v>1.5962227284908294E-2</v>
      </c>
      <c r="F417" s="4">
        <v>348863.62457310414</v>
      </c>
      <c r="G417" s="4">
        <v>348863.64053533145</v>
      </c>
      <c r="H417" s="5">
        <f t="shared" si="3"/>
        <v>0</v>
      </c>
      <c r="I417" t="s">
        <v>171</v>
      </c>
      <c r="J417" t="s">
        <v>170</v>
      </c>
      <c r="K417" s="5">
        <f>20 / 86400</f>
        <v>2.3148148148148149E-4</v>
      </c>
      <c r="L417" s="5">
        <f>13 / 86400</f>
        <v>1.5046296296296297E-4</v>
      </c>
    </row>
    <row r="418" spans="1:12" x14ac:dyDescent="0.25">
      <c r="A418" s="3">
        <v>45706.662800925929</v>
      </c>
      <c r="B418" t="s">
        <v>224</v>
      </c>
      <c r="C418" s="3">
        <v>45706.663506944446</v>
      </c>
      <c r="D418" t="s">
        <v>220</v>
      </c>
      <c r="E418" s="4">
        <v>0.43862924730777741</v>
      </c>
      <c r="F418" s="4">
        <v>348863.64321408607</v>
      </c>
      <c r="G418" s="4">
        <v>348864.08184333338</v>
      </c>
      <c r="H418" s="5">
        <f t="shared" si="3"/>
        <v>0</v>
      </c>
      <c r="I418" t="s">
        <v>129</v>
      </c>
      <c r="J418" t="s">
        <v>158</v>
      </c>
      <c r="K418" s="5">
        <f>61 / 86400</f>
        <v>7.0601851851851847E-4</v>
      </c>
      <c r="L418" s="5">
        <f>40 / 86400</f>
        <v>4.6296296296296298E-4</v>
      </c>
    </row>
    <row r="419" spans="1:12" x14ac:dyDescent="0.25">
      <c r="A419" s="3">
        <v>45706.663969907408</v>
      </c>
      <c r="B419" t="s">
        <v>220</v>
      </c>
      <c r="C419" s="3">
        <v>45706.664884259255</v>
      </c>
      <c r="D419" t="s">
        <v>313</v>
      </c>
      <c r="E419" s="4">
        <v>0.42004531592130662</v>
      </c>
      <c r="F419" s="4">
        <v>348864.14730040793</v>
      </c>
      <c r="G419" s="4">
        <v>348864.56734572386</v>
      </c>
      <c r="H419" s="5">
        <f t="shared" si="3"/>
        <v>0</v>
      </c>
      <c r="I419" t="s">
        <v>158</v>
      </c>
      <c r="J419" t="s">
        <v>79</v>
      </c>
      <c r="K419" s="5">
        <f>79 / 86400</f>
        <v>9.1435185185185185E-4</v>
      </c>
      <c r="L419" s="5">
        <f>100 / 86400</f>
        <v>1.1574074074074073E-3</v>
      </c>
    </row>
    <row r="420" spans="1:12" x14ac:dyDescent="0.25">
      <c r="A420" s="3">
        <v>45706.666041666671</v>
      </c>
      <c r="B420" t="s">
        <v>226</v>
      </c>
      <c r="C420" s="3">
        <v>45706.666828703703</v>
      </c>
      <c r="D420" t="s">
        <v>314</v>
      </c>
      <c r="E420" s="4">
        <v>0.21364621990919114</v>
      </c>
      <c r="F420" s="4">
        <v>348864.65635489632</v>
      </c>
      <c r="G420" s="4">
        <v>348864.87000111624</v>
      </c>
      <c r="H420" s="5">
        <f t="shared" si="3"/>
        <v>0</v>
      </c>
      <c r="I420" t="s">
        <v>24</v>
      </c>
      <c r="J420" t="s">
        <v>93</v>
      </c>
      <c r="K420" s="5">
        <f>68 / 86400</f>
        <v>7.8703703703703705E-4</v>
      </c>
      <c r="L420" s="5">
        <f>20 / 86400</f>
        <v>2.3148148148148149E-4</v>
      </c>
    </row>
    <row r="421" spans="1:12" x14ac:dyDescent="0.25">
      <c r="A421" s="3">
        <v>45706.66706018518</v>
      </c>
      <c r="B421" t="s">
        <v>314</v>
      </c>
      <c r="C421" s="3">
        <v>45706.667523148149</v>
      </c>
      <c r="D421" t="s">
        <v>314</v>
      </c>
      <c r="E421" s="4">
        <v>4.6793993711471554E-3</v>
      </c>
      <c r="F421" s="4">
        <v>348864.87441705615</v>
      </c>
      <c r="G421" s="4">
        <v>348864.87909645552</v>
      </c>
      <c r="H421" s="5">
        <f t="shared" si="3"/>
        <v>0</v>
      </c>
      <c r="I421" t="s">
        <v>163</v>
      </c>
      <c r="J421" t="s">
        <v>82</v>
      </c>
      <c r="K421" s="5">
        <f>40 / 86400</f>
        <v>4.6296296296296298E-4</v>
      </c>
      <c r="L421" s="5">
        <f>11 / 86400</f>
        <v>1.273148148148148E-4</v>
      </c>
    </row>
    <row r="422" spans="1:12" x14ac:dyDescent="0.25">
      <c r="A422" s="3">
        <v>45706.667650462958</v>
      </c>
      <c r="B422" t="s">
        <v>314</v>
      </c>
      <c r="C422" s="3">
        <v>45706.668576388889</v>
      </c>
      <c r="D422" t="s">
        <v>315</v>
      </c>
      <c r="E422" s="4">
        <v>0.47577716630697248</v>
      </c>
      <c r="F422" s="4">
        <v>348864.88507136184</v>
      </c>
      <c r="G422" s="4">
        <v>348865.36084852816</v>
      </c>
      <c r="H422" s="5">
        <f t="shared" si="3"/>
        <v>0</v>
      </c>
      <c r="I422" t="s">
        <v>188</v>
      </c>
      <c r="J422" t="s">
        <v>136</v>
      </c>
      <c r="K422" s="5">
        <f>80 / 86400</f>
        <v>9.2592592592592596E-4</v>
      </c>
      <c r="L422" s="5">
        <f>20 / 86400</f>
        <v>2.3148148148148149E-4</v>
      </c>
    </row>
    <row r="423" spans="1:12" x14ac:dyDescent="0.25">
      <c r="A423" s="3">
        <v>45706.668807870374</v>
      </c>
      <c r="B423" t="s">
        <v>315</v>
      </c>
      <c r="C423" s="3">
        <v>45706.669965277775</v>
      </c>
      <c r="D423" t="s">
        <v>229</v>
      </c>
      <c r="E423" s="4">
        <v>1.0173593614697456</v>
      </c>
      <c r="F423" s="4">
        <v>348865.42324695695</v>
      </c>
      <c r="G423" s="4">
        <v>348866.44060631841</v>
      </c>
      <c r="H423" s="5">
        <f t="shared" si="3"/>
        <v>0</v>
      </c>
      <c r="I423" t="s">
        <v>308</v>
      </c>
      <c r="J423" t="s">
        <v>211</v>
      </c>
      <c r="K423" s="5">
        <f>100 / 86400</f>
        <v>1.1574074074074073E-3</v>
      </c>
      <c r="L423" s="5">
        <f>40 / 86400</f>
        <v>4.6296296296296298E-4</v>
      </c>
    </row>
    <row r="424" spans="1:12" x14ac:dyDescent="0.25">
      <c r="A424" s="3">
        <v>45706.670428240745</v>
      </c>
      <c r="B424" t="s">
        <v>229</v>
      </c>
      <c r="C424" s="3">
        <v>45706.675069444449</v>
      </c>
      <c r="D424" t="s">
        <v>265</v>
      </c>
      <c r="E424" s="4">
        <v>1.9350380192399026</v>
      </c>
      <c r="F424" s="4">
        <v>348866.48517257691</v>
      </c>
      <c r="G424" s="4">
        <v>348868.42021059612</v>
      </c>
      <c r="H424" s="5">
        <f t="shared" si="3"/>
        <v>0</v>
      </c>
      <c r="I424" t="s">
        <v>169</v>
      </c>
      <c r="J424" t="s">
        <v>62</v>
      </c>
      <c r="K424" s="5">
        <f>401 / 86400</f>
        <v>4.6412037037037038E-3</v>
      </c>
      <c r="L424" s="5">
        <f>20 / 86400</f>
        <v>2.3148148148148149E-4</v>
      </c>
    </row>
    <row r="425" spans="1:12" x14ac:dyDescent="0.25">
      <c r="A425" s="3">
        <v>45706.675300925926</v>
      </c>
      <c r="B425" t="s">
        <v>316</v>
      </c>
      <c r="C425" s="3">
        <v>45706.676226851851</v>
      </c>
      <c r="D425" t="s">
        <v>265</v>
      </c>
      <c r="E425" s="4">
        <v>0.13782199293375016</v>
      </c>
      <c r="F425" s="4">
        <v>348868.45847781427</v>
      </c>
      <c r="G425" s="4">
        <v>348868.59629980719</v>
      </c>
      <c r="H425" s="5">
        <f t="shared" si="3"/>
        <v>0</v>
      </c>
      <c r="I425" t="s">
        <v>150</v>
      </c>
      <c r="J425" t="s">
        <v>32</v>
      </c>
      <c r="K425" s="5">
        <f>80 / 86400</f>
        <v>9.2592592592592596E-4</v>
      </c>
      <c r="L425" s="5">
        <f>20 / 86400</f>
        <v>2.3148148148148149E-4</v>
      </c>
    </row>
    <row r="426" spans="1:12" x14ac:dyDescent="0.25">
      <c r="A426" s="3">
        <v>45706.676458333328</v>
      </c>
      <c r="B426" t="s">
        <v>265</v>
      </c>
      <c r="C426" s="3">
        <v>45706.677384259259</v>
      </c>
      <c r="D426" t="s">
        <v>265</v>
      </c>
      <c r="E426" s="4">
        <v>0.11890583771467209</v>
      </c>
      <c r="F426" s="4">
        <v>348868.61665746151</v>
      </c>
      <c r="G426" s="4">
        <v>348868.73556329921</v>
      </c>
      <c r="H426" s="5">
        <f t="shared" si="3"/>
        <v>0</v>
      </c>
      <c r="I426" t="s">
        <v>44</v>
      </c>
      <c r="J426" t="s">
        <v>50</v>
      </c>
      <c r="K426" s="5">
        <f>80 / 86400</f>
        <v>9.2592592592592596E-4</v>
      </c>
      <c r="L426" s="5">
        <f>20 / 86400</f>
        <v>2.3148148148148149E-4</v>
      </c>
    </row>
    <row r="427" spans="1:12" x14ac:dyDescent="0.25">
      <c r="A427" s="3">
        <v>45706.677615740744</v>
      </c>
      <c r="B427" t="s">
        <v>316</v>
      </c>
      <c r="C427" s="3">
        <v>45706.678599537037</v>
      </c>
      <c r="D427" t="s">
        <v>265</v>
      </c>
      <c r="E427" s="4">
        <v>0.14948770028352737</v>
      </c>
      <c r="F427" s="4">
        <v>348868.77080279012</v>
      </c>
      <c r="G427" s="4">
        <v>348868.92029049038</v>
      </c>
      <c r="H427" s="5">
        <f t="shared" si="3"/>
        <v>0</v>
      </c>
      <c r="I427" t="s">
        <v>147</v>
      </c>
      <c r="J427" t="s">
        <v>32</v>
      </c>
      <c r="K427" s="5">
        <f>85 / 86400</f>
        <v>9.837962962962962E-4</v>
      </c>
      <c r="L427" s="5">
        <f>20 / 86400</f>
        <v>2.3148148148148149E-4</v>
      </c>
    </row>
    <row r="428" spans="1:12" x14ac:dyDescent="0.25">
      <c r="A428" s="3">
        <v>45706.678831018522</v>
      </c>
      <c r="B428" t="s">
        <v>265</v>
      </c>
      <c r="C428" s="3">
        <v>45706.679108796292</v>
      </c>
      <c r="D428" t="s">
        <v>265</v>
      </c>
      <c r="E428" s="4">
        <v>3.7120266497135165E-2</v>
      </c>
      <c r="F428" s="4">
        <v>348868.96681005001</v>
      </c>
      <c r="G428" s="4">
        <v>348869.00393031648</v>
      </c>
      <c r="H428" s="5">
        <f t="shared" si="3"/>
        <v>0</v>
      </c>
      <c r="I428" t="s">
        <v>50</v>
      </c>
      <c r="J428" t="s">
        <v>32</v>
      </c>
      <c r="K428" s="5">
        <f>24 / 86400</f>
        <v>2.7777777777777778E-4</v>
      </c>
      <c r="L428" s="5">
        <f>37 / 86400</f>
        <v>4.2824074074074075E-4</v>
      </c>
    </row>
    <row r="429" spans="1:12" x14ac:dyDescent="0.25">
      <c r="A429" s="3">
        <v>45706.679537037038</v>
      </c>
      <c r="B429" t="s">
        <v>265</v>
      </c>
      <c r="C429" s="3">
        <v>45706.679768518516</v>
      </c>
      <c r="D429" t="s">
        <v>265</v>
      </c>
      <c r="E429" s="4">
        <v>7.052004337310791E-3</v>
      </c>
      <c r="F429" s="4">
        <v>348869.01206240564</v>
      </c>
      <c r="G429" s="4">
        <v>348869.01911440998</v>
      </c>
      <c r="H429" s="5">
        <f t="shared" si="3"/>
        <v>0</v>
      </c>
      <c r="I429" t="s">
        <v>50</v>
      </c>
      <c r="J429" t="s">
        <v>163</v>
      </c>
      <c r="K429" s="5">
        <f>20 / 86400</f>
        <v>2.3148148148148149E-4</v>
      </c>
      <c r="L429" s="5">
        <f>20 / 86400</f>
        <v>2.3148148148148149E-4</v>
      </c>
    </row>
    <row r="430" spans="1:12" x14ac:dyDescent="0.25">
      <c r="A430" s="3">
        <v>45706.68</v>
      </c>
      <c r="B430" t="s">
        <v>265</v>
      </c>
      <c r="C430" s="3">
        <v>45706.680231481485</v>
      </c>
      <c r="D430" t="s">
        <v>265</v>
      </c>
      <c r="E430" s="4">
        <v>1.10636847615242E-2</v>
      </c>
      <c r="F430" s="4">
        <v>348869.03421785502</v>
      </c>
      <c r="G430" s="4">
        <v>348869.04528153979</v>
      </c>
      <c r="H430" s="5">
        <f t="shared" si="3"/>
        <v>0</v>
      </c>
      <c r="I430" t="s">
        <v>170</v>
      </c>
      <c r="J430" t="s">
        <v>111</v>
      </c>
      <c r="K430" s="5">
        <f>20 / 86400</f>
        <v>2.3148148148148149E-4</v>
      </c>
      <c r="L430" s="5">
        <f>80 / 86400</f>
        <v>9.2592592592592596E-4</v>
      </c>
    </row>
    <row r="431" spans="1:12" x14ac:dyDescent="0.25">
      <c r="A431" s="3">
        <v>45706.681157407409</v>
      </c>
      <c r="B431" t="s">
        <v>316</v>
      </c>
      <c r="C431" s="3">
        <v>45706.68168981481</v>
      </c>
      <c r="D431" t="s">
        <v>264</v>
      </c>
      <c r="E431" s="4">
        <v>7.3308655440807349E-2</v>
      </c>
      <c r="F431" s="4">
        <v>348869.05914882425</v>
      </c>
      <c r="G431" s="4">
        <v>348869.13245747972</v>
      </c>
      <c r="H431" s="5">
        <f t="shared" si="3"/>
        <v>0</v>
      </c>
      <c r="I431" t="s">
        <v>25</v>
      </c>
      <c r="J431" t="s">
        <v>32</v>
      </c>
      <c r="K431" s="5">
        <f>46 / 86400</f>
        <v>5.3240740740740744E-4</v>
      </c>
      <c r="L431" s="5">
        <f>20 / 86400</f>
        <v>2.3148148148148149E-4</v>
      </c>
    </row>
    <row r="432" spans="1:12" x14ac:dyDescent="0.25">
      <c r="A432" s="3">
        <v>45706.681921296295</v>
      </c>
      <c r="B432" t="s">
        <v>264</v>
      </c>
      <c r="C432" s="3">
        <v>45706.683078703703</v>
      </c>
      <c r="D432" t="s">
        <v>115</v>
      </c>
      <c r="E432" s="4">
        <v>3.5645773530006405E-2</v>
      </c>
      <c r="F432" s="4">
        <v>348869.13718773465</v>
      </c>
      <c r="G432" s="4">
        <v>348869.17283350817</v>
      </c>
      <c r="H432" s="5">
        <f t="shared" si="3"/>
        <v>0</v>
      </c>
      <c r="I432" t="s">
        <v>170</v>
      </c>
      <c r="J432" t="s">
        <v>163</v>
      </c>
      <c r="K432" s="5">
        <f>100 / 86400</f>
        <v>1.1574074074074073E-3</v>
      </c>
      <c r="L432" s="5">
        <f>220 / 86400</f>
        <v>2.5462962962962965E-3</v>
      </c>
    </row>
    <row r="433" spans="1:12" x14ac:dyDescent="0.25">
      <c r="A433" s="3">
        <v>45706.685624999998</v>
      </c>
      <c r="B433" t="s">
        <v>115</v>
      </c>
      <c r="C433" s="3">
        <v>45706.685856481483</v>
      </c>
      <c r="D433" t="s">
        <v>115</v>
      </c>
      <c r="E433" s="4">
        <v>4.247399926185608E-3</v>
      </c>
      <c r="F433" s="4">
        <v>348869.19935224665</v>
      </c>
      <c r="G433" s="4">
        <v>348869.20359964657</v>
      </c>
      <c r="H433" s="5">
        <f t="shared" si="3"/>
        <v>0</v>
      </c>
      <c r="I433" t="s">
        <v>111</v>
      </c>
      <c r="J433" t="s">
        <v>163</v>
      </c>
      <c r="K433" s="5">
        <f>20 / 86400</f>
        <v>2.3148148148148149E-4</v>
      </c>
      <c r="L433" s="5">
        <f>20 / 86400</f>
        <v>2.3148148148148149E-4</v>
      </c>
    </row>
    <row r="434" spans="1:12" x14ac:dyDescent="0.25">
      <c r="A434" s="3">
        <v>45706.686087962968</v>
      </c>
      <c r="B434" t="s">
        <v>115</v>
      </c>
      <c r="C434" s="3">
        <v>45706.686319444445</v>
      </c>
      <c r="D434" t="s">
        <v>115</v>
      </c>
      <c r="E434" s="4">
        <v>3.9873381853103634E-3</v>
      </c>
      <c r="F434" s="4">
        <v>348869.20795705257</v>
      </c>
      <c r="G434" s="4">
        <v>348869.21194439079</v>
      </c>
      <c r="H434" s="5">
        <f t="shared" si="3"/>
        <v>0</v>
      </c>
      <c r="I434" t="s">
        <v>163</v>
      </c>
      <c r="J434" t="s">
        <v>163</v>
      </c>
      <c r="K434" s="5">
        <f>20 / 86400</f>
        <v>2.3148148148148149E-4</v>
      </c>
      <c r="L434" s="5">
        <f>40 / 86400</f>
        <v>4.6296296296296298E-4</v>
      </c>
    </row>
    <row r="435" spans="1:12" x14ac:dyDescent="0.25">
      <c r="A435" s="3">
        <v>45706.686782407407</v>
      </c>
      <c r="B435" t="s">
        <v>115</v>
      </c>
      <c r="C435" s="3">
        <v>45706.687476851846</v>
      </c>
      <c r="D435" t="s">
        <v>115</v>
      </c>
      <c r="E435" s="4">
        <v>4.8383874237537386E-2</v>
      </c>
      <c r="F435" s="4">
        <v>348869.2250006572</v>
      </c>
      <c r="G435" s="4">
        <v>348869.27338453144</v>
      </c>
      <c r="H435" s="5">
        <f t="shared" si="3"/>
        <v>0</v>
      </c>
      <c r="I435" t="s">
        <v>170</v>
      </c>
      <c r="J435" t="s">
        <v>170</v>
      </c>
      <c r="K435" s="5">
        <f>60 / 86400</f>
        <v>6.9444444444444447E-4</v>
      </c>
      <c r="L435" s="5">
        <f>20 / 86400</f>
        <v>2.3148148148148149E-4</v>
      </c>
    </row>
    <row r="436" spans="1:12" x14ac:dyDescent="0.25">
      <c r="A436" s="3">
        <v>45706.687708333338</v>
      </c>
      <c r="B436" t="s">
        <v>115</v>
      </c>
      <c r="C436" s="3">
        <v>45706.689097222217</v>
      </c>
      <c r="D436" t="s">
        <v>233</v>
      </c>
      <c r="E436" s="4">
        <v>0.57124736362695694</v>
      </c>
      <c r="F436" s="4">
        <v>348869.2910136517</v>
      </c>
      <c r="G436" s="4">
        <v>348869.86226101534</v>
      </c>
      <c r="H436" s="5">
        <f t="shared" si="3"/>
        <v>0</v>
      </c>
      <c r="I436" t="s">
        <v>169</v>
      </c>
      <c r="J436" t="s">
        <v>62</v>
      </c>
      <c r="K436" s="5">
        <f>120 / 86400</f>
        <v>1.3888888888888889E-3</v>
      </c>
      <c r="L436" s="5">
        <f>60 / 86400</f>
        <v>6.9444444444444447E-4</v>
      </c>
    </row>
    <row r="437" spans="1:12" x14ac:dyDescent="0.25">
      <c r="A437" s="3">
        <v>45706.689791666664</v>
      </c>
      <c r="B437" t="s">
        <v>233</v>
      </c>
      <c r="C437" s="3">
        <v>45706.690254629633</v>
      </c>
      <c r="D437" t="s">
        <v>233</v>
      </c>
      <c r="E437" s="4">
        <v>6.1757813096046449E-3</v>
      </c>
      <c r="F437" s="4">
        <v>348869.87589774968</v>
      </c>
      <c r="G437" s="4">
        <v>348869.88207353099</v>
      </c>
      <c r="H437" s="5">
        <f t="shared" si="3"/>
        <v>0</v>
      </c>
      <c r="I437" t="s">
        <v>111</v>
      </c>
      <c r="J437" t="s">
        <v>163</v>
      </c>
      <c r="K437" s="5">
        <f>40 / 86400</f>
        <v>4.6296296296296298E-4</v>
      </c>
      <c r="L437" s="5">
        <f>20 / 86400</f>
        <v>2.3148148148148149E-4</v>
      </c>
    </row>
    <row r="438" spans="1:12" x14ac:dyDescent="0.25">
      <c r="A438" s="3">
        <v>45706.690486111111</v>
      </c>
      <c r="B438" t="s">
        <v>233</v>
      </c>
      <c r="C438" s="3">
        <v>45706.690983796296</v>
      </c>
      <c r="D438" t="s">
        <v>233</v>
      </c>
      <c r="E438" s="4">
        <v>6.4145858049392698E-2</v>
      </c>
      <c r="F438" s="4">
        <v>348869.88376488222</v>
      </c>
      <c r="G438" s="4">
        <v>348869.94791074027</v>
      </c>
      <c r="H438" s="5">
        <f t="shared" si="3"/>
        <v>0</v>
      </c>
      <c r="I438" t="s">
        <v>50</v>
      </c>
      <c r="J438" t="s">
        <v>50</v>
      </c>
      <c r="K438" s="5">
        <f>43 / 86400</f>
        <v>4.9768518518518521E-4</v>
      </c>
      <c r="L438" s="5">
        <f>124 / 86400</f>
        <v>1.4351851851851852E-3</v>
      </c>
    </row>
    <row r="439" spans="1:12" x14ac:dyDescent="0.25">
      <c r="A439" s="3">
        <v>45706.692418981482</v>
      </c>
      <c r="B439" t="s">
        <v>233</v>
      </c>
      <c r="C439" s="3">
        <v>45706.693182870367</v>
      </c>
      <c r="D439" t="s">
        <v>317</v>
      </c>
      <c r="E439" s="4">
        <v>0.49001009702682496</v>
      </c>
      <c r="F439" s="4">
        <v>348869.95882383635</v>
      </c>
      <c r="G439" s="4">
        <v>348870.44883393333</v>
      </c>
      <c r="H439" s="5">
        <f t="shared" si="3"/>
        <v>0</v>
      </c>
      <c r="I439" t="s">
        <v>318</v>
      </c>
      <c r="J439" t="s">
        <v>212</v>
      </c>
      <c r="K439" s="5">
        <f>66 / 86400</f>
        <v>7.6388888888888893E-4</v>
      </c>
      <c r="L439" s="5">
        <f>70 / 86400</f>
        <v>8.1018518518518516E-4</v>
      </c>
    </row>
    <row r="440" spans="1:12" x14ac:dyDescent="0.25">
      <c r="A440" s="3">
        <v>45706.693993055553</v>
      </c>
      <c r="B440" t="s">
        <v>317</v>
      </c>
      <c r="C440" s="3">
        <v>45706.695405092592</v>
      </c>
      <c r="D440" t="s">
        <v>258</v>
      </c>
      <c r="E440" s="4">
        <v>0.98934298253059383</v>
      </c>
      <c r="F440" s="4">
        <v>348870.46365956828</v>
      </c>
      <c r="G440" s="4">
        <v>348871.45300255081</v>
      </c>
      <c r="H440" s="5">
        <f t="shared" si="3"/>
        <v>0</v>
      </c>
      <c r="I440" t="s">
        <v>135</v>
      </c>
      <c r="J440" t="s">
        <v>182</v>
      </c>
      <c r="K440" s="5">
        <f>122 / 86400</f>
        <v>1.4120370370370369E-3</v>
      </c>
      <c r="L440" s="5">
        <f>20 / 86400</f>
        <v>2.3148148148148149E-4</v>
      </c>
    </row>
    <row r="441" spans="1:12" x14ac:dyDescent="0.25">
      <c r="A441" s="3">
        <v>45706.695636574077</v>
      </c>
      <c r="B441" t="s">
        <v>258</v>
      </c>
      <c r="C441" s="3">
        <v>45706.697256944448</v>
      </c>
      <c r="D441" t="s">
        <v>236</v>
      </c>
      <c r="E441" s="4">
        <v>0.72669097399711613</v>
      </c>
      <c r="F441" s="4">
        <v>348871.48517063906</v>
      </c>
      <c r="G441" s="4">
        <v>348872.21186161303</v>
      </c>
      <c r="H441" s="5">
        <f t="shared" si="3"/>
        <v>0</v>
      </c>
      <c r="I441" t="s">
        <v>49</v>
      </c>
      <c r="J441" t="s">
        <v>79</v>
      </c>
      <c r="K441" s="5">
        <f>140 / 86400</f>
        <v>1.6203703703703703E-3</v>
      </c>
      <c r="L441" s="5">
        <f>20 / 86400</f>
        <v>2.3148148148148149E-4</v>
      </c>
    </row>
    <row r="442" spans="1:12" x14ac:dyDescent="0.25">
      <c r="A442" s="3">
        <v>45706.697488425925</v>
      </c>
      <c r="B442" t="s">
        <v>319</v>
      </c>
      <c r="C442" s="3">
        <v>45706.699594907404</v>
      </c>
      <c r="D442" t="s">
        <v>320</v>
      </c>
      <c r="E442" s="4">
        <v>0.43987092369794845</v>
      </c>
      <c r="F442" s="4">
        <v>348872.49545906385</v>
      </c>
      <c r="G442" s="4">
        <v>348872.93532998755</v>
      </c>
      <c r="H442" s="5">
        <f t="shared" si="3"/>
        <v>0</v>
      </c>
      <c r="I442" t="s">
        <v>162</v>
      </c>
      <c r="J442" t="s">
        <v>171</v>
      </c>
      <c r="K442" s="5">
        <f>182 / 86400</f>
        <v>2.1064814814814813E-3</v>
      </c>
      <c r="L442" s="5">
        <f>40 / 86400</f>
        <v>4.6296296296296298E-4</v>
      </c>
    </row>
    <row r="443" spans="1:12" x14ac:dyDescent="0.25">
      <c r="A443" s="3">
        <v>45706.700057870374</v>
      </c>
      <c r="B443" t="s">
        <v>320</v>
      </c>
      <c r="C443" s="3">
        <v>45706.700960648144</v>
      </c>
      <c r="D443" t="s">
        <v>100</v>
      </c>
      <c r="E443" s="4">
        <v>0.36824404460191729</v>
      </c>
      <c r="F443" s="4">
        <v>348872.95267871971</v>
      </c>
      <c r="G443" s="4">
        <v>348873.32092276431</v>
      </c>
      <c r="H443" s="5">
        <f t="shared" si="3"/>
        <v>0</v>
      </c>
      <c r="I443" t="s">
        <v>24</v>
      </c>
      <c r="J443" t="s">
        <v>62</v>
      </c>
      <c r="K443" s="5">
        <f>78 / 86400</f>
        <v>9.0277777777777774E-4</v>
      </c>
      <c r="L443" s="5">
        <f>20 / 86400</f>
        <v>2.3148148148148149E-4</v>
      </c>
    </row>
    <row r="444" spans="1:12" x14ac:dyDescent="0.25">
      <c r="A444" s="3">
        <v>45706.701192129629</v>
      </c>
      <c r="B444" t="s">
        <v>100</v>
      </c>
      <c r="C444" s="3">
        <v>45706.701655092591</v>
      </c>
      <c r="D444" t="s">
        <v>100</v>
      </c>
      <c r="E444" s="4">
        <v>0.15220181423425674</v>
      </c>
      <c r="F444" s="4">
        <v>348873.34161676961</v>
      </c>
      <c r="G444" s="4">
        <v>348873.49381858384</v>
      </c>
      <c r="H444" s="5">
        <f t="shared" ref="H444:H507" si="5">0 / 86400</f>
        <v>0</v>
      </c>
      <c r="I444" t="s">
        <v>28</v>
      </c>
      <c r="J444" t="s">
        <v>57</v>
      </c>
      <c r="K444" s="5">
        <f>40 / 86400</f>
        <v>4.6296296296296298E-4</v>
      </c>
      <c r="L444" s="5">
        <f>61 / 86400</f>
        <v>7.0601851851851847E-4</v>
      </c>
    </row>
    <row r="445" spans="1:12" x14ac:dyDescent="0.25">
      <c r="A445" s="3">
        <v>45706.702361111107</v>
      </c>
      <c r="B445" t="s">
        <v>321</v>
      </c>
      <c r="C445" s="3">
        <v>45706.704351851848</v>
      </c>
      <c r="D445" t="s">
        <v>322</v>
      </c>
      <c r="E445" s="4">
        <v>0.73129707813262934</v>
      </c>
      <c r="F445" s="4">
        <v>348873.56973549997</v>
      </c>
      <c r="G445" s="4">
        <v>348874.30103257811</v>
      </c>
      <c r="H445" s="5">
        <f t="shared" si="5"/>
        <v>0</v>
      </c>
      <c r="I445" t="s">
        <v>135</v>
      </c>
      <c r="J445" t="s">
        <v>38</v>
      </c>
      <c r="K445" s="5">
        <f>172 / 86400</f>
        <v>1.9907407407407408E-3</v>
      </c>
      <c r="L445" s="5">
        <f>20 / 86400</f>
        <v>2.3148148148148149E-4</v>
      </c>
    </row>
    <row r="446" spans="1:12" x14ac:dyDescent="0.25">
      <c r="A446" s="3">
        <v>45706.704583333332</v>
      </c>
      <c r="B446" t="s">
        <v>323</v>
      </c>
      <c r="C446" s="3">
        <v>45706.704814814817</v>
      </c>
      <c r="D446" t="s">
        <v>324</v>
      </c>
      <c r="E446" s="4">
        <v>0.10294571793079377</v>
      </c>
      <c r="F446" s="4">
        <v>348874.32238047541</v>
      </c>
      <c r="G446" s="4">
        <v>348874.42532619333</v>
      </c>
      <c r="H446" s="5">
        <f t="shared" si="5"/>
        <v>0</v>
      </c>
      <c r="I446" t="s">
        <v>44</v>
      </c>
      <c r="J446" t="s">
        <v>79</v>
      </c>
      <c r="K446" s="5">
        <f>20 / 86400</f>
        <v>2.3148148148148149E-4</v>
      </c>
      <c r="L446" s="5">
        <f>55 / 86400</f>
        <v>6.3657407407407413E-4</v>
      </c>
    </row>
    <row r="447" spans="1:12" x14ac:dyDescent="0.25">
      <c r="A447" s="3">
        <v>45706.705451388887</v>
      </c>
      <c r="B447" t="s">
        <v>325</v>
      </c>
      <c r="C447" s="3">
        <v>45706.705914351856</v>
      </c>
      <c r="D447" t="s">
        <v>326</v>
      </c>
      <c r="E447" s="4">
        <v>0.2102127383351326</v>
      </c>
      <c r="F447" s="4">
        <v>348874.43251790694</v>
      </c>
      <c r="G447" s="4">
        <v>348874.64273064531</v>
      </c>
      <c r="H447" s="5">
        <f t="shared" si="5"/>
        <v>0</v>
      </c>
      <c r="I447" t="s">
        <v>152</v>
      </c>
      <c r="J447" t="s">
        <v>79</v>
      </c>
      <c r="K447" s="5">
        <f>40 / 86400</f>
        <v>4.6296296296296298E-4</v>
      </c>
      <c r="L447" s="5">
        <f>40 / 86400</f>
        <v>4.6296296296296298E-4</v>
      </c>
    </row>
    <row r="448" spans="1:12" x14ac:dyDescent="0.25">
      <c r="A448" s="3">
        <v>45706.706377314811</v>
      </c>
      <c r="B448" t="s">
        <v>327</v>
      </c>
      <c r="C448" s="3">
        <v>45706.707303240742</v>
      </c>
      <c r="D448" t="s">
        <v>328</v>
      </c>
      <c r="E448" s="4">
        <v>0.27915557974576949</v>
      </c>
      <c r="F448" s="4">
        <v>348874.70156618109</v>
      </c>
      <c r="G448" s="4">
        <v>348874.98072176083</v>
      </c>
      <c r="H448" s="5">
        <f t="shared" si="5"/>
        <v>0</v>
      </c>
      <c r="I448" t="s">
        <v>162</v>
      </c>
      <c r="J448" t="s">
        <v>44</v>
      </c>
      <c r="K448" s="5">
        <f>80 / 86400</f>
        <v>9.2592592592592596E-4</v>
      </c>
      <c r="L448" s="5">
        <f>8 / 86400</f>
        <v>9.2592592592592588E-5</v>
      </c>
    </row>
    <row r="449" spans="1:12" x14ac:dyDescent="0.25">
      <c r="A449" s="3">
        <v>45706.707395833335</v>
      </c>
      <c r="B449" t="s">
        <v>328</v>
      </c>
      <c r="C449" s="3">
        <v>45706.707858796297</v>
      </c>
      <c r="D449" t="s">
        <v>329</v>
      </c>
      <c r="E449" s="4">
        <v>0.18760416138172151</v>
      </c>
      <c r="F449" s="4">
        <v>348874.99108161678</v>
      </c>
      <c r="G449" s="4">
        <v>348875.17868577817</v>
      </c>
      <c r="H449" s="5">
        <f t="shared" si="5"/>
        <v>0</v>
      </c>
      <c r="I449" t="s">
        <v>139</v>
      </c>
      <c r="J449" t="s">
        <v>62</v>
      </c>
      <c r="K449" s="5">
        <f>40 / 86400</f>
        <v>4.6296296296296298E-4</v>
      </c>
      <c r="L449" s="5">
        <f>17 / 86400</f>
        <v>1.9675925925925926E-4</v>
      </c>
    </row>
    <row r="450" spans="1:12" x14ac:dyDescent="0.25">
      <c r="A450" s="3">
        <v>45706.708055555559</v>
      </c>
      <c r="B450" t="s">
        <v>330</v>
      </c>
      <c r="C450" s="3">
        <v>45706.708321759259</v>
      </c>
      <c r="D450" t="s">
        <v>329</v>
      </c>
      <c r="E450" s="4">
        <v>2.7991970360279082E-2</v>
      </c>
      <c r="F450" s="4">
        <v>348875.18643157906</v>
      </c>
      <c r="G450" s="4">
        <v>348875.21442354942</v>
      </c>
      <c r="H450" s="5">
        <f t="shared" si="5"/>
        <v>0</v>
      </c>
      <c r="I450" t="s">
        <v>28</v>
      </c>
      <c r="J450" t="s">
        <v>127</v>
      </c>
      <c r="K450" s="5">
        <f>23 / 86400</f>
        <v>2.6620370370370372E-4</v>
      </c>
      <c r="L450" s="5">
        <f>26 / 86400</f>
        <v>3.0092592592592595E-4</v>
      </c>
    </row>
    <row r="451" spans="1:12" x14ac:dyDescent="0.25">
      <c r="A451" s="3">
        <v>45706.708622685182</v>
      </c>
      <c r="B451" t="s">
        <v>329</v>
      </c>
      <c r="C451" s="3">
        <v>45706.709317129629</v>
      </c>
      <c r="D451" t="s">
        <v>331</v>
      </c>
      <c r="E451" s="4">
        <v>0.32588028472661973</v>
      </c>
      <c r="F451" s="4">
        <v>348875.22270079062</v>
      </c>
      <c r="G451" s="4">
        <v>348875.54858107539</v>
      </c>
      <c r="H451" s="5">
        <f t="shared" si="5"/>
        <v>0</v>
      </c>
      <c r="I451" t="s">
        <v>143</v>
      </c>
      <c r="J451" t="s">
        <v>35</v>
      </c>
      <c r="K451" s="5">
        <f>60 / 86400</f>
        <v>6.9444444444444447E-4</v>
      </c>
      <c r="L451" s="5">
        <f>60 / 86400</f>
        <v>6.9444444444444447E-4</v>
      </c>
    </row>
    <row r="452" spans="1:12" x14ac:dyDescent="0.25">
      <c r="A452" s="3">
        <v>45706.710011574076</v>
      </c>
      <c r="B452" t="s">
        <v>331</v>
      </c>
      <c r="C452" s="3">
        <v>45706.710277777776</v>
      </c>
      <c r="D452" t="s">
        <v>331</v>
      </c>
      <c r="E452" s="4">
        <v>2.6820736646652223E-2</v>
      </c>
      <c r="F452" s="4">
        <v>348875.58078657818</v>
      </c>
      <c r="G452" s="4">
        <v>348875.60760731483</v>
      </c>
      <c r="H452" s="5">
        <f t="shared" si="5"/>
        <v>0</v>
      </c>
      <c r="I452" t="s">
        <v>171</v>
      </c>
      <c r="J452" t="s">
        <v>127</v>
      </c>
      <c r="K452" s="5">
        <f>23 / 86400</f>
        <v>2.6620370370370372E-4</v>
      </c>
      <c r="L452" s="5">
        <f>8 / 86400</f>
        <v>9.2592592592592588E-5</v>
      </c>
    </row>
    <row r="453" spans="1:12" x14ac:dyDescent="0.25">
      <c r="A453" s="3">
        <v>45706.710370370369</v>
      </c>
      <c r="B453" t="s">
        <v>332</v>
      </c>
      <c r="C453" s="3">
        <v>45706.711064814815</v>
      </c>
      <c r="D453" t="s">
        <v>333</v>
      </c>
      <c r="E453" s="4">
        <v>0.235546923995018</v>
      </c>
      <c r="F453" s="4">
        <v>348875.61801163346</v>
      </c>
      <c r="G453" s="4">
        <v>348875.85355855746</v>
      </c>
      <c r="H453" s="5">
        <f t="shared" si="5"/>
        <v>0</v>
      </c>
      <c r="I453" t="s">
        <v>143</v>
      </c>
      <c r="J453" t="s">
        <v>57</v>
      </c>
      <c r="K453" s="5">
        <f>60 / 86400</f>
        <v>6.9444444444444447E-4</v>
      </c>
      <c r="L453" s="5">
        <f>174 / 86400</f>
        <v>2.0138888888888888E-3</v>
      </c>
    </row>
    <row r="454" spans="1:12" x14ac:dyDescent="0.25">
      <c r="A454" s="3">
        <v>45706.713078703702</v>
      </c>
      <c r="B454" t="s">
        <v>333</v>
      </c>
      <c r="C454" s="3">
        <v>45706.713541666672</v>
      </c>
      <c r="D454" t="s">
        <v>333</v>
      </c>
      <c r="E454" s="4">
        <v>4.3204546570777894E-2</v>
      </c>
      <c r="F454" s="4">
        <v>348875.86447238683</v>
      </c>
      <c r="G454" s="4">
        <v>348875.90767693339</v>
      </c>
      <c r="H454" s="5">
        <f t="shared" si="5"/>
        <v>0</v>
      </c>
      <c r="I454" t="s">
        <v>171</v>
      </c>
      <c r="J454" t="s">
        <v>127</v>
      </c>
      <c r="K454" s="5">
        <f>40 / 86400</f>
        <v>4.6296296296296298E-4</v>
      </c>
      <c r="L454" s="5">
        <f>60 / 86400</f>
        <v>6.9444444444444447E-4</v>
      </c>
    </row>
    <row r="455" spans="1:12" x14ac:dyDescent="0.25">
      <c r="A455" s="3">
        <v>45706.714236111111</v>
      </c>
      <c r="B455" t="s">
        <v>334</v>
      </c>
      <c r="C455" s="3">
        <v>45706.71493055555</v>
      </c>
      <c r="D455" t="s">
        <v>335</v>
      </c>
      <c r="E455" s="4">
        <v>2.2324781358242035E-2</v>
      </c>
      <c r="F455" s="4">
        <v>348875.91882233368</v>
      </c>
      <c r="G455" s="4">
        <v>348875.94114711502</v>
      </c>
      <c r="H455" s="5">
        <f t="shared" si="5"/>
        <v>0</v>
      </c>
      <c r="I455" t="s">
        <v>163</v>
      </c>
      <c r="J455" t="s">
        <v>163</v>
      </c>
      <c r="K455" s="5">
        <f>60 / 86400</f>
        <v>6.9444444444444447E-4</v>
      </c>
      <c r="L455" s="5">
        <f>100 / 86400</f>
        <v>1.1574074074074073E-3</v>
      </c>
    </row>
    <row r="456" spans="1:12" x14ac:dyDescent="0.25">
      <c r="A456" s="3">
        <v>45706.716087962966</v>
      </c>
      <c r="B456" t="s">
        <v>336</v>
      </c>
      <c r="C456" s="3">
        <v>45706.716550925921</v>
      </c>
      <c r="D456" t="s">
        <v>335</v>
      </c>
      <c r="E456" s="4">
        <v>2.6197748184204103E-2</v>
      </c>
      <c r="F456" s="4">
        <v>348875.9679361803</v>
      </c>
      <c r="G456" s="4">
        <v>348875.9941339285</v>
      </c>
      <c r="H456" s="5">
        <f t="shared" si="5"/>
        <v>0</v>
      </c>
      <c r="I456" t="s">
        <v>127</v>
      </c>
      <c r="J456" t="s">
        <v>111</v>
      </c>
      <c r="K456" s="5">
        <f>40 / 86400</f>
        <v>4.6296296296296298E-4</v>
      </c>
      <c r="L456" s="5">
        <f>160 / 86400</f>
        <v>1.8518518518518519E-3</v>
      </c>
    </row>
    <row r="457" spans="1:12" x14ac:dyDescent="0.25">
      <c r="A457" s="3">
        <v>45706.718402777777</v>
      </c>
      <c r="B457" t="s">
        <v>335</v>
      </c>
      <c r="C457" s="3">
        <v>45706.718657407408</v>
      </c>
      <c r="D457" t="s">
        <v>335</v>
      </c>
      <c r="E457" s="4">
        <v>1.4142917454242706E-2</v>
      </c>
      <c r="F457" s="4">
        <v>348876.01503668906</v>
      </c>
      <c r="G457" s="4">
        <v>348876.02917960647</v>
      </c>
      <c r="H457" s="5">
        <f t="shared" si="5"/>
        <v>0</v>
      </c>
      <c r="I457" t="s">
        <v>32</v>
      </c>
      <c r="J457" t="s">
        <v>111</v>
      </c>
      <c r="K457" s="5">
        <f>22 / 86400</f>
        <v>2.5462962962962961E-4</v>
      </c>
      <c r="L457" s="5">
        <f>20 / 86400</f>
        <v>2.3148148148148149E-4</v>
      </c>
    </row>
    <row r="458" spans="1:12" x14ac:dyDescent="0.25">
      <c r="A458" s="3">
        <v>45706.718888888892</v>
      </c>
      <c r="B458" t="s">
        <v>337</v>
      </c>
      <c r="C458" s="3">
        <v>45706.721296296295</v>
      </c>
      <c r="D458" t="s">
        <v>331</v>
      </c>
      <c r="E458" s="4">
        <v>0.56949458146095278</v>
      </c>
      <c r="F458" s="4">
        <v>348876.03347869974</v>
      </c>
      <c r="G458" s="4">
        <v>348876.60297328123</v>
      </c>
      <c r="H458" s="5">
        <f t="shared" si="5"/>
        <v>0</v>
      </c>
      <c r="I458" t="s">
        <v>35</v>
      </c>
      <c r="J458" t="s">
        <v>159</v>
      </c>
      <c r="K458" s="5">
        <f>208 / 86400</f>
        <v>2.4074074074074076E-3</v>
      </c>
      <c r="L458" s="5">
        <f>20 / 86400</f>
        <v>2.3148148148148149E-4</v>
      </c>
    </row>
    <row r="459" spans="1:12" x14ac:dyDescent="0.25">
      <c r="A459" s="3">
        <v>45706.72152777778</v>
      </c>
      <c r="B459" t="s">
        <v>331</v>
      </c>
      <c r="C459" s="3">
        <v>45706.722453703704</v>
      </c>
      <c r="D459" t="s">
        <v>338</v>
      </c>
      <c r="E459" s="4">
        <v>0.18249999028444291</v>
      </c>
      <c r="F459" s="4">
        <v>348876.60816071247</v>
      </c>
      <c r="G459" s="4">
        <v>348876.79066070274</v>
      </c>
      <c r="H459" s="5">
        <f t="shared" si="5"/>
        <v>0</v>
      </c>
      <c r="I459" t="s">
        <v>136</v>
      </c>
      <c r="J459" t="s">
        <v>147</v>
      </c>
      <c r="K459" s="5">
        <f>80 / 86400</f>
        <v>9.2592592592592596E-4</v>
      </c>
      <c r="L459" s="5">
        <f>22 / 86400</f>
        <v>2.5462962962962961E-4</v>
      </c>
    </row>
    <row r="460" spans="1:12" x14ac:dyDescent="0.25">
      <c r="A460" s="3">
        <v>45706.722708333335</v>
      </c>
      <c r="B460" t="s">
        <v>338</v>
      </c>
      <c r="C460" s="3">
        <v>45706.724074074074</v>
      </c>
      <c r="D460" t="s">
        <v>339</v>
      </c>
      <c r="E460" s="4">
        <v>0.20368210661411285</v>
      </c>
      <c r="F460" s="4">
        <v>348876.79989018029</v>
      </c>
      <c r="G460" s="4">
        <v>348877.00357228692</v>
      </c>
      <c r="H460" s="5">
        <f t="shared" si="5"/>
        <v>0</v>
      </c>
      <c r="I460" t="s">
        <v>44</v>
      </c>
      <c r="J460" t="s">
        <v>32</v>
      </c>
      <c r="K460" s="5">
        <f>118 / 86400</f>
        <v>1.3657407407407407E-3</v>
      </c>
      <c r="L460" s="5">
        <f>51 / 86400</f>
        <v>5.9027777777777778E-4</v>
      </c>
    </row>
    <row r="461" spans="1:12" x14ac:dyDescent="0.25">
      <c r="A461" s="3">
        <v>45706.724664351852</v>
      </c>
      <c r="B461" t="s">
        <v>339</v>
      </c>
      <c r="C461" s="3">
        <v>45706.725127314814</v>
      </c>
      <c r="D461" t="s">
        <v>340</v>
      </c>
      <c r="E461" s="4">
        <v>0.15099215239286423</v>
      </c>
      <c r="F461" s="4">
        <v>348877.01646593871</v>
      </c>
      <c r="G461" s="4">
        <v>348877.16745809111</v>
      </c>
      <c r="H461" s="5">
        <f t="shared" si="5"/>
        <v>0</v>
      </c>
      <c r="I461" t="s">
        <v>31</v>
      </c>
      <c r="J461" t="s">
        <v>57</v>
      </c>
      <c r="K461" s="5">
        <f>40 / 86400</f>
        <v>4.6296296296296298E-4</v>
      </c>
      <c r="L461" s="5">
        <f>20 / 86400</f>
        <v>2.3148148148148149E-4</v>
      </c>
    </row>
    <row r="462" spans="1:12" x14ac:dyDescent="0.25">
      <c r="A462" s="3">
        <v>45706.725358796291</v>
      </c>
      <c r="B462" t="s">
        <v>340</v>
      </c>
      <c r="C462" s="3">
        <v>45706.726793981477</v>
      </c>
      <c r="D462" t="s">
        <v>322</v>
      </c>
      <c r="E462" s="4">
        <v>0.56658646583557126</v>
      </c>
      <c r="F462" s="4">
        <v>348877.20161321084</v>
      </c>
      <c r="G462" s="4">
        <v>348877.76819967671</v>
      </c>
      <c r="H462" s="5">
        <f t="shared" si="5"/>
        <v>0</v>
      </c>
      <c r="I462" t="s">
        <v>158</v>
      </c>
      <c r="J462" t="s">
        <v>28</v>
      </c>
      <c r="K462" s="5">
        <f>124 / 86400</f>
        <v>1.4351851851851852E-3</v>
      </c>
      <c r="L462" s="5">
        <f>13 / 86400</f>
        <v>1.5046296296296297E-4</v>
      </c>
    </row>
    <row r="463" spans="1:12" x14ac:dyDescent="0.25">
      <c r="A463" s="3">
        <v>45706.726944444439</v>
      </c>
      <c r="B463" t="s">
        <v>322</v>
      </c>
      <c r="C463" s="3">
        <v>45706.727986111116</v>
      </c>
      <c r="D463" t="s">
        <v>341</v>
      </c>
      <c r="E463" s="4">
        <v>0.24941869348287582</v>
      </c>
      <c r="F463" s="4">
        <v>348877.77906247065</v>
      </c>
      <c r="G463" s="4">
        <v>348878.02848116413</v>
      </c>
      <c r="H463" s="5">
        <f t="shared" si="5"/>
        <v>0</v>
      </c>
      <c r="I463" t="s">
        <v>62</v>
      </c>
      <c r="J463" t="s">
        <v>159</v>
      </c>
      <c r="K463" s="5">
        <f>90 / 86400</f>
        <v>1.0416666666666667E-3</v>
      </c>
      <c r="L463" s="5">
        <f>39 / 86400</f>
        <v>4.5138888888888887E-4</v>
      </c>
    </row>
    <row r="464" spans="1:12" x14ac:dyDescent="0.25">
      <c r="A464" s="3">
        <v>45706.728437500002</v>
      </c>
      <c r="B464" t="s">
        <v>341</v>
      </c>
      <c r="C464" s="3">
        <v>45706.729120370372</v>
      </c>
      <c r="D464" t="s">
        <v>342</v>
      </c>
      <c r="E464" s="4">
        <v>0.14947742807865144</v>
      </c>
      <c r="F464" s="4">
        <v>348878.03404964478</v>
      </c>
      <c r="G464" s="4">
        <v>348878.18352707283</v>
      </c>
      <c r="H464" s="5">
        <f t="shared" si="5"/>
        <v>0</v>
      </c>
      <c r="I464" t="s">
        <v>159</v>
      </c>
      <c r="J464" t="s">
        <v>171</v>
      </c>
      <c r="K464" s="5">
        <f>59 / 86400</f>
        <v>6.8287037037037036E-4</v>
      </c>
      <c r="L464" s="5">
        <f>74 / 86400</f>
        <v>8.564814814814815E-4</v>
      </c>
    </row>
    <row r="465" spans="1:12" x14ac:dyDescent="0.25">
      <c r="A465" s="3">
        <v>45706.729976851857</v>
      </c>
      <c r="B465" t="s">
        <v>249</v>
      </c>
      <c r="C465" s="3">
        <v>45706.730208333334</v>
      </c>
      <c r="D465" t="s">
        <v>343</v>
      </c>
      <c r="E465" s="4">
        <v>5.9851538896560669E-2</v>
      </c>
      <c r="F465" s="4">
        <v>348878.22748817474</v>
      </c>
      <c r="G465" s="4">
        <v>348878.28733971366</v>
      </c>
      <c r="H465" s="5">
        <f t="shared" si="5"/>
        <v>0</v>
      </c>
      <c r="I465" t="s">
        <v>150</v>
      </c>
      <c r="J465" t="s">
        <v>93</v>
      </c>
      <c r="K465" s="5">
        <f>20 / 86400</f>
        <v>2.3148148148148149E-4</v>
      </c>
      <c r="L465" s="5">
        <f>80 / 86400</f>
        <v>9.2592592592592596E-4</v>
      </c>
    </row>
    <row r="466" spans="1:12" x14ac:dyDescent="0.25">
      <c r="A466" s="3">
        <v>45706.731134259258</v>
      </c>
      <c r="B466" t="s">
        <v>343</v>
      </c>
      <c r="C466" s="3">
        <v>45706.731689814813</v>
      </c>
      <c r="D466" t="s">
        <v>100</v>
      </c>
      <c r="E466" s="4">
        <v>2.7781987249851228E-2</v>
      </c>
      <c r="F466" s="4">
        <v>348878.30573998007</v>
      </c>
      <c r="G466" s="4">
        <v>348878.33352196735</v>
      </c>
      <c r="H466" s="5">
        <f t="shared" si="5"/>
        <v>0</v>
      </c>
      <c r="I466" t="s">
        <v>32</v>
      </c>
      <c r="J466" t="s">
        <v>111</v>
      </c>
      <c r="K466" s="5">
        <f>48 / 86400</f>
        <v>5.5555555555555556E-4</v>
      </c>
      <c r="L466" s="5">
        <f>20 / 86400</f>
        <v>2.3148148148148149E-4</v>
      </c>
    </row>
    <row r="467" spans="1:12" x14ac:dyDescent="0.25">
      <c r="A467" s="3">
        <v>45706.731921296298</v>
      </c>
      <c r="B467" t="s">
        <v>248</v>
      </c>
      <c r="C467" s="3">
        <v>45706.732152777782</v>
      </c>
      <c r="D467" t="s">
        <v>248</v>
      </c>
      <c r="E467" s="4">
        <v>1.1002118587493897E-2</v>
      </c>
      <c r="F467" s="4">
        <v>348878.34698955528</v>
      </c>
      <c r="G467" s="4">
        <v>348878.35799167387</v>
      </c>
      <c r="H467" s="5">
        <f t="shared" si="5"/>
        <v>0</v>
      </c>
      <c r="I467" t="s">
        <v>163</v>
      </c>
      <c r="J467" t="s">
        <v>111</v>
      </c>
      <c r="K467" s="5">
        <f>20 / 86400</f>
        <v>2.3148148148148149E-4</v>
      </c>
      <c r="L467" s="5">
        <f>20 / 86400</f>
        <v>2.3148148148148149E-4</v>
      </c>
    </row>
    <row r="468" spans="1:12" x14ac:dyDescent="0.25">
      <c r="A468" s="3">
        <v>45706.73238425926</v>
      </c>
      <c r="B468" t="s">
        <v>250</v>
      </c>
      <c r="C468" s="3">
        <v>45706.732847222222</v>
      </c>
      <c r="D468" t="s">
        <v>344</v>
      </c>
      <c r="E468" s="4">
        <v>2.3200768828392029E-2</v>
      </c>
      <c r="F468" s="4">
        <v>348878.37185475021</v>
      </c>
      <c r="G468" s="4">
        <v>348878.39505551907</v>
      </c>
      <c r="H468" s="5">
        <f t="shared" si="5"/>
        <v>0</v>
      </c>
      <c r="I468" t="s">
        <v>163</v>
      </c>
      <c r="J468" t="s">
        <v>111</v>
      </c>
      <c r="K468" s="5">
        <f>40 / 86400</f>
        <v>4.6296296296296298E-4</v>
      </c>
      <c r="L468" s="5">
        <f>109 / 86400</f>
        <v>1.261574074074074E-3</v>
      </c>
    </row>
    <row r="469" spans="1:12" x14ac:dyDescent="0.25">
      <c r="A469" s="3">
        <v>45706.7341087963</v>
      </c>
      <c r="B469" t="s">
        <v>248</v>
      </c>
      <c r="C469" s="3">
        <v>45706.73474537037</v>
      </c>
      <c r="D469" t="s">
        <v>252</v>
      </c>
      <c r="E469" s="4">
        <v>0.19445890897512436</v>
      </c>
      <c r="F469" s="4">
        <v>348878.45870507468</v>
      </c>
      <c r="G469" s="4">
        <v>348878.65316398366</v>
      </c>
      <c r="H469" s="5">
        <f t="shared" si="5"/>
        <v>0</v>
      </c>
      <c r="I469" t="s">
        <v>20</v>
      </c>
      <c r="J469" t="s">
        <v>44</v>
      </c>
      <c r="K469" s="5">
        <f>55 / 86400</f>
        <v>6.3657407407407413E-4</v>
      </c>
      <c r="L469" s="5">
        <f>8 / 86400</f>
        <v>9.2592592592592588E-5</v>
      </c>
    </row>
    <row r="470" spans="1:12" x14ac:dyDescent="0.25">
      <c r="A470" s="3">
        <v>45706.734837962962</v>
      </c>
      <c r="B470" t="s">
        <v>252</v>
      </c>
      <c r="C470" s="3">
        <v>45706.735069444447</v>
      </c>
      <c r="D470" t="s">
        <v>252</v>
      </c>
      <c r="E470" s="4">
        <v>2.054216068983078E-2</v>
      </c>
      <c r="F470" s="4">
        <v>348878.65551571833</v>
      </c>
      <c r="G470" s="4">
        <v>348878.67605787906</v>
      </c>
      <c r="H470" s="5">
        <f t="shared" si="5"/>
        <v>0</v>
      </c>
      <c r="I470" t="s">
        <v>32</v>
      </c>
      <c r="J470" t="s">
        <v>127</v>
      </c>
      <c r="K470" s="5">
        <f>20 / 86400</f>
        <v>2.3148148148148149E-4</v>
      </c>
      <c r="L470" s="5">
        <f>60 / 86400</f>
        <v>6.9444444444444447E-4</v>
      </c>
    </row>
    <row r="471" spans="1:12" x14ac:dyDescent="0.25">
      <c r="A471" s="3">
        <v>45706.735763888893</v>
      </c>
      <c r="B471" t="s">
        <v>345</v>
      </c>
      <c r="C471" s="3">
        <v>45706.735995370371</v>
      </c>
      <c r="D471" t="s">
        <v>100</v>
      </c>
      <c r="E471" s="4">
        <v>7.3936464786529543E-2</v>
      </c>
      <c r="F471" s="4">
        <v>348878.71699215332</v>
      </c>
      <c r="G471" s="4">
        <v>348878.79092861811</v>
      </c>
      <c r="H471" s="5">
        <f t="shared" si="5"/>
        <v>0</v>
      </c>
      <c r="I471" t="s">
        <v>159</v>
      </c>
      <c r="J471" t="s">
        <v>44</v>
      </c>
      <c r="K471" s="5">
        <f>20 / 86400</f>
        <v>2.3148148148148149E-4</v>
      </c>
      <c r="L471" s="5">
        <f>20 / 86400</f>
        <v>2.3148148148148149E-4</v>
      </c>
    </row>
    <row r="472" spans="1:12" x14ac:dyDescent="0.25">
      <c r="A472" s="3">
        <v>45706.736226851848</v>
      </c>
      <c r="B472" t="s">
        <v>100</v>
      </c>
      <c r="C472" s="3">
        <v>45706.736458333333</v>
      </c>
      <c r="D472" t="s">
        <v>100</v>
      </c>
      <c r="E472" s="4">
        <v>3.4423961043357847E-3</v>
      </c>
      <c r="F472" s="4">
        <v>348878.83603941993</v>
      </c>
      <c r="G472" s="4">
        <v>348878.83948181605</v>
      </c>
      <c r="H472" s="5">
        <f t="shared" si="5"/>
        <v>0</v>
      </c>
      <c r="I472" t="s">
        <v>147</v>
      </c>
      <c r="J472" t="s">
        <v>163</v>
      </c>
      <c r="K472" s="5">
        <f>20 / 86400</f>
        <v>2.3148148148148149E-4</v>
      </c>
      <c r="L472" s="5">
        <f>48 / 86400</f>
        <v>5.5555555555555556E-4</v>
      </c>
    </row>
    <row r="473" spans="1:12" x14ac:dyDescent="0.25">
      <c r="A473" s="3">
        <v>45706.737013888887</v>
      </c>
      <c r="B473" t="s">
        <v>100</v>
      </c>
      <c r="C473" s="3">
        <v>45706.737696759257</v>
      </c>
      <c r="D473" t="s">
        <v>240</v>
      </c>
      <c r="E473" s="4">
        <v>0.20183010977506638</v>
      </c>
      <c r="F473" s="4">
        <v>348878.85419142165</v>
      </c>
      <c r="G473" s="4">
        <v>348879.0560215314</v>
      </c>
      <c r="H473" s="5">
        <f t="shared" si="5"/>
        <v>0</v>
      </c>
      <c r="I473" t="s">
        <v>31</v>
      </c>
      <c r="J473" t="s">
        <v>25</v>
      </c>
      <c r="K473" s="5">
        <f>59 / 86400</f>
        <v>6.8287037037037036E-4</v>
      </c>
      <c r="L473" s="5">
        <f>40 / 86400</f>
        <v>4.6296296296296298E-4</v>
      </c>
    </row>
    <row r="474" spans="1:12" x14ac:dyDescent="0.25">
      <c r="A474" s="3">
        <v>45706.738159722227</v>
      </c>
      <c r="B474" t="s">
        <v>240</v>
      </c>
      <c r="C474" s="3">
        <v>45706.738622685181</v>
      </c>
      <c r="D474" t="s">
        <v>346</v>
      </c>
      <c r="E474" s="4">
        <v>0.10276202541589737</v>
      </c>
      <c r="F474" s="4">
        <v>348879.07206101168</v>
      </c>
      <c r="G474" s="4">
        <v>348879.17482303712</v>
      </c>
      <c r="H474" s="5">
        <f t="shared" si="5"/>
        <v>0</v>
      </c>
      <c r="I474" t="s">
        <v>25</v>
      </c>
      <c r="J474" t="s">
        <v>171</v>
      </c>
      <c r="K474" s="5">
        <f>40 / 86400</f>
        <v>4.6296296296296298E-4</v>
      </c>
      <c r="L474" s="5">
        <f>5 / 86400</f>
        <v>5.7870370370370373E-5</v>
      </c>
    </row>
    <row r="475" spans="1:12" x14ac:dyDescent="0.25">
      <c r="A475" s="3">
        <v>45706.738680555558</v>
      </c>
      <c r="B475" t="s">
        <v>346</v>
      </c>
      <c r="C475" s="3">
        <v>45706.741307870368</v>
      </c>
      <c r="D475" t="s">
        <v>347</v>
      </c>
      <c r="E475" s="4">
        <v>0.95063587927818294</v>
      </c>
      <c r="F475" s="4">
        <v>348879.17861699703</v>
      </c>
      <c r="G475" s="4">
        <v>348880.12925287627</v>
      </c>
      <c r="H475" s="5">
        <f t="shared" si="5"/>
        <v>0</v>
      </c>
      <c r="I475" t="s">
        <v>145</v>
      </c>
      <c r="J475" t="s">
        <v>38</v>
      </c>
      <c r="K475" s="5">
        <f>227 / 86400</f>
        <v>2.627314814814815E-3</v>
      </c>
      <c r="L475" s="5">
        <f>25 / 86400</f>
        <v>2.8935185185185184E-4</v>
      </c>
    </row>
    <row r="476" spans="1:12" x14ac:dyDescent="0.25">
      <c r="A476" s="3">
        <v>45706.741597222222</v>
      </c>
      <c r="B476" t="s">
        <v>235</v>
      </c>
      <c r="C476" s="3">
        <v>45706.742523148147</v>
      </c>
      <c r="D476" t="s">
        <v>348</v>
      </c>
      <c r="E476" s="4">
        <v>0.42660939794778824</v>
      </c>
      <c r="F476" s="4">
        <v>348880.1388665234</v>
      </c>
      <c r="G476" s="4">
        <v>348880.56547592132</v>
      </c>
      <c r="H476" s="5">
        <f t="shared" si="5"/>
        <v>0</v>
      </c>
      <c r="I476" t="s">
        <v>92</v>
      </c>
      <c r="J476" t="s">
        <v>79</v>
      </c>
      <c r="K476" s="5">
        <f>80 / 86400</f>
        <v>9.2592592592592596E-4</v>
      </c>
      <c r="L476" s="5">
        <f>40 / 86400</f>
        <v>4.6296296296296298E-4</v>
      </c>
    </row>
    <row r="477" spans="1:12" x14ac:dyDescent="0.25">
      <c r="A477" s="3">
        <v>45706.742986111116</v>
      </c>
      <c r="B477" t="s">
        <v>349</v>
      </c>
      <c r="C477" s="3">
        <v>45706.74618055555</v>
      </c>
      <c r="D477" t="s">
        <v>350</v>
      </c>
      <c r="E477" s="4">
        <v>1.2702744156718253</v>
      </c>
      <c r="F477" s="4">
        <v>348880.6207913754</v>
      </c>
      <c r="G477" s="4">
        <v>348881.89106579107</v>
      </c>
      <c r="H477" s="5">
        <f t="shared" si="5"/>
        <v>0</v>
      </c>
      <c r="I477" t="s">
        <v>135</v>
      </c>
      <c r="J477" t="s">
        <v>62</v>
      </c>
      <c r="K477" s="5">
        <f>276 / 86400</f>
        <v>3.1944444444444446E-3</v>
      </c>
      <c r="L477" s="5">
        <f>40 / 86400</f>
        <v>4.6296296296296298E-4</v>
      </c>
    </row>
    <row r="478" spans="1:12" x14ac:dyDescent="0.25">
      <c r="A478" s="3">
        <v>45706.74664351852</v>
      </c>
      <c r="B478" t="s">
        <v>350</v>
      </c>
      <c r="C478" s="3">
        <v>45706.746874999997</v>
      </c>
      <c r="D478" t="s">
        <v>234</v>
      </c>
      <c r="E478" s="4">
        <v>1.4890796482563019E-2</v>
      </c>
      <c r="F478" s="4">
        <v>348881.9083640739</v>
      </c>
      <c r="G478" s="4">
        <v>348881.92325487034</v>
      </c>
      <c r="H478" s="5">
        <f t="shared" si="5"/>
        <v>0</v>
      </c>
      <c r="I478" t="s">
        <v>163</v>
      </c>
      <c r="J478" t="s">
        <v>170</v>
      </c>
      <c r="K478" s="5">
        <f>20 / 86400</f>
        <v>2.3148148148148149E-4</v>
      </c>
      <c r="L478" s="5">
        <f>16 / 86400</f>
        <v>1.8518518518518518E-4</v>
      </c>
    </row>
    <row r="479" spans="1:12" x14ac:dyDescent="0.25">
      <c r="A479" s="3">
        <v>45706.747060185182</v>
      </c>
      <c r="B479" t="s">
        <v>234</v>
      </c>
      <c r="C479" s="3">
        <v>45706.748391203699</v>
      </c>
      <c r="D479" t="s">
        <v>234</v>
      </c>
      <c r="E479" s="4">
        <v>0.1881889190673828</v>
      </c>
      <c r="F479" s="4">
        <v>348881.92740744207</v>
      </c>
      <c r="G479" s="4">
        <v>348882.11559636117</v>
      </c>
      <c r="H479" s="5">
        <f t="shared" si="5"/>
        <v>0</v>
      </c>
      <c r="I479" t="s">
        <v>62</v>
      </c>
      <c r="J479" t="s">
        <v>32</v>
      </c>
      <c r="K479" s="5">
        <f>115 / 86400</f>
        <v>1.3310185185185185E-3</v>
      </c>
      <c r="L479" s="5">
        <f>19 / 86400</f>
        <v>2.199074074074074E-4</v>
      </c>
    </row>
    <row r="480" spans="1:12" x14ac:dyDescent="0.25">
      <c r="A480" s="3">
        <v>45706.748611111107</v>
      </c>
      <c r="B480" t="s">
        <v>234</v>
      </c>
      <c r="C480" s="3">
        <v>45706.749699074076</v>
      </c>
      <c r="D480" t="s">
        <v>263</v>
      </c>
      <c r="E480" s="4">
        <v>0.103931436419487</v>
      </c>
      <c r="F480" s="4">
        <v>348882.12894632982</v>
      </c>
      <c r="G480" s="4">
        <v>348882.23287776625</v>
      </c>
      <c r="H480" s="5">
        <f t="shared" si="5"/>
        <v>0</v>
      </c>
      <c r="I480" t="s">
        <v>32</v>
      </c>
      <c r="J480" t="s">
        <v>127</v>
      </c>
      <c r="K480" s="5">
        <f>94 / 86400</f>
        <v>1.0879629629629629E-3</v>
      </c>
      <c r="L480" s="5">
        <f>20 / 86400</f>
        <v>2.3148148148148149E-4</v>
      </c>
    </row>
    <row r="481" spans="1:12" x14ac:dyDescent="0.25">
      <c r="A481" s="3">
        <v>45706.749930555554</v>
      </c>
      <c r="B481" t="s">
        <v>263</v>
      </c>
      <c r="C481" s="3">
        <v>45706.752569444448</v>
      </c>
      <c r="D481" t="s">
        <v>264</v>
      </c>
      <c r="E481" s="4">
        <v>0.75121742361783983</v>
      </c>
      <c r="F481" s="4">
        <v>348882.25097978138</v>
      </c>
      <c r="G481" s="4">
        <v>348883.00219720503</v>
      </c>
      <c r="H481" s="5">
        <f t="shared" si="5"/>
        <v>0</v>
      </c>
      <c r="I481" t="s">
        <v>162</v>
      </c>
      <c r="J481" t="s">
        <v>25</v>
      </c>
      <c r="K481" s="5">
        <f>228 / 86400</f>
        <v>2.638888888888889E-3</v>
      </c>
      <c r="L481" s="5">
        <f>5 / 86400</f>
        <v>5.7870370370370373E-5</v>
      </c>
    </row>
    <row r="482" spans="1:12" x14ac:dyDescent="0.25">
      <c r="A482" s="3">
        <v>45706.752627314811</v>
      </c>
      <c r="B482" t="s">
        <v>264</v>
      </c>
      <c r="C482" s="3">
        <v>45706.756203703699</v>
      </c>
      <c r="D482" t="s">
        <v>351</v>
      </c>
      <c r="E482" s="4">
        <v>1.0857286881804467</v>
      </c>
      <c r="F482" s="4">
        <v>348883.00907089433</v>
      </c>
      <c r="G482" s="4">
        <v>348884.09479958256</v>
      </c>
      <c r="H482" s="5">
        <f t="shared" si="5"/>
        <v>0</v>
      </c>
      <c r="I482" t="s">
        <v>31</v>
      </c>
      <c r="J482" t="s">
        <v>44</v>
      </c>
      <c r="K482" s="5">
        <f>309 / 86400</f>
        <v>3.5763888888888889E-3</v>
      </c>
      <c r="L482" s="5">
        <f>20 / 86400</f>
        <v>2.3148148148148149E-4</v>
      </c>
    </row>
    <row r="483" spans="1:12" x14ac:dyDescent="0.25">
      <c r="A483" s="3">
        <v>45706.756435185191</v>
      </c>
      <c r="B483" t="s">
        <v>351</v>
      </c>
      <c r="C483" s="3">
        <v>45706.757592592592</v>
      </c>
      <c r="D483" t="s">
        <v>270</v>
      </c>
      <c r="E483" s="4">
        <v>0.50066059482097625</v>
      </c>
      <c r="F483" s="4">
        <v>348884.09824814193</v>
      </c>
      <c r="G483" s="4">
        <v>348884.59890873678</v>
      </c>
      <c r="H483" s="5">
        <f t="shared" si="5"/>
        <v>0</v>
      </c>
      <c r="I483" t="s">
        <v>24</v>
      </c>
      <c r="J483" t="s">
        <v>20</v>
      </c>
      <c r="K483" s="5">
        <f>100 / 86400</f>
        <v>1.1574074074074073E-3</v>
      </c>
      <c r="L483" s="5">
        <f>43 / 86400</f>
        <v>4.9768518518518521E-4</v>
      </c>
    </row>
    <row r="484" spans="1:12" x14ac:dyDescent="0.25">
      <c r="A484" s="3">
        <v>45706.758090277777</v>
      </c>
      <c r="B484" t="s">
        <v>270</v>
      </c>
      <c r="C484" s="3">
        <v>45706.758321759262</v>
      </c>
      <c r="D484" t="s">
        <v>270</v>
      </c>
      <c r="E484" s="4">
        <v>1.3284928202629089E-2</v>
      </c>
      <c r="F484" s="4">
        <v>348884.60829888546</v>
      </c>
      <c r="G484" s="4">
        <v>348884.62158381368</v>
      </c>
      <c r="H484" s="5">
        <f t="shared" si="5"/>
        <v>0</v>
      </c>
      <c r="I484" t="s">
        <v>32</v>
      </c>
      <c r="J484" t="s">
        <v>111</v>
      </c>
      <c r="K484" s="5">
        <f>20 / 86400</f>
        <v>2.3148148148148149E-4</v>
      </c>
      <c r="L484" s="5">
        <f>20 / 86400</f>
        <v>2.3148148148148149E-4</v>
      </c>
    </row>
    <row r="485" spans="1:12" x14ac:dyDescent="0.25">
      <c r="A485" s="3">
        <v>45706.758553240739</v>
      </c>
      <c r="B485" t="s">
        <v>270</v>
      </c>
      <c r="C485" s="3">
        <v>45706.760104166664</v>
      </c>
      <c r="D485" t="s">
        <v>352</v>
      </c>
      <c r="E485" s="4">
        <v>1.0663350548744202</v>
      </c>
      <c r="F485" s="4">
        <v>348884.63654836972</v>
      </c>
      <c r="G485" s="4">
        <v>348885.70288342459</v>
      </c>
      <c r="H485" s="5">
        <f t="shared" si="5"/>
        <v>0</v>
      </c>
      <c r="I485" t="s">
        <v>98</v>
      </c>
      <c r="J485" t="s">
        <v>182</v>
      </c>
      <c r="K485" s="5">
        <f>134 / 86400</f>
        <v>1.5509259259259259E-3</v>
      </c>
      <c r="L485" s="5">
        <f>7 / 86400</f>
        <v>8.1018518518518516E-5</v>
      </c>
    </row>
    <row r="486" spans="1:12" x14ac:dyDescent="0.25">
      <c r="A486" s="3">
        <v>45706.760185185187</v>
      </c>
      <c r="B486" t="s">
        <v>352</v>
      </c>
      <c r="C486" s="3">
        <v>45706.760648148149</v>
      </c>
      <c r="D486" t="s">
        <v>271</v>
      </c>
      <c r="E486" s="4">
        <v>0.13013119173049928</v>
      </c>
      <c r="F486" s="4">
        <v>348885.70663206931</v>
      </c>
      <c r="G486" s="4">
        <v>348885.836763261</v>
      </c>
      <c r="H486" s="5">
        <f t="shared" si="5"/>
        <v>0</v>
      </c>
      <c r="I486" t="s">
        <v>171</v>
      </c>
      <c r="J486" t="s">
        <v>25</v>
      </c>
      <c r="K486" s="5">
        <f>40 / 86400</f>
        <v>4.6296296296296298E-4</v>
      </c>
      <c r="L486" s="5">
        <f>20 / 86400</f>
        <v>2.3148148148148149E-4</v>
      </c>
    </row>
    <row r="487" spans="1:12" x14ac:dyDescent="0.25">
      <c r="A487" s="3">
        <v>45706.760879629626</v>
      </c>
      <c r="B487" t="s">
        <v>271</v>
      </c>
      <c r="C487" s="3">
        <v>45706.761574074073</v>
      </c>
      <c r="D487" t="s">
        <v>353</v>
      </c>
      <c r="E487" s="4">
        <v>0.36825569373369216</v>
      </c>
      <c r="F487" s="4">
        <v>348885.84601701086</v>
      </c>
      <c r="G487" s="4">
        <v>348886.21427270462</v>
      </c>
      <c r="H487" s="5">
        <f t="shared" si="5"/>
        <v>0</v>
      </c>
      <c r="I487" t="s">
        <v>211</v>
      </c>
      <c r="J487" t="s">
        <v>130</v>
      </c>
      <c r="K487" s="5">
        <f>60 / 86400</f>
        <v>6.9444444444444447E-4</v>
      </c>
      <c r="L487" s="5">
        <f>8 / 86400</f>
        <v>9.2592592592592588E-5</v>
      </c>
    </row>
    <row r="488" spans="1:12" x14ac:dyDescent="0.25">
      <c r="A488" s="3">
        <v>45706.761666666665</v>
      </c>
      <c r="B488" t="s">
        <v>353</v>
      </c>
      <c r="C488" s="3">
        <v>45706.762361111112</v>
      </c>
      <c r="D488" t="s">
        <v>176</v>
      </c>
      <c r="E488" s="4">
        <v>0.44074613296985626</v>
      </c>
      <c r="F488" s="4">
        <v>348886.22105507157</v>
      </c>
      <c r="G488" s="4">
        <v>348886.66180120455</v>
      </c>
      <c r="H488" s="5">
        <f t="shared" si="5"/>
        <v>0</v>
      </c>
      <c r="I488" t="s">
        <v>199</v>
      </c>
      <c r="J488" t="s">
        <v>158</v>
      </c>
      <c r="K488" s="5">
        <f>60 / 86400</f>
        <v>6.9444444444444447E-4</v>
      </c>
      <c r="L488" s="5">
        <f>10 / 86400</f>
        <v>1.1574074074074075E-4</v>
      </c>
    </row>
    <row r="489" spans="1:12" x14ac:dyDescent="0.25">
      <c r="A489" s="3">
        <v>45706.762476851851</v>
      </c>
      <c r="B489" t="s">
        <v>176</v>
      </c>
      <c r="C489" s="3">
        <v>45706.763865740737</v>
      </c>
      <c r="D489" t="s">
        <v>176</v>
      </c>
      <c r="E489" s="4">
        <v>0.93448348474502563</v>
      </c>
      <c r="F489" s="4">
        <v>348886.66392704548</v>
      </c>
      <c r="G489" s="4">
        <v>348887.59841053019</v>
      </c>
      <c r="H489" s="5">
        <f t="shared" si="5"/>
        <v>0</v>
      </c>
      <c r="I489" t="s">
        <v>47</v>
      </c>
      <c r="J489" t="s">
        <v>175</v>
      </c>
      <c r="K489" s="5">
        <f>120 / 86400</f>
        <v>1.3888888888888889E-3</v>
      </c>
      <c r="L489" s="5">
        <f>40 / 86400</f>
        <v>4.6296296296296298E-4</v>
      </c>
    </row>
    <row r="490" spans="1:12" x14ac:dyDescent="0.25">
      <c r="A490" s="3">
        <v>45706.764328703706</v>
      </c>
      <c r="B490" t="s">
        <v>354</v>
      </c>
      <c r="C490" s="3">
        <v>45706.768541666665</v>
      </c>
      <c r="D490" t="s">
        <v>112</v>
      </c>
      <c r="E490" s="4">
        <v>1.0942468535900116</v>
      </c>
      <c r="F490" s="4">
        <v>348887.84378217638</v>
      </c>
      <c r="G490" s="4">
        <v>348888.93802902999</v>
      </c>
      <c r="H490" s="5">
        <f t="shared" si="5"/>
        <v>0</v>
      </c>
      <c r="I490" t="s">
        <v>169</v>
      </c>
      <c r="J490" t="s">
        <v>93</v>
      </c>
      <c r="K490" s="5">
        <f>364 / 86400</f>
        <v>4.2129629629629626E-3</v>
      </c>
      <c r="L490" s="5">
        <f>13 / 86400</f>
        <v>1.5046296296296297E-4</v>
      </c>
    </row>
    <row r="491" spans="1:12" x14ac:dyDescent="0.25">
      <c r="A491" s="3">
        <v>45706.768692129626</v>
      </c>
      <c r="B491" t="s">
        <v>112</v>
      </c>
      <c r="C491" s="3">
        <v>45706.769178240742</v>
      </c>
      <c r="D491" t="s">
        <v>112</v>
      </c>
      <c r="E491" s="4">
        <v>0.19848720270395279</v>
      </c>
      <c r="F491" s="4">
        <v>348888.95135401766</v>
      </c>
      <c r="G491" s="4">
        <v>348889.14984122035</v>
      </c>
      <c r="H491" s="5">
        <f t="shared" si="5"/>
        <v>0</v>
      </c>
      <c r="I491" t="s">
        <v>44</v>
      </c>
      <c r="J491" t="s">
        <v>62</v>
      </c>
      <c r="K491" s="5">
        <f>42 / 86400</f>
        <v>4.861111111111111E-4</v>
      </c>
      <c r="L491" s="5">
        <f>8 / 86400</f>
        <v>9.2592592592592588E-5</v>
      </c>
    </row>
    <row r="492" spans="1:12" x14ac:dyDescent="0.25">
      <c r="A492" s="3">
        <v>45706.769270833334</v>
      </c>
      <c r="B492" t="s">
        <v>112</v>
      </c>
      <c r="C492" s="3">
        <v>45706.772743055553</v>
      </c>
      <c r="D492" t="s">
        <v>355</v>
      </c>
      <c r="E492" s="4">
        <v>1.5517679197192191</v>
      </c>
      <c r="F492" s="4">
        <v>348889.15493692545</v>
      </c>
      <c r="G492" s="4">
        <v>348890.70670484519</v>
      </c>
      <c r="H492" s="5">
        <f t="shared" si="5"/>
        <v>0</v>
      </c>
      <c r="I492" t="s">
        <v>135</v>
      </c>
      <c r="J492" t="s">
        <v>79</v>
      </c>
      <c r="K492" s="5">
        <f>300 / 86400</f>
        <v>3.472222222222222E-3</v>
      </c>
      <c r="L492" s="5">
        <f>20 / 86400</f>
        <v>2.3148148148148149E-4</v>
      </c>
    </row>
    <row r="493" spans="1:12" x14ac:dyDescent="0.25">
      <c r="A493" s="3">
        <v>45706.772974537038</v>
      </c>
      <c r="B493" t="s">
        <v>355</v>
      </c>
      <c r="C493" s="3">
        <v>45706.773668981477</v>
      </c>
      <c r="D493" t="s">
        <v>285</v>
      </c>
      <c r="E493" s="4">
        <v>0.5143227183818817</v>
      </c>
      <c r="F493" s="4">
        <v>348890.78186403931</v>
      </c>
      <c r="G493" s="4">
        <v>348891.29618675768</v>
      </c>
      <c r="H493" s="5">
        <f t="shared" si="5"/>
        <v>0</v>
      </c>
      <c r="I493" t="s">
        <v>165</v>
      </c>
      <c r="J493" t="s">
        <v>156</v>
      </c>
      <c r="K493" s="5">
        <f>60 / 86400</f>
        <v>6.9444444444444447E-4</v>
      </c>
      <c r="L493" s="5">
        <f>29 / 86400</f>
        <v>3.3564814814814812E-4</v>
      </c>
    </row>
    <row r="494" spans="1:12" x14ac:dyDescent="0.25">
      <c r="A494" s="3">
        <v>45706.774004629631</v>
      </c>
      <c r="B494" t="s">
        <v>285</v>
      </c>
      <c r="C494" s="3">
        <v>45706.775300925925</v>
      </c>
      <c r="D494" t="s">
        <v>216</v>
      </c>
      <c r="E494" s="4">
        <v>0.84738229703903201</v>
      </c>
      <c r="F494" s="4">
        <v>348891.32031952537</v>
      </c>
      <c r="G494" s="4">
        <v>348892.16770182241</v>
      </c>
      <c r="H494" s="5">
        <f t="shared" si="5"/>
        <v>0</v>
      </c>
      <c r="I494" t="s">
        <v>165</v>
      </c>
      <c r="J494" t="s">
        <v>212</v>
      </c>
      <c r="K494" s="5">
        <f>112 / 86400</f>
        <v>1.2962962962962963E-3</v>
      </c>
      <c r="L494" s="5">
        <f>20 / 86400</f>
        <v>2.3148148148148149E-4</v>
      </c>
    </row>
    <row r="495" spans="1:12" x14ac:dyDescent="0.25">
      <c r="A495" s="3">
        <v>45706.77553240741</v>
      </c>
      <c r="B495" t="s">
        <v>216</v>
      </c>
      <c r="C495" s="3">
        <v>45706.776226851856</v>
      </c>
      <c r="D495" t="s">
        <v>216</v>
      </c>
      <c r="E495" s="4">
        <v>0.20769796109199523</v>
      </c>
      <c r="F495" s="4">
        <v>348892.25669585989</v>
      </c>
      <c r="G495" s="4">
        <v>348892.46439382102</v>
      </c>
      <c r="H495" s="5">
        <f t="shared" si="5"/>
        <v>0</v>
      </c>
      <c r="I495" t="s">
        <v>162</v>
      </c>
      <c r="J495" t="s">
        <v>25</v>
      </c>
      <c r="K495" s="5">
        <f>60 / 86400</f>
        <v>6.9444444444444447E-4</v>
      </c>
      <c r="L495" s="5">
        <f>20 / 86400</f>
        <v>2.3148148148148149E-4</v>
      </c>
    </row>
    <row r="496" spans="1:12" x14ac:dyDescent="0.25">
      <c r="A496" s="3">
        <v>45706.776458333334</v>
      </c>
      <c r="B496" t="s">
        <v>216</v>
      </c>
      <c r="C496" s="3">
        <v>45706.776689814811</v>
      </c>
      <c r="D496" t="s">
        <v>104</v>
      </c>
      <c r="E496" s="4">
        <v>0.14351104438304901</v>
      </c>
      <c r="F496" s="4">
        <v>348892.59118001378</v>
      </c>
      <c r="G496" s="4">
        <v>348892.73469105817</v>
      </c>
      <c r="H496" s="5">
        <f t="shared" si="5"/>
        <v>0</v>
      </c>
      <c r="I496" t="s">
        <v>129</v>
      </c>
      <c r="J496" t="s">
        <v>158</v>
      </c>
      <c r="K496" s="5">
        <f>20 / 86400</f>
        <v>2.3148148148148149E-4</v>
      </c>
      <c r="L496" s="5">
        <f>20 / 86400</f>
        <v>2.3148148148148149E-4</v>
      </c>
    </row>
    <row r="497" spans="1:12" x14ac:dyDescent="0.25">
      <c r="A497" s="3">
        <v>45706.776921296296</v>
      </c>
      <c r="B497" t="s">
        <v>104</v>
      </c>
      <c r="C497" s="3">
        <v>45706.777615740742</v>
      </c>
      <c r="D497" t="s">
        <v>104</v>
      </c>
      <c r="E497" s="4">
        <v>0.10792045271396637</v>
      </c>
      <c r="F497" s="4">
        <v>348892.8109789904</v>
      </c>
      <c r="G497" s="4">
        <v>348892.91889944312</v>
      </c>
      <c r="H497" s="5">
        <f t="shared" si="5"/>
        <v>0</v>
      </c>
      <c r="I497" t="s">
        <v>79</v>
      </c>
      <c r="J497" t="s">
        <v>32</v>
      </c>
      <c r="K497" s="5">
        <f>60 / 86400</f>
        <v>6.9444444444444447E-4</v>
      </c>
      <c r="L497" s="5">
        <f>18 / 86400</f>
        <v>2.0833333333333335E-4</v>
      </c>
    </row>
    <row r="498" spans="1:12" x14ac:dyDescent="0.25">
      <c r="A498" s="3">
        <v>45706.777824074074</v>
      </c>
      <c r="B498" t="s">
        <v>104</v>
      </c>
      <c r="C498" s="3">
        <v>45706.778379629628</v>
      </c>
      <c r="D498" t="s">
        <v>104</v>
      </c>
      <c r="E498" s="4">
        <v>0.10299137431383133</v>
      </c>
      <c r="F498" s="4">
        <v>348892.95176147087</v>
      </c>
      <c r="G498" s="4">
        <v>348893.05475284514</v>
      </c>
      <c r="H498" s="5">
        <f t="shared" si="5"/>
        <v>0</v>
      </c>
      <c r="I498" t="s">
        <v>44</v>
      </c>
      <c r="J498" t="s">
        <v>147</v>
      </c>
      <c r="K498" s="5">
        <f>48 / 86400</f>
        <v>5.5555555555555556E-4</v>
      </c>
      <c r="L498" s="5">
        <f>60 / 86400</f>
        <v>6.9444444444444447E-4</v>
      </c>
    </row>
    <row r="499" spans="1:12" x14ac:dyDescent="0.25">
      <c r="A499" s="3">
        <v>45706.779074074075</v>
      </c>
      <c r="B499" t="s">
        <v>104</v>
      </c>
      <c r="C499" s="3">
        <v>45706.780138888891</v>
      </c>
      <c r="D499" t="s">
        <v>104</v>
      </c>
      <c r="E499" s="4">
        <v>0.63004974317550655</v>
      </c>
      <c r="F499" s="4">
        <v>348893.06250587333</v>
      </c>
      <c r="G499" s="4">
        <v>348893.69255561649</v>
      </c>
      <c r="H499" s="5">
        <f t="shared" si="5"/>
        <v>0</v>
      </c>
      <c r="I499" t="s">
        <v>49</v>
      </c>
      <c r="J499" t="s">
        <v>31</v>
      </c>
      <c r="K499" s="5">
        <f>92 / 86400</f>
        <v>1.0648148148148149E-3</v>
      </c>
      <c r="L499" s="5">
        <f>3 / 86400</f>
        <v>3.4722222222222222E-5</v>
      </c>
    </row>
    <row r="500" spans="1:12" x14ac:dyDescent="0.25">
      <c r="A500" s="3">
        <v>45706.780173611114</v>
      </c>
      <c r="B500" t="s">
        <v>104</v>
      </c>
      <c r="C500" s="3">
        <v>45706.780868055561</v>
      </c>
      <c r="D500" t="s">
        <v>104</v>
      </c>
      <c r="E500" s="4">
        <v>0.24254386782646178</v>
      </c>
      <c r="F500" s="4">
        <v>348893.78183194262</v>
      </c>
      <c r="G500" s="4">
        <v>348894.02437581046</v>
      </c>
      <c r="H500" s="5">
        <f t="shared" si="5"/>
        <v>0</v>
      </c>
      <c r="I500" t="s">
        <v>92</v>
      </c>
      <c r="J500" t="s">
        <v>38</v>
      </c>
      <c r="K500" s="5">
        <f>60 / 86400</f>
        <v>6.9444444444444447E-4</v>
      </c>
      <c r="L500" s="5">
        <f>40 / 86400</f>
        <v>4.6296296296296298E-4</v>
      </c>
    </row>
    <row r="501" spans="1:12" x14ac:dyDescent="0.25">
      <c r="A501" s="3">
        <v>45706.781331018516</v>
      </c>
      <c r="B501" t="s">
        <v>104</v>
      </c>
      <c r="C501" s="3">
        <v>45706.781793981485</v>
      </c>
      <c r="D501" t="s">
        <v>104</v>
      </c>
      <c r="E501" s="4">
        <v>1.1794378817081451E-2</v>
      </c>
      <c r="F501" s="4">
        <v>348894.03616345406</v>
      </c>
      <c r="G501" s="4">
        <v>348894.04795783287</v>
      </c>
      <c r="H501" s="5">
        <f t="shared" si="5"/>
        <v>0</v>
      </c>
      <c r="I501" t="s">
        <v>127</v>
      </c>
      <c r="J501" t="s">
        <v>163</v>
      </c>
      <c r="K501" s="5">
        <f>40 / 86400</f>
        <v>4.6296296296296298E-4</v>
      </c>
      <c r="L501" s="5">
        <f>144 / 86400</f>
        <v>1.6666666666666668E-3</v>
      </c>
    </row>
    <row r="502" spans="1:12" x14ac:dyDescent="0.25">
      <c r="A502" s="3">
        <v>45706.783460648148</v>
      </c>
      <c r="B502" t="s">
        <v>104</v>
      </c>
      <c r="C502" s="3">
        <v>45706.784155092595</v>
      </c>
      <c r="D502" t="s">
        <v>104</v>
      </c>
      <c r="E502" s="4">
        <v>5.6935478329658507E-2</v>
      </c>
      <c r="F502" s="4">
        <v>348894.08163416735</v>
      </c>
      <c r="G502" s="4">
        <v>348894.1385696457</v>
      </c>
      <c r="H502" s="5">
        <f t="shared" si="5"/>
        <v>0</v>
      </c>
      <c r="I502" t="s">
        <v>147</v>
      </c>
      <c r="J502" t="s">
        <v>170</v>
      </c>
      <c r="K502" s="5">
        <f>60 / 86400</f>
        <v>6.9444444444444447E-4</v>
      </c>
      <c r="L502" s="5">
        <f>19 / 86400</f>
        <v>2.199074074074074E-4</v>
      </c>
    </row>
    <row r="503" spans="1:12" x14ac:dyDescent="0.25">
      <c r="A503" s="3">
        <v>45706.784375000003</v>
      </c>
      <c r="B503" t="s">
        <v>104</v>
      </c>
      <c r="C503" s="3">
        <v>45706.785208333335</v>
      </c>
      <c r="D503" t="s">
        <v>216</v>
      </c>
      <c r="E503" s="4">
        <v>0.13666521227359771</v>
      </c>
      <c r="F503" s="4">
        <v>348894.1501614867</v>
      </c>
      <c r="G503" s="4">
        <v>348894.28682669898</v>
      </c>
      <c r="H503" s="5">
        <f t="shared" si="5"/>
        <v>0</v>
      </c>
      <c r="I503" t="s">
        <v>171</v>
      </c>
      <c r="J503" t="s">
        <v>150</v>
      </c>
      <c r="K503" s="5">
        <f>72 / 86400</f>
        <v>8.3333333333333339E-4</v>
      </c>
      <c r="L503" s="5">
        <f>13 / 86400</f>
        <v>1.5046296296296297E-4</v>
      </c>
    </row>
    <row r="504" spans="1:12" x14ac:dyDescent="0.25">
      <c r="A504" s="3">
        <v>45706.785358796296</v>
      </c>
      <c r="B504" t="s">
        <v>216</v>
      </c>
      <c r="C504" s="3">
        <v>45706.785983796297</v>
      </c>
      <c r="D504" t="s">
        <v>104</v>
      </c>
      <c r="E504" s="4">
        <v>0.11431278884410859</v>
      </c>
      <c r="F504" s="4">
        <v>348894.31309744803</v>
      </c>
      <c r="G504" s="4">
        <v>348894.42741023691</v>
      </c>
      <c r="H504" s="5">
        <f t="shared" si="5"/>
        <v>0</v>
      </c>
      <c r="I504" t="s">
        <v>159</v>
      </c>
      <c r="J504" t="s">
        <v>147</v>
      </c>
      <c r="K504" s="5">
        <f>54 / 86400</f>
        <v>6.2500000000000001E-4</v>
      </c>
      <c r="L504" s="5">
        <f>20 / 86400</f>
        <v>2.3148148148148149E-4</v>
      </c>
    </row>
    <row r="505" spans="1:12" x14ac:dyDescent="0.25">
      <c r="A505" s="3">
        <v>45706.786215277782</v>
      </c>
      <c r="B505" t="s">
        <v>104</v>
      </c>
      <c r="C505" s="3">
        <v>45706.787569444445</v>
      </c>
      <c r="D505" t="s">
        <v>104</v>
      </c>
      <c r="E505" s="4">
        <v>6.8053892314434053E-2</v>
      </c>
      <c r="F505" s="4">
        <v>348894.43731382641</v>
      </c>
      <c r="G505" s="4">
        <v>348894.5053677187</v>
      </c>
      <c r="H505" s="5">
        <f t="shared" si="5"/>
        <v>0</v>
      </c>
      <c r="I505" t="s">
        <v>150</v>
      </c>
      <c r="J505" t="s">
        <v>111</v>
      </c>
      <c r="K505" s="5">
        <f>117 / 86400</f>
        <v>1.3541666666666667E-3</v>
      </c>
      <c r="L505" s="5">
        <f>80 / 86400</f>
        <v>9.2592592592592596E-4</v>
      </c>
    </row>
    <row r="506" spans="1:12" x14ac:dyDescent="0.25">
      <c r="A506" s="3">
        <v>45706.788495370369</v>
      </c>
      <c r="B506" t="s">
        <v>104</v>
      </c>
      <c r="C506" s="3">
        <v>45706.789155092592</v>
      </c>
      <c r="D506" t="s">
        <v>104</v>
      </c>
      <c r="E506" s="4">
        <v>8.7952054917812342E-2</v>
      </c>
      <c r="F506" s="4">
        <v>348894.56718549912</v>
      </c>
      <c r="G506" s="4">
        <v>348894.65513755404</v>
      </c>
      <c r="H506" s="5">
        <f t="shared" si="5"/>
        <v>0</v>
      </c>
      <c r="I506" t="s">
        <v>50</v>
      </c>
      <c r="J506" t="s">
        <v>32</v>
      </c>
      <c r="K506" s="5">
        <f>57 / 86400</f>
        <v>6.5972222222222224E-4</v>
      </c>
      <c r="L506" s="5">
        <f>40 / 86400</f>
        <v>4.6296296296296298E-4</v>
      </c>
    </row>
    <row r="507" spans="1:12" x14ac:dyDescent="0.25">
      <c r="A507" s="3">
        <v>45706.789618055554</v>
      </c>
      <c r="B507" t="s">
        <v>356</v>
      </c>
      <c r="C507" s="3">
        <v>45706.790775462963</v>
      </c>
      <c r="D507" t="s">
        <v>357</v>
      </c>
      <c r="E507" s="4">
        <v>0.19622305452823638</v>
      </c>
      <c r="F507" s="4">
        <v>348894.66362086934</v>
      </c>
      <c r="G507" s="4">
        <v>348894.85984392388</v>
      </c>
      <c r="H507" s="5">
        <f t="shared" si="5"/>
        <v>0</v>
      </c>
      <c r="I507" t="s">
        <v>130</v>
      </c>
      <c r="J507" t="s">
        <v>150</v>
      </c>
      <c r="K507" s="5">
        <f>100 / 86400</f>
        <v>1.1574074074074073E-3</v>
      </c>
      <c r="L507" s="5">
        <f>20 / 86400</f>
        <v>2.3148148148148149E-4</v>
      </c>
    </row>
    <row r="508" spans="1:12" x14ac:dyDescent="0.25">
      <c r="A508" s="3">
        <v>45706.791006944448</v>
      </c>
      <c r="B508" t="s">
        <v>105</v>
      </c>
      <c r="C508" s="3">
        <v>45706.791701388887</v>
      </c>
      <c r="D508" t="s">
        <v>105</v>
      </c>
      <c r="E508" s="4">
        <v>5.7665516793727875E-2</v>
      </c>
      <c r="F508" s="4">
        <v>348894.86412410613</v>
      </c>
      <c r="G508" s="4">
        <v>348894.92178962292</v>
      </c>
      <c r="H508" s="5">
        <f t="shared" ref="H508:H552" si="6">0 / 86400</f>
        <v>0</v>
      </c>
      <c r="I508" t="s">
        <v>127</v>
      </c>
      <c r="J508" t="s">
        <v>170</v>
      </c>
      <c r="K508" s="5">
        <f>60 / 86400</f>
        <v>6.9444444444444447E-4</v>
      </c>
      <c r="L508" s="5">
        <f>20 / 86400</f>
        <v>2.3148148148148149E-4</v>
      </c>
    </row>
    <row r="509" spans="1:12" x14ac:dyDescent="0.25">
      <c r="A509" s="3">
        <v>45706.791932870372</v>
      </c>
      <c r="B509" t="s">
        <v>105</v>
      </c>
      <c r="C509" s="3">
        <v>45706.792627314819</v>
      </c>
      <c r="D509" t="s">
        <v>105</v>
      </c>
      <c r="E509" s="4">
        <v>5.0104842245578769E-2</v>
      </c>
      <c r="F509" s="4">
        <v>348894.92313286383</v>
      </c>
      <c r="G509" s="4">
        <v>348894.97323770606</v>
      </c>
      <c r="H509" s="5">
        <f t="shared" si="6"/>
        <v>0</v>
      </c>
      <c r="I509" t="s">
        <v>50</v>
      </c>
      <c r="J509" t="s">
        <v>170</v>
      </c>
      <c r="K509" s="5">
        <f>60 / 86400</f>
        <v>6.9444444444444447E-4</v>
      </c>
      <c r="L509" s="5">
        <f>21 / 86400</f>
        <v>2.4305555555555555E-4</v>
      </c>
    </row>
    <row r="510" spans="1:12" x14ac:dyDescent="0.25">
      <c r="A510" s="3">
        <v>45706.792870370366</v>
      </c>
      <c r="B510" t="s">
        <v>105</v>
      </c>
      <c r="C510" s="3">
        <v>45706.79310185185</v>
      </c>
      <c r="D510" t="s">
        <v>357</v>
      </c>
      <c r="E510" s="4">
        <v>2.0192358434200287E-2</v>
      </c>
      <c r="F510" s="4">
        <v>348894.97417225689</v>
      </c>
      <c r="G510" s="4">
        <v>348894.9943646153</v>
      </c>
      <c r="H510" s="5">
        <f t="shared" si="6"/>
        <v>0</v>
      </c>
      <c r="I510" t="s">
        <v>163</v>
      </c>
      <c r="J510" t="s">
        <v>127</v>
      </c>
      <c r="K510" s="5">
        <f>20 / 86400</f>
        <v>2.3148148148148149E-4</v>
      </c>
      <c r="L510" s="5">
        <f>3 / 86400</f>
        <v>3.4722222222222222E-5</v>
      </c>
    </row>
    <row r="511" spans="1:12" x14ac:dyDescent="0.25">
      <c r="A511" s="3">
        <v>45706.793136574073</v>
      </c>
      <c r="B511" t="s">
        <v>357</v>
      </c>
      <c r="C511" s="3">
        <v>45706.793356481481</v>
      </c>
      <c r="D511" t="s">
        <v>357</v>
      </c>
      <c r="E511" s="4">
        <v>3.0665023505687714E-2</v>
      </c>
      <c r="F511" s="4">
        <v>348894.99697368947</v>
      </c>
      <c r="G511" s="4">
        <v>348895.02763871301</v>
      </c>
      <c r="H511" s="5">
        <f t="shared" si="6"/>
        <v>0</v>
      </c>
      <c r="I511" t="s">
        <v>32</v>
      </c>
      <c r="J511" t="s">
        <v>32</v>
      </c>
      <c r="K511" s="5">
        <f>19 / 86400</f>
        <v>2.199074074074074E-4</v>
      </c>
      <c r="L511" s="5">
        <f>40 / 86400</f>
        <v>4.6296296296296298E-4</v>
      </c>
    </row>
    <row r="512" spans="1:12" x14ac:dyDescent="0.25">
      <c r="A512" s="3">
        <v>45706.793819444443</v>
      </c>
      <c r="B512" t="s">
        <v>105</v>
      </c>
      <c r="C512" s="3">
        <v>45706.794282407413</v>
      </c>
      <c r="D512" t="s">
        <v>358</v>
      </c>
      <c r="E512" s="4">
        <v>0.10051760548353195</v>
      </c>
      <c r="F512" s="4">
        <v>348895.07561288192</v>
      </c>
      <c r="G512" s="4">
        <v>348895.17613048741</v>
      </c>
      <c r="H512" s="5">
        <f t="shared" si="6"/>
        <v>0</v>
      </c>
      <c r="I512" t="s">
        <v>136</v>
      </c>
      <c r="J512" t="s">
        <v>171</v>
      </c>
      <c r="K512" s="5">
        <f>40 / 86400</f>
        <v>4.6296296296296298E-4</v>
      </c>
      <c r="L512" s="5">
        <f>17 / 86400</f>
        <v>1.9675925925925926E-4</v>
      </c>
    </row>
    <row r="513" spans="1:12" x14ac:dyDescent="0.25">
      <c r="A513" s="3">
        <v>45706.794479166667</v>
      </c>
      <c r="B513" t="s">
        <v>358</v>
      </c>
      <c r="C513" s="3">
        <v>45706.797303240739</v>
      </c>
      <c r="D513" t="s">
        <v>95</v>
      </c>
      <c r="E513" s="4">
        <v>1.0897972155809403</v>
      </c>
      <c r="F513" s="4">
        <v>348895.177077976</v>
      </c>
      <c r="G513" s="4">
        <v>348896.26687519159</v>
      </c>
      <c r="H513" s="5">
        <f t="shared" si="6"/>
        <v>0</v>
      </c>
      <c r="I513" t="s">
        <v>139</v>
      </c>
      <c r="J513" t="s">
        <v>28</v>
      </c>
      <c r="K513" s="5">
        <f>244 / 86400</f>
        <v>2.8240740740740739E-3</v>
      </c>
      <c r="L513" s="5">
        <f>11 / 86400</f>
        <v>1.273148148148148E-4</v>
      </c>
    </row>
    <row r="514" spans="1:12" x14ac:dyDescent="0.25">
      <c r="A514" s="3">
        <v>45706.797430555554</v>
      </c>
      <c r="B514" t="s">
        <v>95</v>
      </c>
      <c r="C514" s="3">
        <v>45706.799849537041</v>
      </c>
      <c r="D514" t="s">
        <v>95</v>
      </c>
      <c r="E514" s="4">
        <v>0.64352152848243716</v>
      </c>
      <c r="F514" s="4">
        <v>348896.27083339519</v>
      </c>
      <c r="G514" s="4">
        <v>348896.91435492365</v>
      </c>
      <c r="H514" s="5">
        <f t="shared" si="6"/>
        <v>0</v>
      </c>
      <c r="I514" t="s">
        <v>79</v>
      </c>
      <c r="J514" t="s">
        <v>93</v>
      </c>
      <c r="K514" s="5">
        <f>209 / 86400</f>
        <v>2.4189814814814816E-3</v>
      </c>
      <c r="L514" s="5">
        <f>60 / 86400</f>
        <v>6.9444444444444447E-4</v>
      </c>
    </row>
    <row r="515" spans="1:12" x14ac:dyDescent="0.25">
      <c r="A515" s="3">
        <v>45706.800543981481</v>
      </c>
      <c r="B515" t="s">
        <v>95</v>
      </c>
      <c r="C515" s="3">
        <v>45706.803761574076</v>
      </c>
      <c r="D515" t="s">
        <v>76</v>
      </c>
      <c r="E515" s="4">
        <v>0.98926526379585267</v>
      </c>
      <c r="F515" s="4">
        <v>348896.97773067042</v>
      </c>
      <c r="G515" s="4">
        <v>348897.9669959342</v>
      </c>
      <c r="H515" s="5">
        <f t="shared" si="6"/>
        <v>0</v>
      </c>
      <c r="I515" t="s">
        <v>49</v>
      </c>
      <c r="J515" t="s">
        <v>44</v>
      </c>
      <c r="K515" s="5">
        <f>278 / 86400</f>
        <v>3.2175925925925926E-3</v>
      </c>
      <c r="L515" s="5">
        <f>23 / 86400</f>
        <v>2.6620370370370372E-4</v>
      </c>
    </row>
    <row r="516" spans="1:12" x14ac:dyDescent="0.25">
      <c r="A516" s="3">
        <v>45706.804027777776</v>
      </c>
      <c r="B516" t="s">
        <v>76</v>
      </c>
      <c r="C516" s="3">
        <v>45706.805937500001</v>
      </c>
      <c r="D516" t="s">
        <v>76</v>
      </c>
      <c r="E516" s="4">
        <v>0.9379061309099197</v>
      </c>
      <c r="F516" s="4">
        <v>348898.00128739869</v>
      </c>
      <c r="G516" s="4">
        <v>348898.9391935296</v>
      </c>
      <c r="H516" s="5">
        <f t="shared" si="6"/>
        <v>0</v>
      </c>
      <c r="I516" t="s">
        <v>165</v>
      </c>
      <c r="J516" t="s">
        <v>35</v>
      </c>
      <c r="K516" s="5">
        <f>165 / 86400</f>
        <v>1.9097222222222222E-3</v>
      </c>
      <c r="L516" s="5">
        <f>20 / 86400</f>
        <v>2.3148148148148149E-4</v>
      </c>
    </row>
    <row r="517" spans="1:12" x14ac:dyDescent="0.25">
      <c r="A517" s="3">
        <v>45706.806168981479</v>
      </c>
      <c r="B517" t="s">
        <v>76</v>
      </c>
      <c r="C517" s="3">
        <v>45706.807326388887</v>
      </c>
      <c r="D517" t="s">
        <v>76</v>
      </c>
      <c r="E517" s="4">
        <v>0.16922595810890198</v>
      </c>
      <c r="F517" s="4">
        <v>348898.94986681896</v>
      </c>
      <c r="G517" s="4">
        <v>348899.11909277708</v>
      </c>
      <c r="H517" s="5">
        <f t="shared" si="6"/>
        <v>0</v>
      </c>
      <c r="I517" t="s">
        <v>25</v>
      </c>
      <c r="J517" t="s">
        <v>32</v>
      </c>
      <c r="K517" s="5">
        <f>100 / 86400</f>
        <v>1.1574074074074073E-3</v>
      </c>
      <c r="L517" s="5">
        <f>60 / 86400</f>
        <v>6.9444444444444447E-4</v>
      </c>
    </row>
    <row r="518" spans="1:12" x14ac:dyDescent="0.25">
      <c r="A518" s="3">
        <v>45706.808020833334</v>
      </c>
      <c r="B518" t="s">
        <v>76</v>
      </c>
      <c r="C518" s="3">
        <v>45706.808483796296</v>
      </c>
      <c r="D518" t="s">
        <v>76</v>
      </c>
      <c r="E518" s="4">
        <v>5.5743881821632382E-2</v>
      </c>
      <c r="F518" s="4">
        <v>348899.17292481376</v>
      </c>
      <c r="G518" s="4">
        <v>348899.22866869555</v>
      </c>
      <c r="H518" s="5">
        <f t="shared" si="6"/>
        <v>0</v>
      </c>
      <c r="I518" t="s">
        <v>171</v>
      </c>
      <c r="J518" t="s">
        <v>50</v>
      </c>
      <c r="K518" s="5">
        <f>40 / 86400</f>
        <v>4.6296296296296298E-4</v>
      </c>
      <c r="L518" s="5">
        <f>37 / 86400</f>
        <v>4.2824074074074075E-4</v>
      </c>
    </row>
    <row r="519" spans="1:12" x14ac:dyDescent="0.25">
      <c r="A519" s="3">
        <v>45706.808912037042</v>
      </c>
      <c r="B519" t="s">
        <v>76</v>
      </c>
      <c r="C519" s="3">
        <v>45706.812384259261</v>
      </c>
      <c r="D519" t="s">
        <v>76</v>
      </c>
      <c r="E519" s="4">
        <v>2.2960022137761116</v>
      </c>
      <c r="F519" s="4">
        <v>348899.23930062482</v>
      </c>
      <c r="G519" s="4">
        <v>348901.53530283854</v>
      </c>
      <c r="H519" s="5">
        <f t="shared" si="6"/>
        <v>0</v>
      </c>
      <c r="I519" t="s">
        <v>47</v>
      </c>
      <c r="J519" t="s">
        <v>175</v>
      </c>
      <c r="K519" s="5">
        <f>300 / 86400</f>
        <v>3.472222222222222E-3</v>
      </c>
      <c r="L519" s="5">
        <f>20 / 86400</f>
        <v>2.3148148148148149E-4</v>
      </c>
    </row>
    <row r="520" spans="1:12" x14ac:dyDescent="0.25">
      <c r="A520" s="3">
        <v>45706.812615740739</v>
      </c>
      <c r="B520" t="s">
        <v>76</v>
      </c>
      <c r="C520" s="3">
        <v>45706.815162037034</v>
      </c>
      <c r="D520" t="s">
        <v>76</v>
      </c>
      <c r="E520" s="4">
        <v>1.016863950908184</v>
      </c>
      <c r="F520" s="4">
        <v>348901.54238348472</v>
      </c>
      <c r="G520" s="4">
        <v>348902.55924743565</v>
      </c>
      <c r="H520" s="5">
        <f t="shared" si="6"/>
        <v>0</v>
      </c>
      <c r="I520" t="s">
        <v>129</v>
      </c>
      <c r="J520" t="s">
        <v>62</v>
      </c>
      <c r="K520" s="5">
        <f>220 / 86400</f>
        <v>2.5462962962962965E-3</v>
      </c>
      <c r="L520" s="5">
        <f>20 / 86400</f>
        <v>2.3148148148148149E-4</v>
      </c>
    </row>
    <row r="521" spans="1:12" x14ac:dyDescent="0.25">
      <c r="A521" s="3">
        <v>45706.815393518518</v>
      </c>
      <c r="B521" t="s">
        <v>76</v>
      </c>
      <c r="C521" s="3">
        <v>45706.81631944445</v>
      </c>
      <c r="D521" t="s">
        <v>180</v>
      </c>
      <c r="E521" s="4">
        <v>0.24270896631479263</v>
      </c>
      <c r="F521" s="4">
        <v>348902.60363766784</v>
      </c>
      <c r="G521" s="4">
        <v>348902.84634663415</v>
      </c>
      <c r="H521" s="5">
        <f t="shared" si="6"/>
        <v>0</v>
      </c>
      <c r="I521" t="s">
        <v>20</v>
      </c>
      <c r="J521" t="s">
        <v>93</v>
      </c>
      <c r="K521" s="5">
        <f>80 / 86400</f>
        <v>9.2592592592592596E-4</v>
      </c>
      <c r="L521" s="5">
        <f>40 / 86400</f>
        <v>4.6296296296296298E-4</v>
      </c>
    </row>
    <row r="522" spans="1:12" x14ac:dyDescent="0.25">
      <c r="A522" s="3">
        <v>45706.816782407404</v>
      </c>
      <c r="B522" t="s">
        <v>180</v>
      </c>
      <c r="C522" s="3">
        <v>45706.818171296298</v>
      </c>
      <c r="D522" t="s">
        <v>359</v>
      </c>
      <c r="E522" s="4">
        <v>0.74231404918432231</v>
      </c>
      <c r="F522" s="4">
        <v>348902.85646183579</v>
      </c>
      <c r="G522" s="4">
        <v>348903.59877588501</v>
      </c>
      <c r="H522" s="5">
        <f t="shared" si="6"/>
        <v>0</v>
      </c>
      <c r="I522" t="s">
        <v>24</v>
      </c>
      <c r="J522" t="s">
        <v>130</v>
      </c>
      <c r="K522" s="5">
        <f>120 / 86400</f>
        <v>1.3888888888888889E-3</v>
      </c>
      <c r="L522" s="5">
        <f>32 / 86400</f>
        <v>3.7037037037037035E-4</v>
      </c>
    </row>
    <row r="523" spans="1:12" x14ac:dyDescent="0.25">
      <c r="A523" s="3">
        <v>45706.818541666667</v>
      </c>
      <c r="B523" t="s">
        <v>359</v>
      </c>
      <c r="C523" s="3">
        <v>45706.819236111114</v>
      </c>
      <c r="D523" t="s">
        <v>181</v>
      </c>
      <c r="E523" s="4">
        <v>0.11300113284587861</v>
      </c>
      <c r="F523" s="4">
        <v>348903.60569765797</v>
      </c>
      <c r="G523" s="4">
        <v>348903.71869879076</v>
      </c>
      <c r="H523" s="5">
        <f t="shared" si="6"/>
        <v>0</v>
      </c>
      <c r="I523" t="s">
        <v>150</v>
      </c>
      <c r="J523" t="s">
        <v>150</v>
      </c>
      <c r="K523" s="5">
        <f>60 / 86400</f>
        <v>6.9444444444444447E-4</v>
      </c>
      <c r="L523" s="5">
        <f>40 / 86400</f>
        <v>4.6296296296296298E-4</v>
      </c>
    </row>
    <row r="524" spans="1:12" x14ac:dyDescent="0.25">
      <c r="A524" s="3">
        <v>45706.819699074069</v>
      </c>
      <c r="B524" t="s">
        <v>306</v>
      </c>
      <c r="C524" s="3">
        <v>45706.821087962962</v>
      </c>
      <c r="D524" t="s">
        <v>83</v>
      </c>
      <c r="E524" s="4">
        <v>0.78936872917413714</v>
      </c>
      <c r="F524" s="4">
        <v>348903.76563308307</v>
      </c>
      <c r="G524" s="4">
        <v>348904.55500181223</v>
      </c>
      <c r="H524" s="5">
        <f t="shared" si="6"/>
        <v>0</v>
      </c>
      <c r="I524" t="s">
        <v>206</v>
      </c>
      <c r="J524" t="s">
        <v>151</v>
      </c>
      <c r="K524" s="5">
        <f>120 / 86400</f>
        <v>1.3888888888888889E-3</v>
      </c>
      <c r="L524" s="5">
        <f>40 / 86400</f>
        <v>4.6296296296296298E-4</v>
      </c>
    </row>
    <row r="525" spans="1:12" x14ac:dyDescent="0.25">
      <c r="A525" s="3">
        <v>45706.821550925924</v>
      </c>
      <c r="B525" t="s">
        <v>83</v>
      </c>
      <c r="C525" s="3">
        <v>45706.821782407409</v>
      </c>
      <c r="D525" t="s">
        <v>83</v>
      </c>
      <c r="E525" s="4">
        <v>3.6719350814819335E-3</v>
      </c>
      <c r="F525" s="4">
        <v>348904.56621476478</v>
      </c>
      <c r="G525" s="4">
        <v>348904.56988669984</v>
      </c>
      <c r="H525" s="5">
        <f t="shared" si="6"/>
        <v>0</v>
      </c>
      <c r="I525" t="s">
        <v>170</v>
      </c>
      <c r="J525" t="s">
        <v>163</v>
      </c>
      <c r="K525" s="5">
        <f>20 / 86400</f>
        <v>2.3148148148148149E-4</v>
      </c>
      <c r="L525" s="5">
        <f>20 / 86400</f>
        <v>2.3148148148148149E-4</v>
      </c>
    </row>
    <row r="526" spans="1:12" x14ac:dyDescent="0.25">
      <c r="A526" s="3">
        <v>45706.822013888886</v>
      </c>
      <c r="B526" t="s">
        <v>83</v>
      </c>
      <c r="C526" s="3">
        <v>45706.822442129633</v>
      </c>
      <c r="D526" t="s">
        <v>89</v>
      </c>
      <c r="E526" s="4">
        <v>5.2772060930728913E-2</v>
      </c>
      <c r="F526" s="4">
        <v>348904.57576413953</v>
      </c>
      <c r="G526" s="4">
        <v>348904.62853620044</v>
      </c>
      <c r="H526" s="5">
        <f t="shared" si="6"/>
        <v>0</v>
      </c>
      <c r="I526" t="s">
        <v>159</v>
      </c>
      <c r="J526" t="s">
        <v>50</v>
      </c>
      <c r="K526" s="5">
        <f>37 / 86400</f>
        <v>4.2824074074074075E-4</v>
      </c>
      <c r="L526" s="5">
        <f>23 / 86400</f>
        <v>2.6620370370370372E-4</v>
      </c>
    </row>
    <row r="527" spans="1:12" x14ac:dyDescent="0.25">
      <c r="A527" s="3">
        <v>45706.822708333333</v>
      </c>
      <c r="B527" t="s">
        <v>89</v>
      </c>
      <c r="C527" s="3">
        <v>45706.825486111113</v>
      </c>
      <c r="D527" t="s">
        <v>184</v>
      </c>
      <c r="E527" s="4">
        <v>2.2897018889188767</v>
      </c>
      <c r="F527" s="4">
        <v>348904.6355623405</v>
      </c>
      <c r="G527" s="4">
        <v>348906.92526422942</v>
      </c>
      <c r="H527" s="5">
        <f t="shared" si="6"/>
        <v>0</v>
      </c>
      <c r="I527" t="s">
        <v>221</v>
      </c>
      <c r="J527" t="s">
        <v>107</v>
      </c>
      <c r="K527" s="5">
        <f>240 / 86400</f>
        <v>2.7777777777777779E-3</v>
      </c>
      <c r="L527" s="5">
        <f>20 / 86400</f>
        <v>2.3148148148148149E-4</v>
      </c>
    </row>
    <row r="528" spans="1:12" x14ac:dyDescent="0.25">
      <c r="A528" s="3">
        <v>45706.825717592597</v>
      </c>
      <c r="B528" t="s">
        <v>360</v>
      </c>
      <c r="C528" s="3">
        <v>45706.826412037037</v>
      </c>
      <c r="D528" t="s">
        <v>184</v>
      </c>
      <c r="E528" s="4">
        <v>0.10138221842050553</v>
      </c>
      <c r="F528" s="4">
        <v>348906.97395824559</v>
      </c>
      <c r="G528" s="4">
        <v>348907.07534046401</v>
      </c>
      <c r="H528" s="5">
        <f t="shared" si="6"/>
        <v>0</v>
      </c>
      <c r="I528" t="s">
        <v>57</v>
      </c>
      <c r="J528" t="s">
        <v>32</v>
      </c>
      <c r="K528" s="5">
        <f>60 / 86400</f>
        <v>6.9444444444444447E-4</v>
      </c>
      <c r="L528" s="5">
        <f>20 / 86400</f>
        <v>2.3148148148148149E-4</v>
      </c>
    </row>
    <row r="529" spans="1:12" x14ac:dyDescent="0.25">
      <c r="A529" s="3">
        <v>45706.826643518521</v>
      </c>
      <c r="B529" t="s">
        <v>184</v>
      </c>
      <c r="C529" s="3">
        <v>45706.827997685185</v>
      </c>
      <c r="D529" t="s">
        <v>36</v>
      </c>
      <c r="E529" s="4">
        <v>0.67829806607961651</v>
      </c>
      <c r="F529" s="4">
        <v>348907.08439302299</v>
      </c>
      <c r="G529" s="4">
        <v>348907.76269108907</v>
      </c>
      <c r="H529" s="5">
        <f t="shared" si="6"/>
        <v>0</v>
      </c>
      <c r="I529" t="s">
        <v>208</v>
      </c>
      <c r="J529" t="s">
        <v>136</v>
      </c>
      <c r="K529" s="5">
        <f>117 / 86400</f>
        <v>1.3541666666666667E-3</v>
      </c>
      <c r="L529" s="5">
        <f>24 / 86400</f>
        <v>2.7777777777777778E-4</v>
      </c>
    </row>
    <row r="530" spans="1:12" x14ac:dyDescent="0.25">
      <c r="A530" s="3">
        <v>45706.828275462962</v>
      </c>
      <c r="B530" t="s">
        <v>187</v>
      </c>
      <c r="C530" s="3">
        <v>45706.828969907408</v>
      </c>
      <c r="D530" t="s">
        <v>187</v>
      </c>
      <c r="E530" s="4">
        <v>0.44822772973775865</v>
      </c>
      <c r="F530" s="4">
        <v>348907.76637003099</v>
      </c>
      <c r="G530" s="4">
        <v>348908.21459776076</v>
      </c>
      <c r="H530" s="5">
        <f t="shared" si="6"/>
        <v>0</v>
      </c>
      <c r="I530" t="s">
        <v>169</v>
      </c>
      <c r="J530" t="s">
        <v>212</v>
      </c>
      <c r="K530" s="5">
        <f>60 / 86400</f>
        <v>6.9444444444444447E-4</v>
      </c>
      <c r="L530" s="5">
        <f>20 / 86400</f>
        <v>2.3148148148148149E-4</v>
      </c>
    </row>
    <row r="531" spans="1:12" x14ac:dyDescent="0.25">
      <c r="A531" s="3">
        <v>45706.829201388886</v>
      </c>
      <c r="B531" t="s">
        <v>187</v>
      </c>
      <c r="C531" s="3">
        <v>45706.830821759257</v>
      </c>
      <c r="D531" t="s">
        <v>187</v>
      </c>
      <c r="E531" s="4">
        <v>1.2543765400052072</v>
      </c>
      <c r="F531" s="4">
        <v>348908.3633219722</v>
      </c>
      <c r="G531" s="4">
        <v>348909.61769851221</v>
      </c>
      <c r="H531" s="5">
        <f t="shared" si="6"/>
        <v>0</v>
      </c>
      <c r="I531" t="s">
        <v>191</v>
      </c>
      <c r="J531" t="s">
        <v>139</v>
      </c>
      <c r="K531" s="5">
        <f>140 / 86400</f>
        <v>1.6203703703703703E-3</v>
      </c>
      <c r="L531" s="5">
        <f>24 / 86400</f>
        <v>2.7777777777777778E-4</v>
      </c>
    </row>
    <row r="532" spans="1:12" x14ac:dyDescent="0.25">
      <c r="A532" s="3">
        <v>45706.831099537041</v>
      </c>
      <c r="B532" t="s">
        <v>187</v>
      </c>
      <c r="C532" s="3">
        <v>45706.833877314813</v>
      </c>
      <c r="D532" t="s">
        <v>361</v>
      </c>
      <c r="E532" s="4">
        <v>2.1348074882030486</v>
      </c>
      <c r="F532" s="4">
        <v>348909.62270917097</v>
      </c>
      <c r="G532" s="4">
        <v>348911.75751665921</v>
      </c>
      <c r="H532" s="5">
        <f t="shared" si="6"/>
        <v>0</v>
      </c>
      <c r="I532" t="s">
        <v>165</v>
      </c>
      <c r="J532" t="s">
        <v>139</v>
      </c>
      <c r="K532" s="5">
        <f>240 / 86400</f>
        <v>2.7777777777777779E-3</v>
      </c>
      <c r="L532" s="5">
        <f>20 / 86400</f>
        <v>2.3148148148148149E-4</v>
      </c>
    </row>
    <row r="533" spans="1:12" x14ac:dyDescent="0.25">
      <c r="A533" s="3">
        <v>45706.834108796298</v>
      </c>
      <c r="B533" t="s">
        <v>362</v>
      </c>
      <c r="C533" s="3">
        <v>45706.837199074071</v>
      </c>
      <c r="D533" t="s">
        <v>192</v>
      </c>
      <c r="E533" s="4">
        <v>1.8871553834080697</v>
      </c>
      <c r="F533" s="4">
        <v>348911.84869382059</v>
      </c>
      <c r="G533" s="4">
        <v>348913.73584920401</v>
      </c>
      <c r="H533" s="5">
        <f t="shared" si="6"/>
        <v>0</v>
      </c>
      <c r="I533" t="s">
        <v>47</v>
      </c>
      <c r="J533" t="s">
        <v>31</v>
      </c>
      <c r="K533" s="5">
        <f>267 / 86400</f>
        <v>3.0902777777777777E-3</v>
      </c>
      <c r="L533" s="5">
        <f>2 / 86400</f>
        <v>2.3148148148148147E-5</v>
      </c>
    </row>
    <row r="534" spans="1:12" x14ac:dyDescent="0.25">
      <c r="A534" s="3">
        <v>45706.837222222224</v>
      </c>
      <c r="B534" t="s">
        <v>192</v>
      </c>
      <c r="C534" s="3">
        <v>45706.845648148148</v>
      </c>
      <c r="D534" t="s">
        <v>195</v>
      </c>
      <c r="E534" s="4">
        <v>6.5216600367426869</v>
      </c>
      <c r="F534" s="4">
        <v>348913.73712493433</v>
      </c>
      <c r="G534" s="4">
        <v>348920.25878497108</v>
      </c>
      <c r="H534" s="5">
        <f t="shared" si="6"/>
        <v>0</v>
      </c>
      <c r="I534" t="s">
        <v>196</v>
      </c>
      <c r="J534" t="s">
        <v>139</v>
      </c>
      <c r="K534" s="5">
        <f>728 / 86400</f>
        <v>8.4259259259259253E-3</v>
      </c>
      <c r="L534" s="5">
        <f>20 / 86400</f>
        <v>2.3148148148148149E-4</v>
      </c>
    </row>
    <row r="535" spans="1:12" x14ac:dyDescent="0.25">
      <c r="A535" s="3">
        <v>45706.845879629633</v>
      </c>
      <c r="B535" t="s">
        <v>195</v>
      </c>
      <c r="C535" s="3">
        <v>45706.848078703704</v>
      </c>
      <c r="D535" t="s">
        <v>195</v>
      </c>
      <c r="E535" s="4">
        <v>0.87778784853219982</v>
      </c>
      <c r="F535" s="4">
        <v>348920.32404378522</v>
      </c>
      <c r="G535" s="4">
        <v>348921.20183163375</v>
      </c>
      <c r="H535" s="5">
        <f t="shared" si="6"/>
        <v>0</v>
      </c>
      <c r="I535" t="s">
        <v>211</v>
      </c>
      <c r="J535" t="s">
        <v>62</v>
      </c>
      <c r="K535" s="5">
        <f>190 / 86400</f>
        <v>2.1990740740740742E-3</v>
      </c>
      <c r="L535" s="5">
        <f>20 / 86400</f>
        <v>2.3148148148148149E-4</v>
      </c>
    </row>
    <row r="536" spans="1:12" x14ac:dyDescent="0.25">
      <c r="A536" s="3">
        <v>45706.848310185189</v>
      </c>
      <c r="B536" t="s">
        <v>204</v>
      </c>
      <c r="C536" s="3">
        <v>45706.848541666666</v>
      </c>
      <c r="D536" t="s">
        <v>204</v>
      </c>
      <c r="E536" s="4">
        <v>1.4512738645076751E-2</v>
      </c>
      <c r="F536" s="4">
        <v>348921.25998885528</v>
      </c>
      <c r="G536" s="4">
        <v>348921.27450159396</v>
      </c>
      <c r="H536" s="5">
        <f t="shared" si="6"/>
        <v>0</v>
      </c>
      <c r="I536" t="s">
        <v>62</v>
      </c>
      <c r="J536" t="s">
        <v>170</v>
      </c>
      <c r="K536" s="5">
        <f>20 / 86400</f>
        <v>2.3148148148148149E-4</v>
      </c>
      <c r="L536" s="5">
        <f>7 / 86400</f>
        <v>8.1018518518518516E-5</v>
      </c>
    </row>
    <row r="537" spans="1:12" x14ac:dyDescent="0.25">
      <c r="A537" s="3">
        <v>45706.848622685182</v>
      </c>
      <c r="B537" t="s">
        <v>204</v>
      </c>
      <c r="C537" s="3">
        <v>45706.849548611106</v>
      </c>
      <c r="D537" t="s">
        <v>119</v>
      </c>
      <c r="E537" s="4">
        <v>0.43414261651039121</v>
      </c>
      <c r="F537" s="4">
        <v>348921.27799443796</v>
      </c>
      <c r="G537" s="4">
        <v>348921.71213705442</v>
      </c>
      <c r="H537" s="5">
        <f t="shared" si="6"/>
        <v>0</v>
      </c>
      <c r="I537" t="s">
        <v>139</v>
      </c>
      <c r="J537" t="s">
        <v>35</v>
      </c>
      <c r="K537" s="5">
        <f>80 / 86400</f>
        <v>9.2592592592592596E-4</v>
      </c>
      <c r="L537" s="5">
        <f>2 / 86400</f>
        <v>2.3148148148148147E-5</v>
      </c>
    </row>
    <row r="538" spans="1:12" x14ac:dyDescent="0.25">
      <c r="A538" s="3">
        <v>45706.84957175926</v>
      </c>
      <c r="B538" t="s">
        <v>203</v>
      </c>
      <c r="C538" s="3">
        <v>45706.852210648147</v>
      </c>
      <c r="D538" t="s">
        <v>201</v>
      </c>
      <c r="E538" s="4">
        <v>0.83824981248378749</v>
      </c>
      <c r="F538" s="4">
        <v>348921.71620978269</v>
      </c>
      <c r="G538" s="4">
        <v>348922.55445959518</v>
      </c>
      <c r="H538" s="5">
        <f t="shared" si="6"/>
        <v>0</v>
      </c>
      <c r="I538" t="s">
        <v>79</v>
      </c>
      <c r="J538" t="s">
        <v>44</v>
      </c>
      <c r="K538" s="5">
        <f>228 / 86400</f>
        <v>2.638888888888889E-3</v>
      </c>
      <c r="L538" s="5">
        <f>40 / 86400</f>
        <v>4.6296296296296298E-4</v>
      </c>
    </row>
    <row r="539" spans="1:12" x14ac:dyDescent="0.25">
      <c r="A539" s="3">
        <v>45706.852673611109</v>
      </c>
      <c r="B539" t="s">
        <v>201</v>
      </c>
      <c r="C539" s="3">
        <v>45706.854583333334</v>
      </c>
      <c r="D539" t="s">
        <v>201</v>
      </c>
      <c r="E539" s="4">
        <v>0.22835015267133713</v>
      </c>
      <c r="F539" s="4">
        <v>348922.57843300933</v>
      </c>
      <c r="G539" s="4">
        <v>348922.806783162</v>
      </c>
      <c r="H539" s="5">
        <f t="shared" si="6"/>
        <v>0</v>
      </c>
      <c r="I539" t="s">
        <v>159</v>
      </c>
      <c r="J539" t="s">
        <v>50</v>
      </c>
      <c r="K539" s="5">
        <f>165 / 86400</f>
        <v>1.9097222222222222E-3</v>
      </c>
      <c r="L539" s="5">
        <f>5 / 86400</f>
        <v>5.7870370370370373E-5</v>
      </c>
    </row>
    <row r="540" spans="1:12" x14ac:dyDescent="0.25">
      <c r="A540" s="3">
        <v>45706.854641203703</v>
      </c>
      <c r="B540" t="s">
        <v>201</v>
      </c>
      <c r="C540" s="3">
        <v>45706.857777777783</v>
      </c>
      <c r="D540" t="s">
        <v>195</v>
      </c>
      <c r="E540" s="4">
        <v>1.2906522176861763</v>
      </c>
      <c r="F540" s="4">
        <v>348922.80916952848</v>
      </c>
      <c r="G540" s="4">
        <v>348924.09982174617</v>
      </c>
      <c r="H540" s="5">
        <f t="shared" si="6"/>
        <v>0</v>
      </c>
      <c r="I540" t="s">
        <v>139</v>
      </c>
      <c r="J540" t="s">
        <v>62</v>
      </c>
      <c r="K540" s="5">
        <f>271 / 86400</f>
        <v>3.1365740740740742E-3</v>
      </c>
      <c r="L540" s="5">
        <f>8 / 86400</f>
        <v>9.2592592592592588E-5</v>
      </c>
    </row>
    <row r="541" spans="1:12" x14ac:dyDescent="0.25">
      <c r="A541" s="3">
        <v>45706.857870370368</v>
      </c>
      <c r="B541" t="s">
        <v>195</v>
      </c>
      <c r="C541" s="3">
        <v>45706.859027777777</v>
      </c>
      <c r="D541" t="s">
        <v>195</v>
      </c>
      <c r="E541" s="4">
        <v>0.89122799992561341</v>
      </c>
      <c r="F541" s="4">
        <v>348924.10475383117</v>
      </c>
      <c r="G541" s="4">
        <v>348924.99598183105</v>
      </c>
      <c r="H541" s="5">
        <f t="shared" si="6"/>
        <v>0</v>
      </c>
      <c r="I541" t="s">
        <v>129</v>
      </c>
      <c r="J541" t="s">
        <v>139</v>
      </c>
      <c r="K541" s="5">
        <f>100 / 86400</f>
        <v>1.1574074074074073E-3</v>
      </c>
      <c r="L541" s="5">
        <f>20 / 86400</f>
        <v>2.3148148148148149E-4</v>
      </c>
    </row>
    <row r="542" spans="1:12" x14ac:dyDescent="0.25">
      <c r="A542" s="3">
        <v>45706.859259259261</v>
      </c>
      <c r="B542" t="s">
        <v>195</v>
      </c>
      <c r="C542" s="3">
        <v>45706.859490740739</v>
      </c>
      <c r="D542" t="s">
        <v>195</v>
      </c>
      <c r="E542" s="4">
        <v>3.5086040496826172E-3</v>
      </c>
      <c r="F542" s="4">
        <v>348925.00458210846</v>
      </c>
      <c r="G542" s="4">
        <v>348925.00809071248</v>
      </c>
      <c r="H542" s="5">
        <f t="shared" si="6"/>
        <v>0</v>
      </c>
      <c r="I542" t="s">
        <v>111</v>
      </c>
      <c r="J542" t="s">
        <v>163</v>
      </c>
      <c r="K542" s="5">
        <f>20 / 86400</f>
        <v>2.3148148148148149E-4</v>
      </c>
      <c r="L542" s="5">
        <f>14 / 86400</f>
        <v>1.6203703703703703E-4</v>
      </c>
    </row>
    <row r="543" spans="1:12" x14ac:dyDescent="0.25">
      <c r="A543" s="3">
        <v>45706.859652777777</v>
      </c>
      <c r="B543" t="s">
        <v>195</v>
      </c>
      <c r="C543" s="3">
        <v>45706.863865740743</v>
      </c>
      <c r="D543" t="s">
        <v>205</v>
      </c>
      <c r="E543" s="4">
        <v>4.2404072830677029</v>
      </c>
      <c r="F543" s="4">
        <v>348925.01551445632</v>
      </c>
      <c r="G543" s="4">
        <v>348929.25592173939</v>
      </c>
      <c r="H543" s="5">
        <f t="shared" si="6"/>
        <v>0</v>
      </c>
      <c r="I543" t="s">
        <v>196</v>
      </c>
      <c r="J543" t="s">
        <v>129</v>
      </c>
      <c r="K543" s="5">
        <f>364 / 86400</f>
        <v>4.2129629629629626E-3</v>
      </c>
      <c r="L543" s="5">
        <f>20 / 86400</f>
        <v>2.3148148148148149E-4</v>
      </c>
    </row>
    <row r="544" spans="1:12" x14ac:dyDescent="0.25">
      <c r="A544" s="3">
        <v>45706.86409722222</v>
      </c>
      <c r="B544" t="s">
        <v>205</v>
      </c>
      <c r="C544" s="3">
        <v>45706.866076388891</v>
      </c>
      <c r="D544" t="s">
        <v>363</v>
      </c>
      <c r="E544" s="4">
        <v>1.79341037607193</v>
      </c>
      <c r="F544" s="4">
        <v>348929.30659850914</v>
      </c>
      <c r="G544" s="4">
        <v>348931.1000088852</v>
      </c>
      <c r="H544" s="5">
        <f t="shared" si="6"/>
        <v>0</v>
      </c>
      <c r="I544" t="s">
        <v>49</v>
      </c>
      <c r="J544" t="s">
        <v>24</v>
      </c>
      <c r="K544" s="5">
        <f>171 / 86400</f>
        <v>1.9791666666666668E-3</v>
      </c>
      <c r="L544" s="5">
        <f>5 / 86400</f>
        <v>5.7870370370370373E-5</v>
      </c>
    </row>
    <row r="545" spans="1:12" x14ac:dyDescent="0.25">
      <c r="A545" s="3">
        <v>45706.86613425926</v>
      </c>
      <c r="B545" t="s">
        <v>363</v>
      </c>
      <c r="C545" s="3">
        <v>45706.868634259255</v>
      </c>
      <c r="D545" t="s">
        <v>141</v>
      </c>
      <c r="E545" s="4">
        <v>2.1318589355349542</v>
      </c>
      <c r="F545" s="4">
        <v>348931.10257270228</v>
      </c>
      <c r="G545" s="4">
        <v>348933.2344316378</v>
      </c>
      <c r="H545" s="5">
        <f t="shared" si="6"/>
        <v>0</v>
      </c>
      <c r="I545" t="s">
        <v>145</v>
      </c>
      <c r="J545" t="s">
        <v>169</v>
      </c>
      <c r="K545" s="5">
        <f>216 / 86400</f>
        <v>2.5000000000000001E-3</v>
      </c>
      <c r="L545" s="5">
        <f>20 / 86400</f>
        <v>2.3148148148148149E-4</v>
      </c>
    </row>
    <row r="546" spans="1:12" x14ac:dyDescent="0.25">
      <c r="A546" s="3">
        <v>45706.86886574074</v>
      </c>
      <c r="B546" t="s">
        <v>192</v>
      </c>
      <c r="C546" s="3">
        <v>45706.870717592596</v>
      </c>
      <c r="D546" t="s">
        <v>189</v>
      </c>
      <c r="E546" s="4">
        <v>2.1096352301239967</v>
      </c>
      <c r="F546" s="4">
        <v>348933.65577257558</v>
      </c>
      <c r="G546" s="4">
        <v>348935.76540780568</v>
      </c>
      <c r="H546" s="5">
        <f t="shared" si="6"/>
        <v>0</v>
      </c>
      <c r="I546" t="s">
        <v>71</v>
      </c>
      <c r="J546" t="s">
        <v>186</v>
      </c>
      <c r="K546" s="5">
        <f>160 / 86400</f>
        <v>1.8518518518518519E-3</v>
      </c>
      <c r="L546" s="5">
        <f>20 / 86400</f>
        <v>2.3148148148148149E-4</v>
      </c>
    </row>
    <row r="547" spans="1:12" x14ac:dyDescent="0.25">
      <c r="A547" s="3">
        <v>45706.870949074073</v>
      </c>
      <c r="B547" t="s">
        <v>189</v>
      </c>
      <c r="C547" s="3">
        <v>45706.873726851853</v>
      </c>
      <c r="D547" t="s">
        <v>184</v>
      </c>
      <c r="E547" s="4">
        <v>2.3184576988816263</v>
      </c>
      <c r="F547" s="4">
        <v>348935.89634990349</v>
      </c>
      <c r="G547" s="4">
        <v>348938.21480760234</v>
      </c>
      <c r="H547" s="5">
        <f t="shared" si="6"/>
        <v>0</v>
      </c>
      <c r="I547" t="s">
        <v>49</v>
      </c>
      <c r="J547" t="s">
        <v>162</v>
      </c>
      <c r="K547" s="5">
        <f>240 / 86400</f>
        <v>2.7777777777777779E-3</v>
      </c>
      <c r="L547" s="5">
        <f>68 / 86400</f>
        <v>7.8703703703703705E-4</v>
      </c>
    </row>
    <row r="548" spans="1:12" x14ac:dyDescent="0.25">
      <c r="A548" s="3">
        <v>45706.874513888892</v>
      </c>
      <c r="B548" t="s">
        <v>184</v>
      </c>
      <c r="C548" s="3">
        <v>45706.878946759258</v>
      </c>
      <c r="D548" t="s">
        <v>181</v>
      </c>
      <c r="E548" s="4">
        <v>3.3479463812708854</v>
      </c>
      <c r="F548" s="4">
        <v>348938.22099112108</v>
      </c>
      <c r="G548" s="4">
        <v>348941.56893750234</v>
      </c>
      <c r="H548" s="5">
        <f t="shared" si="6"/>
        <v>0</v>
      </c>
      <c r="I548" t="s">
        <v>47</v>
      </c>
      <c r="J548" t="s">
        <v>156</v>
      </c>
      <c r="K548" s="5">
        <f>383 / 86400</f>
        <v>4.43287037037037E-3</v>
      </c>
      <c r="L548" s="5">
        <f>100 / 86400</f>
        <v>1.1574074074074073E-3</v>
      </c>
    </row>
    <row r="549" spans="1:12" x14ac:dyDescent="0.25">
      <c r="A549" s="3">
        <v>45706.880104166667</v>
      </c>
      <c r="B549" t="s">
        <v>181</v>
      </c>
      <c r="C549" s="3">
        <v>45706.881770833337</v>
      </c>
      <c r="D549" t="s">
        <v>181</v>
      </c>
      <c r="E549" s="4">
        <v>0.93928984141349792</v>
      </c>
      <c r="F549" s="4">
        <v>348941.58677201666</v>
      </c>
      <c r="G549" s="4">
        <v>348942.52606185805</v>
      </c>
      <c r="H549" s="5">
        <f t="shared" si="6"/>
        <v>0</v>
      </c>
      <c r="I549" t="s">
        <v>182</v>
      </c>
      <c r="J549" t="s">
        <v>143</v>
      </c>
      <c r="K549" s="5">
        <f>144 / 86400</f>
        <v>1.6666666666666668E-3</v>
      </c>
      <c r="L549" s="5">
        <f>20 / 86400</f>
        <v>2.3148148148148149E-4</v>
      </c>
    </row>
    <row r="550" spans="1:12" x14ac:dyDescent="0.25">
      <c r="A550" s="3">
        <v>45706.882002314815</v>
      </c>
      <c r="B550" t="s">
        <v>181</v>
      </c>
      <c r="C550" s="3">
        <v>45706.882233796292</v>
      </c>
      <c r="D550" t="s">
        <v>181</v>
      </c>
      <c r="E550" s="4">
        <v>1.2381312251091004E-2</v>
      </c>
      <c r="F550" s="4">
        <v>348942.53595468728</v>
      </c>
      <c r="G550" s="4">
        <v>348942.54833599954</v>
      </c>
      <c r="H550" s="5">
        <f t="shared" si="6"/>
        <v>0</v>
      </c>
      <c r="I550" t="s">
        <v>159</v>
      </c>
      <c r="J550" t="s">
        <v>111</v>
      </c>
      <c r="K550" s="5">
        <f>20 / 86400</f>
        <v>2.3148148148148149E-4</v>
      </c>
      <c r="L550" s="5">
        <f>30 / 86400</f>
        <v>3.4722222222222224E-4</v>
      </c>
    </row>
    <row r="551" spans="1:12" x14ac:dyDescent="0.25">
      <c r="A551" s="3">
        <v>45706.882581018523</v>
      </c>
      <c r="B551" t="s">
        <v>181</v>
      </c>
      <c r="C551" s="3">
        <v>45706.882870370369</v>
      </c>
      <c r="D551" t="s">
        <v>364</v>
      </c>
      <c r="E551" s="4">
        <v>4.4839253842830655E-2</v>
      </c>
      <c r="F551" s="4">
        <v>348942.55174869928</v>
      </c>
      <c r="G551" s="4">
        <v>348942.5965879531</v>
      </c>
      <c r="H551" s="5">
        <f t="shared" si="6"/>
        <v>0</v>
      </c>
      <c r="I551" t="s">
        <v>159</v>
      </c>
      <c r="J551" t="s">
        <v>32</v>
      </c>
      <c r="K551" s="5">
        <f>25 / 86400</f>
        <v>2.8935185185185184E-4</v>
      </c>
      <c r="L551" s="5">
        <f>679 / 86400</f>
        <v>7.858796296296296E-3</v>
      </c>
    </row>
    <row r="552" spans="1:12" x14ac:dyDescent="0.25">
      <c r="A552" s="3">
        <v>45706.890729166669</v>
      </c>
      <c r="B552" t="s">
        <v>364</v>
      </c>
      <c r="C552" s="3">
        <v>45706.893773148149</v>
      </c>
      <c r="D552" t="s">
        <v>26</v>
      </c>
      <c r="E552" s="4">
        <v>0.90674634307622914</v>
      </c>
      <c r="F552" s="4">
        <v>348942.6095567756</v>
      </c>
      <c r="G552" s="4">
        <v>348943.51630311867</v>
      </c>
      <c r="H552" s="5">
        <f t="shared" si="6"/>
        <v>0</v>
      </c>
      <c r="I552" t="s">
        <v>20</v>
      </c>
      <c r="J552" t="s">
        <v>25</v>
      </c>
      <c r="K552" s="5">
        <f>263 / 86400</f>
        <v>3.0439814814814813E-3</v>
      </c>
      <c r="L552" s="5">
        <f>9177 / 86400</f>
        <v>0.10621527777777778</v>
      </c>
    </row>
    <row r="553" spans="1:12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</row>
    <row r="554" spans="1:12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</row>
    <row r="555" spans="1:12" s="10" customFormat="1" ht="20.100000000000001" customHeight="1" x14ac:dyDescent="0.35">
      <c r="A555" s="15" t="s">
        <v>464</v>
      </c>
      <c r="B555" s="15"/>
      <c r="C555" s="15"/>
      <c r="D555" s="15"/>
      <c r="E555" s="15"/>
      <c r="F555" s="15"/>
      <c r="G555" s="15"/>
      <c r="H555" s="15"/>
      <c r="I555" s="15"/>
      <c r="J555" s="15"/>
    </row>
    <row r="556" spans="1:12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</row>
    <row r="557" spans="1:12" ht="30" x14ac:dyDescent="0.25">
      <c r="A557" s="2" t="s">
        <v>6</v>
      </c>
      <c r="B557" s="2" t="s">
        <v>7</v>
      </c>
      <c r="C557" s="2" t="s">
        <v>8</v>
      </c>
      <c r="D557" s="2" t="s">
        <v>9</v>
      </c>
      <c r="E557" s="2" t="s">
        <v>10</v>
      </c>
      <c r="F557" s="2" t="s">
        <v>11</v>
      </c>
      <c r="G557" s="2" t="s">
        <v>12</v>
      </c>
      <c r="H557" s="2" t="s">
        <v>13</v>
      </c>
      <c r="I557" s="2" t="s">
        <v>14</v>
      </c>
      <c r="J557" s="2" t="s">
        <v>15</v>
      </c>
      <c r="K557" s="2" t="s">
        <v>16</v>
      </c>
      <c r="L557" s="2" t="s">
        <v>17</v>
      </c>
    </row>
    <row r="558" spans="1:12" x14ac:dyDescent="0.25">
      <c r="A558" s="3">
        <v>45706.169548611113</v>
      </c>
      <c r="B558" t="s">
        <v>36</v>
      </c>
      <c r="C558" s="3">
        <v>45706.387175925927</v>
      </c>
      <c r="D558" t="s">
        <v>120</v>
      </c>
      <c r="E558" s="4">
        <v>82.144999999999996</v>
      </c>
      <c r="F558" s="4">
        <v>484720.95500000002</v>
      </c>
      <c r="G558" s="4">
        <v>484803.1</v>
      </c>
      <c r="H558" s="5">
        <f>6500 / 86400</f>
        <v>7.5231481481481483E-2</v>
      </c>
      <c r="I558" t="s">
        <v>210</v>
      </c>
      <c r="J558" t="s">
        <v>28</v>
      </c>
      <c r="K558" s="5">
        <f>18802 / 86400</f>
        <v>0.21761574074074075</v>
      </c>
      <c r="L558" s="5">
        <f>15605 / 86400</f>
        <v>0.18061342592592591</v>
      </c>
    </row>
    <row r="559" spans="1:12" x14ac:dyDescent="0.25">
      <c r="A559" s="3">
        <v>45706.398240740746</v>
      </c>
      <c r="B559" t="s">
        <v>120</v>
      </c>
      <c r="C559" s="3">
        <v>45706.402187500003</v>
      </c>
      <c r="D559" t="s">
        <v>148</v>
      </c>
      <c r="E559" s="4">
        <v>1.3109999999999999</v>
      </c>
      <c r="F559" s="4">
        <v>484803.1</v>
      </c>
      <c r="G559" s="4">
        <v>484804.41100000002</v>
      </c>
      <c r="H559" s="5">
        <f>0 / 86400</f>
        <v>0</v>
      </c>
      <c r="I559" t="s">
        <v>130</v>
      </c>
      <c r="J559" t="s">
        <v>57</v>
      </c>
      <c r="K559" s="5">
        <f>341 / 86400</f>
        <v>3.9467592592592592E-3</v>
      </c>
      <c r="L559" s="5">
        <f>1211 / 86400</f>
        <v>1.4016203703703704E-2</v>
      </c>
    </row>
    <row r="560" spans="1:12" x14ac:dyDescent="0.25">
      <c r="A560" s="3">
        <v>45706.416203703702</v>
      </c>
      <c r="B560" t="s">
        <v>148</v>
      </c>
      <c r="C560" s="3">
        <v>45706.549895833334</v>
      </c>
      <c r="D560" t="s">
        <v>333</v>
      </c>
      <c r="E560" s="4">
        <v>50.88</v>
      </c>
      <c r="F560" s="4">
        <v>484804.41100000002</v>
      </c>
      <c r="G560" s="4">
        <v>484855.29100000003</v>
      </c>
      <c r="H560" s="5">
        <f>3820 / 86400</f>
        <v>4.4212962962962961E-2</v>
      </c>
      <c r="I560" t="s">
        <v>37</v>
      </c>
      <c r="J560" t="s">
        <v>28</v>
      </c>
      <c r="K560" s="5">
        <f>11550 / 86400</f>
        <v>0.13368055555555555</v>
      </c>
      <c r="L560" s="5">
        <f>102 / 86400</f>
        <v>1.1805555555555556E-3</v>
      </c>
    </row>
    <row r="561" spans="1:12" x14ac:dyDescent="0.25">
      <c r="A561" s="3">
        <v>45706.551076388889</v>
      </c>
      <c r="B561" t="s">
        <v>333</v>
      </c>
      <c r="C561" s="3">
        <v>45706.676435185189</v>
      </c>
      <c r="D561" t="s">
        <v>36</v>
      </c>
      <c r="E561" s="4">
        <v>40.795999999999999</v>
      </c>
      <c r="F561" s="4">
        <v>484855.29100000003</v>
      </c>
      <c r="G561" s="4">
        <v>484896.087</v>
      </c>
      <c r="H561" s="5">
        <f>4078 / 86400</f>
        <v>4.7199074074074074E-2</v>
      </c>
      <c r="I561" t="s">
        <v>174</v>
      </c>
      <c r="J561" t="s">
        <v>57</v>
      </c>
      <c r="K561" s="5">
        <f>10831 / 86400</f>
        <v>0.12535879629629629</v>
      </c>
      <c r="L561" s="5">
        <f>27955 / 86400</f>
        <v>0.32355324074074077</v>
      </c>
    </row>
    <row r="562" spans="1:12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</row>
    <row r="563" spans="1:12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</row>
    <row r="564" spans="1:12" s="10" customFormat="1" ht="20.100000000000001" customHeight="1" x14ac:dyDescent="0.35">
      <c r="A564" s="15" t="s">
        <v>465</v>
      </c>
      <c r="B564" s="15"/>
      <c r="C564" s="15"/>
      <c r="D564" s="15"/>
      <c r="E564" s="15"/>
      <c r="F564" s="15"/>
      <c r="G564" s="15"/>
      <c r="H564" s="15"/>
      <c r="I564" s="15"/>
      <c r="J564" s="15"/>
    </row>
    <row r="565" spans="1:12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</row>
    <row r="566" spans="1:12" ht="30" x14ac:dyDescent="0.25">
      <c r="A566" s="2" t="s">
        <v>6</v>
      </c>
      <c r="B566" s="2" t="s">
        <v>7</v>
      </c>
      <c r="C566" s="2" t="s">
        <v>8</v>
      </c>
      <c r="D566" s="2" t="s">
        <v>9</v>
      </c>
      <c r="E566" s="2" t="s">
        <v>10</v>
      </c>
      <c r="F566" s="2" t="s">
        <v>11</v>
      </c>
      <c r="G566" s="2" t="s">
        <v>12</v>
      </c>
      <c r="H566" s="2" t="s">
        <v>13</v>
      </c>
      <c r="I566" s="2" t="s">
        <v>14</v>
      </c>
      <c r="J566" s="2" t="s">
        <v>15</v>
      </c>
      <c r="K566" s="2" t="s">
        <v>16</v>
      </c>
      <c r="L566" s="2" t="s">
        <v>17</v>
      </c>
    </row>
    <row r="567" spans="1:12" x14ac:dyDescent="0.25">
      <c r="A567" s="3">
        <v>45706.277129629627</v>
      </c>
      <c r="B567" t="s">
        <v>39</v>
      </c>
      <c r="C567" s="3">
        <v>45706.284456018519</v>
      </c>
      <c r="D567" t="s">
        <v>153</v>
      </c>
      <c r="E567" s="4">
        <v>1.518</v>
      </c>
      <c r="F567" s="4">
        <v>508933.61</v>
      </c>
      <c r="G567" s="4">
        <v>508935.12800000003</v>
      </c>
      <c r="H567" s="5">
        <f>139 / 86400</f>
        <v>1.6087962962962963E-3</v>
      </c>
      <c r="I567" t="s">
        <v>151</v>
      </c>
      <c r="J567" t="s">
        <v>171</v>
      </c>
      <c r="K567" s="5">
        <f>632 / 86400</f>
        <v>7.3148148148148148E-3</v>
      </c>
      <c r="L567" s="5">
        <f>24070 / 86400</f>
        <v>0.27858796296296295</v>
      </c>
    </row>
    <row r="568" spans="1:12" x14ac:dyDescent="0.25">
      <c r="A568" s="3">
        <v>45706.285914351851</v>
      </c>
      <c r="B568" t="s">
        <v>153</v>
      </c>
      <c r="C568" s="3">
        <v>45706.288182870368</v>
      </c>
      <c r="D568" t="s">
        <v>157</v>
      </c>
      <c r="E568" s="4">
        <v>0.73099999999999998</v>
      </c>
      <c r="F568" s="4">
        <v>508935.12800000003</v>
      </c>
      <c r="G568" s="4">
        <v>508935.859</v>
      </c>
      <c r="H568" s="5">
        <f>0 / 86400</f>
        <v>0</v>
      </c>
      <c r="I568" t="s">
        <v>130</v>
      </c>
      <c r="J568" t="s">
        <v>44</v>
      </c>
      <c r="K568" s="5">
        <f>195 / 86400</f>
        <v>2.2569444444444442E-3</v>
      </c>
      <c r="L568" s="5">
        <f>126 / 86400</f>
        <v>1.4583333333333334E-3</v>
      </c>
    </row>
    <row r="569" spans="1:12" x14ac:dyDescent="0.25">
      <c r="A569" s="3">
        <v>45706.289641203708</v>
      </c>
      <c r="B569" t="s">
        <v>157</v>
      </c>
      <c r="C569" s="3">
        <v>45706.289733796293</v>
      </c>
      <c r="D569" t="s">
        <v>157</v>
      </c>
      <c r="E569" s="4">
        <v>1E-3</v>
      </c>
      <c r="F569" s="4">
        <v>508935.859</v>
      </c>
      <c r="G569" s="4">
        <v>508935.86</v>
      </c>
      <c r="H569" s="5">
        <f>0 / 86400</f>
        <v>0</v>
      </c>
      <c r="I569" t="s">
        <v>82</v>
      </c>
      <c r="J569" t="s">
        <v>82</v>
      </c>
      <c r="K569" s="5">
        <f>8 / 86400</f>
        <v>9.2592592592592588E-5</v>
      </c>
      <c r="L569" s="5">
        <f>147 / 86400</f>
        <v>1.7013888888888888E-3</v>
      </c>
    </row>
    <row r="570" spans="1:12" x14ac:dyDescent="0.25">
      <c r="A570" s="3">
        <v>45706.291435185187</v>
      </c>
      <c r="B570" t="s">
        <v>157</v>
      </c>
      <c r="C570" s="3">
        <v>45706.420428240745</v>
      </c>
      <c r="D570" t="s">
        <v>332</v>
      </c>
      <c r="E570" s="4">
        <v>50.156999999999996</v>
      </c>
      <c r="F570" s="4">
        <v>508935.86</v>
      </c>
      <c r="G570" s="4">
        <v>508986.01699999999</v>
      </c>
      <c r="H570" s="5">
        <f>3720 / 86400</f>
        <v>4.3055555555555555E-2</v>
      </c>
      <c r="I570" t="s">
        <v>41</v>
      </c>
      <c r="J570" t="s">
        <v>28</v>
      </c>
      <c r="K570" s="5">
        <f>11145 / 86400</f>
        <v>0.12899305555555557</v>
      </c>
      <c r="L570" s="5">
        <f>509 / 86400</f>
        <v>5.8912037037037041E-3</v>
      </c>
    </row>
    <row r="571" spans="1:12" x14ac:dyDescent="0.25">
      <c r="A571" s="3">
        <v>45706.426319444443</v>
      </c>
      <c r="B571" t="s">
        <v>332</v>
      </c>
      <c r="C571" s="3">
        <v>45706.427708333329</v>
      </c>
      <c r="D571" t="s">
        <v>365</v>
      </c>
      <c r="E571" s="4">
        <v>0.21</v>
      </c>
      <c r="F571" s="4">
        <v>508986.01699999999</v>
      </c>
      <c r="G571" s="4">
        <v>508986.22700000001</v>
      </c>
      <c r="H571" s="5">
        <f>39 / 86400</f>
        <v>4.5138888888888887E-4</v>
      </c>
      <c r="I571" t="s">
        <v>44</v>
      </c>
      <c r="J571" t="s">
        <v>32</v>
      </c>
      <c r="K571" s="5">
        <f>119 / 86400</f>
        <v>1.3773148148148147E-3</v>
      </c>
      <c r="L571" s="5">
        <f>186 / 86400</f>
        <v>2.1527777777777778E-3</v>
      </c>
    </row>
    <row r="572" spans="1:12" x14ac:dyDescent="0.25">
      <c r="A572" s="3">
        <v>45706.429861111115</v>
      </c>
      <c r="B572" t="s">
        <v>366</v>
      </c>
      <c r="C572" s="3">
        <v>45706.567523148144</v>
      </c>
      <c r="D572" t="s">
        <v>367</v>
      </c>
      <c r="E572" s="4">
        <v>50.168999999999997</v>
      </c>
      <c r="F572" s="4">
        <v>508986.22700000001</v>
      </c>
      <c r="G572" s="4">
        <v>509036.39600000001</v>
      </c>
      <c r="H572" s="5">
        <f>3780 / 86400</f>
        <v>4.3749999999999997E-2</v>
      </c>
      <c r="I572" t="s">
        <v>206</v>
      </c>
      <c r="J572" t="s">
        <v>38</v>
      </c>
      <c r="K572" s="5">
        <f>11893 / 86400</f>
        <v>0.13765046296296296</v>
      </c>
      <c r="L572" s="5">
        <f>1735 / 86400</f>
        <v>2.0081018518518519E-2</v>
      </c>
    </row>
    <row r="573" spans="1:12" x14ac:dyDescent="0.25">
      <c r="A573" s="3">
        <v>45706.587604166663</v>
      </c>
      <c r="B573" t="s">
        <v>367</v>
      </c>
      <c r="C573" s="3">
        <v>45706.588726851856</v>
      </c>
      <c r="D573" t="s">
        <v>368</v>
      </c>
      <c r="E573" s="4">
        <v>0.32</v>
      </c>
      <c r="F573" s="4">
        <v>509036.39600000001</v>
      </c>
      <c r="G573" s="4">
        <v>509036.71600000001</v>
      </c>
      <c r="H573" s="5">
        <f>0 / 86400</f>
        <v>0</v>
      </c>
      <c r="I573" t="s">
        <v>130</v>
      </c>
      <c r="J573" t="s">
        <v>25</v>
      </c>
      <c r="K573" s="5">
        <f>97 / 86400</f>
        <v>1.1226851851851851E-3</v>
      </c>
      <c r="L573" s="5">
        <f>1097 / 86400</f>
        <v>1.269675925925926E-2</v>
      </c>
    </row>
    <row r="574" spans="1:12" x14ac:dyDescent="0.25">
      <c r="A574" s="3">
        <v>45706.601423611108</v>
      </c>
      <c r="B574" t="s">
        <v>368</v>
      </c>
      <c r="C574" s="3">
        <v>45706.857615740737</v>
      </c>
      <c r="D574" t="s">
        <v>137</v>
      </c>
      <c r="E574" s="4">
        <v>94.7</v>
      </c>
      <c r="F574" s="4">
        <v>509036.71600000001</v>
      </c>
      <c r="G574" s="4">
        <v>509131.41600000003</v>
      </c>
      <c r="H574" s="5">
        <f>6920 / 86400</f>
        <v>8.009259259259259E-2</v>
      </c>
      <c r="I574" t="s">
        <v>132</v>
      </c>
      <c r="J574" t="s">
        <v>38</v>
      </c>
      <c r="K574" s="5">
        <f>22134 / 86400</f>
        <v>0.25618055555555558</v>
      </c>
      <c r="L574" s="5">
        <f>438 / 86400</f>
        <v>5.0694444444444441E-3</v>
      </c>
    </row>
    <row r="575" spans="1:12" x14ac:dyDescent="0.25">
      <c r="A575" s="3">
        <v>45706.862685185188</v>
      </c>
      <c r="B575" t="s">
        <v>137</v>
      </c>
      <c r="C575" s="3">
        <v>45706.864039351851</v>
      </c>
      <c r="D575" t="s">
        <v>149</v>
      </c>
      <c r="E575" s="4">
        <v>0.187</v>
      </c>
      <c r="F575" s="4">
        <v>509131.41600000003</v>
      </c>
      <c r="G575" s="4">
        <v>509131.603</v>
      </c>
      <c r="H575" s="5">
        <f>59 / 86400</f>
        <v>6.8287037037037036E-4</v>
      </c>
      <c r="I575" t="s">
        <v>79</v>
      </c>
      <c r="J575" t="s">
        <v>32</v>
      </c>
      <c r="K575" s="5">
        <f>116 / 86400</f>
        <v>1.3425925925925925E-3</v>
      </c>
      <c r="L575" s="5">
        <f>668 / 86400</f>
        <v>7.7314814814814815E-3</v>
      </c>
    </row>
    <row r="576" spans="1:12" x14ac:dyDescent="0.25">
      <c r="A576" s="3">
        <v>45706.871770833328</v>
      </c>
      <c r="B576" t="s">
        <v>149</v>
      </c>
      <c r="C576" s="3">
        <v>45706.883437500001</v>
      </c>
      <c r="D576" t="s">
        <v>40</v>
      </c>
      <c r="E576" s="4">
        <v>3.2909999999999999</v>
      </c>
      <c r="F576" s="4">
        <v>509131.603</v>
      </c>
      <c r="G576" s="4">
        <v>509134.89399999997</v>
      </c>
      <c r="H576" s="5">
        <f>120 / 86400</f>
        <v>1.3888888888888889E-3</v>
      </c>
      <c r="I576" t="s">
        <v>139</v>
      </c>
      <c r="J576" t="s">
        <v>25</v>
      </c>
      <c r="K576" s="5">
        <f>1007 / 86400</f>
        <v>1.1655092592592592E-2</v>
      </c>
      <c r="L576" s="5">
        <f>10070 / 86400</f>
        <v>0.11655092592592593</v>
      </c>
    </row>
    <row r="577" spans="1:12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</row>
    <row r="578" spans="1:12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</row>
    <row r="579" spans="1:12" s="10" customFormat="1" ht="20.100000000000001" customHeight="1" x14ac:dyDescent="0.35">
      <c r="A579" s="15" t="s">
        <v>466</v>
      </c>
      <c r="B579" s="15"/>
      <c r="C579" s="15"/>
      <c r="D579" s="15"/>
      <c r="E579" s="15"/>
      <c r="F579" s="15"/>
      <c r="G579" s="15"/>
      <c r="H579" s="15"/>
      <c r="I579" s="15"/>
      <c r="J579" s="15"/>
    </row>
    <row r="580" spans="1:12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</row>
    <row r="581" spans="1:12" ht="30" x14ac:dyDescent="0.25">
      <c r="A581" s="2" t="s">
        <v>6</v>
      </c>
      <c r="B581" s="2" t="s">
        <v>7</v>
      </c>
      <c r="C581" s="2" t="s">
        <v>8</v>
      </c>
      <c r="D581" s="2" t="s">
        <v>9</v>
      </c>
      <c r="E581" s="2" t="s">
        <v>10</v>
      </c>
      <c r="F581" s="2" t="s">
        <v>11</v>
      </c>
      <c r="G581" s="2" t="s">
        <v>12</v>
      </c>
      <c r="H581" s="2" t="s">
        <v>13</v>
      </c>
      <c r="I581" s="2" t="s">
        <v>14</v>
      </c>
      <c r="J581" s="2" t="s">
        <v>15</v>
      </c>
      <c r="K581" s="2" t="s">
        <v>16</v>
      </c>
      <c r="L581" s="2" t="s">
        <v>17</v>
      </c>
    </row>
    <row r="582" spans="1:12" x14ac:dyDescent="0.25">
      <c r="A582" s="3">
        <v>45706.238229166665</v>
      </c>
      <c r="B582" t="s">
        <v>42</v>
      </c>
      <c r="C582" s="3">
        <v>45706.245868055557</v>
      </c>
      <c r="D582" t="s">
        <v>42</v>
      </c>
      <c r="E582" s="4">
        <v>1.8149999999999999</v>
      </c>
      <c r="F582" s="4">
        <v>408180.89299999998</v>
      </c>
      <c r="G582" s="4">
        <v>408182.70799999998</v>
      </c>
      <c r="H582" s="5">
        <f>139 / 86400</f>
        <v>1.6087962962962963E-3</v>
      </c>
      <c r="I582" t="s">
        <v>31</v>
      </c>
      <c r="J582" t="s">
        <v>159</v>
      </c>
      <c r="K582" s="5">
        <f>660 / 86400</f>
        <v>7.6388888888888886E-3</v>
      </c>
      <c r="L582" s="5">
        <f>20667 / 86400</f>
        <v>0.23920138888888889</v>
      </c>
    </row>
    <row r="583" spans="1:12" x14ac:dyDescent="0.25">
      <c r="A583" s="3">
        <v>45706.246840277774</v>
      </c>
      <c r="B583" t="s">
        <v>42</v>
      </c>
      <c r="C583" s="3">
        <v>45706.251585648148</v>
      </c>
      <c r="D583" t="s">
        <v>153</v>
      </c>
      <c r="E583" s="4">
        <v>1.65</v>
      </c>
      <c r="F583" s="4">
        <v>408182.70799999998</v>
      </c>
      <c r="G583" s="4">
        <v>408184.35800000001</v>
      </c>
      <c r="H583" s="5">
        <f>20 / 86400</f>
        <v>2.3148148148148149E-4</v>
      </c>
      <c r="I583" t="s">
        <v>31</v>
      </c>
      <c r="J583" t="s">
        <v>57</v>
      </c>
      <c r="K583" s="5">
        <f>410 / 86400</f>
        <v>4.7453703703703703E-3</v>
      </c>
      <c r="L583" s="5">
        <f>689 / 86400</f>
        <v>7.9745370370370369E-3</v>
      </c>
    </row>
    <row r="584" spans="1:12" x14ac:dyDescent="0.25">
      <c r="A584" s="3">
        <v>45706.259560185186</v>
      </c>
      <c r="B584" t="s">
        <v>153</v>
      </c>
      <c r="C584" s="3">
        <v>45706.25980324074</v>
      </c>
      <c r="D584" t="s">
        <v>153</v>
      </c>
      <c r="E584" s="4">
        <v>4.1000000000000002E-2</v>
      </c>
      <c r="F584" s="4">
        <v>408184.35800000001</v>
      </c>
      <c r="G584" s="4">
        <v>408184.39899999998</v>
      </c>
      <c r="H584" s="5">
        <f>0 / 86400</f>
        <v>0</v>
      </c>
      <c r="I584" t="s">
        <v>50</v>
      </c>
      <c r="J584" t="s">
        <v>150</v>
      </c>
      <c r="K584" s="5">
        <f>21 / 86400</f>
        <v>2.4305555555555555E-4</v>
      </c>
      <c r="L584" s="5">
        <f>138 / 86400</f>
        <v>1.5972222222222223E-3</v>
      </c>
    </row>
    <row r="585" spans="1:12" x14ac:dyDescent="0.25">
      <c r="A585" s="3">
        <v>45706.261400462958</v>
      </c>
      <c r="B585" t="s">
        <v>153</v>
      </c>
      <c r="C585" s="3">
        <v>45706.404918981483</v>
      </c>
      <c r="D585" t="s">
        <v>369</v>
      </c>
      <c r="E585" s="4">
        <v>51.793999999999997</v>
      </c>
      <c r="F585" s="4">
        <v>408184.39899999998</v>
      </c>
      <c r="G585" s="4">
        <v>408236.19300000003</v>
      </c>
      <c r="H585" s="5">
        <f>4702 / 86400</f>
        <v>5.4421296296296294E-2</v>
      </c>
      <c r="I585" t="s">
        <v>43</v>
      </c>
      <c r="J585" t="s">
        <v>38</v>
      </c>
      <c r="K585" s="5">
        <f>12400 / 86400</f>
        <v>0.14351851851851852</v>
      </c>
      <c r="L585" s="5">
        <f>217 / 86400</f>
        <v>2.5115740740740741E-3</v>
      </c>
    </row>
    <row r="586" spans="1:12" x14ac:dyDescent="0.25">
      <c r="A586" s="3">
        <v>45706.407430555555</v>
      </c>
      <c r="B586" t="s">
        <v>369</v>
      </c>
      <c r="C586" s="3">
        <v>45706.595277777778</v>
      </c>
      <c r="D586" t="s">
        <v>298</v>
      </c>
      <c r="E586" s="4">
        <v>45.975999999999999</v>
      </c>
      <c r="F586" s="4">
        <v>408236.19300000003</v>
      </c>
      <c r="G586" s="4">
        <v>408282.16899999999</v>
      </c>
      <c r="H586" s="5">
        <f>8918 / 86400</f>
        <v>0.1032175925925926</v>
      </c>
      <c r="I586" t="s">
        <v>221</v>
      </c>
      <c r="J586" t="s">
        <v>159</v>
      </c>
      <c r="K586" s="5">
        <f>16229 / 86400</f>
        <v>0.18783564814814815</v>
      </c>
      <c r="L586" s="5">
        <f>1814 / 86400</f>
        <v>2.0995370370370369E-2</v>
      </c>
    </row>
    <row r="587" spans="1:12" x14ac:dyDescent="0.25">
      <c r="A587" s="3">
        <v>45706.616273148145</v>
      </c>
      <c r="B587" t="s">
        <v>299</v>
      </c>
      <c r="C587" s="3">
        <v>45706.89167824074</v>
      </c>
      <c r="D587" t="s">
        <v>137</v>
      </c>
      <c r="E587" s="4">
        <v>91.284000000000006</v>
      </c>
      <c r="F587" s="4">
        <v>408282.16899999999</v>
      </c>
      <c r="G587" s="4">
        <v>408373.45299999998</v>
      </c>
      <c r="H587" s="5">
        <f>9276 / 86400</f>
        <v>0.10736111111111112</v>
      </c>
      <c r="I587" t="s">
        <v>56</v>
      </c>
      <c r="J587" t="s">
        <v>57</v>
      </c>
      <c r="K587" s="5">
        <f>23795 / 86400</f>
        <v>0.2754050925925926</v>
      </c>
      <c r="L587" s="5">
        <f>526 / 86400</f>
        <v>6.0879629629629626E-3</v>
      </c>
    </row>
    <row r="588" spans="1:12" x14ac:dyDescent="0.25">
      <c r="A588" s="3">
        <v>45706.897766203707</v>
      </c>
      <c r="B588" t="s">
        <v>137</v>
      </c>
      <c r="C588" s="3">
        <v>45706.899375000001</v>
      </c>
      <c r="D588" t="s">
        <v>149</v>
      </c>
      <c r="E588" s="4">
        <v>0.21299999999999999</v>
      </c>
      <c r="F588" s="4">
        <v>408373.45299999998</v>
      </c>
      <c r="G588" s="4">
        <v>408373.66600000003</v>
      </c>
      <c r="H588" s="5">
        <f>59 / 86400</f>
        <v>6.8287037037037036E-4</v>
      </c>
      <c r="I588" t="s">
        <v>151</v>
      </c>
      <c r="J588" t="s">
        <v>32</v>
      </c>
      <c r="K588" s="5">
        <f>139 / 86400</f>
        <v>1.6087962962962963E-3</v>
      </c>
      <c r="L588" s="5">
        <f>392 / 86400</f>
        <v>4.5370370370370373E-3</v>
      </c>
    </row>
    <row r="589" spans="1:12" x14ac:dyDescent="0.25">
      <c r="A589" s="3">
        <v>45706.903912037036</v>
      </c>
      <c r="B589" t="s">
        <v>149</v>
      </c>
      <c r="C589" s="3">
        <v>45706.905138888891</v>
      </c>
      <c r="D589" t="s">
        <v>367</v>
      </c>
      <c r="E589" s="4">
        <v>0.53200000000000003</v>
      </c>
      <c r="F589" s="4">
        <v>408373.66600000003</v>
      </c>
      <c r="G589" s="4">
        <v>408374.19799999997</v>
      </c>
      <c r="H589" s="5">
        <f>0 / 86400</f>
        <v>0</v>
      </c>
      <c r="I589" t="s">
        <v>162</v>
      </c>
      <c r="J589" t="s">
        <v>20</v>
      </c>
      <c r="K589" s="5">
        <f>105 / 86400</f>
        <v>1.2152777777777778E-3</v>
      </c>
      <c r="L589" s="5">
        <f>1169 / 86400</f>
        <v>1.3530092592592592E-2</v>
      </c>
    </row>
    <row r="590" spans="1:12" x14ac:dyDescent="0.25">
      <c r="A590" s="3">
        <v>45706.918668981481</v>
      </c>
      <c r="B590" t="s">
        <v>367</v>
      </c>
      <c r="C590" s="3">
        <v>45706.923414351855</v>
      </c>
      <c r="D590" t="s">
        <v>42</v>
      </c>
      <c r="E590" s="4">
        <v>0.75600000000000001</v>
      </c>
      <c r="F590" s="4">
        <v>408374.19799999997</v>
      </c>
      <c r="G590" s="4">
        <v>408374.95400000003</v>
      </c>
      <c r="H590" s="5">
        <f>159 / 86400</f>
        <v>1.8402777777777777E-3</v>
      </c>
      <c r="I590" t="s">
        <v>28</v>
      </c>
      <c r="J590" t="s">
        <v>150</v>
      </c>
      <c r="K590" s="5">
        <f>410 / 86400</f>
        <v>4.7453703703703703E-3</v>
      </c>
      <c r="L590" s="5">
        <f>6616 / 86400</f>
        <v>7.6574074074074072E-2</v>
      </c>
    </row>
    <row r="591" spans="1:12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</row>
    <row r="592" spans="1:12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</row>
    <row r="593" spans="1:12" s="10" customFormat="1" ht="20.100000000000001" customHeight="1" x14ac:dyDescent="0.35">
      <c r="A593" s="15" t="s">
        <v>467</v>
      </c>
      <c r="B593" s="15"/>
      <c r="C593" s="15"/>
      <c r="D593" s="15"/>
      <c r="E593" s="15"/>
      <c r="F593" s="15"/>
      <c r="G593" s="15"/>
      <c r="H593" s="15"/>
      <c r="I593" s="15"/>
      <c r="J593" s="15"/>
    </row>
    <row r="594" spans="1:12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</row>
    <row r="595" spans="1:12" ht="30" x14ac:dyDescent="0.25">
      <c r="A595" s="2" t="s">
        <v>6</v>
      </c>
      <c r="B595" s="2" t="s">
        <v>7</v>
      </c>
      <c r="C595" s="2" t="s">
        <v>8</v>
      </c>
      <c r="D595" s="2" t="s">
        <v>9</v>
      </c>
      <c r="E595" s="2" t="s">
        <v>10</v>
      </c>
      <c r="F595" s="2" t="s">
        <v>11</v>
      </c>
      <c r="G595" s="2" t="s">
        <v>12</v>
      </c>
      <c r="H595" s="2" t="s">
        <v>13</v>
      </c>
      <c r="I595" s="2" t="s">
        <v>14</v>
      </c>
      <c r="J595" s="2" t="s">
        <v>15</v>
      </c>
      <c r="K595" s="2" t="s">
        <v>16</v>
      </c>
      <c r="L595" s="2" t="s">
        <v>17</v>
      </c>
    </row>
    <row r="596" spans="1:12" x14ac:dyDescent="0.25">
      <c r="A596" s="3">
        <v>45706.220879629633</v>
      </c>
      <c r="B596" t="s">
        <v>45</v>
      </c>
      <c r="C596" s="3">
        <v>45706.344826388886</v>
      </c>
      <c r="D596" t="s">
        <v>365</v>
      </c>
      <c r="E596" s="4">
        <v>51.688000000000002</v>
      </c>
      <c r="F596" s="4">
        <v>438301.22899999999</v>
      </c>
      <c r="G596" s="4">
        <v>438352.91700000002</v>
      </c>
      <c r="H596" s="5">
        <f>3419 / 86400</f>
        <v>3.9571759259259258E-2</v>
      </c>
      <c r="I596" t="s">
        <v>41</v>
      </c>
      <c r="J596" t="s">
        <v>62</v>
      </c>
      <c r="K596" s="5">
        <f>10709 / 86400</f>
        <v>0.12394675925925926</v>
      </c>
      <c r="L596" s="5">
        <f>19266 / 86400</f>
        <v>0.22298611111111111</v>
      </c>
    </row>
    <row r="597" spans="1:12" x14ac:dyDescent="0.25">
      <c r="A597" s="3">
        <v>45706.346932870365</v>
      </c>
      <c r="B597" t="s">
        <v>365</v>
      </c>
      <c r="C597" s="3">
        <v>45706.474224537036</v>
      </c>
      <c r="D597" t="s">
        <v>120</v>
      </c>
      <c r="E597" s="4">
        <v>49.670999999999999</v>
      </c>
      <c r="F597" s="4">
        <v>438352.91700000002</v>
      </c>
      <c r="G597" s="4">
        <v>438402.58799999999</v>
      </c>
      <c r="H597" s="5">
        <f>3661 / 86400</f>
        <v>4.2372685185185187E-2</v>
      </c>
      <c r="I597" t="s">
        <v>210</v>
      </c>
      <c r="J597" t="s">
        <v>28</v>
      </c>
      <c r="K597" s="5">
        <f>10997 / 86400</f>
        <v>0.1272800925925926</v>
      </c>
      <c r="L597" s="5">
        <f>2349 / 86400</f>
        <v>2.71875E-2</v>
      </c>
    </row>
    <row r="598" spans="1:12" x14ac:dyDescent="0.25">
      <c r="A598" s="3">
        <v>45706.501412037032</v>
      </c>
      <c r="B598" t="s">
        <v>120</v>
      </c>
      <c r="C598" s="3">
        <v>45706.50271990741</v>
      </c>
      <c r="D598" t="s">
        <v>137</v>
      </c>
      <c r="E598" s="4">
        <v>9.8000000000000004E-2</v>
      </c>
      <c r="F598" s="4">
        <v>438402.58799999999</v>
      </c>
      <c r="G598" s="4">
        <v>438402.68599999999</v>
      </c>
      <c r="H598" s="5">
        <f>59 / 86400</f>
        <v>6.8287037037037036E-4</v>
      </c>
      <c r="I598" t="s">
        <v>159</v>
      </c>
      <c r="J598" t="s">
        <v>170</v>
      </c>
      <c r="K598" s="5">
        <f>112 / 86400</f>
        <v>1.2962962962962963E-3</v>
      </c>
      <c r="L598" s="5">
        <f>727 / 86400</f>
        <v>8.4143518518518517E-3</v>
      </c>
    </row>
    <row r="599" spans="1:12" x14ac:dyDescent="0.25">
      <c r="A599" s="3">
        <v>45706.511134259257</v>
      </c>
      <c r="B599" t="s">
        <v>137</v>
      </c>
      <c r="C599" s="3">
        <v>45706.512465277774</v>
      </c>
      <c r="D599" t="s">
        <v>120</v>
      </c>
      <c r="E599" s="4">
        <v>0.23</v>
      </c>
      <c r="F599" s="4">
        <v>438402.68599999999</v>
      </c>
      <c r="G599" s="4">
        <v>438402.91600000003</v>
      </c>
      <c r="H599" s="5">
        <f>79 / 86400</f>
        <v>9.1435185185185185E-4</v>
      </c>
      <c r="I599" t="s">
        <v>212</v>
      </c>
      <c r="J599" t="s">
        <v>150</v>
      </c>
      <c r="K599" s="5">
        <f>114 / 86400</f>
        <v>1.3194444444444445E-3</v>
      </c>
      <c r="L599" s="5">
        <f>105 / 86400</f>
        <v>1.2152777777777778E-3</v>
      </c>
    </row>
    <row r="600" spans="1:12" x14ac:dyDescent="0.25">
      <c r="A600" s="3">
        <v>45706.513680555552</v>
      </c>
      <c r="B600" t="s">
        <v>120</v>
      </c>
      <c r="C600" s="3">
        <v>45706.631435185191</v>
      </c>
      <c r="D600" t="s">
        <v>370</v>
      </c>
      <c r="E600" s="4">
        <v>45.152000000000001</v>
      </c>
      <c r="F600" s="4">
        <v>438402.91600000003</v>
      </c>
      <c r="G600" s="4">
        <v>438448.06800000003</v>
      </c>
      <c r="H600" s="5">
        <f>3779 / 86400</f>
        <v>4.3738425925925924E-2</v>
      </c>
      <c r="I600" t="s">
        <v>167</v>
      </c>
      <c r="J600" t="s">
        <v>28</v>
      </c>
      <c r="K600" s="5">
        <f>10174 / 86400</f>
        <v>0.11775462962962963</v>
      </c>
      <c r="L600" s="5">
        <f>110 / 86400</f>
        <v>1.2731481481481483E-3</v>
      </c>
    </row>
    <row r="601" spans="1:12" x14ac:dyDescent="0.25">
      <c r="A601" s="3">
        <v>45706.632708333331</v>
      </c>
      <c r="B601" t="s">
        <v>370</v>
      </c>
      <c r="C601" s="3">
        <v>45706.764976851853</v>
      </c>
      <c r="D601" t="s">
        <v>137</v>
      </c>
      <c r="E601" s="4">
        <v>49.908999999999999</v>
      </c>
      <c r="F601" s="4">
        <v>438448.06800000003</v>
      </c>
      <c r="G601" s="4">
        <v>438497.97700000001</v>
      </c>
      <c r="H601" s="5">
        <f>3830 / 86400</f>
        <v>4.4328703703703703E-2</v>
      </c>
      <c r="I601" t="s">
        <v>206</v>
      </c>
      <c r="J601" t="s">
        <v>28</v>
      </c>
      <c r="K601" s="5">
        <f>11428 / 86400</f>
        <v>0.13226851851851851</v>
      </c>
      <c r="L601" s="5">
        <f>480 / 86400</f>
        <v>5.5555555555555558E-3</v>
      </c>
    </row>
    <row r="602" spans="1:12" x14ac:dyDescent="0.25">
      <c r="A602" s="3">
        <v>45706.770532407405</v>
      </c>
      <c r="B602" t="s">
        <v>137</v>
      </c>
      <c r="C602" s="3">
        <v>45706.775324074071</v>
      </c>
      <c r="D602" t="s">
        <v>45</v>
      </c>
      <c r="E602" s="4">
        <v>0.95699999999999996</v>
      </c>
      <c r="F602" s="4">
        <v>438497.97700000001</v>
      </c>
      <c r="G602" s="4">
        <v>438498.93400000001</v>
      </c>
      <c r="H602" s="5">
        <f>99 / 86400</f>
        <v>1.1458333333333333E-3</v>
      </c>
      <c r="I602" t="s">
        <v>143</v>
      </c>
      <c r="J602" t="s">
        <v>147</v>
      </c>
      <c r="K602" s="5">
        <f>414 / 86400</f>
        <v>4.7916666666666663E-3</v>
      </c>
      <c r="L602" s="5">
        <f>945 / 86400</f>
        <v>1.0937499999999999E-2</v>
      </c>
    </row>
    <row r="603" spans="1:12" x14ac:dyDescent="0.25">
      <c r="A603" s="3">
        <v>45706.786261574074</v>
      </c>
      <c r="B603" t="s">
        <v>45</v>
      </c>
      <c r="C603" s="3">
        <v>45706.786354166667</v>
      </c>
      <c r="D603" t="s">
        <v>45</v>
      </c>
      <c r="E603" s="4">
        <v>0</v>
      </c>
      <c r="F603" s="4">
        <v>438498.93400000001</v>
      </c>
      <c r="G603" s="4">
        <v>438498.93400000001</v>
      </c>
      <c r="H603" s="5">
        <f>0 / 86400</f>
        <v>0</v>
      </c>
      <c r="I603" t="s">
        <v>82</v>
      </c>
      <c r="J603" t="s">
        <v>82</v>
      </c>
      <c r="K603" s="5">
        <f>8 / 86400</f>
        <v>9.2592592592592588E-5</v>
      </c>
      <c r="L603" s="5">
        <f>18458 / 86400</f>
        <v>0.21363425925925925</v>
      </c>
    </row>
    <row r="604" spans="1:12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</row>
    <row r="605" spans="1:12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</row>
    <row r="606" spans="1:12" s="10" customFormat="1" ht="20.100000000000001" customHeight="1" x14ac:dyDescent="0.35">
      <c r="A606" s="15" t="s">
        <v>468</v>
      </c>
      <c r="B606" s="15"/>
      <c r="C606" s="15"/>
      <c r="D606" s="15"/>
      <c r="E606" s="15"/>
      <c r="F606" s="15"/>
      <c r="G606" s="15"/>
      <c r="H606" s="15"/>
      <c r="I606" s="15"/>
      <c r="J606" s="15"/>
    </row>
    <row r="607" spans="1:12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</row>
    <row r="608" spans="1:12" ht="30" x14ac:dyDescent="0.25">
      <c r="A608" s="2" t="s">
        <v>6</v>
      </c>
      <c r="B608" s="2" t="s">
        <v>7</v>
      </c>
      <c r="C608" s="2" t="s">
        <v>8</v>
      </c>
      <c r="D608" s="2" t="s">
        <v>9</v>
      </c>
      <c r="E608" s="2" t="s">
        <v>10</v>
      </c>
      <c r="F608" s="2" t="s">
        <v>11</v>
      </c>
      <c r="G608" s="2" t="s">
        <v>12</v>
      </c>
      <c r="H608" s="2" t="s">
        <v>13</v>
      </c>
      <c r="I608" s="2" t="s">
        <v>14</v>
      </c>
      <c r="J608" s="2" t="s">
        <v>15</v>
      </c>
      <c r="K608" s="2" t="s">
        <v>16</v>
      </c>
      <c r="L608" s="2" t="s">
        <v>17</v>
      </c>
    </row>
    <row r="609" spans="1:12" x14ac:dyDescent="0.25">
      <c r="A609" s="3">
        <v>45706.335196759261</v>
      </c>
      <c r="B609" t="s">
        <v>46</v>
      </c>
      <c r="C609" s="3">
        <v>45706.336145833338</v>
      </c>
      <c r="D609" t="s">
        <v>46</v>
      </c>
      <c r="E609" s="4">
        <v>6.0000000000000001E-3</v>
      </c>
      <c r="F609" s="4">
        <v>55394.428999999996</v>
      </c>
      <c r="G609" s="4">
        <v>55394.434999999998</v>
      </c>
      <c r="H609" s="5">
        <f>59 / 86400</f>
        <v>6.8287037037037036E-4</v>
      </c>
      <c r="I609" t="s">
        <v>163</v>
      </c>
      <c r="J609" t="s">
        <v>82</v>
      </c>
      <c r="K609" s="5">
        <f>82 / 86400</f>
        <v>9.4907407407407408E-4</v>
      </c>
      <c r="L609" s="5">
        <f>29026 / 86400</f>
        <v>0.33594907407407409</v>
      </c>
    </row>
    <row r="610" spans="1:12" x14ac:dyDescent="0.25">
      <c r="A610" s="3">
        <v>45706.336898148147</v>
      </c>
      <c r="B610" t="s">
        <v>46</v>
      </c>
      <c r="C610" s="3">
        <v>45706.339467592596</v>
      </c>
      <c r="D610" t="s">
        <v>118</v>
      </c>
      <c r="E610" s="4">
        <v>0.52800000000000002</v>
      </c>
      <c r="F610" s="4">
        <v>55394.434999999998</v>
      </c>
      <c r="G610" s="4">
        <v>55394.963000000003</v>
      </c>
      <c r="H610" s="5">
        <f>20 / 86400</f>
        <v>2.3148148148148149E-4</v>
      </c>
      <c r="I610" t="s">
        <v>152</v>
      </c>
      <c r="J610" t="s">
        <v>171</v>
      </c>
      <c r="K610" s="5">
        <f>222 / 86400</f>
        <v>2.5694444444444445E-3</v>
      </c>
      <c r="L610" s="5">
        <f>4694 / 86400</f>
        <v>5.4328703703703705E-2</v>
      </c>
    </row>
    <row r="611" spans="1:12" x14ac:dyDescent="0.25">
      <c r="A611" s="3">
        <v>45706.393796296295</v>
      </c>
      <c r="B611" t="s">
        <v>118</v>
      </c>
      <c r="C611" s="3">
        <v>45706.396041666667</v>
      </c>
      <c r="D611" t="s">
        <v>137</v>
      </c>
      <c r="E611" s="4">
        <v>0.28000000000000003</v>
      </c>
      <c r="F611" s="4">
        <v>55394.963000000003</v>
      </c>
      <c r="G611" s="4">
        <v>55395.243000000002</v>
      </c>
      <c r="H611" s="5">
        <f>79 / 86400</f>
        <v>9.1435185185185185E-4</v>
      </c>
      <c r="I611" t="s">
        <v>130</v>
      </c>
      <c r="J611" t="s">
        <v>50</v>
      </c>
      <c r="K611" s="5">
        <f>194 / 86400</f>
        <v>2.2453703703703702E-3</v>
      </c>
      <c r="L611" s="5">
        <f>102 / 86400</f>
        <v>1.1805555555555556E-3</v>
      </c>
    </row>
    <row r="612" spans="1:12" x14ac:dyDescent="0.25">
      <c r="A612" s="3">
        <v>45706.397222222222</v>
      </c>
      <c r="B612" t="s">
        <v>137</v>
      </c>
      <c r="C612" s="3">
        <v>45706.398680555554</v>
      </c>
      <c r="D612" t="s">
        <v>137</v>
      </c>
      <c r="E612" s="4">
        <v>9.1999999999999998E-2</v>
      </c>
      <c r="F612" s="4">
        <v>55395.243000000002</v>
      </c>
      <c r="G612" s="4">
        <v>55395.334999999999</v>
      </c>
      <c r="H612" s="5">
        <f>59 / 86400</f>
        <v>6.8287037037037036E-4</v>
      </c>
      <c r="I612" t="s">
        <v>32</v>
      </c>
      <c r="J612" t="s">
        <v>170</v>
      </c>
      <c r="K612" s="5">
        <f>126 / 86400</f>
        <v>1.4583333333333334E-3</v>
      </c>
      <c r="L612" s="5">
        <f>201 / 86400</f>
        <v>2.3263888888888887E-3</v>
      </c>
    </row>
    <row r="613" spans="1:12" x14ac:dyDescent="0.25">
      <c r="A613" s="3">
        <v>45706.401006944448</v>
      </c>
      <c r="B613" t="s">
        <v>137</v>
      </c>
      <c r="C613" s="3">
        <v>45706.403622685189</v>
      </c>
      <c r="D613" t="s">
        <v>371</v>
      </c>
      <c r="E613" s="4">
        <v>0.85099999999999998</v>
      </c>
      <c r="F613" s="4">
        <v>55395.334999999999</v>
      </c>
      <c r="G613" s="4">
        <v>55396.186000000002</v>
      </c>
      <c r="H613" s="5">
        <f>20 / 86400</f>
        <v>2.3148148148148149E-4</v>
      </c>
      <c r="I613" t="s">
        <v>175</v>
      </c>
      <c r="J613" t="s">
        <v>57</v>
      </c>
      <c r="K613" s="5">
        <f>226 / 86400</f>
        <v>2.6157407407407405E-3</v>
      </c>
      <c r="L613" s="5">
        <f>13791 / 86400</f>
        <v>0.15961805555555555</v>
      </c>
    </row>
    <row r="614" spans="1:12" x14ac:dyDescent="0.25">
      <c r="A614" s="3">
        <v>45706.563240740739</v>
      </c>
      <c r="B614" t="s">
        <v>371</v>
      </c>
      <c r="C614" s="3">
        <v>45706.564895833333</v>
      </c>
      <c r="D614" t="s">
        <v>371</v>
      </c>
      <c r="E614" s="4">
        <v>0</v>
      </c>
      <c r="F614" s="4">
        <v>55396.186000000002</v>
      </c>
      <c r="G614" s="4">
        <v>55396.186000000002</v>
      </c>
      <c r="H614" s="5">
        <f>140 / 86400</f>
        <v>1.6203703703703703E-3</v>
      </c>
      <c r="I614" t="s">
        <v>82</v>
      </c>
      <c r="J614" t="s">
        <v>82</v>
      </c>
      <c r="K614" s="5">
        <f>143 / 86400</f>
        <v>1.6550925925925926E-3</v>
      </c>
      <c r="L614" s="5">
        <f>134 / 86400</f>
        <v>1.5509259259259259E-3</v>
      </c>
    </row>
    <row r="615" spans="1:12" x14ac:dyDescent="0.25">
      <c r="A615" s="3">
        <v>45706.566446759258</v>
      </c>
      <c r="B615" t="s">
        <v>371</v>
      </c>
      <c r="C615" s="3">
        <v>45706.569328703699</v>
      </c>
      <c r="D615" t="s">
        <v>371</v>
      </c>
      <c r="E615" s="4">
        <v>0</v>
      </c>
      <c r="F615" s="4">
        <v>55396.186000000002</v>
      </c>
      <c r="G615" s="4">
        <v>55396.186000000002</v>
      </c>
      <c r="H615" s="5">
        <f>239 / 86400</f>
        <v>2.7662037037037039E-3</v>
      </c>
      <c r="I615" t="s">
        <v>82</v>
      </c>
      <c r="J615" t="s">
        <v>82</v>
      </c>
      <c r="K615" s="5">
        <f>248 / 86400</f>
        <v>2.8703703703703703E-3</v>
      </c>
      <c r="L615" s="5">
        <f>14 / 86400</f>
        <v>1.6203703703703703E-4</v>
      </c>
    </row>
    <row r="616" spans="1:12" x14ac:dyDescent="0.25">
      <c r="A616" s="3">
        <v>45706.569490740745</v>
      </c>
      <c r="B616" t="s">
        <v>371</v>
      </c>
      <c r="C616" s="3">
        <v>45706.569733796292</v>
      </c>
      <c r="D616" t="s">
        <v>371</v>
      </c>
      <c r="E616" s="4">
        <v>0</v>
      </c>
      <c r="F616" s="4">
        <v>55396.186000000002</v>
      </c>
      <c r="G616" s="4">
        <v>55396.186000000002</v>
      </c>
      <c r="H616" s="5">
        <f>19 / 86400</f>
        <v>2.199074074074074E-4</v>
      </c>
      <c r="I616" t="s">
        <v>82</v>
      </c>
      <c r="J616" t="s">
        <v>82</v>
      </c>
      <c r="K616" s="5">
        <f>20 / 86400</f>
        <v>2.3148148148148149E-4</v>
      </c>
      <c r="L616" s="5">
        <f>656 / 86400</f>
        <v>7.5925925925925926E-3</v>
      </c>
    </row>
    <row r="617" spans="1:12" x14ac:dyDescent="0.25">
      <c r="A617" s="3">
        <v>45706.577326388884</v>
      </c>
      <c r="B617" t="s">
        <v>371</v>
      </c>
      <c r="C617" s="3">
        <v>45706.578194444446</v>
      </c>
      <c r="D617" t="s">
        <v>371</v>
      </c>
      <c r="E617" s="4">
        <v>0</v>
      </c>
      <c r="F617" s="4">
        <v>55396.186000000002</v>
      </c>
      <c r="G617" s="4">
        <v>55396.186000000002</v>
      </c>
      <c r="H617" s="5">
        <f>59 / 86400</f>
        <v>6.8287037037037036E-4</v>
      </c>
      <c r="I617" t="s">
        <v>82</v>
      </c>
      <c r="J617" t="s">
        <v>82</v>
      </c>
      <c r="K617" s="5">
        <f>74 / 86400</f>
        <v>8.564814814814815E-4</v>
      </c>
      <c r="L617" s="5">
        <f>147 / 86400</f>
        <v>1.7013888888888888E-3</v>
      </c>
    </row>
    <row r="618" spans="1:12" x14ac:dyDescent="0.25">
      <c r="A618" s="3">
        <v>45706.579895833333</v>
      </c>
      <c r="B618" t="s">
        <v>371</v>
      </c>
      <c r="C618" s="3">
        <v>45706.581886574073</v>
      </c>
      <c r="D618" t="s">
        <v>120</v>
      </c>
      <c r="E618" s="4">
        <v>0.69199999999999995</v>
      </c>
      <c r="F618" s="4">
        <v>55396.186000000002</v>
      </c>
      <c r="G618" s="4">
        <v>55396.877999999997</v>
      </c>
      <c r="H618" s="5">
        <f>40 / 86400</f>
        <v>4.6296296296296298E-4</v>
      </c>
      <c r="I618" t="s">
        <v>47</v>
      </c>
      <c r="J618" t="s">
        <v>38</v>
      </c>
      <c r="K618" s="5">
        <f>171 / 86400</f>
        <v>1.9791666666666668E-3</v>
      </c>
      <c r="L618" s="5">
        <f>359 / 86400</f>
        <v>4.1550925925925922E-3</v>
      </c>
    </row>
    <row r="619" spans="1:12" x14ac:dyDescent="0.25">
      <c r="A619" s="3">
        <v>45706.586041666669</v>
      </c>
      <c r="B619" t="s">
        <v>120</v>
      </c>
      <c r="C619" s="3">
        <v>45706.588784722218</v>
      </c>
      <c r="D619" t="s">
        <v>21</v>
      </c>
      <c r="E619" s="4">
        <v>0.72</v>
      </c>
      <c r="F619" s="4">
        <v>55396.877999999997</v>
      </c>
      <c r="G619" s="4">
        <v>55397.597999999998</v>
      </c>
      <c r="H619" s="5">
        <f>100 / 86400</f>
        <v>1.1574074074074073E-3</v>
      </c>
      <c r="I619" t="s">
        <v>156</v>
      </c>
      <c r="J619" t="s">
        <v>93</v>
      </c>
      <c r="K619" s="5">
        <f>236 / 86400</f>
        <v>2.7314814814814814E-3</v>
      </c>
      <c r="L619" s="5">
        <f>9391 / 86400</f>
        <v>0.10869212962962962</v>
      </c>
    </row>
    <row r="620" spans="1:12" x14ac:dyDescent="0.25">
      <c r="A620" s="3">
        <v>45706.697476851856</v>
      </c>
      <c r="B620" t="s">
        <v>21</v>
      </c>
      <c r="C620" s="3">
        <v>45706.699004629627</v>
      </c>
      <c r="D620" t="s">
        <v>21</v>
      </c>
      <c r="E620" s="4">
        <v>5.0000000000000001E-3</v>
      </c>
      <c r="F620" s="4">
        <v>55397.597999999998</v>
      </c>
      <c r="G620" s="4">
        <v>55397.603000000003</v>
      </c>
      <c r="H620" s="5">
        <f>100 / 86400</f>
        <v>1.1574074074074073E-3</v>
      </c>
      <c r="I620" t="s">
        <v>111</v>
      </c>
      <c r="J620" t="s">
        <v>82</v>
      </c>
      <c r="K620" s="5">
        <f>132 / 86400</f>
        <v>1.5277777777777779E-3</v>
      </c>
      <c r="L620" s="5">
        <f>5557 / 86400</f>
        <v>6.4317129629629627E-2</v>
      </c>
    </row>
    <row r="621" spans="1:12" x14ac:dyDescent="0.25">
      <c r="A621" s="3">
        <v>45706.763321759259</v>
      </c>
      <c r="B621" t="s">
        <v>21</v>
      </c>
      <c r="C621" s="3">
        <v>45706.763599537036</v>
      </c>
      <c r="D621" t="s">
        <v>21</v>
      </c>
      <c r="E621" s="4">
        <v>7.0000000000000001E-3</v>
      </c>
      <c r="F621" s="4">
        <v>55397.603000000003</v>
      </c>
      <c r="G621" s="4">
        <v>55397.61</v>
      </c>
      <c r="H621" s="5">
        <f>0 / 86400</f>
        <v>0</v>
      </c>
      <c r="I621" t="s">
        <v>50</v>
      </c>
      <c r="J621" t="s">
        <v>163</v>
      </c>
      <c r="K621" s="5">
        <f>24 / 86400</f>
        <v>2.7777777777777778E-4</v>
      </c>
      <c r="L621" s="5">
        <f>8816 / 86400</f>
        <v>0.10203703703703704</v>
      </c>
    </row>
    <row r="622" spans="1:12" x14ac:dyDescent="0.25">
      <c r="A622" s="3">
        <v>45706.865636574075</v>
      </c>
      <c r="B622" t="s">
        <v>21</v>
      </c>
      <c r="C622" s="3">
        <v>45706.866851851853</v>
      </c>
      <c r="D622" t="s">
        <v>21</v>
      </c>
      <c r="E622" s="4">
        <v>5.2999999999999999E-2</v>
      </c>
      <c r="F622" s="4">
        <v>55397.61</v>
      </c>
      <c r="G622" s="4">
        <v>55397.663</v>
      </c>
      <c r="H622" s="5">
        <f>40 / 86400</f>
        <v>4.6296296296296298E-4</v>
      </c>
      <c r="I622" t="s">
        <v>32</v>
      </c>
      <c r="J622" t="s">
        <v>111</v>
      </c>
      <c r="K622" s="5">
        <f>105 / 86400</f>
        <v>1.2152777777777778E-3</v>
      </c>
      <c r="L622" s="5">
        <f>11503 / 86400</f>
        <v>0.13313657407407409</v>
      </c>
    </row>
    <row r="623" spans="1:12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</row>
    <row r="624" spans="1:1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</row>
    <row r="625" spans="1:12" s="10" customFormat="1" ht="20.100000000000001" customHeight="1" x14ac:dyDescent="0.35">
      <c r="A625" s="15" t="s">
        <v>469</v>
      </c>
      <c r="B625" s="15"/>
      <c r="C625" s="15"/>
      <c r="D625" s="15"/>
      <c r="E625" s="15"/>
      <c r="F625" s="15"/>
      <c r="G625" s="15"/>
      <c r="H625" s="15"/>
      <c r="I625" s="15"/>
      <c r="J625" s="15"/>
    </row>
    <row r="626" spans="1:12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</row>
    <row r="627" spans="1:12" ht="30" x14ac:dyDescent="0.25">
      <c r="A627" s="2" t="s">
        <v>6</v>
      </c>
      <c r="B627" s="2" t="s">
        <v>7</v>
      </c>
      <c r="C627" s="2" t="s">
        <v>8</v>
      </c>
      <c r="D627" s="2" t="s">
        <v>9</v>
      </c>
      <c r="E627" s="2" t="s">
        <v>10</v>
      </c>
      <c r="F627" s="2" t="s">
        <v>11</v>
      </c>
      <c r="G627" s="2" t="s">
        <v>12</v>
      </c>
      <c r="H627" s="2" t="s">
        <v>13</v>
      </c>
      <c r="I627" s="2" t="s">
        <v>14</v>
      </c>
      <c r="J627" s="2" t="s">
        <v>15</v>
      </c>
      <c r="K627" s="2" t="s">
        <v>16</v>
      </c>
      <c r="L627" s="2" t="s">
        <v>17</v>
      </c>
    </row>
    <row r="628" spans="1:12" x14ac:dyDescent="0.25">
      <c r="A628" s="3">
        <v>45706.249745370369</v>
      </c>
      <c r="B628" t="s">
        <v>48</v>
      </c>
      <c r="C628" s="3">
        <v>45706.249861111108</v>
      </c>
      <c r="D628" t="s">
        <v>48</v>
      </c>
      <c r="E628" s="4">
        <v>0</v>
      </c>
      <c r="F628" s="4">
        <v>217209.39300000001</v>
      </c>
      <c r="G628" s="4">
        <v>217209.39300000001</v>
      </c>
      <c r="H628" s="5">
        <f>0 / 86400</f>
        <v>0</v>
      </c>
      <c r="I628" t="s">
        <v>82</v>
      </c>
      <c r="J628" t="s">
        <v>82</v>
      </c>
      <c r="K628" s="5">
        <f>9 / 86400</f>
        <v>1.0416666666666667E-4</v>
      </c>
      <c r="L628" s="5">
        <f>30310 / 86400</f>
        <v>0.3508101851851852</v>
      </c>
    </row>
    <row r="629" spans="1:12" x14ac:dyDescent="0.25">
      <c r="A629" s="3">
        <v>45706.35092592593</v>
      </c>
      <c r="B629" t="s">
        <v>48</v>
      </c>
      <c r="C629" s="3">
        <v>45706.357546296298</v>
      </c>
      <c r="D629" t="s">
        <v>120</v>
      </c>
      <c r="E629" s="4">
        <v>1.7430000000000001</v>
      </c>
      <c r="F629" s="4">
        <v>217209.39300000001</v>
      </c>
      <c r="G629" s="4">
        <v>217211.136</v>
      </c>
      <c r="H629" s="5">
        <f>299 / 86400</f>
        <v>3.460648148148148E-3</v>
      </c>
      <c r="I629" t="s">
        <v>49</v>
      </c>
      <c r="J629" t="s">
        <v>93</v>
      </c>
      <c r="K629" s="5">
        <f>572 / 86400</f>
        <v>6.6203703703703702E-3</v>
      </c>
      <c r="L629" s="5">
        <f>1556 / 86400</f>
        <v>1.800925925925926E-2</v>
      </c>
    </row>
    <row r="630" spans="1:12" x14ac:dyDescent="0.25">
      <c r="A630" s="3">
        <v>45706.375555555554</v>
      </c>
      <c r="B630" t="s">
        <v>120</v>
      </c>
      <c r="C630" s="3">
        <v>45706.375960648147</v>
      </c>
      <c r="D630" t="s">
        <v>120</v>
      </c>
      <c r="E630" s="4">
        <v>0</v>
      </c>
      <c r="F630" s="4">
        <v>217211.136</v>
      </c>
      <c r="G630" s="4">
        <v>217211.136</v>
      </c>
      <c r="H630" s="5">
        <f>19 / 86400</f>
        <v>2.199074074074074E-4</v>
      </c>
      <c r="I630" t="s">
        <v>82</v>
      </c>
      <c r="J630" t="s">
        <v>82</v>
      </c>
      <c r="K630" s="5">
        <f>35 / 86400</f>
        <v>4.0509259259259258E-4</v>
      </c>
      <c r="L630" s="5">
        <f>879 / 86400</f>
        <v>1.0173611111111111E-2</v>
      </c>
    </row>
    <row r="631" spans="1:12" x14ac:dyDescent="0.25">
      <c r="A631" s="3">
        <v>45706.386134259257</v>
      </c>
      <c r="B631" t="s">
        <v>137</v>
      </c>
      <c r="C631" s="3">
        <v>45706.389050925922</v>
      </c>
      <c r="D631" t="s">
        <v>46</v>
      </c>
      <c r="E631" s="4">
        <v>0.49</v>
      </c>
      <c r="F631" s="4">
        <v>217211.136</v>
      </c>
      <c r="G631" s="4">
        <v>217211.62599999999</v>
      </c>
      <c r="H631" s="5">
        <f>119 / 86400</f>
        <v>1.3773148148148147E-3</v>
      </c>
      <c r="I631" t="s">
        <v>151</v>
      </c>
      <c r="J631" t="s">
        <v>150</v>
      </c>
      <c r="K631" s="5">
        <f>252 / 86400</f>
        <v>2.9166666666666668E-3</v>
      </c>
      <c r="L631" s="5">
        <f>5 / 86400</f>
        <v>5.7870370370370373E-5</v>
      </c>
    </row>
    <row r="632" spans="1:12" x14ac:dyDescent="0.25">
      <c r="A632" s="3">
        <v>45706.389108796298</v>
      </c>
      <c r="B632" t="s">
        <v>46</v>
      </c>
      <c r="C632" s="3">
        <v>45706.389675925922</v>
      </c>
      <c r="D632" t="s">
        <v>46</v>
      </c>
      <c r="E632" s="4">
        <v>2.4E-2</v>
      </c>
      <c r="F632" s="4">
        <v>217211.62599999999</v>
      </c>
      <c r="G632" s="4">
        <v>217211.65</v>
      </c>
      <c r="H632" s="5">
        <f>21 / 86400</f>
        <v>2.4305555555555555E-4</v>
      </c>
      <c r="I632" t="s">
        <v>32</v>
      </c>
      <c r="J632" t="s">
        <v>111</v>
      </c>
      <c r="K632" s="5">
        <f>49 / 86400</f>
        <v>5.6712962962962967E-4</v>
      </c>
      <c r="L632" s="5">
        <f>241 / 86400</f>
        <v>2.7893518518518519E-3</v>
      </c>
    </row>
    <row r="633" spans="1:12" x14ac:dyDescent="0.25">
      <c r="A633" s="3">
        <v>45706.392465277779</v>
      </c>
      <c r="B633" t="s">
        <v>46</v>
      </c>
      <c r="C633" s="3">
        <v>45706.392592592594</v>
      </c>
      <c r="D633" t="s">
        <v>46</v>
      </c>
      <c r="E633" s="4">
        <v>0</v>
      </c>
      <c r="F633" s="4">
        <v>217211.65</v>
      </c>
      <c r="G633" s="4">
        <v>217211.65</v>
      </c>
      <c r="H633" s="5">
        <f>0 / 86400</f>
        <v>0</v>
      </c>
      <c r="I633" t="s">
        <v>82</v>
      </c>
      <c r="J633" t="s">
        <v>82</v>
      </c>
      <c r="K633" s="5">
        <f>11 / 86400</f>
        <v>1.273148148148148E-4</v>
      </c>
      <c r="L633" s="5">
        <f>18 / 86400</f>
        <v>2.0833333333333335E-4</v>
      </c>
    </row>
    <row r="634" spans="1:12" x14ac:dyDescent="0.25">
      <c r="A634" s="3">
        <v>45706.392800925925</v>
      </c>
      <c r="B634" t="s">
        <v>46</v>
      </c>
      <c r="C634" s="3">
        <v>45706.393043981487</v>
      </c>
      <c r="D634" t="s">
        <v>46</v>
      </c>
      <c r="E634" s="4">
        <v>0</v>
      </c>
      <c r="F634" s="4">
        <v>217211.65</v>
      </c>
      <c r="G634" s="4">
        <v>217211.65</v>
      </c>
      <c r="H634" s="5">
        <f>0 / 86400</f>
        <v>0</v>
      </c>
      <c r="I634" t="s">
        <v>82</v>
      </c>
      <c r="J634" t="s">
        <v>82</v>
      </c>
      <c r="K634" s="5">
        <f>21 / 86400</f>
        <v>2.4305555555555555E-4</v>
      </c>
      <c r="L634" s="5">
        <f>24 / 86400</f>
        <v>2.7777777777777778E-4</v>
      </c>
    </row>
    <row r="635" spans="1:12" x14ac:dyDescent="0.25">
      <c r="A635" s="3">
        <v>45706.393321759257</v>
      </c>
      <c r="B635" t="s">
        <v>46</v>
      </c>
      <c r="C635" s="3">
        <v>45706.393506944441</v>
      </c>
      <c r="D635" t="s">
        <v>46</v>
      </c>
      <c r="E635" s="4">
        <v>0</v>
      </c>
      <c r="F635" s="4">
        <v>217211.65</v>
      </c>
      <c r="G635" s="4">
        <v>217211.65</v>
      </c>
      <c r="H635" s="5">
        <f>0 / 86400</f>
        <v>0</v>
      </c>
      <c r="I635" t="s">
        <v>82</v>
      </c>
      <c r="J635" t="s">
        <v>82</v>
      </c>
      <c r="K635" s="5">
        <f>16 / 86400</f>
        <v>1.8518518518518518E-4</v>
      </c>
      <c r="L635" s="5">
        <f>598 / 86400</f>
        <v>6.9212962962962961E-3</v>
      </c>
    </row>
    <row r="636" spans="1:12" x14ac:dyDescent="0.25">
      <c r="A636" s="3">
        <v>45706.40042824074</v>
      </c>
      <c r="B636" t="s">
        <v>46</v>
      </c>
      <c r="C636" s="3">
        <v>45706.403912037036</v>
      </c>
      <c r="D636" t="s">
        <v>137</v>
      </c>
      <c r="E636" s="4">
        <v>0.625</v>
      </c>
      <c r="F636" s="4">
        <v>217211.65</v>
      </c>
      <c r="G636" s="4">
        <v>217212.27499999999</v>
      </c>
      <c r="H636" s="5">
        <f>79 / 86400</f>
        <v>9.1435185185185185E-4</v>
      </c>
      <c r="I636" t="s">
        <v>158</v>
      </c>
      <c r="J636" t="s">
        <v>150</v>
      </c>
      <c r="K636" s="5">
        <f>301 / 86400</f>
        <v>3.4837962962962965E-3</v>
      </c>
      <c r="L636" s="5">
        <f>2146 / 86400</f>
        <v>2.4837962962962964E-2</v>
      </c>
    </row>
    <row r="637" spans="1:12" x14ac:dyDescent="0.25">
      <c r="A637" s="3">
        <v>45706.428749999999</v>
      </c>
      <c r="B637" t="s">
        <v>120</v>
      </c>
      <c r="C637" s="3">
        <v>45706.436458333337</v>
      </c>
      <c r="D637" t="s">
        <v>21</v>
      </c>
      <c r="E637" s="4">
        <v>0.57999999999999996</v>
      </c>
      <c r="F637" s="4">
        <v>217212.27499999999</v>
      </c>
      <c r="G637" s="4">
        <v>217212.85500000001</v>
      </c>
      <c r="H637" s="5">
        <f>499 / 86400</f>
        <v>5.7754629629629631E-3</v>
      </c>
      <c r="I637" t="s">
        <v>158</v>
      </c>
      <c r="J637" t="s">
        <v>170</v>
      </c>
      <c r="K637" s="5">
        <f>665 / 86400</f>
        <v>7.6967592592592591E-3</v>
      </c>
      <c r="L637" s="5">
        <f>12 / 86400</f>
        <v>1.3888888888888889E-4</v>
      </c>
    </row>
    <row r="638" spans="1:12" x14ac:dyDescent="0.25">
      <c r="A638" s="3">
        <v>45706.436597222222</v>
      </c>
      <c r="B638" t="s">
        <v>21</v>
      </c>
      <c r="C638" s="3">
        <v>45706.436874999999</v>
      </c>
      <c r="D638" t="s">
        <v>21</v>
      </c>
      <c r="E638" s="4">
        <v>7.0000000000000001E-3</v>
      </c>
      <c r="F638" s="4">
        <v>217212.85500000001</v>
      </c>
      <c r="G638" s="4">
        <v>217212.86199999999</v>
      </c>
      <c r="H638" s="5">
        <f>19 / 86400</f>
        <v>2.199074074074074E-4</v>
      </c>
      <c r="I638" t="s">
        <v>82</v>
      </c>
      <c r="J638" t="s">
        <v>163</v>
      </c>
      <c r="K638" s="5">
        <f>23 / 86400</f>
        <v>2.6620370370370372E-4</v>
      </c>
      <c r="L638" s="5">
        <f>13 / 86400</f>
        <v>1.5046296296296297E-4</v>
      </c>
    </row>
    <row r="639" spans="1:12" x14ac:dyDescent="0.25">
      <c r="A639" s="3">
        <v>45706.437025462961</v>
      </c>
      <c r="B639" t="s">
        <v>21</v>
      </c>
      <c r="C639" s="3">
        <v>45706.437638888892</v>
      </c>
      <c r="D639" t="s">
        <v>46</v>
      </c>
      <c r="E639" s="4">
        <v>4.4999999999999998E-2</v>
      </c>
      <c r="F639" s="4">
        <v>217212.86199999999</v>
      </c>
      <c r="G639" s="4">
        <v>217212.90700000001</v>
      </c>
      <c r="H639" s="5">
        <f>20 / 86400</f>
        <v>2.3148148148148149E-4</v>
      </c>
      <c r="I639" t="s">
        <v>150</v>
      </c>
      <c r="J639" t="s">
        <v>170</v>
      </c>
      <c r="K639" s="5">
        <f>53 / 86400</f>
        <v>6.134259259259259E-4</v>
      </c>
      <c r="L639" s="5">
        <f>1784 / 86400</f>
        <v>2.0648148148148148E-2</v>
      </c>
    </row>
    <row r="640" spans="1:12" x14ac:dyDescent="0.25">
      <c r="A640" s="3">
        <v>45706.458287037036</v>
      </c>
      <c r="B640" t="s">
        <v>46</v>
      </c>
      <c r="C640" s="3">
        <v>45706.463506944448</v>
      </c>
      <c r="D640" t="s">
        <v>46</v>
      </c>
      <c r="E640" s="4">
        <v>1E-3</v>
      </c>
      <c r="F640" s="4">
        <v>217212.90700000001</v>
      </c>
      <c r="G640" s="4">
        <v>217212.908</v>
      </c>
      <c r="H640" s="5">
        <f>439 / 86400</f>
        <v>5.0810185185185186E-3</v>
      </c>
      <c r="I640" t="s">
        <v>82</v>
      </c>
      <c r="J640" t="s">
        <v>82</v>
      </c>
      <c r="K640" s="5">
        <f>450 / 86400</f>
        <v>5.208333333333333E-3</v>
      </c>
      <c r="L640" s="5">
        <f>310 / 86400</f>
        <v>3.5879629629629629E-3</v>
      </c>
    </row>
    <row r="641" spans="1:12" x14ac:dyDescent="0.25">
      <c r="A641" s="3">
        <v>45706.467094907406</v>
      </c>
      <c r="B641" t="s">
        <v>46</v>
      </c>
      <c r="C641" s="3">
        <v>45706.474942129629</v>
      </c>
      <c r="D641" t="s">
        <v>120</v>
      </c>
      <c r="E641" s="4">
        <v>0.48699999999999999</v>
      </c>
      <c r="F641" s="4">
        <v>217212.908</v>
      </c>
      <c r="G641" s="4">
        <v>217213.39499999999</v>
      </c>
      <c r="H641" s="5">
        <f>479 / 86400</f>
        <v>5.5439814814814813E-3</v>
      </c>
      <c r="I641" t="s">
        <v>169</v>
      </c>
      <c r="J641" t="s">
        <v>170</v>
      </c>
      <c r="K641" s="5">
        <f>677 / 86400</f>
        <v>7.8356481481481489E-3</v>
      </c>
      <c r="L641" s="5">
        <f>133 / 86400</f>
        <v>1.5393518518518519E-3</v>
      </c>
    </row>
    <row r="642" spans="1:12" x14ac:dyDescent="0.25">
      <c r="A642" s="3">
        <v>45706.476481481484</v>
      </c>
      <c r="B642" t="s">
        <v>120</v>
      </c>
      <c r="C642" s="3">
        <v>45706.477175925931</v>
      </c>
      <c r="D642" t="s">
        <v>120</v>
      </c>
      <c r="E642" s="4">
        <v>1.4999999999999999E-2</v>
      </c>
      <c r="F642" s="4">
        <v>217213.39499999999</v>
      </c>
      <c r="G642" s="4">
        <v>217213.41</v>
      </c>
      <c r="H642" s="5">
        <f>40 / 86400</f>
        <v>4.6296296296296298E-4</v>
      </c>
      <c r="I642" t="s">
        <v>50</v>
      </c>
      <c r="J642" t="s">
        <v>163</v>
      </c>
      <c r="K642" s="5">
        <f>60 / 86400</f>
        <v>6.9444444444444447E-4</v>
      </c>
      <c r="L642" s="5">
        <f>14 / 86400</f>
        <v>1.6203703703703703E-4</v>
      </c>
    </row>
    <row r="643" spans="1:12" x14ac:dyDescent="0.25">
      <c r="A643" s="3">
        <v>45706.477337962962</v>
      </c>
      <c r="B643" t="s">
        <v>120</v>
      </c>
      <c r="C643" s="3">
        <v>45706.477395833332</v>
      </c>
      <c r="D643" t="s">
        <v>120</v>
      </c>
      <c r="E643" s="4">
        <v>0</v>
      </c>
      <c r="F643" s="4">
        <v>217213.41</v>
      </c>
      <c r="G643" s="4">
        <v>217213.41</v>
      </c>
      <c r="H643" s="5">
        <f>0 / 86400</f>
        <v>0</v>
      </c>
      <c r="I643" t="s">
        <v>82</v>
      </c>
      <c r="J643" t="s">
        <v>82</v>
      </c>
      <c r="K643" s="5">
        <f>5 / 86400</f>
        <v>5.7870370370370373E-5</v>
      </c>
      <c r="L643" s="5">
        <f>12131 / 86400</f>
        <v>0.1404050925925926</v>
      </c>
    </row>
    <row r="644" spans="1:12" x14ac:dyDescent="0.25">
      <c r="A644" s="3">
        <v>45706.617800925931</v>
      </c>
      <c r="B644" t="s">
        <v>120</v>
      </c>
      <c r="C644" s="3">
        <v>45706.620092592595</v>
      </c>
      <c r="D644" t="s">
        <v>120</v>
      </c>
      <c r="E644" s="4">
        <v>2E-3</v>
      </c>
      <c r="F644" s="4">
        <v>217213.41</v>
      </c>
      <c r="G644" s="4">
        <v>217213.41200000001</v>
      </c>
      <c r="H644" s="5">
        <f>179 / 86400</f>
        <v>2.0717592592592593E-3</v>
      </c>
      <c r="I644" t="s">
        <v>82</v>
      </c>
      <c r="J644" t="s">
        <v>82</v>
      </c>
      <c r="K644" s="5">
        <f>198 / 86400</f>
        <v>2.2916666666666667E-3</v>
      </c>
      <c r="L644" s="5">
        <f>4608 / 86400</f>
        <v>5.3333333333333337E-2</v>
      </c>
    </row>
    <row r="645" spans="1:12" x14ac:dyDescent="0.25">
      <c r="A645" s="3">
        <v>45706.673425925925</v>
      </c>
      <c r="B645" t="s">
        <v>120</v>
      </c>
      <c r="C645" s="3">
        <v>45706.677777777775</v>
      </c>
      <c r="D645" t="s">
        <v>48</v>
      </c>
      <c r="E645" s="4">
        <v>0.93300000000000005</v>
      </c>
      <c r="F645" s="4">
        <v>217213.41200000001</v>
      </c>
      <c r="G645" s="4">
        <v>217214.345</v>
      </c>
      <c r="H645" s="5">
        <f>59 / 86400</f>
        <v>6.8287037037037036E-4</v>
      </c>
      <c r="I645" t="s">
        <v>136</v>
      </c>
      <c r="J645" t="s">
        <v>171</v>
      </c>
      <c r="K645" s="5">
        <f>375 / 86400</f>
        <v>4.340277777777778E-3</v>
      </c>
      <c r="L645" s="5">
        <f>28 / 86400</f>
        <v>3.2407407407407406E-4</v>
      </c>
    </row>
    <row r="646" spans="1:12" x14ac:dyDescent="0.25">
      <c r="A646" s="3">
        <v>45706.678101851852</v>
      </c>
      <c r="B646" t="s">
        <v>48</v>
      </c>
      <c r="C646" s="3">
        <v>45706.678159722222</v>
      </c>
      <c r="D646" t="s">
        <v>48</v>
      </c>
      <c r="E646" s="4">
        <v>0</v>
      </c>
      <c r="F646" s="4">
        <v>217214.345</v>
      </c>
      <c r="G646" s="4">
        <v>217214.345</v>
      </c>
      <c r="H646" s="5">
        <f>0 / 86400</f>
        <v>0</v>
      </c>
      <c r="I646" t="s">
        <v>82</v>
      </c>
      <c r="J646" t="s">
        <v>82</v>
      </c>
      <c r="K646" s="5">
        <f>4 / 86400</f>
        <v>4.6296296296296294E-5</v>
      </c>
      <c r="L646" s="5">
        <f>27806 / 86400</f>
        <v>0.3218287037037037</v>
      </c>
    </row>
    <row r="647" spans="1:1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</row>
    <row r="648" spans="1:12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</row>
    <row r="649" spans="1:12" s="10" customFormat="1" ht="20.100000000000001" customHeight="1" x14ac:dyDescent="0.35">
      <c r="A649" s="15" t="s">
        <v>470</v>
      </c>
      <c r="B649" s="15"/>
      <c r="C649" s="15"/>
      <c r="D649" s="15"/>
      <c r="E649" s="15"/>
      <c r="F649" s="15"/>
      <c r="G649" s="15"/>
      <c r="H649" s="15"/>
      <c r="I649" s="15"/>
      <c r="J649" s="15"/>
    </row>
    <row r="650" spans="1:12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</row>
    <row r="651" spans="1:12" ht="30" x14ac:dyDescent="0.25">
      <c r="A651" s="2" t="s">
        <v>6</v>
      </c>
      <c r="B651" s="2" t="s">
        <v>7</v>
      </c>
      <c r="C651" s="2" t="s">
        <v>8</v>
      </c>
      <c r="D651" s="2" t="s">
        <v>9</v>
      </c>
      <c r="E651" s="2" t="s">
        <v>10</v>
      </c>
      <c r="F651" s="2" t="s">
        <v>11</v>
      </c>
      <c r="G651" s="2" t="s">
        <v>12</v>
      </c>
      <c r="H651" s="2" t="s">
        <v>13</v>
      </c>
      <c r="I651" s="2" t="s">
        <v>14</v>
      </c>
      <c r="J651" s="2" t="s">
        <v>15</v>
      </c>
      <c r="K651" s="2" t="s">
        <v>16</v>
      </c>
      <c r="L651" s="2" t="s">
        <v>17</v>
      </c>
    </row>
    <row r="652" spans="1:12" x14ac:dyDescent="0.25">
      <c r="A652" s="3">
        <v>45706.24591435185</v>
      </c>
      <c r="B652" t="s">
        <v>51</v>
      </c>
      <c r="C652" s="3">
        <v>45706.253101851849</v>
      </c>
      <c r="D652" t="s">
        <v>187</v>
      </c>
      <c r="E652" s="4">
        <v>1.7090000000596046</v>
      </c>
      <c r="F652" s="4">
        <v>526070.61199999996</v>
      </c>
      <c r="G652" s="4">
        <v>526072.321</v>
      </c>
      <c r="H652" s="5">
        <f>259 / 86400</f>
        <v>2.9976851851851853E-3</v>
      </c>
      <c r="I652" t="s">
        <v>41</v>
      </c>
      <c r="J652" t="s">
        <v>159</v>
      </c>
      <c r="K652" s="5">
        <f>621 / 86400</f>
        <v>7.1875000000000003E-3</v>
      </c>
      <c r="L652" s="5">
        <f>22063 / 86400</f>
        <v>0.25535879629629632</v>
      </c>
    </row>
    <row r="653" spans="1:12" x14ac:dyDescent="0.25">
      <c r="A653" s="3">
        <v>45706.262546296297</v>
      </c>
      <c r="B653" t="s">
        <v>187</v>
      </c>
      <c r="C653" s="3">
        <v>45706.317708333328</v>
      </c>
      <c r="D653" t="s">
        <v>372</v>
      </c>
      <c r="E653" s="4">
        <v>19.437000000059605</v>
      </c>
      <c r="F653" s="4">
        <v>526072.321</v>
      </c>
      <c r="G653" s="4">
        <v>526091.75800000003</v>
      </c>
      <c r="H653" s="5">
        <f>1939 / 86400</f>
        <v>2.2442129629629631E-2</v>
      </c>
      <c r="I653" t="s">
        <v>52</v>
      </c>
      <c r="J653" t="s">
        <v>38</v>
      </c>
      <c r="K653" s="5">
        <f>4765 / 86400</f>
        <v>5.5150462962962964E-2</v>
      </c>
      <c r="L653" s="5">
        <f>87 / 86400</f>
        <v>1.0069444444444444E-3</v>
      </c>
    </row>
    <row r="654" spans="1:12" x14ac:dyDescent="0.25">
      <c r="A654" s="3">
        <v>45706.318715277783</v>
      </c>
      <c r="B654" t="s">
        <v>373</v>
      </c>
      <c r="C654" s="3">
        <v>45706.39371527778</v>
      </c>
      <c r="D654" t="s">
        <v>374</v>
      </c>
      <c r="E654" s="4">
        <v>41.645999999940393</v>
      </c>
      <c r="F654" s="4">
        <v>526091.75800000003</v>
      </c>
      <c r="G654" s="4">
        <v>526133.40399999998</v>
      </c>
      <c r="H654" s="5">
        <f>1220 / 86400</f>
        <v>1.412037037037037E-2</v>
      </c>
      <c r="I654" t="s">
        <v>60</v>
      </c>
      <c r="J654" t="s">
        <v>143</v>
      </c>
      <c r="K654" s="5">
        <f>6480 / 86400</f>
        <v>7.4999999999999997E-2</v>
      </c>
      <c r="L654" s="5">
        <f>5115 / 86400</f>
        <v>5.9201388888888887E-2</v>
      </c>
    </row>
    <row r="655" spans="1:12" x14ac:dyDescent="0.25">
      <c r="A655" s="3">
        <v>45706.452916666662</v>
      </c>
      <c r="B655" t="s">
        <v>374</v>
      </c>
      <c r="C655" s="3">
        <v>45706.456342592588</v>
      </c>
      <c r="D655" t="s">
        <v>48</v>
      </c>
      <c r="E655" s="4">
        <v>0.8150000000596046</v>
      </c>
      <c r="F655" s="4">
        <v>526133.40399999998</v>
      </c>
      <c r="G655" s="4">
        <v>526134.21900000004</v>
      </c>
      <c r="H655" s="5">
        <f>99 / 86400</f>
        <v>1.1458333333333333E-3</v>
      </c>
      <c r="I655" t="s">
        <v>169</v>
      </c>
      <c r="J655" t="s">
        <v>159</v>
      </c>
      <c r="K655" s="5">
        <f>296 / 86400</f>
        <v>3.425925925925926E-3</v>
      </c>
      <c r="L655" s="5">
        <f>6 / 86400</f>
        <v>6.9444444444444444E-5</v>
      </c>
    </row>
    <row r="656" spans="1:12" x14ac:dyDescent="0.25">
      <c r="A656" s="3">
        <v>45706.456412037034</v>
      </c>
      <c r="B656" t="s">
        <v>48</v>
      </c>
      <c r="C656" s="3">
        <v>45706.456458333334</v>
      </c>
      <c r="D656" t="s">
        <v>48</v>
      </c>
      <c r="E656" s="4">
        <v>0</v>
      </c>
      <c r="F656" s="4">
        <v>526134.21900000004</v>
      </c>
      <c r="G656" s="4">
        <v>526134.21900000004</v>
      </c>
      <c r="H656" s="5">
        <f>0 / 86400</f>
        <v>0</v>
      </c>
      <c r="I656" t="s">
        <v>82</v>
      </c>
      <c r="J656" t="s">
        <v>82</v>
      </c>
      <c r="K656" s="5">
        <f>4 / 86400</f>
        <v>4.6296296296296294E-5</v>
      </c>
      <c r="L656" s="5">
        <f>510 / 86400</f>
        <v>5.9027777777777776E-3</v>
      </c>
    </row>
    <row r="657" spans="1:12" x14ac:dyDescent="0.25">
      <c r="A657" s="3">
        <v>45706.462361111116</v>
      </c>
      <c r="B657" t="s">
        <v>48</v>
      </c>
      <c r="C657" s="3">
        <v>45706.465208333335</v>
      </c>
      <c r="D657" t="s">
        <v>120</v>
      </c>
      <c r="E657" s="4">
        <v>0.96599999999999997</v>
      </c>
      <c r="F657" s="4">
        <v>526134.21900000004</v>
      </c>
      <c r="G657" s="4">
        <v>526135.18500000006</v>
      </c>
      <c r="H657" s="5">
        <f>79 / 86400</f>
        <v>9.1435185185185185E-4</v>
      </c>
      <c r="I657" t="s">
        <v>228</v>
      </c>
      <c r="J657" t="s">
        <v>57</v>
      </c>
      <c r="K657" s="5">
        <f>246 / 86400</f>
        <v>2.8472222222222223E-3</v>
      </c>
      <c r="L657" s="5">
        <f>330 / 86400</f>
        <v>3.8194444444444443E-3</v>
      </c>
    </row>
    <row r="658" spans="1:12" x14ac:dyDescent="0.25">
      <c r="A658" s="3">
        <v>45706.469027777777</v>
      </c>
      <c r="B658" t="s">
        <v>120</v>
      </c>
      <c r="C658" s="3">
        <v>45706.469664351855</v>
      </c>
      <c r="D658" t="s">
        <v>137</v>
      </c>
      <c r="E658" s="4">
        <v>3.0999999940395356E-2</v>
      </c>
      <c r="F658" s="4">
        <v>526135.18500000006</v>
      </c>
      <c r="G658" s="4">
        <v>526135.21600000001</v>
      </c>
      <c r="H658" s="5">
        <f>0 / 86400</f>
        <v>0</v>
      </c>
      <c r="I658" t="s">
        <v>50</v>
      </c>
      <c r="J658" t="s">
        <v>111</v>
      </c>
      <c r="K658" s="5">
        <f>55 / 86400</f>
        <v>6.3657407407407413E-4</v>
      </c>
      <c r="L658" s="5">
        <f>446 / 86400</f>
        <v>5.162037037037037E-3</v>
      </c>
    </row>
    <row r="659" spans="1:12" x14ac:dyDescent="0.25">
      <c r="A659" s="3">
        <v>45706.474826388891</v>
      </c>
      <c r="B659" t="s">
        <v>137</v>
      </c>
      <c r="C659" s="3">
        <v>45706.47555555556</v>
      </c>
      <c r="D659" t="s">
        <v>137</v>
      </c>
      <c r="E659" s="4">
        <v>1.9E-2</v>
      </c>
      <c r="F659" s="4">
        <v>526135.21600000001</v>
      </c>
      <c r="G659" s="4">
        <v>526135.23499999999</v>
      </c>
      <c r="H659" s="5">
        <f>20 / 86400</f>
        <v>2.3148148148148149E-4</v>
      </c>
      <c r="I659" t="s">
        <v>111</v>
      </c>
      <c r="J659" t="s">
        <v>163</v>
      </c>
      <c r="K659" s="5">
        <f>62 / 86400</f>
        <v>7.1759259259259259E-4</v>
      </c>
      <c r="L659" s="5">
        <f>329 / 86400</f>
        <v>3.8078703703703703E-3</v>
      </c>
    </row>
    <row r="660" spans="1:12" x14ac:dyDescent="0.25">
      <c r="A660" s="3">
        <v>45706.479363425926</v>
      </c>
      <c r="B660" t="s">
        <v>137</v>
      </c>
      <c r="C660" s="3">
        <v>45706.482199074075</v>
      </c>
      <c r="D660" t="s">
        <v>66</v>
      </c>
      <c r="E660" s="4">
        <v>0.40300000005960462</v>
      </c>
      <c r="F660" s="4">
        <v>526135.23499999999</v>
      </c>
      <c r="G660" s="4">
        <v>526135.63800000004</v>
      </c>
      <c r="H660" s="5">
        <f>99 / 86400</f>
        <v>1.1458333333333333E-3</v>
      </c>
      <c r="I660" t="s">
        <v>116</v>
      </c>
      <c r="J660" t="s">
        <v>32</v>
      </c>
      <c r="K660" s="5">
        <f>245 / 86400</f>
        <v>2.8356481481481483E-3</v>
      </c>
      <c r="L660" s="5">
        <f>1482 / 86400</f>
        <v>1.7152777777777777E-2</v>
      </c>
    </row>
    <row r="661" spans="1:12" x14ac:dyDescent="0.25">
      <c r="A661" s="3">
        <v>45706.499351851853</v>
      </c>
      <c r="B661" t="s">
        <v>66</v>
      </c>
      <c r="C661" s="3">
        <v>45706.500023148154</v>
      </c>
      <c r="D661" t="s">
        <v>375</v>
      </c>
      <c r="E661" s="4">
        <v>1.8999999940395355E-2</v>
      </c>
      <c r="F661" s="4">
        <v>526135.63800000004</v>
      </c>
      <c r="G661" s="4">
        <v>526135.65700000001</v>
      </c>
      <c r="H661" s="5">
        <f>19 / 86400</f>
        <v>2.199074074074074E-4</v>
      </c>
      <c r="I661" t="s">
        <v>32</v>
      </c>
      <c r="J661" t="s">
        <v>163</v>
      </c>
      <c r="K661" s="5">
        <f>58 / 86400</f>
        <v>6.7129629629629625E-4</v>
      </c>
      <c r="L661" s="5">
        <f>1787 / 86400</f>
        <v>2.0682870370370369E-2</v>
      </c>
    </row>
    <row r="662" spans="1:12" x14ac:dyDescent="0.25">
      <c r="A662" s="3">
        <v>45706.52070601852</v>
      </c>
      <c r="B662" t="s">
        <v>375</v>
      </c>
      <c r="C662" s="3">
        <v>45706.520787037036</v>
      </c>
      <c r="D662" t="s">
        <v>375</v>
      </c>
      <c r="E662" s="4">
        <v>0</v>
      </c>
      <c r="F662" s="4">
        <v>526135.65700000001</v>
      </c>
      <c r="G662" s="4">
        <v>526135.65700000001</v>
      </c>
      <c r="H662" s="5">
        <f>0 / 86400</f>
        <v>0</v>
      </c>
      <c r="I662" t="s">
        <v>82</v>
      </c>
      <c r="J662" t="s">
        <v>82</v>
      </c>
      <c r="K662" s="5">
        <f>7 / 86400</f>
        <v>8.1018518518518516E-5</v>
      </c>
      <c r="L662" s="5">
        <f>5 / 86400</f>
        <v>5.7870370370370373E-5</v>
      </c>
    </row>
    <row r="663" spans="1:12" x14ac:dyDescent="0.25">
      <c r="A663" s="3">
        <v>45706.520844907413</v>
      </c>
      <c r="B663" t="s">
        <v>375</v>
      </c>
      <c r="C663" s="3">
        <v>45706.522129629629</v>
      </c>
      <c r="D663" t="s">
        <v>21</v>
      </c>
      <c r="E663" s="4">
        <v>0.24600000005960465</v>
      </c>
      <c r="F663" s="4">
        <v>526135.65700000001</v>
      </c>
      <c r="G663" s="4">
        <v>526135.90300000005</v>
      </c>
      <c r="H663" s="5">
        <f>7 / 86400</f>
        <v>8.1018518518518516E-5</v>
      </c>
      <c r="I663" t="s">
        <v>130</v>
      </c>
      <c r="J663" t="s">
        <v>147</v>
      </c>
      <c r="K663" s="5">
        <f>111 / 86400</f>
        <v>1.2847222222222223E-3</v>
      </c>
      <c r="L663" s="5">
        <f>557 / 86400</f>
        <v>6.4467592592592588E-3</v>
      </c>
    </row>
    <row r="664" spans="1:12" x14ac:dyDescent="0.25">
      <c r="A664" s="3">
        <v>45706.52857638889</v>
      </c>
      <c r="B664" t="s">
        <v>21</v>
      </c>
      <c r="C664" s="3">
        <v>45706.529212962967</v>
      </c>
      <c r="D664" t="s">
        <v>376</v>
      </c>
      <c r="E664" s="4">
        <v>0.10699999994039536</v>
      </c>
      <c r="F664" s="4">
        <v>526135.90300000005</v>
      </c>
      <c r="G664" s="4">
        <v>526136.01</v>
      </c>
      <c r="H664" s="5">
        <f>0 / 86400</f>
        <v>0</v>
      </c>
      <c r="I664" t="s">
        <v>35</v>
      </c>
      <c r="J664" t="s">
        <v>150</v>
      </c>
      <c r="K664" s="5">
        <f>55 / 86400</f>
        <v>6.3657407407407413E-4</v>
      </c>
      <c r="L664" s="5">
        <f>39 / 86400</f>
        <v>4.5138888888888887E-4</v>
      </c>
    </row>
    <row r="665" spans="1:12" x14ac:dyDescent="0.25">
      <c r="A665" s="3">
        <v>45706.529664351852</v>
      </c>
      <c r="B665" t="s">
        <v>376</v>
      </c>
      <c r="C665" s="3">
        <v>45706.537280092598</v>
      </c>
      <c r="D665" t="s">
        <v>376</v>
      </c>
      <c r="E665" s="4">
        <v>2.1999999999999999E-2</v>
      </c>
      <c r="F665" s="4">
        <v>526136.01</v>
      </c>
      <c r="G665" s="4">
        <v>526136.03200000001</v>
      </c>
      <c r="H665" s="5">
        <f>638 / 86400</f>
        <v>7.3842592592592597E-3</v>
      </c>
      <c r="I665" t="s">
        <v>82</v>
      </c>
      <c r="J665" t="s">
        <v>82</v>
      </c>
      <c r="K665" s="5">
        <f>657 / 86400</f>
        <v>7.6041666666666671E-3</v>
      </c>
      <c r="L665" s="5">
        <f>33 / 86400</f>
        <v>3.8194444444444446E-4</v>
      </c>
    </row>
    <row r="666" spans="1:12" x14ac:dyDescent="0.25">
      <c r="A666" s="3">
        <v>45706.537662037037</v>
      </c>
      <c r="B666" t="s">
        <v>376</v>
      </c>
      <c r="C666" s="3">
        <v>45706.54288194445</v>
      </c>
      <c r="D666" t="s">
        <v>21</v>
      </c>
      <c r="E666" s="4">
        <v>3.5000000059604644E-2</v>
      </c>
      <c r="F666" s="4">
        <v>526136.03200000001</v>
      </c>
      <c r="G666" s="4">
        <v>526136.06700000004</v>
      </c>
      <c r="H666" s="5">
        <f>380 / 86400</f>
        <v>4.3981481481481484E-3</v>
      </c>
      <c r="I666" t="s">
        <v>147</v>
      </c>
      <c r="J666" t="s">
        <v>82</v>
      </c>
      <c r="K666" s="5">
        <f>450 / 86400</f>
        <v>5.208333333333333E-3</v>
      </c>
      <c r="L666" s="5">
        <f>693 / 86400</f>
        <v>8.0208333333333329E-3</v>
      </c>
    </row>
    <row r="667" spans="1:12" x14ac:dyDescent="0.25">
      <c r="A667" s="3">
        <v>45706.550902777773</v>
      </c>
      <c r="B667" t="s">
        <v>21</v>
      </c>
      <c r="C667" s="3">
        <v>45706.555138888885</v>
      </c>
      <c r="D667" t="s">
        <v>122</v>
      </c>
      <c r="E667" s="4">
        <v>1.4349999999403953</v>
      </c>
      <c r="F667" s="4">
        <v>526136.06700000004</v>
      </c>
      <c r="G667" s="4">
        <v>526137.50199999998</v>
      </c>
      <c r="H667" s="5">
        <f>40 / 86400</f>
        <v>4.6296296296296298E-4</v>
      </c>
      <c r="I667" t="s">
        <v>169</v>
      </c>
      <c r="J667" t="s">
        <v>57</v>
      </c>
      <c r="K667" s="5">
        <f>365 / 86400</f>
        <v>4.2245370370370371E-3</v>
      </c>
      <c r="L667" s="5">
        <f>76 / 86400</f>
        <v>8.7962962962962962E-4</v>
      </c>
    </row>
    <row r="668" spans="1:12" x14ac:dyDescent="0.25">
      <c r="A668" s="3">
        <v>45706.556018518517</v>
      </c>
      <c r="B668" t="s">
        <v>122</v>
      </c>
      <c r="C668" s="3">
        <v>45706.556250000001</v>
      </c>
      <c r="D668" t="s">
        <v>122</v>
      </c>
      <c r="E668" s="4">
        <v>2.1000000059604645E-2</v>
      </c>
      <c r="F668" s="4">
        <v>526137.50199999998</v>
      </c>
      <c r="G668" s="4">
        <v>526137.52300000004</v>
      </c>
      <c r="H668" s="5">
        <f>0 / 86400</f>
        <v>0</v>
      </c>
      <c r="I668" t="s">
        <v>50</v>
      </c>
      <c r="J668" t="s">
        <v>127</v>
      </c>
      <c r="K668" s="5">
        <f>20 / 86400</f>
        <v>2.3148148148148149E-4</v>
      </c>
      <c r="L668" s="5">
        <f>168 / 86400</f>
        <v>1.9444444444444444E-3</v>
      </c>
    </row>
    <row r="669" spans="1:12" x14ac:dyDescent="0.25">
      <c r="A669" s="3">
        <v>45706.558194444442</v>
      </c>
      <c r="B669" t="s">
        <v>122</v>
      </c>
      <c r="C669" s="3">
        <v>45706.564942129626</v>
      </c>
      <c r="D669" t="s">
        <v>21</v>
      </c>
      <c r="E669" s="4">
        <v>1.6239999999403953</v>
      </c>
      <c r="F669" s="4">
        <v>526137.52300000004</v>
      </c>
      <c r="G669" s="4">
        <v>526139.147</v>
      </c>
      <c r="H669" s="5">
        <f>239 / 86400</f>
        <v>2.7662037037037039E-3</v>
      </c>
      <c r="I669" t="s">
        <v>209</v>
      </c>
      <c r="J669" t="s">
        <v>159</v>
      </c>
      <c r="K669" s="5">
        <f>583 / 86400</f>
        <v>6.7476851851851856E-3</v>
      </c>
      <c r="L669" s="5">
        <f>434 / 86400</f>
        <v>5.0231481481481481E-3</v>
      </c>
    </row>
    <row r="670" spans="1:12" x14ac:dyDescent="0.25">
      <c r="A670" s="3">
        <v>45706.569965277777</v>
      </c>
      <c r="B670" t="s">
        <v>21</v>
      </c>
      <c r="C670" s="3">
        <v>45706.57303240741</v>
      </c>
      <c r="D670" t="s">
        <v>367</v>
      </c>
      <c r="E670" s="4">
        <v>1.179</v>
      </c>
      <c r="F670" s="4">
        <v>526139.147</v>
      </c>
      <c r="G670" s="4">
        <v>526140.326</v>
      </c>
      <c r="H670" s="5">
        <f>40 / 86400</f>
        <v>4.6296296296296298E-4</v>
      </c>
      <c r="I670" t="s">
        <v>290</v>
      </c>
      <c r="J670" t="s">
        <v>28</v>
      </c>
      <c r="K670" s="5">
        <f>265 / 86400</f>
        <v>3.0671296296296297E-3</v>
      </c>
      <c r="L670" s="5">
        <f>1345 / 86400</f>
        <v>1.556712962962963E-2</v>
      </c>
    </row>
    <row r="671" spans="1:12" x14ac:dyDescent="0.25">
      <c r="A671" s="3">
        <v>45706.588599537034</v>
      </c>
      <c r="B671" t="s">
        <v>367</v>
      </c>
      <c r="C671" s="3">
        <v>45706.59174768519</v>
      </c>
      <c r="D671" t="s">
        <v>157</v>
      </c>
      <c r="E671" s="4">
        <v>0.57999999994039531</v>
      </c>
      <c r="F671" s="4">
        <v>526140.326</v>
      </c>
      <c r="G671" s="4">
        <v>526140.90599999996</v>
      </c>
      <c r="H671" s="5">
        <f>141 / 86400</f>
        <v>1.6319444444444445E-3</v>
      </c>
      <c r="I671" t="s">
        <v>28</v>
      </c>
      <c r="J671" t="s">
        <v>147</v>
      </c>
      <c r="K671" s="5">
        <f>272 / 86400</f>
        <v>3.1481481481481482E-3</v>
      </c>
      <c r="L671" s="5">
        <f>126 / 86400</f>
        <v>1.4583333333333334E-3</v>
      </c>
    </row>
    <row r="672" spans="1:12" x14ac:dyDescent="0.25">
      <c r="A672" s="3">
        <v>45706.593206018515</v>
      </c>
      <c r="B672" t="s">
        <v>157</v>
      </c>
      <c r="C672" s="3">
        <v>45706.593356481477</v>
      </c>
      <c r="D672" t="s">
        <v>157</v>
      </c>
      <c r="E672" s="4">
        <v>5.0000000000000001E-3</v>
      </c>
      <c r="F672" s="4">
        <v>526140.90599999996</v>
      </c>
      <c r="G672" s="4">
        <v>526140.91099999996</v>
      </c>
      <c r="H672" s="5">
        <f>0 / 86400</f>
        <v>0</v>
      </c>
      <c r="I672" t="s">
        <v>82</v>
      </c>
      <c r="J672" t="s">
        <v>111</v>
      </c>
      <c r="K672" s="5">
        <f>12 / 86400</f>
        <v>1.3888888888888889E-4</v>
      </c>
      <c r="L672" s="5">
        <f>406 / 86400</f>
        <v>4.6990740740740743E-3</v>
      </c>
    </row>
    <row r="673" spans="1:12" x14ac:dyDescent="0.25">
      <c r="A673" s="3">
        <v>45706.598055555558</v>
      </c>
      <c r="B673" t="s">
        <v>157</v>
      </c>
      <c r="C673" s="3">
        <v>45706.720347222217</v>
      </c>
      <c r="D673" t="s">
        <v>377</v>
      </c>
      <c r="E673" s="4">
        <v>49.569000000059603</v>
      </c>
      <c r="F673" s="4">
        <v>526140.91099999996</v>
      </c>
      <c r="G673" s="4">
        <v>526190.48</v>
      </c>
      <c r="H673" s="5">
        <f>3219 / 86400</f>
        <v>3.7256944444444447E-2</v>
      </c>
      <c r="I673" t="s">
        <v>67</v>
      </c>
      <c r="J673" t="s">
        <v>62</v>
      </c>
      <c r="K673" s="5">
        <f>10565 / 86400</f>
        <v>0.12228009259259259</v>
      </c>
      <c r="L673" s="5">
        <f>153 / 86400</f>
        <v>1.7708333333333332E-3</v>
      </c>
    </row>
    <row r="674" spans="1:12" x14ac:dyDescent="0.25">
      <c r="A674" s="3">
        <v>45706.722118055557</v>
      </c>
      <c r="B674" t="s">
        <v>377</v>
      </c>
      <c r="C674" s="3">
        <v>45706.797094907408</v>
      </c>
      <c r="D674" t="s">
        <v>378</v>
      </c>
      <c r="E674" s="4">
        <v>17.482000000059603</v>
      </c>
      <c r="F674" s="4">
        <v>526190.48</v>
      </c>
      <c r="G674" s="4">
        <v>526207.96200000006</v>
      </c>
      <c r="H674" s="5">
        <f>2959 / 86400</f>
        <v>3.4247685185185187E-2</v>
      </c>
      <c r="I674" t="s">
        <v>221</v>
      </c>
      <c r="J674" t="s">
        <v>159</v>
      </c>
      <c r="K674" s="5">
        <f>6477 / 86400</f>
        <v>7.4965277777777783E-2</v>
      </c>
      <c r="L674" s="5">
        <f>105 / 86400</f>
        <v>1.2152777777777778E-3</v>
      </c>
    </row>
    <row r="675" spans="1:12" x14ac:dyDescent="0.25">
      <c r="A675" s="3">
        <v>45706.798310185186</v>
      </c>
      <c r="B675" t="s">
        <v>379</v>
      </c>
      <c r="C675" s="3">
        <v>45706.846643518518</v>
      </c>
      <c r="D675" t="s">
        <v>36</v>
      </c>
      <c r="E675" s="4">
        <v>14.776999999999999</v>
      </c>
      <c r="F675" s="4">
        <v>526207.96299999999</v>
      </c>
      <c r="G675" s="4">
        <v>526222.74</v>
      </c>
      <c r="H675" s="5">
        <f>1719 / 86400</f>
        <v>1.9895833333333335E-2</v>
      </c>
      <c r="I675" t="s">
        <v>191</v>
      </c>
      <c r="J675" t="s">
        <v>44</v>
      </c>
      <c r="K675" s="5">
        <f>4176 / 86400</f>
        <v>4.8333333333333332E-2</v>
      </c>
      <c r="L675" s="5">
        <f>856 / 86400</f>
        <v>9.9074074074074082E-3</v>
      </c>
    </row>
    <row r="676" spans="1:12" x14ac:dyDescent="0.25">
      <c r="A676" s="3">
        <v>45706.856550925921</v>
      </c>
      <c r="B676" t="s">
        <v>36</v>
      </c>
      <c r="C676" s="3">
        <v>45706.862824074073</v>
      </c>
      <c r="D676" t="s">
        <v>51</v>
      </c>
      <c r="E676" s="4">
        <v>2.1509999999403955</v>
      </c>
      <c r="F676" s="4">
        <v>526222.74</v>
      </c>
      <c r="G676" s="4">
        <v>526224.89099999995</v>
      </c>
      <c r="H676" s="5">
        <f>40 / 86400</f>
        <v>4.6296296296296298E-4</v>
      </c>
      <c r="I676" t="s">
        <v>211</v>
      </c>
      <c r="J676" t="s">
        <v>57</v>
      </c>
      <c r="K676" s="5">
        <f>541 / 86400</f>
        <v>6.2615740740740739E-3</v>
      </c>
      <c r="L676" s="5">
        <f>11851 / 86400</f>
        <v>0.13716435185185186</v>
      </c>
    </row>
    <row r="677" spans="1:12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</row>
    <row r="678" spans="1:1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</row>
    <row r="679" spans="1:12" s="10" customFormat="1" ht="20.100000000000001" customHeight="1" x14ac:dyDescent="0.35">
      <c r="A679" s="15" t="s">
        <v>471</v>
      </c>
      <c r="B679" s="15"/>
      <c r="C679" s="15"/>
      <c r="D679" s="15"/>
      <c r="E679" s="15"/>
      <c r="F679" s="15"/>
      <c r="G679" s="15"/>
      <c r="H679" s="15"/>
      <c r="I679" s="15"/>
      <c r="J679" s="15"/>
    </row>
    <row r="680" spans="1:12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</row>
    <row r="681" spans="1:12" ht="30" x14ac:dyDescent="0.25">
      <c r="A681" s="2" t="s">
        <v>6</v>
      </c>
      <c r="B681" s="2" t="s">
        <v>7</v>
      </c>
      <c r="C681" s="2" t="s">
        <v>8</v>
      </c>
      <c r="D681" s="2" t="s">
        <v>9</v>
      </c>
      <c r="E681" s="2" t="s">
        <v>10</v>
      </c>
      <c r="F681" s="2" t="s">
        <v>11</v>
      </c>
      <c r="G681" s="2" t="s">
        <v>12</v>
      </c>
      <c r="H681" s="2" t="s">
        <v>13</v>
      </c>
      <c r="I681" s="2" t="s">
        <v>14</v>
      </c>
      <c r="J681" s="2" t="s">
        <v>15</v>
      </c>
      <c r="K681" s="2" t="s">
        <v>16</v>
      </c>
      <c r="L681" s="2" t="s">
        <v>17</v>
      </c>
    </row>
    <row r="682" spans="1:12" x14ac:dyDescent="0.25">
      <c r="A682" s="3">
        <v>45706.252303240741</v>
      </c>
      <c r="B682" t="s">
        <v>53</v>
      </c>
      <c r="C682" s="3">
        <v>45706.369803240741</v>
      </c>
      <c r="D682" t="s">
        <v>333</v>
      </c>
      <c r="E682" s="4">
        <v>49.387999999999998</v>
      </c>
      <c r="F682" s="4">
        <v>345562.72399999999</v>
      </c>
      <c r="G682" s="4">
        <v>345612.11200000002</v>
      </c>
      <c r="H682" s="5">
        <f>3640 / 86400</f>
        <v>4.2129629629629628E-2</v>
      </c>
      <c r="I682" t="s">
        <v>54</v>
      </c>
      <c r="J682" t="s">
        <v>20</v>
      </c>
      <c r="K682" s="5">
        <f>10152 / 86400</f>
        <v>0.11749999999999999</v>
      </c>
      <c r="L682" s="5">
        <f>22921 / 86400</f>
        <v>0.26528935185185187</v>
      </c>
    </row>
    <row r="683" spans="1:12" x14ac:dyDescent="0.25">
      <c r="A683" s="3">
        <v>45706.382789351846</v>
      </c>
      <c r="B683" t="s">
        <v>333</v>
      </c>
      <c r="C683" s="3">
        <v>45706.495243055557</v>
      </c>
      <c r="D683" t="s">
        <v>380</v>
      </c>
      <c r="E683" s="4">
        <v>38.826999999999998</v>
      </c>
      <c r="F683" s="4">
        <v>345612.11200000002</v>
      </c>
      <c r="G683" s="4">
        <v>345650.93900000001</v>
      </c>
      <c r="H683" s="5">
        <f>4059 / 86400</f>
        <v>4.6979166666666669E-2</v>
      </c>
      <c r="I683" t="s">
        <v>113</v>
      </c>
      <c r="J683" t="s">
        <v>57</v>
      </c>
      <c r="K683" s="5">
        <f>9715 / 86400</f>
        <v>0.11244212962962963</v>
      </c>
      <c r="L683" s="5">
        <f>106 / 86400</f>
        <v>1.2268518518518518E-3</v>
      </c>
    </row>
    <row r="684" spans="1:12" x14ac:dyDescent="0.25">
      <c r="A684" s="3">
        <v>45706.496469907404</v>
      </c>
      <c r="B684" t="s">
        <v>380</v>
      </c>
      <c r="C684" s="3">
        <v>45706.518831018519</v>
      </c>
      <c r="D684" t="s">
        <v>153</v>
      </c>
      <c r="E684" s="4">
        <v>11.864000000000001</v>
      </c>
      <c r="F684" s="4">
        <v>345650.93900000001</v>
      </c>
      <c r="G684" s="4">
        <v>345662.80300000001</v>
      </c>
      <c r="H684" s="5">
        <f>300 / 86400</f>
        <v>3.472222222222222E-3</v>
      </c>
      <c r="I684" t="s">
        <v>67</v>
      </c>
      <c r="J684" t="s">
        <v>130</v>
      </c>
      <c r="K684" s="5">
        <f>1932 / 86400</f>
        <v>2.2361111111111109E-2</v>
      </c>
      <c r="L684" s="5">
        <f>216 / 86400</f>
        <v>2.5000000000000001E-3</v>
      </c>
    </row>
    <row r="685" spans="1:12" x14ac:dyDescent="0.25">
      <c r="A685" s="3">
        <v>45706.521331018521</v>
      </c>
      <c r="B685" t="s">
        <v>153</v>
      </c>
      <c r="C685" s="3">
        <v>45706.524837962963</v>
      </c>
      <c r="D685" t="s">
        <v>137</v>
      </c>
      <c r="E685" s="4">
        <v>1.177</v>
      </c>
      <c r="F685" s="4">
        <v>345662.80300000001</v>
      </c>
      <c r="G685" s="4">
        <v>345663.98</v>
      </c>
      <c r="H685" s="5">
        <f>20 / 86400</f>
        <v>2.3148148148148149E-4</v>
      </c>
      <c r="I685" t="s">
        <v>212</v>
      </c>
      <c r="J685" t="s">
        <v>57</v>
      </c>
      <c r="K685" s="5">
        <f>302 / 86400</f>
        <v>3.4953703703703705E-3</v>
      </c>
      <c r="L685" s="5">
        <f>2638 / 86400</f>
        <v>3.0532407407407407E-2</v>
      </c>
    </row>
    <row r="686" spans="1:12" x14ac:dyDescent="0.25">
      <c r="A686" s="3">
        <v>45706.55537037037</v>
      </c>
      <c r="B686" t="s">
        <v>137</v>
      </c>
      <c r="C686" s="3">
        <v>45706.556388888886</v>
      </c>
      <c r="D686" t="s">
        <v>137</v>
      </c>
      <c r="E686" s="4">
        <v>6.0999999999999999E-2</v>
      </c>
      <c r="F686" s="4">
        <v>345663.98</v>
      </c>
      <c r="G686" s="4">
        <v>345664.04100000003</v>
      </c>
      <c r="H686" s="5">
        <f>39 / 86400</f>
        <v>4.5138888888888887E-4</v>
      </c>
      <c r="I686" t="s">
        <v>32</v>
      </c>
      <c r="J686" t="s">
        <v>170</v>
      </c>
      <c r="K686" s="5">
        <f>87 / 86400</f>
        <v>1.0069444444444444E-3</v>
      </c>
      <c r="L686" s="5">
        <f>228 / 86400</f>
        <v>2.638888888888889E-3</v>
      </c>
    </row>
    <row r="687" spans="1:12" x14ac:dyDescent="0.25">
      <c r="A687" s="3">
        <v>45706.559027777781</v>
      </c>
      <c r="B687" t="s">
        <v>137</v>
      </c>
      <c r="C687" s="3">
        <v>45706.682662037041</v>
      </c>
      <c r="D687" t="s">
        <v>333</v>
      </c>
      <c r="E687" s="4">
        <v>49.856999999999999</v>
      </c>
      <c r="F687" s="4">
        <v>345664.04100000003</v>
      </c>
      <c r="G687" s="4">
        <v>345713.89799999999</v>
      </c>
      <c r="H687" s="5">
        <f>3858 / 86400</f>
        <v>4.4652777777777777E-2</v>
      </c>
      <c r="I687" t="s">
        <v>64</v>
      </c>
      <c r="J687" t="s">
        <v>62</v>
      </c>
      <c r="K687" s="5">
        <f>10682 / 86400</f>
        <v>0.12363425925925926</v>
      </c>
      <c r="L687" s="5">
        <f>418 / 86400</f>
        <v>4.8379629629629632E-3</v>
      </c>
    </row>
    <row r="688" spans="1:12" x14ac:dyDescent="0.25">
      <c r="A688" s="3">
        <v>45706.6875</v>
      </c>
      <c r="B688" t="s">
        <v>333</v>
      </c>
      <c r="C688" s="3">
        <v>45706.834432870368</v>
      </c>
      <c r="D688" t="s">
        <v>137</v>
      </c>
      <c r="E688" s="4">
        <v>49.796999999999997</v>
      </c>
      <c r="F688" s="4">
        <v>345713.89799999999</v>
      </c>
      <c r="G688" s="4">
        <v>345763.69500000001</v>
      </c>
      <c r="H688" s="5">
        <f>4863 / 86400</f>
        <v>5.6284722222222222E-2</v>
      </c>
      <c r="I688" t="s">
        <v>60</v>
      </c>
      <c r="J688" t="s">
        <v>57</v>
      </c>
      <c r="K688" s="5">
        <f>12695 / 86400</f>
        <v>0.14693287037037037</v>
      </c>
      <c r="L688" s="5">
        <f>265 / 86400</f>
        <v>3.0671296296296297E-3</v>
      </c>
    </row>
    <row r="689" spans="1:12" x14ac:dyDescent="0.25">
      <c r="A689" s="3">
        <v>45706.837500000001</v>
      </c>
      <c r="B689" t="s">
        <v>137</v>
      </c>
      <c r="C689" s="3">
        <v>45706.83829861111</v>
      </c>
      <c r="D689" t="s">
        <v>149</v>
      </c>
      <c r="E689" s="4">
        <v>0.20399999999999999</v>
      </c>
      <c r="F689" s="4">
        <v>345763.69500000001</v>
      </c>
      <c r="G689" s="4">
        <v>345763.89899999998</v>
      </c>
      <c r="H689" s="5">
        <f>0 / 86400</f>
        <v>0</v>
      </c>
      <c r="I689" t="s">
        <v>143</v>
      </c>
      <c r="J689" t="s">
        <v>93</v>
      </c>
      <c r="K689" s="5">
        <f>68 / 86400</f>
        <v>7.8703703703703705E-4</v>
      </c>
      <c r="L689" s="5">
        <f>618 / 86400</f>
        <v>7.1527777777777779E-3</v>
      </c>
    </row>
    <row r="690" spans="1:12" x14ac:dyDescent="0.25">
      <c r="A690" s="3">
        <v>45706.845451388886</v>
      </c>
      <c r="B690" t="s">
        <v>149</v>
      </c>
      <c r="C690" s="3">
        <v>45706.850810185184</v>
      </c>
      <c r="D690" t="s">
        <v>53</v>
      </c>
      <c r="E690" s="4">
        <v>0.83099999999999996</v>
      </c>
      <c r="F690" s="4">
        <v>345763.89899999998</v>
      </c>
      <c r="G690" s="4">
        <v>345764.73</v>
      </c>
      <c r="H690" s="5">
        <f>240 / 86400</f>
        <v>2.7777777777777779E-3</v>
      </c>
      <c r="I690" t="s">
        <v>156</v>
      </c>
      <c r="J690" t="s">
        <v>32</v>
      </c>
      <c r="K690" s="5">
        <f>462 / 86400</f>
        <v>5.347222222222222E-3</v>
      </c>
      <c r="L690" s="5">
        <f>97 / 86400</f>
        <v>1.1226851851851851E-3</v>
      </c>
    </row>
    <row r="691" spans="1:12" x14ac:dyDescent="0.25">
      <c r="A691" s="3">
        <v>45706.85193287037</v>
      </c>
      <c r="B691" t="s">
        <v>53</v>
      </c>
      <c r="C691" s="3">
        <v>45706.85324074074</v>
      </c>
      <c r="D691" t="s">
        <v>53</v>
      </c>
      <c r="E691" s="4">
        <v>3.1E-2</v>
      </c>
      <c r="F691" s="4">
        <v>345764.73</v>
      </c>
      <c r="G691" s="4">
        <v>345764.761</v>
      </c>
      <c r="H691" s="5">
        <f>60 / 86400</f>
        <v>6.9444444444444447E-4</v>
      </c>
      <c r="I691" t="s">
        <v>50</v>
      </c>
      <c r="J691" t="s">
        <v>163</v>
      </c>
      <c r="K691" s="5">
        <f>112 / 86400</f>
        <v>1.2962962962962963E-3</v>
      </c>
      <c r="L691" s="5">
        <f>12679 / 86400</f>
        <v>0.14674768518518519</v>
      </c>
    </row>
    <row r="692" spans="1:1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</row>
    <row r="693" spans="1:12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</row>
    <row r="694" spans="1:12" s="10" customFormat="1" ht="20.100000000000001" customHeight="1" x14ac:dyDescent="0.35">
      <c r="A694" s="15" t="s">
        <v>472</v>
      </c>
      <c r="B694" s="15"/>
      <c r="C694" s="15"/>
      <c r="D694" s="15"/>
      <c r="E694" s="15"/>
      <c r="F694" s="15"/>
      <c r="G694" s="15"/>
      <c r="H694" s="15"/>
      <c r="I694" s="15"/>
      <c r="J694" s="15"/>
    </row>
    <row r="695" spans="1:12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</row>
    <row r="696" spans="1:12" ht="30" x14ac:dyDescent="0.25">
      <c r="A696" s="2" t="s">
        <v>6</v>
      </c>
      <c r="B696" s="2" t="s">
        <v>7</v>
      </c>
      <c r="C696" s="2" t="s">
        <v>8</v>
      </c>
      <c r="D696" s="2" t="s">
        <v>9</v>
      </c>
      <c r="E696" s="2" t="s">
        <v>10</v>
      </c>
      <c r="F696" s="2" t="s">
        <v>11</v>
      </c>
      <c r="G696" s="2" t="s">
        <v>12</v>
      </c>
      <c r="H696" s="2" t="s">
        <v>13</v>
      </c>
      <c r="I696" s="2" t="s">
        <v>14</v>
      </c>
      <c r="J696" s="2" t="s">
        <v>15</v>
      </c>
      <c r="K696" s="2" t="s">
        <v>16</v>
      </c>
      <c r="L696" s="2" t="s">
        <v>17</v>
      </c>
    </row>
    <row r="697" spans="1:12" x14ac:dyDescent="0.25">
      <c r="A697" s="3">
        <v>45706.254166666666</v>
      </c>
      <c r="B697" t="s">
        <v>55</v>
      </c>
      <c r="C697" s="3">
        <v>45706.256782407407</v>
      </c>
      <c r="D697" t="s">
        <v>128</v>
      </c>
      <c r="E697" s="4">
        <v>0.35399999999999998</v>
      </c>
      <c r="F697" s="4">
        <v>426693.13400000002</v>
      </c>
      <c r="G697" s="4">
        <v>426693.48800000001</v>
      </c>
      <c r="H697" s="5">
        <f>139 / 86400</f>
        <v>1.6087962962962963E-3</v>
      </c>
      <c r="I697" t="s">
        <v>62</v>
      </c>
      <c r="J697" t="s">
        <v>32</v>
      </c>
      <c r="K697" s="5">
        <f>225 / 86400</f>
        <v>2.6041666666666665E-3</v>
      </c>
      <c r="L697" s="5">
        <f>22275 / 86400</f>
        <v>0.2578125</v>
      </c>
    </row>
    <row r="698" spans="1:12" x14ac:dyDescent="0.25">
      <c r="A698" s="3">
        <v>45706.260428240741</v>
      </c>
      <c r="B698" t="s">
        <v>128</v>
      </c>
      <c r="C698" s="3">
        <v>45706.272928240738</v>
      </c>
      <c r="D698" t="s">
        <v>277</v>
      </c>
      <c r="E698" s="4">
        <v>6.7649999999999997</v>
      </c>
      <c r="F698" s="4">
        <v>426693.48800000001</v>
      </c>
      <c r="G698" s="4">
        <v>426700.25300000003</v>
      </c>
      <c r="H698" s="5">
        <f>160 / 86400</f>
        <v>1.8518518518518519E-3</v>
      </c>
      <c r="I698" t="s">
        <v>165</v>
      </c>
      <c r="J698" t="s">
        <v>143</v>
      </c>
      <c r="K698" s="5">
        <f>1079 / 86400</f>
        <v>1.2488425925925925E-2</v>
      </c>
      <c r="L698" s="5">
        <f>21 / 86400</f>
        <v>2.4305555555555555E-4</v>
      </c>
    </row>
    <row r="699" spans="1:12" x14ac:dyDescent="0.25">
      <c r="A699" s="3">
        <v>45706.2731712963</v>
      </c>
      <c r="B699" t="s">
        <v>277</v>
      </c>
      <c r="C699" s="3">
        <v>45706.348159722227</v>
      </c>
      <c r="D699" t="s">
        <v>137</v>
      </c>
      <c r="E699" s="4">
        <v>38.960999999999999</v>
      </c>
      <c r="F699" s="4">
        <v>426700.25300000003</v>
      </c>
      <c r="G699" s="4">
        <v>426739.21399999998</v>
      </c>
      <c r="H699" s="5">
        <f>1560 / 86400</f>
        <v>1.8055555555555554E-2</v>
      </c>
      <c r="I699" t="s">
        <v>167</v>
      </c>
      <c r="J699" t="s">
        <v>130</v>
      </c>
      <c r="K699" s="5">
        <f>6478 / 86400</f>
        <v>7.497685185185185E-2</v>
      </c>
      <c r="L699" s="5">
        <f>1611 / 86400</f>
        <v>1.8645833333333334E-2</v>
      </c>
    </row>
    <row r="700" spans="1:12" x14ac:dyDescent="0.25">
      <c r="A700" s="3">
        <v>45706.366805555561</v>
      </c>
      <c r="B700" t="s">
        <v>137</v>
      </c>
      <c r="C700" s="3">
        <v>45706.370393518519</v>
      </c>
      <c r="D700" t="s">
        <v>153</v>
      </c>
      <c r="E700" s="4">
        <v>1.2989999999999999</v>
      </c>
      <c r="F700" s="4">
        <v>426739.21399999998</v>
      </c>
      <c r="G700" s="4">
        <v>426740.51299999998</v>
      </c>
      <c r="H700" s="5">
        <f>20 / 86400</f>
        <v>2.3148148148148149E-4</v>
      </c>
      <c r="I700" t="s">
        <v>212</v>
      </c>
      <c r="J700" t="s">
        <v>38</v>
      </c>
      <c r="K700" s="5">
        <f>309 / 86400</f>
        <v>3.5763888888888889E-3</v>
      </c>
      <c r="L700" s="5">
        <f>1925 / 86400</f>
        <v>2.2280092592592591E-2</v>
      </c>
    </row>
    <row r="701" spans="1:12" x14ac:dyDescent="0.25">
      <c r="A701" s="3">
        <v>45706.39267361111</v>
      </c>
      <c r="B701" t="s">
        <v>153</v>
      </c>
      <c r="C701" s="3">
        <v>45706.521006944444</v>
      </c>
      <c r="D701" t="s">
        <v>381</v>
      </c>
      <c r="E701" s="4">
        <v>51.54</v>
      </c>
      <c r="F701" s="4">
        <v>426740.51299999998</v>
      </c>
      <c r="G701" s="4">
        <v>426792.05300000001</v>
      </c>
      <c r="H701" s="5">
        <f>3702 / 86400</f>
        <v>4.2847222222222224E-2</v>
      </c>
      <c r="I701" t="s">
        <v>37</v>
      </c>
      <c r="J701" t="s">
        <v>62</v>
      </c>
      <c r="K701" s="5">
        <f>11088 / 86400</f>
        <v>0.12833333333333333</v>
      </c>
      <c r="L701" s="5">
        <f>662 / 86400</f>
        <v>7.6620370370370366E-3</v>
      </c>
    </row>
    <row r="702" spans="1:12" x14ac:dyDescent="0.25">
      <c r="A702" s="3">
        <v>45706.528668981482</v>
      </c>
      <c r="B702" t="s">
        <v>381</v>
      </c>
      <c r="C702" s="3">
        <v>45706.658854166672</v>
      </c>
      <c r="D702" t="s">
        <v>137</v>
      </c>
      <c r="E702" s="4">
        <v>51.15</v>
      </c>
      <c r="F702" s="4">
        <v>426792.05300000001</v>
      </c>
      <c r="G702" s="4">
        <v>426843.20299999998</v>
      </c>
      <c r="H702" s="5">
        <f>3541 / 86400</f>
        <v>4.0983796296296296E-2</v>
      </c>
      <c r="I702" t="s">
        <v>41</v>
      </c>
      <c r="J702" t="s">
        <v>28</v>
      </c>
      <c r="K702" s="5">
        <f>11247 / 86400</f>
        <v>0.13017361111111111</v>
      </c>
      <c r="L702" s="5">
        <f>553 / 86400</f>
        <v>6.4004629629629628E-3</v>
      </c>
    </row>
    <row r="703" spans="1:12" x14ac:dyDescent="0.25">
      <c r="A703" s="3">
        <v>45706.665254629625</v>
      </c>
      <c r="B703" t="s">
        <v>137</v>
      </c>
      <c r="C703" s="3">
        <v>45706.667557870373</v>
      </c>
      <c r="D703" t="s">
        <v>137</v>
      </c>
      <c r="E703" s="4">
        <v>0.40200000000000002</v>
      </c>
      <c r="F703" s="4">
        <v>426843.20299999998</v>
      </c>
      <c r="G703" s="4">
        <v>426843.60499999998</v>
      </c>
      <c r="H703" s="5">
        <f>40 / 86400</f>
        <v>4.6296296296296298E-4</v>
      </c>
      <c r="I703" t="s">
        <v>20</v>
      </c>
      <c r="J703" t="s">
        <v>150</v>
      </c>
      <c r="K703" s="5">
        <f>199 / 86400</f>
        <v>2.3032407407407407E-3</v>
      </c>
      <c r="L703" s="5">
        <f>2654 / 86400</f>
        <v>3.0717592592592591E-2</v>
      </c>
    </row>
    <row r="704" spans="1:12" x14ac:dyDescent="0.25">
      <c r="A704" s="3">
        <v>45706.698275462964</v>
      </c>
      <c r="B704" t="s">
        <v>120</v>
      </c>
      <c r="C704" s="3">
        <v>45706.698333333334</v>
      </c>
      <c r="D704" t="s">
        <v>120</v>
      </c>
      <c r="E704" s="4">
        <v>0</v>
      </c>
      <c r="F704" s="4">
        <v>426843.60499999998</v>
      </c>
      <c r="G704" s="4">
        <v>426843.60499999998</v>
      </c>
      <c r="H704" s="5">
        <f>0 / 86400</f>
        <v>0</v>
      </c>
      <c r="I704" t="s">
        <v>82</v>
      </c>
      <c r="J704" t="s">
        <v>82</v>
      </c>
      <c r="K704" s="5">
        <f>4 / 86400</f>
        <v>4.6296296296296294E-5</v>
      </c>
      <c r="L704" s="5">
        <f>21 / 86400</f>
        <v>2.4305555555555555E-4</v>
      </c>
    </row>
    <row r="705" spans="1:12" x14ac:dyDescent="0.25">
      <c r="A705" s="3">
        <v>45706.698576388888</v>
      </c>
      <c r="B705" t="s">
        <v>120</v>
      </c>
      <c r="C705" s="3">
        <v>45706.699421296296</v>
      </c>
      <c r="D705" t="s">
        <v>149</v>
      </c>
      <c r="E705" s="4">
        <v>0.126</v>
      </c>
      <c r="F705" s="4">
        <v>426843.60499999998</v>
      </c>
      <c r="G705" s="4">
        <v>426843.73100000003</v>
      </c>
      <c r="H705" s="5">
        <f>0 / 86400</f>
        <v>0</v>
      </c>
      <c r="I705" t="s">
        <v>147</v>
      </c>
      <c r="J705" t="s">
        <v>32</v>
      </c>
      <c r="K705" s="5">
        <f>73 / 86400</f>
        <v>8.4490740740740739E-4</v>
      </c>
      <c r="L705" s="5">
        <f>1452 / 86400</f>
        <v>1.6805555555555556E-2</v>
      </c>
    </row>
    <row r="706" spans="1:12" x14ac:dyDescent="0.25">
      <c r="A706" s="3">
        <v>45706.716226851851</v>
      </c>
      <c r="B706" t="s">
        <v>149</v>
      </c>
      <c r="C706" s="3">
        <v>45706.790324074071</v>
      </c>
      <c r="D706" t="s">
        <v>382</v>
      </c>
      <c r="E706" s="4">
        <v>38.841000000000001</v>
      </c>
      <c r="F706" s="4">
        <v>426843.73100000003</v>
      </c>
      <c r="G706" s="4">
        <v>426882.57199999999</v>
      </c>
      <c r="H706" s="5">
        <f>1160 / 86400</f>
        <v>1.3425925925925926E-2</v>
      </c>
      <c r="I706" t="s">
        <v>41</v>
      </c>
      <c r="J706" t="s">
        <v>130</v>
      </c>
      <c r="K706" s="5">
        <f>6402 / 86400</f>
        <v>7.4097222222222217E-2</v>
      </c>
      <c r="L706" s="5">
        <f>324 / 86400</f>
        <v>3.7499999999999999E-3</v>
      </c>
    </row>
    <row r="707" spans="1:12" x14ac:dyDescent="0.25">
      <c r="A707" s="3">
        <v>45706.794074074074</v>
      </c>
      <c r="B707" t="s">
        <v>382</v>
      </c>
      <c r="C707" s="3">
        <v>45706.802164351851</v>
      </c>
      <c r="D707" t="s">
        <v>55</v>
      </c>
      <c r="E707" s="4">
        <v>0.28399999999999997</v>
      </c>
      <c r="F707" s="4">
        <v>426882.57199999999</v>
      </c>
      <c r="G707" s="4">
        <v>426882.85600000003</v>
      </c>
      <c r="H707" s="5">
        <f>500 / 86400</f>
        <v>5.7870370370370367E-3</v>
      </c>
      <c r="I707" t="s">
        <v>93</v>
      </c>
      <c r="J707" t="s">
        <v>163</v>
      </c>
      <c r="K707" s="5">
        <f>699 / 86400</f>
        <v>8.0902777777777778E-3</v>
      </c>
      <c r="L707" s="5">
        <f>2222 / 86400</f>
        <v>2.5717592592592594E-2</v>
      </c>
    </row>
    <row r="708" spans="1:12" x14ac:dyDescent="0.25">
      <c r="A708" s="3">
        <v>45706.827881944446</v>
      </c>
      <c r="B708" t="s">
        <v>55</v>
      </c>
      <c r="C708" s="3">
        <v>45706.832372685181</v>
      </c>
      <c r="D708" t="s">
        <v>55</v>
      </c>
      <c r="E708" s="4">
        <v>3.6999999999999998E-2</v>
      </c>
      <c r="F708" s="4">
        <v>426882.85600000003</v>
      </c>
      <c r="G708" s="4">
        <v>426882.89299999998</v>
      </c>
      <c r="H708" s="5">
        <f>339 / 86400</f>
        <v>3.9236111111111112E-3</v>
      </c>
      <c r="I708" t="s">
        <v>170</v>
      </c>
      <c r="J708" t="s">
        <v>82</v>
      </c>
      <c r="K708" s="5">
        <f>387 / 86400</f>
        <v>4.4791666666666669E-3</v>
      </c>
      <c r="L708" s="5">
        <f>14482 / 86400</f>
        <v>0.16761574074074073</v>
      </c>
    </row>
    <row r="709" spans="1:12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</row>
    <row r="710" spans="1:12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</row>
    <row r="711" spans="1:12" s="10" customFormat="1" ht="20.100000000000001" customHeight="1" x14ac:dyDescent="0.35">
      <c r="A711" s="15" t="s">
        <v>473</v>
      </c>
      <c r="B711" s="15"/>
      <c r="C711" s="15"/>
      <c r="D711" s="15"/>
      <c r="E711" s="15"/>
      <c r="F711" s="15"/>
      <c r="G711" s="15"/>
      <c r="H711" s="15"/>
      <c r="I711" s="15"/>
      <c r="J711" s="15"/>
    </row>
    <row r="712" spans="1:12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</row>
    <row r="713" spans="1:12" ht="30" x14ac:dyDescent="0.25">
      <c r="A713" s="2" t="s">
        <v>6</v>
      </c>
      <c r="B713" s="2" t="s">
        <v>7</v>
      </c>
      <c r="C713" s="2" t="s">
        <v>8</v>
      </c>
      <c r="D713" s="2" t="s">
        <v>9</v>
      </c>
      <c r="E713" s="2" t="s">
        <v>10</v>
      </c>
      <c r="F713" s="2" t="s">
        <v>11</v>
      </c>
      <c r="G713" s="2" t="s">
        <v>12</v>
      </c>
      <c r="H713" s="2" t="s">
        <v>13</v>
      </c>
      <c r="I713" s="2" t="s">
        <v>14</v>
      </c>
      <c r="J713" s="2" t="s">
        <v>15</v>
      </c>
      <c r="K713" s="2" t="s">
        <v>16</v>
      </c>
      <c r="L713" s="2" t="s">
        <v>17</v>
      </c>
    </row>
    <row r="714" spans="1:12" x14ac:dyDescent="0.25">
      <c r="A714" s="3">
        <v>45706.22929398148</v>
      </c>
      <c r="B714" t="s">
        <v>26</v>
      </c>
      <c r="C714" s="3">
        <v>45706.234768518523</v>
      </c>
      <c r="D714" t="s">
        <v>91</v>
      </c>
      <c r="E714" s="4">
        <v>0.34699999999999998</v>
      </c>
      <c r="F714" s="4">
        <v>13565.553</v>
      </c>
      <c r="G714" s="4">
        <v>13565.9</v>
      </c>
      <c r="H714" s="5">
        <f>379 / 86400</f>
        <v>4.386574074074074E-3</v>
      </c>
      <c r="I714" t="s">
        <v>28</v>
      </c>
      <c r="J714" t="s">
        <v>170</v>
      </c>
      <c r="K714" s="5">
        <f>472 / 86400</f>
        <v>5.4629629629629629E-3</v>
      </c>
      <c r="L714" s="5">
        <f>19935 / 86400</f>
        <v>0.23072916666666668</v>
      </c>
    </row>
    <row r="715" spans="1:12" x14ac:dyDescent="0.25">
      <c r="A715" s="3">
        <v>45706.236203703702</v>
      </c>
      <c r="B715" t="s">
        <v>91</v>
      </c>
      <c r="C715" s="3">
        <v>45706.320439814815</v>
      </c>
      <c r="D715" t="s">
        <v>383</v>
      </c>
      <c r="E715" s="4">
        <v>30.367999999999999</v>
      </c>
      <c r="F715" s="4">
        <v>13565.9</v>
      </c>
      <c r="G715" s="4">
        <v>13596.268</v>
      </c>
      <c r="H715" s="5">
        <f>2550 / 86400</f>
        <v>2.9513888888888888E-2</v>
      </c>
      <c r="I715" t="s">
        <v>308</v>
      </c>
      <c r="J715" t="s">
        <v>38</v>
      </c>
      <c r="K715" s="5">
        <f>7278 / 86400</f>
        <v>8.4236111111111109E-2</v>
      </c>
      <c r="L715" s="5">
        <f>54 / 86400</f>
        <v>6.2500000000000001E-4</v>
      </c>
    </row>
    <row r="716" spans="1:12" x14ac:dyDescent="0.25">
      <c r="A716" s="3">
        <v>45706.321064814816</v>
      </c>
      <c r="B716" t="s">
        <v>383</v>
      </c>
      <c r="C716" s="3">
        <v>45706.322326388894</v>
      </c>
      <c r="D716" t="s">
        <v>384</v>
      </c>
      <c r="E716" s="4">
        <v>0.247</v>
      </c>
      <c r="F716" s="4">
        <v>13596.268</v>
      </c>
      <c r="G716" s="4">
        <v>13596.514999999999</v>
      </c>
      <c r="H716" s="5">
        <f>20 / 86400</f>
        <v>2.3148148148148149E-4</v>
      </c>
      <c r="I716" t="s">
        <v>35</v>
      </c>
      <c r="J716" t="s">
        <v>147</v>
      </c>
      <c r="K716" s="5">
        <f>108 / 86400</f>
        <v>1.25E-3</v>
      </c>
      <c r="L716" s="5">
        <f>69 / 86400</f>
        <v>7.9861111111111116E-4</v>
      </c>
    </row>
    <row r="717" spans="1:12" x14ac:dyDescent="0.25">
      <c r="A717" s="3">
        <v>45706.323124999995</v>
      </c>
      <c r="B717" t="s">
        <v>336</v>
      </c>
      <c r="C717" s="3">
        <v>45706.396099537036</v>
      </c>
      <c r="D717" t="s">
        <v>76</v>
      </c>
      <c r="E717" s="4">
        <v>22.541</v>
      </c>
      <c r="F717" s="4">
        <v>13596.514999999999</v>
      </c>
      <c r="G717" s="4">
        <v>13619.056</v>
      </c>
      <c r="H717" s="5">
        <f>2561 / 86400</f>
        <v>2.9641203703703704E-2</v>
      </c>
      <c r="I717" t="s">
        <v>385</v>
      </c>
      <c r="J717" t="s">
        <v>44</v>
      </c>
      <c r="K717" s="5">
        <f>6305 / 86400</f>
        <v>7.2974537037037032E-2</v>
      </c>
      <c r="L717" s="5">
        <f>327 / 86400</f>
        <v>3.7847222222222223E-3</v>
      </c>
    </row>
    <row r="718" spans="1:12" x14ac:dyDescent="0.25">
      <c r="A718" s="3">
        <v>45706.399884259255</v>
      </c>
      <c r="B718" t="s">
        <v>76</v>
      </c>
      <c r="C718" s="3">
        <v>45706.44363425926</v>
      </c>
      <c r="D718" t="s">
        <v>137</v>
      </c>
      <c r="E718" s="4">
        <v>26.956</v>
      </c>
      <c r="F718" s="4">
        <v>13619.056</v>
      </c>
      <c r="G718" s="4">
        <v>13646.012000000001</v>
      </c>
      <c r="H718" s="5">
        <f>720 / 86400</f>
        <v>8.3333333333333332E-3</v>
      </c>
      <c r="I718" t="s">
        <v>27</v>
      </c>
      <c r="J718" t="s">
        <v>158</v>
      </c>
      <c r="K718" s="5">
        <f>3779 / 86400</f>
        <v>4.3738425925925924E-2</v>
      </c>
      <c r="L718" s="5">
        <f>145 / 86400</f>
        <v>1.6782407407407408E-3</v>
      </c>
    </row>
    <row r="719" spans="1:12" x14ac:dyDescent="0.25">
      <c r="A719" s="3">
        <v>45706.4453125</v>
      </c>
      <c r="B719" t="s">
        <v>137</v>
      </c>
      <c r="C719" s="3">
        <v>45706.44604166667</v>
      </c>
      <c r="D719" t="s">
        <v>120</v>
      </c>
      <c r="E719" s="4">
        <v>8.3000000000000004E-2</v>
      </c>
      <c r="F719" s="4">
        <v>13646.012000000001</v>
      </c>
      <c r="G719" s="4">
        <v>13646.094999999999</v>
      </c>
      <c r="H719" s="5">
        <f>20 / 86400</f>
        <v>2.3148148148148149E-4</v>
      </c>
      <c r="I719" t="s">
        <v>44</v>
      </c>
      <c r="J719" t="s">
        <v>50</v>
      </c>
      <c r="K719" s="5">
        <f>62 / 86400</f>
        <v>7.1759259259259259E-4</v>
      </c>
      <c r="L719" s="5">
        <f>19 / 86400</f>
        <v>2.199074074074074E-4</v>
      </c>
    </row>
    <row r="720" spans="1:12" x14ac:dyDescent="0.25">
      <c r="A720" s="3">
        <v>45706.446261574078</v>
      </c>
      <c r="B720" t="s">
        <v>137</v>
      </c>
      <c r="C720" s="3">
        <v>45706.454351851848</v>
      </c>
      <c r="D720" t="s">
        <v>386</v>
      </c>
      <c r="E720" s="4">
        <v>0.74099999999999999</v>
      </c>
      <c r="F720" s="4">
        <v>13646.094999999999</v>
      </c>
      <c r="G720" s="4">
        <v>13646.835999999999</v>
      </c>
      <c r="H720" s="5">
        <f>399 / 86400</f>
        <v>4.6180555555555558E-3</v>
      </c>
      <c r="I720" t="s">
        <v>31</v>
      </c>
      <c r="J720" t="s">
        <v>127</v>
      </c>
      <c r="K720" s="5">
        <f>698 / 86400</f>
        <v>8.0787037037037043E-3</v>
      </c>
      <c r="L720" s="5">
        <f>984 / 86400</f>
        <v>1.1388888888888889E-2</v>
      </c>
    </row>
    <row r="721" spans="1:12" x14ac:dyDescent="0.25">
      <c r="A721" s="3">
        <v>45706.465740740736</v>
      </c>
      <c r="B721" t="s">
        <v>386</v>
      </c>
      <c r="C721" s="3">
        <v>45706.467546296291</v>
      </c>
      <c r="D721" t="s">
        <v>48</v>
      </c>
      <c r="E721" s="4">
        <v>0.25900000000000001</v>
      </c>
      <c r="F721" s="4">
        <v>13646.835999999999</v>
      </c>
      <c r="G721" s="4">
        <v>13647.094999999999</v>
      </c>
      <c r="H721" s="5">
        <f>20 / 86400</f>
        <v>2.3148148148148149E-4</v>
      </c>
      <c r="I721" t="s">
        <v>25</v>
      </c>
      <c r="J721" t="s">
        <v>32</v>
      </c>
      <c r="K721" s="5">
        <f>155 / 86400</f>
        <v>1.7939814814814815E-3</v>
      </c>
      <c r="L721" s="5">
        <f>647 / 86400</f>
        <v>7.4884259259259262E-3</v>
      </c>
    </row>
    <row r="722" spans="1:12" x14ac:dyDescent="0.25">
      <c r="A722" s="3">
        <v>45706.475034722222</v>
      </c>
      <c r="B722" t="s">
        <v>387</v>
      </c>
      <c r="C722" s="3">
        <v>45706.477858796294</v>
      </c>
      <c r="D722" t="s">
        <v>153</v>
      </c>
      <c r="E722" s="4">
        <v>0.82299999999999995</v>
      </c>
      <c r="F722" s="4">
        <v>13647.094999999999</v>
      </c>
      <c r="G722" s="4">
        <v>13647.918</v>
      </c>
      <c r="H722" s="5">
        <f>20 / 86400</f>
        <v>2.3148148148148149E-4</v>
      </c>
      <c r="I722" t="s">
        <v>295</v>
      </c>
      <c r="J722" t="s">
        <v>25</v>
      </c>
      <c r="K722" s="5">
        <f>243 / 86400</f>
        <v>2.8124999999999999E-3</v>
      </c>
      <c r="L722" s="5">
        <f>1239 / 86400</f>
        <v>1.4340277777777778E-2</v>
      </c>
    </row>
    <row r="723" spans="1:12" x14ac:dyDescent="0.25">
      <c r="A723" s="3">
        <v>45706.49219907407</v>
      </c>
      <c r="B723" t="s">
        <v>153</v>
      </c>
      <c r="C723" s="3">
        <v>45706.621516203704</v>
      </c>
      <c r="D723" t="s">
        <v>333</v>
      </c>
      <c r="E723" s="4">
        <v>49.978000000000002</v>
      </c>
      <c r="F723" s="4">
        <v>13647.918</v>
      </c>
      <c r="G723" s="4">
        <v>13697.896000000001</v>
      </c>
      <c r="H723" s="5">
        <f>4399 / 86400</f>
        <v>5.091435185185185E-2</v>
      </c>
      <c r="I723" t="s">
        <v>56</v>
      </c>
      <c r="J723" t="s">
        <v>28</v>
      </c>
      <c r="K723" s="5">
        <f>11172 / 86400</f>
        <v>0.12930555555555556</v>
      </c>
      <c r="L723" s="5">
        <f>333 / 86400</f>
        <v>3.8541666666666668E-3</v>
      </c>
    </row>
    <row r="724" spans="1:12" x14ac:dyDescent="0.25">
      <c r="A724" s="3">
        <v>45706.62537037037</v>
      </c>
      <c r="B724" t="s">
        <v>333</v>
      </c>
      <c r="C724" s="3">
        <v>45706.678726851853</v>
      </c>
      <c r="D724" t="s">
        <v>388</v>
      </c>
      <c r="E724" s="4">
        <v>11.709</v>
      </c>
      <c r="F724" s="4">
        <v>13697.896000000001</v>
      </c>
      <c r="G724" s="4">
        <v>13709.605</v>
      </c>
      <c r="H724" s="5">
        <f>2639 / 86400</f>
        <v>3.0543981481481481E-2</v>
      </c>
      <c r="I724" t="s">
        <v>174</v>
      </c>
      <c r="J724" t="s">
        <v>171</v>
      </c>
      <c r="K724" s="5">
        <f>4610 / 86400</f>
        <v>5.3356481481481484E-2</v>
      </c>
      <c r="L724" s="5">
        <f>23 / 86400</f>
        <v>2.6620370370370372E-4</v>
      </c>
    </row>
    <row r="725" spans="1:12" x14ac:dyDescent="0.25">
      <c r="A725" s="3">
        <v>45706.678993055553</v>
      </c>
      <c r="B725" t="s">
        <v>388</v>
      </c>
      <c r="C725" s="3">
        <v>45706.788993055554</v>
      </c>
      <c r="D725" t="s">
        <v>181</v>
      </c>
      <c r="E725" s="4">
        <v>32.854999999999997</v>
      </c>
      <c r="F725" s="4">
        <v>13709.605</v>
      </c>
      <c r="G725" s="4">
        <v>13742.46</v>
      </c>
      <c r="H725" s="5">
        <f>4491 / 86400</f>
        <v>5.1979166666666667E-2</v>
      </c>
      <c r="I725" t="s">
        <v>206</v>
      </c>
      <c r="J725" t="s">
        <v>25</v>
      </c>
      <c r="K725" s="5">
        <f>9504 / 86400</f>
        <v>0.11</v>
      </c>
      <c r="L725" s="5">
        <f>123 / 86400</f>
        <v>1.4236111111111112E-3</v>
      </c>
    </row>
    <row r="726" spans="1:12" x14ac:dyDescent="0.25">
      <c r="A726" s="3">
        <v>45706.79041666667</v>
      </c>
      <c r="B726" t="s">
        <v>83</v>
      </c>
      <c r="C726" s="3">
        <v>45706.790590277778</v>
      </c>
      <c r="D726" t="s">
        <v>83</v>
      </c>
      <c r="E726" s="4">
        <v>2E-3</v>
      </c>
      <c r="F726" s="4">
        <v>13742.46</v>
      </c>
      <c r="G726" s="4">
        <v>13742.462</v>
      </c>
      <c r="H726" s="5">
        <f>0 / 86400</f>
        <v>0</v>
      </c>
      <c r="I726" t="s">
        <v>32</v>
      </c>
      <c r="J726" t="s">
        <v>82</v>
      </c>
      <c r="K726" s="5">
        <f>15 / 86400</f>
        <v>1.7361111111111112E-4</v>
      </c>
      <c r="L726" s="5">
        <f>356 / 86400</f>
        <v>4.1203703703703706E-3</v>
      </c>
    </row>
    <row r="727" spans="1:12" x14ac:dyDescent="0.25">
      <c r="A727" s="3">
        <v>45706.794710648144</v>
      </c>
      <c r="B727" t="s">
        <v>83</v>
      </c>
      <c r="C727" s="3">
        <v>45706.800833333335</v>
      </c>
      <c r="D727" t="s">
        <v>26</v>
      </c>
      <c r="E727" s="4">
        <v>2.1280000000000001</v>
      </c>
      <c r="F727" s="4">
        <v>13742.462</v>
      </c>
      <c r="G727" s="4">
        <v>13744.59</v>
      </c>
      <c r="H727" s="5">
        <f>80 / 86400</f>
        <v>9.2592592592592596E-4</v>
      </c>
      <c r="I727" t="s">
        <v>107</v>
      </c>
      <c r="J727" t="s">
        <v>57</v>
      </c>
      <c r="K727" s="5">
        <f>529 / 86400</f>
        <v>6.122685185185185E-3</v>
      </c>
      <c r="L727" s="5">
        <f>94 / 86400</f>
        <v>1.0879629629629629E-3</v>
      </c>
    </row>
    <row r="728" spans="1:12" x14ac:dyDescent="0.25">
      <c r="A728" s="3">
        <v>45706.801921296297</v>
      </c>
      <c r="B728" t="s">
        <v>26</v>
      </c>
      <c r="C728" s="3">
        <v>45706.803865740745</v>
      </c>
      <c r="D728" t="s">
        <v>26</v>
      </c>
      <c r="E728" s="4">
        <v>2.9000000000000001E-2</v>
      </c>
      <c r="F728" s="4">
        <v>13744.59</v>
      </c>
      <c r="G728" s="4">
        <v>13744.619000000001</v>
      </c>
      <c r="H728" s="5">
        <f>119 / 86400</f>
        <v>1.3773148148148147E-3</v>
      </c>
      <c r="I728" t="s">
        <v>170</v>
      </c>
      <c r="J728" t="s">
        <v>163</v>
      </c>
      <c r="K728" s="5">
        <f>168 / 86400</f>
        <v>1.9444444444444444E-3</v>
      </c>
      <c r="L728" s="5">
        <f>16945 / 86400</f>
        <v>0.19612268518518519</v>
      </c>
    </row>
    <row r="729" spans="1:12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</row>
    <row r="730" spans="1:12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</row>
    <row r="731" spans="1:12" s="10" customFormat="1" ht="20.100000000000001" customHeight="1" x14ac:dyDescent="0.35">
      <c r="A731" s="15" t="s">
        <v>474</v>
      </c>
      <c r="B731" s="15"/>
      <c r="C731" s="15"/>
      <c r="D731" s="15"/>
      <c r="E731" s="15"/>
      <c r="F731" s="15"/>
      <c r="G731" s="15"/>
      <c r="H731" s="15"/>
      <c r="I731" s="15"/>
      <c r="J731" s="15"/>
    </row>
    <row r="732" spans="1:1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</row>
    <row r="733" spans="1:12" ht="30" x14ac:dyDescent="0.25">
      <c r="A733" s="2" t="s">
        <v>6</v>
      </c>
      <c r="B733" s="2" t="s">
        <v>7</v>
      </c>
      <c r="C733" s="2" t="s">
        <v>8</v>
      </c>
      <c r="D733" s="2" t="s">
        <v>9</v>
      </c>
      <c r="E733" s="2" t="s">
        <v>10</v>
      </c>
      <c r="F733" s="2" t="s">
        <v>11</v>
      </c>
      <c r="G733" s="2" t="s">
        <v>12</v>
      </c>
      <c r="H733" s="2" t="s">
        <v>13</v>
      </c>
      <c r="I733" s="2" t="s">
        <v>14</v>
      </c>
      <c r="J733" s="2" t="s">
        <v>15</v>
      </c>
      <c r="K733" s="2" t="s">
        <v>16</v>
      </c>
      <c r="L733" s="2" t="s">
        <v>17</v>
      </c>
    </row>
    <row r="734" spans="1:12" x14ac:dyDescent="0.25">
      <c r="A734" s="3">
        <v>45706.179178240738</v>
      </c>
      <c r="B734" t="s">
        <v>58</v>
      </c>
      <c r="C734" s="3">
        <v>45706.384085648147</v>
      </c>
      <c r="D734" t="s">
        <v>148</v>
      </c>
      <c r="E734" s="4">
        <v>86.292000000000002</v>
      </c>
      <c r="F734" s="4">
        <v>139153.427</v>
      </c>
      <c r="G734" s="4">
        <v>139239.71900000001</v>
      </c>
      <c r="H734" s="5">
        <f>5581 / 86400</f>
        <v>6.4594907407407406E-2</v>
      </c>
      <c r="I734" t="s">
        <v>59</v>
      </c>
      <c r="J734" t="s">
        <v>20</v>
      </c>
      <c r="K734" s="5">
        <f>17703 / 86400</f>
        <v>0.20489583333333333</v>
      </c>
      <c r="L734" s="5">
        <f>16607 / 86400</f>
        <v>0.19221064814814814</v>
      </c>
    </row>
    <row r="735" spans="1:12" x14ac:dyDescent="0.25">
      <c r="A735" s="3">
        <v>45706.397118055553</v>
      </c>
      <c r="B735" t="s">
        <v>148</v>
      </c>
      <c r="C735" s="3">
        <v>45706.397777777776</v>
      </c>
      <c r="D735" t="s">
        <v>153</v>
      </c>
      <c r="E735" s="4">
        <v>2.5000000000000001E-2</v>
      </c>
      <c r="F735" s="4">
        <v>139239.71900000001</v>
      </c>
      <c r="G735" s="4">
        <v>139239.74400000001</v>
      </c>
      <c r="H735" s="5">
        <f>39 / 86400</f>
        <v>4.5138888888888887E-4</v>
      </c>
      <c r="I735" t="s">
        <v>150</v>
      </c>
      <c r="J735" t="s">
        <v>111</v>
      </c>
      <c r="K735" s="5">
        <f>56 / 86400</f>
        <v>6.4814814814814813E-4</v>
      </c>
      <c r="L735" s="5">
        <f>537 / 86400</f>
        <v>6.2152777777777779E-3</v>
      </c>
    </row>
    <row r="736" spans="1:12" x14ac:dyDescent="0.25">
      <c r="A736" s="3">
        <v>45706.403993055559</v>
      </c>
      <c r="B736" t="s">
        <v>153</v>
      </c>
      <c r="C736" s="3">
        <v>45706.406817129631</v>
      </c>
      <c r="D736" t="s">
        <v>48</v>
      </c>
      <c r="E736" s="4">
        <v>0.748</v>
      </c>
      <c r="F736" s="4">
        <v>139239.74400000001</v>
      </c>
      <c r="G736" s="4">
        <v>139240.492</v>
      </c>
      <c r="H736" s="5">
        <f>20 / 86400</f>
        <v>2.3148148148148149E-4</v>
      </c>
      <c r="I736" t="s">
        <v>130</v>
      </c>
      <c r="J736" t="s">
        <v>93</v>
      </c>
      <c r="K736" s="5">
        <f>243 / 86400</f>
        <v>2.8124999999999999E-3</v>
      </c>
      <c r="L736" s="5">
        <f>4098 / 86400</f>
        <v>4.7430555555555552E-2</v>
      </c>
    </row>
    <row r="737" spans="1:12" x14ac:dyDescent="0.25">
      <c r="A737" s="3">
        <v>45706.454247685186</v>
      </c>
      <c r="B737" t="s">
        <v>48</v>
      </c>
      <c r="C737" s="3">
        <v>45706.713263888887</v>
      </c>
      <c r="D737" t="s">
        <v>137</v>
      </c>
      <c r="E737" s="4">
        <v>99.965999999999994</v>
      </c>
      <c r="F737" s="4">
        <v>139240.492</v>
      </c>
      <c r="G737" s="4">
        <v>139340.45800000001</v>
      </c>
      <c r="H737" s="5">
        <f>7558 / 86400</f>
        <v>8.7476851851851847E-2</v>
      </c>
      <c r="I737" t="s">
        <v>64</v>
      </c>
      <c r="J737" t="s">
        <v>28</v>
      </c>
      <c r="K737" s="5">
        <f>22379 / 86400</f>
        <v>0.25901620370370371</v>
      </c>
      <c r="L737" s="5">
        <f>151 / 86400</f>
        <v>1.7476851851851852E-3</v>
      </c>
    </row>
    <row r="738" spans="1:12" x14ac:dyDescent="0.25">
      <c r="A738" s="3">
        <v>45706.715011574073</v>
      </c>
      <c r="B738" t="s">
        <v>137</v>
      </c>
      <c r="C738" s="3">
        <v>45706.764386574076</v>
      </c>
      <c r="D738" t="s">
        <v>389</v>
      </c>
      <c r="E738" s="4">
        <v>20.988</v>
      </c>
      <c r="F738" s="4">
        <v>139340.45800000001</v>
      </c>
      <c r="G738" s="4">
        <v>139361.446</v>
      </c>
      <c r="H738" s="5">
        <f>1480 / 86400</f>
        <v>1.712962962962963E-2</v>
      </c>
      <c r="I738" t="s">
        <v>33</v>
      </c>
      <c r="J738" t="s">
        <v>20</v>
      </c>
      <c r="K738" s="5">
        <f>4266 / 86400</f>
        <v>4.9375000000000002E-2</v>
      </c>
      <c r="L738" s="5">
        <f>262 / 86400</f>
        <v>3.0324074074074073E-3</v>
      </c>
    </row>
    <row r="739" spans="1:12" x14ac:dyDescent="0.25">
      <c r="A739" s="3">
        <v>45706.767418981486</v>
      </c>
      <c r="B739" t="s">
        <v>389</v>
      </c>
      <c r="C739" s="3">
        <v>45706.784097222218</v>
      </c>
      <c r="D739" t="s">
        <v>58</v>
      </c>
      <c r="E739" s="4">
        <v>2.5099999999999998</v>
      </c>
      <c r="F739" s="4">
        <v>139361.446</v>
      </c>
      <c r="G739" s="4">
        <v>139363.95600000001</v>
      </c>
      <c r="H739" s="5">
        <f>859 / 86400</f>
        <v>9.9421296296296289E-3</v>
      </c>
      <c r="I739" t="s">
        <v>71</v>
      </c>
      <c r="J739" t="s">
        <v>32</v>
      </c>
      <c r="K739" s="5">
        <f>1441 / 86400</f>
        <v>1.667824074074074E-2</v>
      </c>
      <c r="L739" s="5">
        <f>18653 / 86400</f>
        <v>0.21589120370370371</v>
      </c>
    </row>
    <row r="740" spans="1:1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</row>
    <row r="741" spans="1:1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</row>
    <row r="742" spans="1:12" s="10" customFormat="1" ht="20.100000000000001" customHeight="1" x14ac:dyDescent="0.35">
      <c r="A742" s="15" t="s">
        <v>475</v>
      </c>
      <c r="B742" s="15"/>
      <c r="C742" s="15"/>
      <c r="D742" s="15"/>
      <c r="E742" s="15"/>
      <c r="F742" s="15"/>
      <c r="G742" s="15"/>
      <c r="H742" s="15"/>
      <c r="I742" s="15"/>
      <c r="J742" s="15"/>
    </row>
    <row r="743" spans="1:12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</row>
    <row r="744" spans="1:12" ht="30" x14ac:dyDescent="0.25">
      <c r="A744" s="2" t="s">
        <v>6</v>
      </c>
      <c r="B744" s="2" t="s">
        <v>7</v>
      </c>
      <c r="C744" s="2" t="s">
        <v>8</v>
      </c>
      <c r="D744" s="2" t="s">
        <v>9</v>
      </c>
      <c r="E744" s="2" t="s">
        <v>10</v>
      </c>
      <c r="F744" s="2" t="s">
        <v>11</v>
      </c>
      <c r="G744" s="2" t="s">
        <v>12</v>
      </c>
      <c r="H744" s="2" t="s">
        <v>13</v>
      </c>
      <c r="I744" s="2" t="s">
        <v>14</v>
      </c>
      <c r="J744" s="2" t="s">
        <v>15</v>
      </c>
      <c r="K744" s="2" t="s">
        <v>16</v>
      </c>
      <c r="L744" s="2" t="s">
        <v>17</v>
      </c>
    </row>
    <row r="745" spans="1:12" x14ac:dyDescent="0.25">
      <c r="A745" s="3">
        <v>45706.229571759264</v>
      </c>
      <c r="B745" t="s">
        <v>26</v>
      </c>
      <c r="C745" s="3">
        <v>45706.233252314814</v>
      </c>
      <c r="D745" t="s">
        <v>26</v>
      </c>
      <c r="E745" s="4">
        <v>0</v>
      </c>
      <c r="F745" s="4">
        <v>6141.5320000000002</v>
      </c>
      <c r="G745" s="4">
        <v>6141.5320000000002</v>
      </c>
      <c r="H745" s="5">
        <f>299 / 86400</f>
        <v>3.460648148148148E-3</v>
      </c>
      <c r="I745" t="s">
        <v>82</v>
      </c>
      <c r="J745" t="s">
        <v>82</v>
      </c>
      <c r="K745" s="5">
        <f>317 / 86400</f>
        <v>3.6689814814814814E-3</v>
      </c>
      <c r="L745" s="5">
        <f>23481 / 86400</f>
        <v>0.27177083333333335</v>
      </c>
    </row>
    <row r="746" spans="1:12" x14ac:dyDescent="0.25">
      <c r="A746" s="3">
        <v>45706.275451388894</v>
      </c>
      <c r="B746" t="s">
        <v>26</v>
      </c>
      <c r="C746" s="3">
        <v>45706.40121527778</v>
      </c>
      <c r="D746" t="s">
        <v>390</v>
      </c>
      <c r="E746" s="4">
        <v>30.131</v>
      </c>
      <c r="F746" s="4">
        <v>6141.5320000000002</v>
      </c>
      <c r="G746" s="4">
        <v>6171.6629999999996</v>
      </c>
      <c r="H746" s="5">
        <f>5860 / 86400</f>
        <v>6.7824074074074078E-2</v>
      </c>
      <c r="I746" t="s">
        <v>71</v>
      </c>
      <c r="J746" t="s">
        <v>159</v>
      </c>
      <c r="K746" s="5">
        <f>10865 / 86400</f>
        <v>0.1257523148148148</v>
      </c>
      <c r="L746" s="5">
        <f>107 / 86400</f>
        <v>1.238425925925926E-3</v>
      </c>
    </row>
    <row r="747" spans="1:12" x14ac:dyDescent="0.25">
      <c r="A747" s="3">
        <v>45706.402453703704</v>
      </c>
      <c r="B747" t="s">
        <v>390</v>
      </c>
      <c r="C747" s="3">
        <v>45706.530428240745</v>
      </c>
      <c r="D747" t="s">
        <v>137</v>
      </c>
      <c r="E747" s="4">
        <v>50.725999999999999</v>
      </c>
      <c r="F747" s="4">
        <v>6171.6629999999996</v>
      </c>
      <c r="G747" s="4">
        <v>6222.3890000000001</v>
      </c>
      <c r="H747" s="5">
        <f>4341 / 86400</f>
        <v>5.0243055555555555E-2</v>
      </c>
      <c r="I747" t="s">
        <v>60</v>
      </c>
      <c r="J747" t="s">
        <v>62</v>
      </c>
      <c r="K747" s="5">
        <f>11057 / 86400</f>
        <v>0.12797453703703704</v>
      </c>
      <c r="L747" s="5">
        <f>331 / 86400</f>
        <v>3.8310185185185183E-3</v>
      </c>
    </row>
    <row r="748" spans="1:12" x14ac:dyDescent="0.25">
      <c r="A748" s="3">
        <v>45706.534259259264</v>
      </c>
      <c r="B748" t="s">
        <v>137</v>
      </c>
      <c r="C748" s="3">
        <v>45706.540578703702</v>
      </c>
      <c r="D748" t="s">
        <v>148</v>
      </c>
      <c r="E748" s="4">
        <v>1.39</v>
      </c>
      <c r="F748" s="4">
        <v>6222.3890000000001</v>
      </c>
      <c r="G748" s="4">
        <v>6223.7790000000005</v>
      </c>
      <c r="H748" s="5">
        <f>160 / 86400</f>
        <v>1.8518518518518519E-3</v>
      </c>
      <c r="I748" t="s">
        <v>151</v>
      </c>
      <c r="J748" t="s">
        <v>171</v>
      </c>
      <c r="K748" s="5">
        <f>546 / 86400</f>
        <v>6.3194444444444444E-3</v>
      </c>
      <c r="L748" s="5">
        <f>942 / 86400</f>
        <v>1.0902777777777779E-2</v>
      </c>
    </row>
    <row r="749" spans="1:12" x14ac:dyDescent="0.25">
      <c r="A749" s="3">
        <v>45706.551481481481</v>
      </c>
      <c r="B749" t="s">
        <v>153</v>
      </c>
      <c r="C749" s="3">
        <v>45706.55431712963</v>
      </c>
      <c r="D749" t="s">
        <v>387</v>
      </c>
      <c r="E749" s="4">
        <v>0.64100000000000001</v>
      </c>
      <c r="F749" s="4">
        <v>6223.7790000000005</v>
      </c>
      <c r="G749" s="4">
        <v>6224.42</v>
      </c>
      <c r="H749" s="5">
        <f>60 / 86400</f>
        <v>6.9444444444444447E-4</v>
      </c>
      <c r="I749" t="s">
        <v>62</v>
      </c>
      <c r="J749" t="s">
        <v>171</v>
      </c>
      <c r="K749" s="5">
        <f>245 / 86400</f>
        <v>2.8356481481481483E-3</v>
      </c>
      <c r="L749" s="5">
        <f>4139 / 86400</f>
        <v>4.7905092592592589E-2</v>
      </c>
    </row>
    <row r="750" spans="1:12" x14ac:dyDescent="0.25">
      <c r="A750" s="3">
        <v>45706.602222222224</v>
      </c>
      <c r="B750" t="s">
        <v>387</v>
      </c>
      <c r="C750" s="3">
        <v>45706.925428240742</v>
      </c>
      <c r="D750" t="s">
        <v>91</v>
      </c>
      <c r="E750" s="4">
        <v>89.367999999999995</v>
      </c>
      <c r="F750" s="4">
        <v>6224.42</v>
      </c>
      <c r="G750" s="4">
        <v>6313.7879999999996</v>
      </c>
      <c r="H750" s="5">
        <f>15377 / 86400</f>
        <v>0.17797453703703703</v>
      </c>
      <c r="I750" t="s">
        <v>67</v>
      </c>
      <c r="J750" t="s">
        <v>25</v>
      </c>
      <c r="K750" s="5">
        <f>27925 / 86400</f>
        <v>0.32320601851851855</v>
      </c>
      <c r="L750" s="5">
        <f>532 / 86400</f>
        <v>6.1574074074074074E-3</v>
      </c>
    </row>
    <row r="751" spans="1:12" x14ac:dyDescent="0.25">
      <c r="A751" s="3">
        <v>45706.931585648148</v>
      </c>
      <c r="B751" t="s">
        <v>91</v>
      </c>
      <c r="C751" s="3">
        <v>45706.935648148152</v>
      </c>
      <c r="D751" t="s">
        <v>26</v>
      </c>
      <c r="E751" s="4">
        <v>0.40600000000000003</v>
      </c>
      <c r="F751" s="4">
        <v>6313.7879999999996</v>
      </c>
      <c r="G751" s="4">
        <v>6314.1940000000004</v>
      </c>
      <c r="H751" s="5">
        <f>200 / 86400</f>
        <v>2.3148148148148147E-3</v>
      </c>
      <c r="I751" t="s">
        <v>28</v>
      </c>
      <c r="J751" t="s">
        <v>127</v>
      </c>
      <c r="K751" s="5">
        <f>350 / 86400</f>
        <v>4.0509259259259257E-3</v>
      </c>
      <c r="L751" s="5">
        <f>5559 / 86400</f>
        <v>6.4340277777777774E-2</v>
      </c>
    </row>
    <row r="752" spans="1:1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 spans="1:1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</row>
    <row r="754" spans="1:12" s="10" customFormat="1" ht="20.100000000000001" customHeight="1" x14ac:dyDescent="0.35">
      <c r="A754" s="15" t="s">
        <v>476</v>
      </c>
      <c r="B754" s="15"/>
      <c r="C754" s="15"/>
      <c r="D754" s="15"/>
      <c r="E754" s="15"/>
      <c r="F754" s="15"/>
      <c r="G754" s="15"/>
      <c r="H754" s="15"/>
      <c r="I754" s="15"/>
      <c r="J754" s="15"/>
    </row>
    <row r="755" spans="1:1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</row>
    <row r="756" spans="1:12" ht="30" x14ac:dyDescent="0.25">
      <c r="A756" s="2" t="s">
        <v>6</v>
      </c>
      <c r="B756" s="2" t="s">
        <v>7</v>
      </c>
      <c r="C756" s="2" t="s">
        <v>8</v>
      </c>
      <c r="D756" s="2" t="s">
        <v>9</v>
      </c>
      <c r="E756" s="2" t="s">
        <v>10</v>
      </c>
      <c r="F756" s="2" t="s">
        <v>11</v>
      </c>
      <c r="G756" s="2" t="s">
        <v>12</v>
      </c>
      <c r="H756" s="2" t="s">
        <v>13</v>
      </c>
      <c r="I756" s="2" t="s">
        <v>14</v>
      </c>
      <c r="J756" s="2" t="s">
        <v>15</v>
      </c>
      <c r="K756" s="2" t="s">
        <v>16</v>
      </c>
      <c r="L756" s="2" t="s">
        <v>17</v>
      </c>
    </row>
    <row r="757" spans="1:12" x14ac:dyDescent="0.25">
      <c r="A757" s="3">
        <v>45706.215949074074</v>
      </c>
      <c r="B757" t="s">
        <v>36</v>
      </c>
      <c r="C757" s="3">
        <v>45706.318715277783</v>
      </c>
      <c r="D757" t="s">
        <v>365</v>
      </c>
      <c r="E757" s="4">
        <v>30.841000000000001</v>
      </c>
      <c r="F757" s="4">
        <v>387753.66899999999</v>
      </c>
      <c r="G757" s="4">
        <v>387784.51</v>
      </c>
      <c r="H757" s="5">
        <f>4038 / 86400</f>
        <v>4.673611111111111E-2</v>
      </c>
      <c r="I757" t="s">
        <v>61</v>
      </c>
      <c r="J757" t="s">
        <v>44</v>
      </c>
      <c r="K757" s="5">
        <f>8879 / 86400</f>
        <v>0.10276620370370371</v>
      </c>
      <c r="L757" s="5">
        <f>18740 / 86400</f>
        <v>0.21689814814814815</v>
      </c>
    </row>
    <row r="758" spans="1:12" x14ac:dyDescent="0.25">
      <c r="A758" s="3">
        <v>45706.319664351853</v>
      </c>
      <c r="B758" t="s">
        <v>365</v>
      </c>
      <c r="C758" s="3">
        <v>45706.448344907403</v>
      </c>
      <c r="D758" t="s">
        <v>122</v>
      </c>
      <c r="E758" s="4">
        <v>50.652000000000001</v>
      </c>
      <c r="F758" s="4">
        <v>387784.51</v>
      </c>
      <c r="G758" s="4">
        <v>387835.16200000001</v>
      </c>
      <c r="H758" s="5">
        <f>3259 / 86400</f>
        <v>3.771990740740741E-2</v>
      </c>
      <c r="I758" t="s">
        <v>41</v>
      </c>
      <c r="J758" t="s">
        <v>28</v>
      </c>
      <c r="K758" s="5">
        <f>11118 / 86400</f>
        <v>0.12868055555555555</v>
      </c>
      <c r="L758" s="5">
        <f>2425 / 86400</f>
        <v>2.8067129629629629E-2</v>
      </c>
    </row>
    <row r="759" spans="1:12" x14ac:dyDescent="0.25">
      <c r="A759" s="3">
        <v>45706.476412037038</v>
      </c>
      <c r="B759" t="s">
        <v>122</v>
      </c>
      <c r="C759" s="3">
        <v>45706.479814814811</v>
      </c>
      <c r="D759" t="s">
        <v>153</v>
      </c>
      <c r="E759" s="4">
        <v>1.1160000000000001</v>
      </c>
      <c r="F759" s="4">
        <v>387835.16200000001</v>
      </c>
      <c r="G759" s="4">
        <v>387836.27799999999</v>
      </c>
      <c r="H759" s="5">
        <f>20 / 86400</f>
        <v>2.3148148148148149E-4</v>
      </c>
      <c r="I759" t="s">
        <v>158</v>
      </c>
      <c r="J759" t="s">
        <v>57</v>
      </c>
      <c r="K759" s="5">
        <f>294 / 86400</f>
        <v>3.4027777777777776E-3</v>
      </c>
      <c r="L759" s="5">
        <f>224 / 86400</f>
        <v>2.5925925925925925E-3</v>
      </c>
    </row>
    <row r="760" spans="1:12" x14ac:dyDescent="0.25">
      <c r="A760" s="3">
        <v>45706.482407407406</v>
      </c>
      <c r="B760" t="s">
        <v>153</v>
      </c>
      <c r="C760" s="3">
        <v>45706.483391203699</v>
      </c>
      <c r="D760" t="s">
        <v>148</v>
      </c>
      <c r="E760" s="4">
        <v>0.104</v>
      </c>
      <c r="F760" s="4">
        <v>387836.27799999999</v>
      </c>
      <c r="G760" s="4">
        <v>387836.38199999998</v>
      </c>
      <c r="H760" s="5">
        <f>20 / 86400</f>
        <v>2.3148148148148149E-4</v>
      </c>
      <c r="I760" t="s">
        <v>159</v>
      </c>
      <c r="J760" t="s">
        <v>127</v>
      </c>
      <c r="K760" s="5">
        <f>85 / 86400</f>
        <v>9.837962962962962E-4</v>
      </c>
      <c r="L760" s="5">
        <f>897 / 86400</f>
        <v>1.0381944444444444E-2</v>
      </c>
    </row>
    <row r="761" spans="1:12" x14ac:dyDescent="0.25">
      <c r="A761" s="3">
        <v>45706.493773148148</v>
      </c>
      <c r="B761" t="s">
        <v>148</v>
      </c>
      <c r="C761" s="3">
        <v>45706.595416666663</v>
      </c>
      <c r="D761" t="s">
        <v>149</v>
      </c>
      <c r="E761" s="4">
        <v>48.844000000000001</v>
      </c>
      <c r="F761" s="4">
        <v>387836.38199999998</v>
      </c>
      <c r="G761" s="4">
        <v>387885.22600000002</v>
      </c>
      <c r="H761" s="5">
        <f>2534 / 86400</f>
        <v>2.9328703703703704E-2</v>
      </c>
      <c r="I761" t="s">
        <v>167</v>
      </c>
      <c r="J761" t="s">
        <v>35</v>
      </c>
      <c r="K761" s="5">
        <f>8781 / 86400</f>
        <v>0.10163194444444444</v>
      </c>
      <c r="L761" s="5">
        <f>377 / 86400</f>
        <v>4.363425925925926E-3</v>
      </c>
    </row>
    <row r="762" spans="1:12" x14ac:dyDescent="0.25">
      <c r="A762" s="3">
        <v>45706.599780092598</v>
      </c>
      <c r="B762" t="s">
        <v>149</v>
      </c>
      <c r="C762" s="3">
        <v>45706.601840277777</v>
      </c>
      <c r="D762" t="s">
        <v>387</v>
      </c>
      <c r="E762" s="4">
        <v>0.55300000000000005</v>
      </c>
      <c r="F762" s="4">
        <v>387885.22600000002</v>
      </c>
      <c r="G762" s="4">
        <v>387885.77899999998</v>
      </c>
      <c r="H762" s="5">
        <f>39 / 86400</f>
        <v>4.5138888888888887E-4</v>
      </c>
      <c r="I762" t="s">
        <v>158</v>
      </c>
      <c r="J762" t="s">
        <v>93</v>
      </c>
      <c r="K762" s="5">
        <f>178 / 86400</f>
        <v>2.0601851851851853E-3</v>
      </c>
      <c r="L762" s="5">
        <f>199 / 86400</f>
        <v>2.3032407407407407E-3</v>
      </c>
    </row>
    <row r="763" spans="1:12" x14ac:dyDescent="0.25">
      <c r="A763" s="3">
        <v>45706.604143518518</v>
      </c>
      <c r="B763" t="s">
        <v>387</v>
      </c>
      <c r="C763" s="3">
        <v>45706.674398148149</v>
      </c>
      <c r="D763" t="s">
        <v>218</v>
      </c>
      <c r="E763" s="4">
        <v>34.997</v>
      </c>
      <c r="F763" s="4">
        <v>387885.77899999998</v>
      </c>
      <c r="G763" s="4">
        <v>387920.77600000001</v>
      </c>
      <c r="H763" s="5">
        <f>1618 / 86400</f>
        <v>1.8726851851851852E-2</v>
      </c>
      <c r="I763" t="s">
        <v>67</v>
      </c>
      <c r="J763" t="s">
        <v>136</v>
      </c>
      <c r="K763" s="5">
        <f>6069 / 86400</f>
        <v>7.0243055555555559E-2</v>
      </c>
      <c r="L763" s="5">
        <f>968 / 86400</f>
        <v>1.1203703703703704E-2</v>
      </c>
    </row>
    <row r="764" spans="1:12" x14ac:dyDescent="0.25">
      <c r="A764" s="3">
        <v>45706.685601851852</v>
      </c>
      <c r="B764" t="s">
        <v>218</v>
      </c>
      <c r="C764" s="3">
        <v>45706.686192129629</v>
      </c>
      <c r="D764" t="s">
        <v>216</v>
      </c>
      <c r="E764" s="4">
        <v>0.09</v>
      </c>
      <c r="F764" s="4">
        <v>387920.77600000001</v>
      </c>
      <c r="G764" s="4">
        <v>387920.86599999998</v>
      </c>
      <c r="H764" s="5">
        <f>19 / 86400</f>
        <v>2.199074074074074E-4</v>
      </c>
      <c r="I764" t="s">
        <v>38</v>
      </c>
      <c r="J764" t="s">
        <v>32</v>
      </c>
      <c r="K764" s="5">
        <f>50 / 86400</f>
        <v>5.7870370370370367E-4</v>
      </c>
      <c r="L764" s="5">
        <f>171 / 86400</f>
        <v>1.9791666666666668E-3</v>
      </c>
    </row>
    <row r="765" spans="1:12" x14ac:dyDescent="0.25">
      <c r="A765" s="3">
        <v>45706.688171296293</v>
      </c>
      <c r="B765" t="s">
        <v>216</v>
      </c>
      <c r="C765" s="3">
        <v>45706.688576388886</v>
      </c>
      <c r="D765" t="s">
        <v>216</v>
      </c>
      <c r="E765" s="4">
        <v>0</v>
      </c>
      <c r="F765" s="4">
        <v>387920.86599999998</v>
      </c>
      <c r="G765" s="4">
        <v>387920.86599999998</v>
      </c>
      <c r="H765" s="5">
        <f>19 / 86400</f>
        <v>2.199074074074074E-4</v>
      </c>
      <c r="I765" t="s">
        <v>82</v>
      </c>
      <c r="J765" t="s">
        <v>82</v>
      </c>
      <c r="K765" s="5">
        <f>34 / 86400</f>
        <v>3.9351851851851852E-4</v>
      </c>
      <c r="L765" s="5">
        <f>402 / 86400</f>
        <v>4.6527777777777774E-3</v>
      </c>
    </row>
    <row r="766" spans="1:12" x14ac:dyDescent="0.25">
      <c r="A766" s="3">
        <v>45706.693229166667</v>
      </c>
      <c r="B766" t="s">
        <v>216</v>
      </c>
      <c r="C766" s="3">
        <v>45706.747604166667</v>
      </c>
      <c r="D766" t="s">
        <v>36</v>
      </c>
      <c r="E766" s="4">
        <v>25.670999999999999</v>
      </c>
      <c r="F766" s="4">
        <v>387920.86599999998</v>
      </c>
      <c r="G766" s="4">
        <v>387946.53700000001</v>
      </c>
      <c r="H766" s="5">
        <f>1319 / 86400</f>
        <v>1.5266203703703704E-2</v>
      </c>
      <c r="I766" t="s">
        <v>206</v>
      </c>
      <c r="J766" t="s">
        <v>35</v>
      </c>
      <c r="K766" s="5">
        <f>4697 / 86400</f>
        <v>5.4363425925925926E-2</v>
      </c>
      <c r="L766" s="5">
        <f>578 / 86400</f>
        <v>6.6898148148148151E-3</v>
      </c>
    </row>
    <row r="767" spans="1:12" x14ac:dyDescent="0.25">
      <c r="A767" s="3">
        <v>45706.754293981481</v>
      </c>
      <c r="B767" t="s">
        <v>36</v>
      </c>
      <c r="C767" s="3">
        <v>45706.757476851853</v>
      </c>
      <c r="D767" t="s">
        <v>36</v>
      </c>
      <c r="E767" s="4">
        <v>1.3879999999999999</v>
      </c>
      <c r="F767" s="4">
        <v>387946.53700000001</v>
      </c>
      <c r="G767" s="4">
        <v>387947.92499999999</v>
      </c>
      <c r="H767" s="5">
        <f>20 / 86400</f>
        <v>2.3148148148148149E-4</v>
      </c>
      <c r="I767" t="s">
        <v>208</v>
      </c>
      <c r="J767" t="s">
        <v>20</v>
      </c>
      <c r="K767" s="5">
        <f>275 / 86400</f>
        <v>3.1828703703703702E-3</v>
      </c>
      <c r="L767" s="5">
        <f>20953 / 86400</f>
        <v>0.24251157407407409</v>
      </c>
    </row>
    <row r="768" spans="1:12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</row>
    <row r="769" spans="1:12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</row>
    <row r="770" spans="1:12" s="10" customFormat="1" ht="20.100000000000001" customHeight="1" x14ac:dyDescent="0.35">
      <c r="A770" s="15" t="s">
        <v>477</v>
      </c>
      <c r="B770" s="15"/>
      <c r="C770" s="15"/>
      <c r="D770" s="15"/>
      <c r="E770" s="15"/>
      <c r="F770" s="15"/>
      <c r="G770" s="15"/>
      <c r="H770" s="15"/>
      <c r="I770" s="15"/>
      <c r="J770" s="15"/>
    </row>
    <row r="771" spans="1:12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</row>
    <row r="772" spans="1:12" ht="30" x14ac:dyDescent="0.25">
      <c r="A772" s="2" t="s">
        <v>6</v>
      </c>
      <c r="B772" s="2" t="s">
        <v>7</v>
      </c>
      <c r="C772" s="2" t="s">
        <v>8</v>
      </c>
      <c r="D772" s="2" t="s">
        <v>9</v>
      </c>
      <c r="E772" s="2" t="s">
        <v>10</v>
      </c>
      <c r="F772" s="2" t="s">
        <v>11</v>
      </c>
      <c r="G772" s="2" t="s">
        <v>12</v>
      </c>
      <c r="H772" s="2" t="s">
        <v>13</v>
      </c>
      <c r="I772" s="2" t="s">
        <v>14</v>
      </c>
      <c r="J772" s="2" t="s">
        <v>15</v>
      </c>
      <c r="K772" s="2" t="s">
        <v>16</v>
      </c>
      <c r="L772" s="2" t="s">
        <v>17</v>
      </c>
    </row>
    <row r="773" spans="1:12" x14ac:dyDescent="0.25">
      <c r="A773" s="3">
        <v>45706.146550925929</v>
      </c>
      <c r="B773" t="s">
        <v>63</v>
      </c>
      <c r="C773" s="3">
        <v>45706.149328703701</v>
      </c>
      <c r="D773" t="s">
        <v>391</v>
      </c>
      <c r="E773" s="4">
        <v>0.373</v>
      </c>
      <c r="F773" s="4">
        <v>524277.62</v>
      </c>
      <c r="G773" s="4">
        <v>524277.99300000002</v>
      </c>
      <c r="H773" s="5">
        <f>139 / 86400</f>
        <v>1.6087962962962963E-3</v>
      </c>
      <c r="I773" t="s">
        <v>38</v>
      </c>
      <c r="J773" t="s">
        <v>32</v>
      </c>
      <c r="K773" s="5">
        <f>239 / 86400</f>
        <v>2.7662037037037039E-3</v>
      </c>
      <c r="L773" s="5">
        <f>12682 / 86400</f>
        <v>0.14678240740740742</v>
      </c>
    </row>
    <row r="774" spans="1:12" x14ac:dyDescent="0.25">
      <c r="A774" s="3">
        <v>45706.149560185186</v>
      </c>
      <c r="B774" t="s">
        <v>392</v>
      </c>
      <c r="C774" s="3">
        <v>45706.300636574073</v>
      </c>
      <c r="D774" t="s">
        <v>148</v>
      </c>
      <c r="E774" s="4">
        <v>80.010000000000005</v>
      </c>
      <c r="F774" s="4">
        <v>524277.99300000002</v>
      </c>
      <c r="G774" s="4">
        <v>524358.00300000003</v>
      </c>
      <c r="H774" s="5">
        <f>3020 / 86400</f>
        <v>3.4953703703703702E-2</v>
      </c>
      <c r="I774" t="s">
        <v>64</v>
      </c>
      <c r="J774" t="s">
        <v>130</v>
      </c>
      <c r="K774" s="5">
        <f>13053 / 86400</f>
        <v>0.15107638888888889</v>
      </c>
      <c r="L774" s="5">
        <f>1813 / 86400</f>
        <v>2.0983796296296296E-2</v>
      </c>
    </row>
    <row r="775" spans="1:12" x14ac:dyDescent="0.25">
      <c r="A775" s="3">
        <v>45706.321620370371</v>
      </c>
      <c r="B775" t="s">
        <v>148</v>
      </c>
      <c r="C775" s="3">
        <v>45706.594722222224</v>
      </c>
      <c r="D775" t="s">
        <v>137</v>
      </c>
      <c r="E775" s="4">
        <v>101.026</v>
      </c>
      <c r="F775" s="4">
        <v>524358.00300000003</v>
      </c>
      <c r="G775" s="4">
        <v>524459.02899999998</v>
      </c>
      <c r="H775" s="5">
        <f>8600 / 86400</f>
        <v>9.9537037037037035E-2</v>
      </c>
      <c r="I775" t="s">
        <v>56</v>
      </c>
      <c r="J775" t="s">
        <v>38</v>
      </c>
      <c r="K775" s="5">
        <f>23596 / 86400</f>
        <v>0.27310185185185187</v>
      </c>
      <c r="L775" s="5">
        <f>2257 / 86400</f>
        <v>2.6122685185185186E-2</v>
      </c>
    </row>
    <row r="776" spans="1:12" x14ac:dyDescent="0.25">
      <c r="A776" s="3">
        <v>45706.620844907404</v>
      </c>
      <c r="B776" t="s">
        <v>137</v>
      </c>
      <c r="C776" s="3">
        <v>45706.668854166666</v>
      </c>
      <c r="D776" t="s">
        <v>91</v>
      </c>
      <c r="E776" s="4">
        <v>25.810000000059606</v>
      </c>
      <c r="F776" s="4">
        <v>524459.02899999998</v>
      </c>
      <c r="G776" s="4">
        <v>524484.83900000004</v>
      </c>
      <c r="H776" s="5">
        <f>959 / 86400</f>
        <v>1.1099537037037036E-2</v>
      </c>
      <c r="I776" t="s">
        <v>60</v>
      </c>
      <c r="J776" t="s">
        <v>130</v>
      </c>
      <c r="K776" s="5">
        <f>4147 / 86400</f>
        <v>4.7997685185185185E-2</v>
      </c>
      <c r="L776" s="5">
        <f>223 / 86400</f>
        <v>2.5810185185185185E-3</v>
      </c>
    </row>
    <row r="777" spans="1:12" x14ac:dyDescent="0.25">
      <c r="A777" s="3">
        <v>45706.671435185184</v>
      </c>
      <c r="B777" t="s">
        <v>91</v>
      </c>
      <c r="C777" s="3">
        <v>45706.675104166672</v>
      </c>
      <c r="D777" t="s">
        <v>393</v>
      </c>
      <c r="E777" s="4">
        <v>1.569</v>
      </c>
      <c r="F777" s="4">
        <v>524484.83900000004</v>
      </c>
      <c r="G777" s="4">
        <v>524486.40800000005</v>
      </c>
      <c r="H777" s="5">
        <f>20 / 86400</f>
        <v>2.3148148148148149E-4</v>
      </c>
      <c r="I777" t="s">
        <v>107</v>
      </c>
      <c r="J777" t="s">
        <v>20</v>
      </c>
      <c r="K777" s="5">
        <f>317 / 86400</f>
        <v>3.6689814814814814E-3</v>
      </c>
      <c r="L777" s="5">
        <f>3542 / 86400</f>
        <v>4.099537037037037E-2</v>
      </c>
    </row>
    <row r="778" spans="1:12" x14ac:dyDescent="0.25">
      <c r="A778" s="3">
        <v>45706.716099537036</v>
      </c>
      <c r="B778" t="s">
        <v>393</v>
      </c>
      <c r="C778" s="3">
        <v>45706.719236111108</v>
      </c>
      <c r="D778" t="s">
        <v>63</v>
      </c>
      <c r="E778" s="4">
        <v>0.41699999988079073</v>
      </c>
      <c r="F778" s="4">
        <v>524486.40800000005</v>
      </c>
      <c r="G778" s="4">
        <v>524486.82499999995</v>
      </c>
      <c r="H778" s="5">
        <f>119 / 86400</f>
        <v>1.3773148148148147E-3</v>
      </c>
      <c r="I778" t="s">
        <v>35</v>
      </c>
      <c r="J778" t="s">
        <v>32</v>
      </c>
      <c r="K778" s="5">
        <f>271 / 86400</f>
        <v>3.1365740740740742E-3</v>
      </c>
      <c r="L778" s="5">
        <f>24257 / 86400</f>
        <v>0.28075231481481483</v>
      </c>
    </row>
    <row r="779" spans="1:12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</row>
    <row r="780" spans="1:12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</row>
    <row r="781" spans="1:12" s="10" customFormat="1" ht="20.100000000000001" customHeight="1" x14ac:dyDescent="0.35">
      <c r="A781" s="15" t="s">
        <v>478</v>
      </c>
      <c r="B781" s="15"/>
      <c r="C781" s="15"/>
      <c r="D781" s="15"/>
      <c r="E781" s="15"/>
      <c r="F781" s="15"/>
      <c r="G781" s="15"/>
      <c r="H781" s="15"/>
      <c r="I781" s="15"/>
      <c r="J781" s="15"/>
    </row>
    <row r="782" spans="1:12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</row>
    <row r="783" spans="1:12" ht="30" x14ac:dyDescent="0.25">
      <c r="A783" s="2" t="s">
        <v>6</v>
      </c>
      <c r="B783" s="2" t="s">
        <v>7</v>
      </c>
      <c r="C783" s="2" t="s">
        <v>8</v>
      </c>
      <c r="D783" s="2" t="s">
        <v>9</v>
      </c>
      <c r="E783" s="2" t="s">
        <v>10</v>
      </c>
      <c r="F783" s="2" t="s">
        <v>11</v>
      </c>
      <c r="G783" s="2" t="s">
        <v>12</v>
      </c>
      <c r="H783" s="2" t="s">
        <v>13</v>
      </c>
      <c r="I783" s="2" t="s">
        <v>14</v>
      </c>
      <c r="J783" s="2" t="s">
        <v>15</v>
      </c>
      <c r="K783" s="2" t="s">
        <v>16</v>
      </c>
      <c r="L783" s="2" t="s">
        <v>17</v>
      </c>
    </row>
    <row r="784" spans="1:12" x14ac:dyDescent="0.25">
      <c r="A784" s="3">
        <v>45706</v>
      </c>
      <c r="B784" t="s">
        <v>65</v>
      </c>
      <c r="C784" s="3">
        <v>45706.05740740741</v>
      </c>
      <c r="D784" t="s">
        <v>394</v>
      </c>
      <c r="E784" s="4">
        <v>23.251000000000001</v>
      </c>
      <c r="F784" s="4">
        <v>412582.42099999997</v>
      </c>
      <c r="G784" s="4">
        <v>412605.67200000002</v>
      </c>
      <c r="H784" s="5">
        <f>1380 / 86400</f>
        <v>1.5972222222222221E-2</v>
      </c>
      <c r="I784" t="s">
        <v>188</v>
      </c>
      <c r="J784" t="s">
        <v>62</v>
      </c>
      <c r="K784" s="5">
        <f>4960 / 86400</f>
        <v>5.7407407407407407E-2</v>
      </c>
      <c r="L784" s="5">
        <f>2755 / 86400</f>
        <v>3.1886574074074074E-2</v>
      </c>
    </row>
    <row r="785" spans="1:12" x14ac:dyDescent="0.25">
      <c r="A785" s="3">
        <v>45706.08929398148</v>
      </c>
      <c r="B785" t="s">
        <v>394</v>
      </c>
      <c r="C785" s="3">
        <v>45706.093495370369</v>
      </c>
      <c r="D785" t="s">
        <v>395</v>
      </c>
      <c r="E785" s="4">
        <v>1.5720000000000001</v>
      </c>
      <c r="F785" s="4">
        <v>412605.67200000002</v>
      </c>
      <c r="G785" s="4">
        <v>412607.24400000001</v>
      </c>
      <c r="H785" s="5">
        <f>20 / 86400</f>
        <v>2.3148148148148149E-4</v>
      </c>
      <c r="I785" t="s">
        <v>143</v>
      </c>
      <c r="J785" t="s">
        <v>28</v>
      </c>
      <c r="K785" s="5">
        <f>362 / 86400</f>
        <v>4.1898148148148146E-3</v>
      </c>
      <c r="L785" s="5">
        <f>16828 / 86400</f>
        <v>0.19476851851851851</v>
      </c>
    </row>
    <row r="786" spans="1:12" x14ac:dyDescent="0.25">
      <c r="A786" s="3">
        <v>45706.288263888884</v>
      </c>
      <c r="B786" t="s">
        <v>395</v>
      </c>
      <c r="C786" s="3">
        <v>45706.290972222225</v>
      </c>
      <c r="D786" t="s">
        <v>396</v>
      </c>
      <c r="E786" s="4">
        <v>0.21299999999999999</v>
      </c>
      <c r="F786" s="4">
        <v>412607.24400000001</v>
      </c>
      <c r="G786" s="4">
        <v>412607.45699999999</v>
      </c>
      <c r="H786" s="5">
        <f>139 / 86400</f>
        <v>1.6087962962962963E-3</v>
      </c>
      <c r="I786" t="s">
        <v>171</v>
      </c>
      <c r="J786" t="s">
        <v>170</v>
      </c>
      <c r="K786" s="5">
        <f>233 / 86400</f>
        <v>2.6967592592592594E-3</v>
      </c>
      <c r="L786" s="5">
        <f>9648 / 86400</f>
        <v>0.11166666666666666</v>
      </c>
    </row>
    <row r="787" spans="1:12" x14ac:dyDescent="0.25">
      <c r="A787" s="3">
        <v>45706.402638888889</v>
      </c>
      <c r="B787" t="s">
        <v>396</v>
      </c>
      <c r="C787" s="3">
        <v>45706.402812500004</v>
      </c>
      <c r="D787" t="s">
        <v>397</v>
      </c>
      <c r="E787" s="4">
        <v>0</v>
      </c>
      <c r="F787" s="4">
        <v>412607.45699999999</v>
      </c>
      <c r="G787" s="4">
        <v>412607.45699999999</v>
      </c>
      <c r="H787" s="5">
        <f>0 / 86400</f>
        <v>0</v>
      </c>
      <c r="I787" t="s">
        <v>82</v>
      </c>
      <c r="J787" t="s">
        <v>82</v>
      </c>
      <c r="K787" s="5">
        <f>14 / 86400</f>
        <v>1.6203703703703703E-4</v>
      </c>
      <c r="L787" s="5">
        <f>14 / 86400</f>
        <v>1.6203703703703703E-4</v>
      </c>
    </row>
    <row r="788" spans="1:12" x14ac:dyDescent="0.25">
      <c r="A788" s="3">
        <v>45706.402974537035</v>
      </c>
      <c r="B788" t="s">
        <v>397</v>
      </c>
      <c r="C788" s="3">
        <v>45706.402997685189</v>
      </c>
      <c r="D788" t="s">
        <v>397</v>
      </c>
      <c r="E788" s="4">
        <v>0</v>
      </c>
      <c r="F788" s="4">
        <v>412607.45699999999</v>
      </c>
      <c r="G788" s="4">
        <v>412607.45699999999</v>
      </c>
      <c r="H788" s="5">
        <f>0 / 86400</f>
        <v>0</v>
      </c>
      <c r="I788" t="s">
        <v>82</v>
      </c>
      <c r="J788" t="s">
        <v>82</v>
      </c>
      <c r="K788" s="5">
        <f>1 / 86400</f>
        <v>1.1574074074074073E-5</v>
      </c>
      <c r="L788" s="5">
        <f>2 / 86400</f>
        <v>2.3148148148148147E-5</v>
      </c>
    </row>
    <row r="789" spans="1:12" x14ac:dyDescent="0.25">
      <c r="A789" s="3">
        <v>45706.403020833328</v>
      </c>
      <c r="B789" t="s">
        <v>397</v>
      </c>
      <c r="C789" s="3">
        <v>45706.550902777773</v>
      </c>
      <c r="D789" t="s">
        <v>137</v>
      </c>
      <c r="E789" s="4">
        <v>50.38</v>
      </c>
      <c r="F789" s="4">
        <v>412607.45699999999</v>
      </c>
      <c r="G789" s="4">
        <v>412657.837</v>
      </c>
      <c r="H789" s="5">
        <f>4136 / 86400</f>
        <v>4.7870370370370369E-2</v>
      </c>
      <c r="I789" t="s">
        <v>145</v>
      </c>
      <c r="J789" t="s">
        <v>57</v>
      </c>
      <c r="K789" s="5">
        <f>12777 / 86400</f>
        <v>0.14788194444444444</v>
      </c>
      <c r="L789" s="5">
        <f>378 / 86400</f>
        <v>4.3750000000000004E-3</v>
      </c>
    </row>
    <row r="790" spans="1:12" x14ac:dyDescent="0.25">
      <c r="A790" s="3">
        <v>45706.555277777778</v>
      </c>
      <c r="B790" t="s">
        <v>137</v>
      </c>
      <c r="C790" s="3">
        <v>45706.556111111116</v>
      </c>
      <c r="D790" t="s">
        <v>137</v>
      </c>
      <c r="E790" s="4">
        <v>2.3E-2</v>
      </c>
      <c r="F790" s="4">
        <v>412657.837</v>
      </c>
      <c r="G790" s="4">
        <v>412657.86</v>
      </c>
      <c r="H790" s="5">
        <f>20 / 86400</f>
        <v>2.3148148148148149E-4</v>
      </c>
      <c r="I790" t="s">
        <v>32</v>
      </c>
      <c r="J790" t="s">
        <v>163</v>
      </c>
      <c r="K790" s="5">
        <f>72 / 86400</f>
        <v>8.3333333333333339E-4</v>
      </c>
      <c r="L790" s="5">
        <f>1386 / 86400</f>
        <v>1.6041666666666666E-2</v>
      </c>
    </row>
    <row r="791" spans="1:12" x14ac:dyDescent="0.25">
      <c r="A791" s="3">
        <v>45706.572152777779</v>
      </c>
      <c r="B791" t="s">
        <v>137</v>
      </c>
      <c r="C791" s="3">
        <v>45706.572905092587</v>
      </c>
      <c r="D791" t="s">
        <v>137</v>
      </c>
      <c r="E791" s="4">
        <v>0</v>
      </c>
      <c r="F791" s="4">
        <v>412657.86</v>
      </c>
      <c r="G791" s="4">
        <v>412657.86</v>
      </c>
      <c r="H791" s="5">
        <f>59 / 86400</f>
        <v>6.8287037037037036E-4</v>
      </c>
      <c r="I791" t="s">
        <v>82</v>
      </c>
      <c r="J791" t="s">
        <v>82</v>
      </c>
      <c r="K791" s="5">
        <f>65 / 86400</f>
        <v>7.5231481481481482E-4</v>
      </c>
      <c r="L791" s="5">
        <f>106 / 86400</f>
        <v>1.2268518518518518E-3</v>
      </c>
    </row>
    <row r="792" spans="1:12" x14ac:dyDescent="0.25">
      <c r="A792" s="3">
        <v>45706.57413194445</v>
      </c>
      <c r="B792" t="s">
        <v>137</v>
      </c>
      <c r="C792" s="3">
        <v>45706.581770833334</v>
      </c>
      <c r="D792" t="s">
        <v>398</v>
      </c>
      <c r="E792" s="4">
        <v>1.9670000000000001</v>
      </c>
      <c r="F792" s="4">
        <v>412657.86</v>
      </c>
      <c r="G792" s="4">
        <v>412659.82699999999</v>
      </c>
      <c r="H792" s="5">
        <f>99 / 86400</f>
        <v>1.1458333333333333E-3</v>
      </c>
      <c r="I792" t="s">
        <v>143</v>
      </c>
      <c r="J792" t="s">
        <v>93</v>
      </c>
      <c r="K792" s="5">
        <f>660 / 86400</f>
        <v>7.6388888888888886E-3</v>
      </c>
      <c r="L792" s="5">
        <f>105 / 86400</f>
        <v>1.2152777777777778E-3</v>
      </c>
    </row>
    <row r="793" spans="1:12" x14ac:dyDescent="0.25">
      <c r="A793" s="3">
        <v>45706.582986111112</v>
      </c>
      <c r="B793" t="s">
        <v>398</v>
      </c>
      <c r="C793" s="3">
        <v>45706.583449074074</v>
      </c>
      <c r="D793" t="s">
        <v>399</v>
      </c>
      <c r="E793" s="4">
        <v>8.4000000000000005E-2</v>
      </c>
      <c r="F793" s="4">
        <v>412659.82699999999</v>
      </c>
      <c r="G793" s="4">
        <v>412659.91100000002</v>
      </c>
      <c r="H793" s="5">
        <f>0 / 86400</f>
        <v>0</v>
      </c>
      <c r="I793" t="s">
        <v>93</v>
      </c>
      <c r="J793" t="s">
        <v>147</v>
      </c>
      <c r="K793" s="5">
        <f>39 / 86400</f>
        <v>4.5138888888888887E-4</v>
      </c>
      <c r="L793" s="5">
        <f>141 / 86400</f>
        <v>1.6319444444444445E-3</v>
      </c>
    </row>
    <row r="794" spans="1:12" x14ac:dyDescent="0.25">
      <c r="A794" s="3">
        <v>45706.585081018522</v>
      </c>
      <c r="B794" t="s">
        <v>399</v>
      </c>
      <c r="C794" s="3">
        <v>45706.587673611109</v>
      </c>
      <c r="D794" t="s">
        <v>399</v>
      </c>
      <c r="E794" s="4">
        <v>0.24099999999999999</v>
      </c>
      <c r="F794" s="4">
        <v>412659.91100000002</v>
      </c>
      <c r="G794" s="4">
        <v>412660.152</v>
      </c>
      <c r="H794" s="5">
        <f>80 / 86400</f>
        <v>9.2592592592592596E-4</v>
      </c>
      <c r="I794" t="s">
        <v>57</v>
      </c>
      <c r="J794" t="s">
        <v>127</v>
      </c>
      <c r="K794" s="5">
        <f>223 / 86400</f>
        <v>2.5810185185185185E-3</v>
      </c>
      <c r="L794" s="5">
        <f>8822 / 86400</f>
        <v>0.10210648148148148</v>
      </c>
    </row>
    <row r="795" spans="1:12" x14ac:dyDescent="0.25">
      <c r="A795" s="3">
        <v>45706.689780092594</v>
      </c>
      <c r="B795" t="s">
        <v>399</v>
      </c>
      <c r="C795" s="3">
        <v>45706.697291666671</v>
      </c>
      <c r="D795" t="s">
        <v>149</v>
      </c>
      <c r="E795" s="4">
        <v>2.0190000000000001</v>
      </c>
      <c r="F795" s="4">
        <v>412660.152</v>
      </c>
      <c r="G795" s="4">
        <v>412662.17099999997</v>
      </c>
      <c r="H795" s="5">
        <f>139 / 86400</f>
        <v>1.6087962962962963E-3</v>
      </c>
      <c r="I795" t="s">
        <v>143</v>
      </c>
      <c r="J795" t="s">
        <v>93</v>
      </c>
      <c r="K795" s="5">
        <f>648 / 86400</f>
        <v>7.4999999999999997E-3</v>
      </c>
      <c r="L795" s="5">
        <f>384 / 86400</f>
        <v>4.4444444444444444E-3</v>
      </c>
    </row>
    <row r="796" spans="1:12" x14ac:dyDescent="0.25">
      <c r="A796" s="3">
        <v>45706.701736111107</v>
      </c>
      <c r="B796" t="s">
        <v>149</v>
      </c>
      <c r="C796" s="3">
        <v>45706.704699074078</v>
      </c>
      <c r="D796" t="s">
        <v>386</v>
      </c>
      <c r="E796" s="4">
        <v>0.53100000000000003</v>
      </c>
      <c r="F796" s="4">
        <v>412662.17099999997</v>
      </c>
      <c r="G796" s="4">
        <v>412662.70199999999</v>
      </c>
      <c r="H796" s="5">
        <f>107 / 86400</f>
        <v>1.238425925925926E-3</v>
      </c>
      <c r="I796" t="s">
        <v>295</v>
      </c>
      <c r="J796" t="s">
        <v>150</v>
      </c>
      <c r="K796" s="5">
        <f>256 / 86400</f>
        <v>2.9629629629629628E-3</v>
      </c>
      <c r="L796" s="5">
        <f>320 / 86400</f>
        <v>3.7037037037037038E-3</v>
      </c>
    </row>
    <row r="797" spans="1:12" x14ac:dyDescent="0.25">
      <c r="A797" s="3">
        <v>45706.708402777775</v>
      </c>
      <c r="B797" t="s">
        <v>386</v>
      </c>
      <c r="C797" s="3">
        <v>45706.974409722221</v>
      </c>
      <c r="D797" t="s">
        <v>120</v>
      </c>
      <c r="E797" s="4">
        <v>99.381</v>
      </c>
      <c r="F797" s="4">
        <v>412662.70199999999</v>
      </c>
      <c r="G797" s="4">
        <v>412762.08299999998</v>
      </c>
      <c r="H797" s="5">
        <f>7698 / 86400</f>
        <v>8.9097222222222217E-2</v>
      </c>
      <c r="I797" t="s">
        <v>67</v>
      </c>
      <c r="J797" t="s">
        <v>28</v>
      </c>
      <c r="K797" s="5">
        <f>22982 / 86400</f>
        <v>0.26599537037037035</v>
      </c>
      <c r="L797" s="5">
        <f>2047 / 86400</f>
        <v>2.3692129629629629E-2</v>
      </c>
    </row>
    <row r="798" spans="1:12" x14ac:dyDescent="0.25">
      <c r="A798" s="3">
        <v>45706.998101851852</v>
      </c>
      <c r="B798" t="s">
        <v>120</v>
      </c>
      <c r="C798" s="3">
        <v>45706.99998842593</v>
      </c>
      <c r="D798" t="s">
        <v>66</v>
      </c>
      <c r="E798" s="4">
        <v>0.18</v>
      </c>
      <c r="F798" s="4">
        <v>412762.08299999998</v>
      </c>
      <c r="G798" s="4">
        <v>412762.26299999998</v>
      </c>
      <c r="H798" s="5">
        <f>99 / 86400</f>
        <v>1.1458333333333333E-3</v>
      </c>
      <c r="I798" t="s">
        <v>62</v>
      </c>
      <c r="J798" t="s">
        <v>127</v>
      </c>
      <c r="K798" s="5">
        <f>163 / 86400</f>
        <v>1.8865740740740742E-3</v>
      </c>
      <c r="L798" s="5">
        <f>0 / 86400</f>
        <v>0</v>
      </c>
    </row>
    <row r="799" spans="1:12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</row>
    <row r="800" spans="1:12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</row>
    <row r="801" spans="1:12" s="10" customFormat="1" ht="20.100000000000001" customHeight="1" x14ac:dyDescent="0.35">
      <c r="A801" s="15" t="s">
        <v>479</v>
      </c>
      <c r="B801" s="15"/>
      <c r="C801" s="15"/>
      <c r="D801" s="15"/>
      <c r="E801" s="15"/>
      <c r="F801" s="15"/>
      <c r="G801" s="15"/>
      <c r="H801" s="15"/>
      <c r="I801" s="15"/>
      <c r="J801" s="15"/>
    </row>
    <row r="802" spans="1:12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</row>
    <row r="803" spans="1:12" ht="30" x14ac:dyDescent="0.25">
      <c r="A803" s="2" t="s">
        <v>6</v>
      </c>
      <c r="B803" s="2" t="s">
        <v>7</v>
      </c>
      <c r="C803" s="2" t="s">
        <v>8</v>
      </c>
      <c r="D803" s="2" t="s">
        <v>9</v>
      </c>
      <c r="E803" s="2" t="s">
        <v>10</v>
      </c>
      <c r="F803" s="2" t="s">
        <v>11</v>
      </c>
      <c r="G803" s="2" t="s">
        <v>12</v>
      </c>
      <c r="H803" s="2" t="s">
        <v>13</v>
      </c>
      <c r="I803" s="2" t="s">
        <v>14</v>
      </c>
      <c r="J803" s="2" t="s">
        <v>15</v>
      </c>
      <c r="K803" s="2" t="s">
        <v>16</v>
      </c>
      <c r="L803" s="2" t="s">
        <v>17</v>
      </c>
    </row>
    <row r="804" spans="1:12" x14ac:dyDescent="0.25">
      <c r="A804" s="3">
        <v>45706.232187500005</v>
      </c>
      <c r="B804" t="s">
        <v>68</v>
      </c>
      <c r="C804" s="3">
        <v>45706.23228009259</v>
      </c>
      <c r="D804" t="s">
        <v>68</v>
      </c>
      <c r="E804" s="4">
        <v>0</v>
      </c>
      <c r="F804" s="4">
        <v>403528.64199999999</v>
      </c>
      <c r="G804" s="4">
        <v>403528.64199999999</v>
      </c>
      <c r="H804" s="5">
        <f>0 / 86400</f>
        <v>0</v>
      </c>
      <c r="I804" t="s">
        <v>82</v>
      </c>
      <c r="J804" t="s">
        <v>82</v>
      </c>
      <c r="K804" s="5">
        <f>7 / 86400</f>
        <v>8.1018518518518516E-5</v>
      </c>
      <c r="L804" s="5">
        <f>20121 / 86400</f>
        <v>0.23288194444444443</v>
      </c>
    </row>
    <row r="805" spans="1:12" x14ac:dyDescent="0.25">
      <c r="A805" s="3">
        <v>45706.232974537037</v>
      </c>
      <c r="B805" t="s">
        <v>68</v>
      </c>
      <c r="C805" s="3">
        <v>45706.36074074074</v>
      </c>
      <c r="D805" t="s">
        <v>154</v>
      </c>
      <c r="E805" s="4">
        <v>51.18</v>
      </c>
      <c r="F805" s="4">
        <v>403528.64199999999</v>
      </c>
      <c r="G805" s="4">
        <v>403579.82199999999</v>
      </c>
      <c r="H805" s="5">
        <f>3838 / 86400</f>
        <v>4.4421296296296299E-2</v>
      </c>
      <c r="I805" t="s">
        <v>33</v>
      </c>
      <c r="J805" t="s">
        <v>62</v>
      </c>
      <c r="K805" s="5">
        <f>11039 / 86400</f>
        <v>0.1277662037037037</v>
      </c>
      <c r="L805" s="5">
        <f>751 / 86400</f>
        <v>8.6921296296296295E-3</v>
      </c>
    </row>
    <row r="806" spans="1:12" x14ac:dyDescent="0.25">
      <c r="A806" s="3">
        <v>45706.369432870371</v>
      </c>
      <c r="B806" t="s">
        <v>154</v>
      </c>
      <c r="C806" s="3">
        <v>45706.509305555555</v>
      </c>
      <c r="D806" t="s">
        <v>153</v>
      </c>
      <c r="E806" s="4">
        <v>51.293999999999997</v>
      </c>
      <c r="F806" s="4">
        <v>403579.82199999999</v>
      </c>
      <c r="G806" s="4">
        <v>403631.11599999998</v>
      </c>
      <c r="H806" s="5">
        <f>4340 / 86400</f>
        <v>5.0231481481481481E-2</v>
      </c>
      <c r="I806" t="s">
        <v>60</v>
      </c>
      <c r="J806" t="s">
        <v>38</v>
      </c>
      <c r="K806" s="5">
        <f>12085 / 86400</f>
        <v>0.1398726851851852</v>
      </c>
      <c r="L806" s="5">
        <f>704 / 86400</f>
        <v>8.1481481481481474E-3</v>
      </c>
    </row>
    <row r="807" spans="1:12" x14ac:dyDescent="0.25">
      <c r="A807" s="3">
        <v>45706.517453703702</v>
      </c>
      <c r="B807" t="s">
        <v>153</v>
      </c>
      <c r="C807" s="3">
        <v>45706.51972222222</v>
      </c>
      <c r="D807" t="s">
        <v>48</v>
      </c>
      <c r="E807" s="4">
        <v>0.76600000000000001</v>
      </c>
      <c r="F807" s="4">
        <v>403631.11599999998</v>
      </c>
      <c r="G807" s="4">
        <v>403631.88199999998</v>
      </c>
      <c r="H807" s="5">
        <f>19 / 86400</f>
        <v>2.199074074074074E-4</v>
      </c>
      <c r="I807" t="s">
        <v>158</v>
      </c>
      <c r="J807" t="s">
        <v>57</v>
      </c>
      <c r="K807" s="5">
        <f>196 / 86400</f>
        <v>2.2685185185185187E-3</v>
      </c>
      <c r="L807" s="5">
        <f>1509 / 86400</f>
        <v>1.7465277777777777E-2</v>
      </c>
    </row>
    <row r="808" spans="1:12" x14ac:dyDescent="0.25">
      <c r="A808" s="3">
        <v>45706.537187499998</v>
      </c>
      <c r="B808" t="s">
        <v>48</v>
      </c>
      <c r="C808" s="3">
        <v>45706.642025462963</v>
      </c>
      <c r="D808" t="s">
        <v>239</v>
      </c>
      <c r="E808" s="4">
        <v>47.485999999999997</v>
      </c>
      <c r="F808" s="4">
        <v>403631.88199999998</v>
      </c>
      <c r="G808" s="4">
        <v>403679.36800000002</v>
      </c>
      <c r="H808" s="5">
        <f>2760 / 86400</f>
        <v>3.1944444444444442E-2</v>
      </c>
      <c r="I808" t="s">
        <v>19</v>
      </c>
      <c r="J808" t="s">
        <v>79</v>
      </c>
      <c r="K808" s="5">
        <f>9057 / 86400</f>
        <v>0.10482638888888889</v>
      </c>
      <c r="L808" s="5">
        <f>175 / 86400</f>
        <v>2.0254629629629629E-3</v>
      </c>
    </row>
    <row r="809" spans="1:12" x14ac:dyDescent="0.25">
      <c r="A809" s="3">
        <v>45706.644050925926</v>
      </c>
      <c r="B809" t="s">
        <v>239</v>
      </c>
      <c r="C809" s="3">
        <v>45706.753750000003</v>
      </c>
      <c r="D809" t="s">
        <v>120</v>
      </c>
      <c r="E809" s="4">
        <v>47.618000000000002</v>
      </c>
      <c r="F809" s="4">
        <v>403679.36800000002</v>
      </c>
      <c r="G809" s="4">
        <v>403726.98599999998</v>
      </c>
      <c r="H809" s="5">
        <f>2722 / 86400</f>
        <v>3.1504629629629632E-2</v>
      </c>
      <c r="I809" t="s">
        <v>132</v>
      </c>
      <c r="J809" t="s">
        <v>20</v>
      </c>
      <c r="K809" s="5">
        <f>9477 / 86400</f>
        <v>0.10968749999999999</v>
      </c>
      <c r="L809" s="5">
        <f>94 / 86400</f>
        <v>1.0879629629629629E-3</v>
      </c>
    </row>
    <row r="810" spans="1:12" x14ac:dyDescent="0.25">
      <c r="A810" s="3">
        <v>45706.754837962959</v>
      </c>
      <c r="B810" t="s">
        <v>120</v>
      </c>
      <c r="C810" s="3">
        <v>45706.754895833335</v>
      </c>
      <c r="D810" t="s">
        <v>120</v>
      </c>
      <c r="E810" s="4">
        <v>0</v>
      </c>
      <c r="F810" s="4">
        <v>403726.98599999998</v>
      </c>
      <c r="G810" s="4">
        <v>403726.98599999998</v>
      </c>
      <c r="H810" s="5">
        <f>0 / 86400</f>
        <v>0</v>
      </c>
      <c r="I810" t="s">
        <v>82</v>
      </c>
      <c r="J810" t="s">
        <v>82</v>
      </c>
      <c r="K810" s="5">
        <f>4 / 86400</f>
        <v>4.6296296296296294E-5</v>
      </c>
      <c r="L810" s="5">
        <f>406 / 86400</f>
        <v>4.6990740740740743E-3</v>
      </c>
    </row>
    <row r="811" spans="1:12" x14ac:dyDescent="0.25">
      <c r="A811" s="3">
        <v>45706.759594907402</v>
      </c>
      <c r="B811" t="s">
        <v>137</v>
      </c>
      <c r="C811" s="3">
        <v>45706.760844907403</v>
      </c>
      <c r="D811" t="s">
        <v>137</v>
      </c>
      <c r="E811" s="4">
        <v>0.128</v>
      </c>
      <c r="F811" s="4">
        <v>403726.98599999998</v>
      </c>
      <c r="G811" s="4">
        <v>403727.114</v>
      </c>
      <c r="H811" s="5">
        <f>19 / 86400</f>
        <v>2.199074074074074E-4</v>
      </c>
      <c r="I811" t="s">
        <v>159</v>
      </c>
      <c r="J811" t="s">
        <v>127</v>
      </c>
      <c r="K811" s="5">
        <f>107 / 86400</f>
        <v>1.238425925925926E-3</v>
      </c>
      <c r="L811" s="5">
        <f>154 / 86400</f>
        <v>1.7824074074074075E-3</v>
      </c>
    </row>
    <row r="812" spans="1:12" x14ac:dyDescent="0.25">
      <c r="A812" s="3">
        <v>45706.76262731482</v>
      </c>
      <c r="B812" t="s">
        <v>137</v>
      </c>
      <c r="C812" s="3">
        <v>45706.764374999999</v>
      </c>
      <c r="D812" t="s">
        <v>400</v>
      </c>
      <c r="E812" s="4">
        <v>0.33100000000000002</v>
      </c>
      <c r="F812" s="4">
        <v>403727.114</v>
      </c>
      <c r="G812" s="4">
        <v>403727.44500000001</v>
      </c>
      <c r="H812" s="5">
        <f>20 / 86400</f>
        <v>2.3148148148148149E-4</v>
      </c>
      <c r="I812" t="s">
        <v>35</v>
      </c>
      <c r="J812" t="s">
        <v>147</v>
      </c>
      <c r="K812" s="5">
        <f>150 / 86400</f>
        <v>1.736111111111111E-3</v>
      </c>
      <c r="L812" s="5">
        <f>225 / 86400</f>
        <v>2.6041666666666665E-3</v>
      </c>
    </row>
    <row r="813" spans="1:12" x14ac:dyDescent="0.25">
      <c r="A813" s="3">
        <v>45706.76697916667</v>
      </c>
      <c r="B813" t="s">
        <v>400</v>
      </c>
      <c r="C813" s="3">
        <v>45706.770243055551</v>
      </c>
      <c r="D813" t="s">
        <v>68</v>
      </c>
      <c r="E813" s="4">
        <v>0.48299999999999998</v>
      </c>
      <c r="F813" s="4">
        <v>403727.44500000001</v>
      </c>
      <c r="G813" s="4">
        <v>403727.92800000001</v>
      </c>
      <c r="H813" s="5">
        <f>139 / 86400</f>
        <v>1.6087962962962963E-3</v>
      </c>
      <c r="I813" t="s">
        <v>130</v>
      </c>
      <c r="J813" t="s">
        <v>32</v>
      </c>
      <c r="K813" s="5">
        <f>282 / 86400</f>
        <v>3.2638888888888891E-3</v>
      </c>
      <c r="L813" s="5">
        <f>19850 / 86400</f>
        <v>0.22974537037037038</v>
      </c>
    </row>
    <row r="814" spans="1:12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</row>
    <row r="815" spans="1:12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</row>
    <row r="816" spans="1:12" s="10" customFormat="1" ht="20.100000000000001" customHeight="1" x14ac:dyDescent="0.35">
      <c r="A816" s="15" t="s">
        <v>480</v>
      </c>
      <c r="B816" s="15"/>
      <c r="C816" s="15"/>
      <c r="D816" s="15"/>
      <c r="E816" s="15"/>
      <c r="F816" s="15"/>
      <c r="G816" s="15"/>
      <c r="H816" s="15"/>
      <c r="I816" s="15"/>
      <c r="J816" s="15"/>
    </row>
    <row r="817" spans="1:12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</row>
    <row r="818" spans="1:12" ht="30" x14ac:dyDescent="0.25">
      <c r="A818" s="2" t="s">
        <v>6</v>
      </c>
      <c r="B818" s="2" t="s">
        <v>7</v>
      </c>
      <c r="C818" s="2" t="s">
        <v>8</v>
      </c>
      <c r="D818" s="2" t="s">
        <v>9</v>
      </c>
      <c r="E818" s="2" t="s">
        <v>10</v>
      </c>
      <c r="F818" s="2" t="s">
        <v>11</v>
      </c>
      <c r="G818" s="2" t="s">
        <v>12</v>
      </c>
      <c r="H818" s="2" t="s">
        <v>13</v>
      </c>
      <c r="I818" s="2" t="s">
        <v>14</v>
      </c>
      <c r="J818" s="2" t="s">
        <v>15</v>
      </c>
      <c r="K818" s="2" t="s">
        <v>16</v>
      </c>
      <c r="L818" s="2" t="s">
        <v>17</v>
      </c>
    </row>
    <row r="819" spans="1:12" x14ac:dyDescent="0.25">
      <c r="A819" s="3">
        <v>45706.266574074078</v>
      </c>
      <c r="B819" t="s">
        <v>69</v>
      </c>
      <c r="C819" s="3">
        <v>45706.267199074078</v>
      </c>
      <c r="D819" t="s">
        <v>69</v>
      </c>
      <c r="E819" s="4">
        <v>0</v>
      </c>
      <c r="F819" s="4">
        <v>407811.33899999998</v>
      </c>
      <c r="G819" s="4">
        <v>407811.33899999998</v>
      </c>
      <c r="H819" s="5">
        <f>39 / 86400</f>
        <v>4.5138888888888887E-4</v>
      </c>
      <c r="I819" t="s">
        <v>82</v>
      </c>
      <c r="J819" t="s">
        <v>82</v>
      </c>
      <c r="K819" s="5">
        <f>54 / 86400</f>
        <v>6.2500000000000001E-4</v>
      </c>
      <c r="L819" s="5">
        <f>24451 / 86400</f>
        <v>0.2829976851851852</v>
      </c>
    </row>
    <row r="820" spans="1:12" x14ac:dyDescent="0.25">
      <c r="A820" s="3">
        <v>45706.283622685187</v>
      </c>
      <c r="B820" t="s">
        <v>69</v>
      </c>
      <c r="C820" s="3">
        <v>45706.34306712963</v>
      </c>
      <c r="D820" t="s">
        <v>386</v>
      </c>
      <c r="E820" s="4">
        <v>34.430999999999997</v>
      </c>
      <c r="F820" s="4">
        <v>407811.33899999998</v>
      </c>
      <c r="G820" s="4">
        <v>407845.77</v>
      </c>
      <c r="H820" s="5">
        <f>839 / 86400</f>
        <v>9.7106481481481488E-3</v>
      </c>
      <c r="I820" t="s">
        <v>37</v>
      </c>
      <c r="J820" t="s">
        <v>151</v>
      </c>
      <c r="K820" s="5">
        <f>5136 / 86400</f>
        <v>5.9444444444444446E-2</v>
      </c>
      <c r="L820" s="5">
        <f>2031 / 86400</f>
        <v>2.3506944444444445E-2</v>
      </c>
    </row>
    <row r="821" spans="1:12" x14ac:dyDescent="0.25">
      <c r="A821" s="3">
        <v>45706.366574074069</v>
      </c>
      <c r="B821" t="s">
        <v>386</v>
      </c>
      <c r="C821" s="3">
        <v>45706.370532407411</v>
      </c>
      <c r="D821" t="s">
        <v>153</v>
      </c>
      <c r="E821" s="4">
        <v>1.0069999999999999</v>
      </c>
      <c r="F821" s="4">
        <v>407845.77</v>
      </c>
      <c r="G821" s="4">
        <v>407846.777</v>
      </c>
      <c r="H821" s="5">
        <f>20 / 86400</f>
        <v>2.3148148148148149E-4</v>
      </c>
      <c r="I821" t="s">
        <v>175</v>
      </c>
      <c r="J821" t="s">
        <v>93</v>
      </c>
      <c r="K821" s="5">
        <f>341 / 86400</f>
        <v>3.9467592592592592E-3</v>
      </c>
      <c r="L821" s="5">
        <f>1868 / 86400</f>
        <v>2.162037037037037E-2</v>
      </c>
    </row>
    <row r="822" spans="1:12" x14ac:dyDescent="0.25">
      <c r="A822" s="3">
        <v>45706.392152777778</v>
      </c>
      <c r="B822" t="s">
        <v>153</v>
      </c>
      <c r="C822" s="3">
        <v>45706.392372685186</v>
      </c>
      <c r="D822" t="s">
        <v>153</v>
      </c>
      <c r="E822" s="4">
        <v>1.4E-2</v>
      </c>
      <c r="F822" s="4">
        <v>407846.777</v>
      </c>
      <c r="G822" s="4">
        <v>407846.79100000003</v>
      </c>
      <c r="H822" s="5">
        <f>0 / 86400</f>
        <v>0</v>
      </c>
      <c r="I822" t="s">
        <v>32</v>
      </c>
      <c r="J822" t="s">
        <v>170</v>
      </c>
      <c r="K822" s="5">
        <f>19 / 86400</f>
        <v>2.199074074074074E-4</v>
      </c>
      <c r="L822" s="5">
        <f>380 / 86400</f>
        <v>4.3981481481481484E-3</v>
      </c>
    </row>
    <row r="823" spans="1:12" x14ac:dyDescent="0.25">
      <c r="A823" s="3">
        <v>45706.396770833337</v>
      </c>
      <c r="B823" t="s">
        <v>153</v>
      </c>
      <c r="C823" s="3">
        <v>45706.66337962963</v>
      </c>
      <c r="D823" t="s">
        <v>157</v>
      </c>
      <c r="E823" s="4">
        <v>100.893</v>
      </c>
      <c r="F823" s="4">
        <v>407846.79100000003</v>
      </c>
      <c r="G823" s="4">
        <v>407947.68400000001</v>
      </c>
      <c r="H823" s="5">
        <f>8522 / 86400</f>
        <v>9.8634259259259255E-2</v>
      </c>
      <c r="I823" t="s">
        <v>59</v>
      </c>
      <c r="J823" t="s">
        <v>28</v>
      </c>
      <c r="K823" s="5">
        <f>23034 / 86400</f>
        <v>0.26659722222222221</v>
      </c>
      <c r="L823" s="5">
        <f>184 / 86400</f>
        <v>2.1296296296296298E-3</v>
      </c>
    </row>
    <row r="824" spans="1:12" x14ac:dyDescent="0.25">
      <c r="A824" s="3">
        <v>45706.665509259255</v>
      </c>
      <c r="B824" t="s">
        <v>157</v>
      </c>
      <c r="C824" s="3">
        <v>45706.665636574078</v>
      </c>
      <c r="D824" t="s">
        <v>157</v>
      </c>
      <c r="E824" s="4">
        <v>0.01</v>
      </c>
      <c r="F824" s="4">
        <v>407947.68400000001</v>
      </c>
      <c r="G824" s="4">
        <v>407947.69400000002</v>
      </c>
      <c r="H824" s="5">
        <f>0 / 86400</f>
        <v>0</v>
      </c>
      <c r="I824" t="s">
        <v>82</v>
      </c>
      <c r="J824" t="s">
        <v>170</v>
      </c>
      <c r="K824" s="5">
        <f>11 / 86400</f>
        <v>1.273148148148148E-4</v>
      </c>
      <c r="L824" s="5">
        <f>227 / 86400</f>
        <v>2.627314814814815E-3</v>
      </c>
    </row>
    <row r="825" spans="1:12" x14ac:dyDescent="0.25">
      <c r="A825" s="3">
        <v>45706.668263888889</v>
      </c>
      <c r="B825" t="s">
        <v>157</v>
      </c>
      <c r="C825" s="3">
        <v>45706.740972222222</v>
      </c>
      <c r="D825" t="s">
        <v>69</v>
      </c>
      <c r="E825" s="4">
        <v>34.75</v>
      </c>
      <c r="F825" s="4">
        <v>407947.69400000002</v>
      </c>
      <c r="G825" s="4">
        <v>407982.44400000002</v>
      </c>
      <c r="H825" s="5">
        <f>2038 / 86400</f>
        <v>2.3587962962962963E-2</v>
      </c>
      <c r="I825" t="s">
        <v>110</v>
      </c>
      <c r="J825" t="s">
        <v>35</v>
      </c>
      <c r="K825" s="5">
        <f>6282 / 86400</f>
        <v>7.2708333333333333E-2</v>
      </c>
      <c r="L825" s="5">
        <f>3229 / 86400</f>
        <v>3.7372685185185182E-2</v>
      </c>
    </row>
    <row r="826" spans="1:12" x14ac:dyDescent="0.25">
      <c r="A826" s="3">
        <v>45706.778344907405</v>
      </c>
      <c r="B826" t="s">
        <v>69</v>
      </c>
      <c r="C826" s="3">
        <v>45706.782349537039</v>
      </c>
      <c r="D826" t="s">
        <v>69</v>
      </c>
      <c r="E826" s="4">
        <v>4.2999999999999997E-2</v>
      </c>
      <c r="F826" s="4">
        <v>407982.44400000002</v>
      </c>
      <c r="G826" s="4">
        <v>407982.48700000002</v>
      </c>
      <c r="H826" s="5">
        <f>299 / 86400</f>
        <v>3.460648148148148E-3</v>
      </c>
      <c r="I826" t="s">
        <v>170</v>
      </c>
      <c r="J826" t="s">
        <v>82</v>
      </c>
      <c r="K826" s="5">
        <f>345 / 86400</f>
        <v>3.9930555555555552E-3</v>
      </c>
      <c r="L826" s="5">
        <f>18804 / 86400</f>
        <v>0.21763888888888888</v>
      </c>
    </row>
    <row r="827" spans="1:12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</row>
    <row r="828" spans="1:12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</row>
    <row r="829" spans="1:12" s="10" customFormat="1" ht="20.100000000000001" customHeight="1" x14ac:dyDescent="0.35">
      <c r="A829" s="15" t="s">
        <v>481</v>
      </c>
      <c r="B829" s="15"/>
      <c r="C829" s="15"/>
      <c r="D829" s="15"/>
      <c r="E829" s="15"/>
      <c r="F829" s="15"/>
      <c r="G829" s="15"/>
      <c r="H829" s="15"/>
      <c r="I829" s="15"/>
      <c r="J829" s="15"/>
    </row>
    <row r="830" spans="1:1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</row>
    <row r="831" spans="1:12" ht="30" x14ac:dyDescent="0.25">
      <c r="A831" s="2" t="s">
        <v>6</v>
      </c>
      <c r="B831" s="2" t="s">
        <v>7</v>
      </c>
      <c r="C831" s="2" t="s">
        <v>8</v>
      </c>
      <c r="D831" s="2" t="s">
        <v>9</v>
      </c>
      <c r="E831" s="2" t="s">
        <v>10</v>
      </c>
      <c r="F831" s="2" t="s">
        <v>11</v>
      </c>
      <c r="G831" s="2" t="s">
        <v>12</v>
      </c>
      <c r="H831" s="2" t="s">
        <v>13</v>
      </c>
      <c r="I831" s="2" t="s">
        <v>14</v>
      </c>
      <c r="J831" s="2" t="s">
        <v>15</v>
      </c>
      <c r="K831" s="2" t="s">
        <v>16</v>
      </c>
      <c r="L831" s="2" t="s">
        <v>17</v>
      </c>
    </row>
    <row r="832" spans="1:12" x14ac:dyDescent="0.25">
      <c r="A832" s="3">
        <v>45706.298472222217</v>
      </c>
      <c r="B832" t="s">
        <v>70</v>
      </c>
      <c r="C832" s="3">
        <v>45706.392175925925</v>
      </c>
      <c r="D832" t="s">
        <v>137</v>
      </c>
      <c r="E832" s="4">
        <v>43.433999999999997</v>
      </c>
      <c r="F832" s="4">
        <v>348539.71799999999</v>
      </c>
      <c r="G832" s="4">
        <v>348583.152</v>
      </c>
      <c r="H832" s="5">
        <f>1799 / 86400</f>
        <v>2.0821759259259259E-2</v>
      </c>
      <c r="I832" t="s">
        <v>191</v>
      </c>
      <c r="J832" t="s">
        <v>79</v>
      </c>
      <c r="K832" s="5">
        <f>8095 / 86400</f>
        <v>9.3692129629629625E-2</v>
      </c>
      <c r="L832" s="5">
        <f>26110 / 86400</f>
        <v>0.30219907407407409</v>
      </c>
    </row>
    <row r="833" spans="1:12" x14ac:dyDescent="0.25">
      <c r="A833" s="3">
        <v>45706.395902777775</v>
      </c>
      <c r="B833" t="s">
        <v>137</v>
      </c>
      <c r="C833" s="3">
        <v>45706.404143518521</v>
      </c>
      <c r="D833" t="s">
        <v>153</v>
      </c>
      <c r="E833" s="4">
        <v>1.33</v>
      </c>
      <c r="F833" s="4">
        <v>348583.152</v>
      </c>
      <c r="G833" s="4">
        <v>348584.48200000002</v>
      </c>
      <c r="H833" s="5">
        <f>319 / 86400</f>
        <v>3.6921296296296298E-3</v>
      </c>
      <c r="I833" t="s">
        <v>295</v>
      </c>
      <c r="J833" t="s">
        <v>150</v>
      </c>
      <c r="K833" s="5">
        <f>712 / 86400</f>
        <v>8.2407407407407412E-3</v>
      </c>
      <c r="L833" s="5">
        <f>3837 / 86400</f>
        <v>4.4409722222222225E-2</v>
      </c>
    </row>
    <row r="834" spans="1:12" x14ac:dyDescent="0.25">
      <c r="A834" s="3">
        <v>45706.448553240742</v>
      </c>
      <c r="B834" t="s">
        <v>153</v>
      </c>
      <c r="C834" s="3">
        <v>45706.693287037036</v>
      </c>
      <c r="D834" t="s">
        <v>70</v>
      </c>
      <c r="E834" s="4">
        <v>73.319999999999993</v>
      </c>
      <c r="F834" s="4">
        <v>348584.48200000002</v>
      </c>
      <c r="G834" s="4">
        <v>348657.80200000003</v>
      </c>
      <c r="H834" s="5">
        <f>8778 / 86400</f>
        <v>0.10159722222222223</v>
      </c>
      <c r="I834" t="s">
        <v>71</v>
      </c>
      <c r="J834" t="s">
        <v>25</v>
      </c>
      <c r="K834" s="5">
        <f>21144 / 86400</f>
        <v>0.24472222222222223</v>
      </c>
      <c r="L834" s="5">
        <f>26499 / 86400</f>
        <v>0.30670138888888887</v>
      </c>
    </row>
    <row r="835" spans="1:12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</row>
    <row r="836" spans="1:12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</row>
    <row r="837" spans="1:12" s="10" customFormat="1" ht="20.100000000000001" customHeight="1" x14ac:dyDescent="0.35">
      <c r="A837" s="15" t="s">
        <v>482</v>
      </c>
      <c r="B837" s="15"/>
      <c r="C837" s="15"/>
      <c r="D837" s="15"/>
      <c r="E837" s="15"/>
      <c r="F837" s="15"/>
      <c r="G837" s="15"/>
      <c r="H837" s="15"/>
      <c r="I837" s="15"/>
      <c r="J837" s="15"/>
    </row>
    <row r="838" spans="1:12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</row>
    <row r="839" spans="1:12" ht="30" x14ac:dyDescent="0.25">
      <c r="A839" s="2" t="s">
        <v>6</v>
      </c>
      <c r="B839" s="2" t="s">
        <v>7</v>
      </c>
      <c r="C839" s="2" t="s">
        <v>8</v>
      </c>
      <c r="D839" s="2" t="s">
        <v>9</v>
      </c>
      <c r="E839" s="2" t="s">
        <v>10</v>
      </c>
      <c r="F839" s="2" t="s">
        <v>11</v>
      </c>
      <c r="G839" s="2" t="s">
        <v>12</v>
      </c>
      <c r="H839" s="2" t="s">
        <v>13</v>
      </c>
      <c r="I839" s="2" t="s">
        <v>14</v>
      </c>
      <c r="J839" s="2" t="s">
        <v>15</v>
      </c>
      <c r="K839" s="2" t="s">
        <v>16</v>
      </c>
      <c r="L839" s="2" t="s">
        <v>17</v>
      </c>
    </row>
    <row r="840" spans="1:12" x14ac:dyDescent="0.25">
      <c r="A840" s="3">
        <v>45706.112488425926</v>
      </c>
      <c r="B840" t="s">
        <v>72</v>
      </c>
      <c r="C840" s="3">
        <v>45706.198981481481</v>
      </c>
      <c r="D840" t="s">
        <v>337</v>
      </c>
      <c r="E840" s="4">
        <v>45.155999999999999</v>
      </c>
      <c r="F840" s="4">
        <v>41808.252</v>
      </c>
      <c r="G840" s="4">
        <v>41853.408000000003</v>
      </c>
      <c r="H840" s="5">
        <f>2159 / 86400</f>
        <v>2.4988425925925924E-2</v>
      </c>
      <c r="I840" t="s">
        <v>59</v>
      </c>
      <c r="J840" t="s">
        <v>130</v>
      </c>
      <c r="K840" s="5">
        <f>7472 / 86400</f>
        <v>8.6481481481481479E-2</v>
      </c>
      <c r="L840" s="5">
        <f>9948 / 86400</f>
        <v>0.11513888888888889</v>
      </c>
    </row>
    <row r="841" spans="1:12" x14ac:dyDescent="0.25">
      <c r="A841" s="3">
        <v>45706.201631944445</v>
      </c>
      <c r="B841" t="s">
        <v>401</v>
      </c>
      <c r="C841" s="3">
        <v>45706.306446759263</v>
      </c>
      <c r="D841" t="s">
        <v>153</v>
      </c>
      <c r="E841" s="4">
        <v>52.999000000000002</v>
      </c>
      <c r="F841" s="4">
        <v>41853.408000000003</v>
      </c>
      <c r="G841" s="4">
        <v>41906.406999999999</v>
      </c>
      <c r="H841" s="5">
        <f>2439 / 86400</f>
        <v>2.8229166666666666E-2</v>
      </c>
      <c r="I841" t="s">
        <v>116</v>
      </c>
      <c r="J841" t="s">
        <v>136</v>
      </c>
      <c r="K841" s="5">
        <f>9055 / 86400</f>
        <v>0.10480324074074074</v>
      </c>
      <c r="L841" s="5">
        <f>534 / 86400</f>
        <v>6.1805555555555555E-3</v>
      </c>
    </row>
    <row r="842" spans="1:12" x14ac:dyDescent="0.25">
      <c r="A842" s="3">
        <v>45706.312627314815</v>
      </c>
      <c r="B842" t="s">
        <v>153</v>
      </c>
      <c r="C842" s="3">
        <v>45706.316400462965</v>
      </c>
      <c r="D842" t="s">
        <v>122</v>
      </c>
      <c r="E842" s="4">
        <v>1.1220000000000001</v>
      </c>
      <c r="F842" s="4">
        <v>41906.406999999999</v>
      </c>
      <c r="G842" s="4">
        <v>41907.529000000002</v>
      </c>
      <c r="H842" s="5">
        <f>40 / 86400</f>
        <v>4.6296296296296298E-4</v>
      </c>
      <c r="I842" t="s">
        <v>175</v>
      </c>
      <c r="J842" t="s">
        <v>25</v>
      </c>
      <c r="K842" s="5">
        <f>326 / 86400</f>
        <v>3.7731481481481483E-3</v>
      </c>
      <c r="L842" s="5">
        <f>1665 / 86400</f>
        <v>1.9270833333333334E-2</v>
      </c>
    </row>
    <row r="843" spans="1:12" x14ac:dyDescent="0.25">
      <c r="A843" s="3">
        <v>45706.3356712963</v>
      </c>
      <c r="B843" t="s">
        <v>122</v>
      </c>
      <c r="C843" s="3">
        <v>45706.610810185186</v>
      </c>
      <c r="D843" t="s">
        <v>402</v>
      </c>
      <c r="E843" s="4">
        <v>98.447000000000003</v>
      </c>
      <c r="F843" s="4">
        <v>41907.529000000002</v>
      </c>
      <c r="G843" s="4">
        <v>42005.976000000002</v>
      </c>
      <c r="H843" s="5">
        <f>8924 / 86400</f>
        <v>0.10328703703703704</v>
      </c>
      <c r="I843" t="s">
        <v>64</v>
      </c>
      <c r="J843" t="s">
        <v>38</v>
      </c>
      <c r="K843" s="5">
        <f>23772 / 86400</f>
        <v>0.27513888888888888</v>
      </c>
      <c r="L843" s="5">
        <f>318 / 86400</f>
        <v>3.6805555555555554E-3</v>
      </c>
    </row>
    <row r="844" spans="1:12" x14ac:dyDescent="0.25">
      <c r="A844" s="3">
        <v>45706.614490740743</v>
      </c>
      <c r="B844" t="s">
        <v>402</v>
      </c>
      <c r="C844" s="3">
        <v>45706.628900462965</v>
      </c>
      <c r="D844" t="s">
        <v>403</v>
      </c>
      <c r="E844" s="4">
        <v>9.3360000000000003</v>
      </c>
      <c r="F844" s="4">
        <v>42005.976000000002</v>
      </c>
      <c r="G844" s="4">
        <v>42015.311999999998</v>
      </c>
      <c r="H844" s="5">
        <f>239 / 86400</f>
        <v>2.7662037037037039E-3</v>
      </c>
      <c r="I844" t="s">
        <v>174</v>
      </c>
      <c r="J844" t="s">
        <v>212</v>
      </c>
      <c r="K844" s="5">
        <f>1244 / 86400</f>
        <v>1.4398148148148148E-2</v>
      </c>
      <c r="L844" s="5">
        <f>1742 / 86400</f>
        <v>2.0162037037037037E-2</v>
      </c>
    </row>
    <row r="845" spans="1:12" x14ac:dyDescent="0.25">
      <c r="A845" s="3">
        <v>45706.649062500001</v>
      </c>
      <c r="B845" t="s">
        <v>403</v>
      </c>
      <c r="C845" s="3">
        <v>45706.654872685191</v>
      </c>
      <c r="D845" t="s">
        <v>404</v>
      </c>
      <c r="E845" s="4">
        <v>1.1919999999999999</v>
      </c>
      <c r="F845" s="4">
        <v>42015.311999999998</v>
      </c>
      <c r="G845" s="4">
        <v>42016.504000000001</v>
      </c>
      <c r="H845" s="5">
        <f>218 / 86400</f>
        <v>2.5231481481481481E-3</v>
      </c>
      <c r="I845" t="s">
        <v>136</v>
      </c>
      <c r="J845" t="s">
        <v>171</v>
      </c>
      <c r="K845" s="5">
        <f>502 / 86400</f>
        <v>5.8101851851851856E-3</v>
      </c>
      <c r="L845" s="5">
        <f>199 / 86400</f>
        <v>2.3032407407407407E-3</v>
      </c>
    </row>
    <row r="846" spans="1:12" x14ac:dyDescent="0.25">
      <c r="A846" s="3">
        <v>45706.657175925924</v>
      </c>
      <c r="B846" t="s">
        <v>404</v>
      </c>
      <c r="C846" s="3">
        <v>45706.659768518519</v>
      </c>
      <c r="D846" t="s">
        <v>72</v>
      </c>
      <c r="E846" s="4">
        <v>0.47299999999999998</v>
      </c>
      <c r="F846" s="4">
        <v>42016.504000000001</v>
      </c>
      <c r="G846" s="4">
        <v>42016.976999999999</v>
      </c>
      <c r="H846" s="5">
        <f>79 / 86400</f>
        <v>9.1435185185185185E-4</v>
      </c>
      <c r="I846" t="s">
        <v>79</v>
      </c>
      <c r="J846" t="s">
        <v>147</v>
      </c>
      <c r="K846" s="5">
        <f>223 / 86400</f>
        <v>2.5810185185185185E-3</v>
      </c>
      <c r="L846" s="5">
        <f>29395 / 86400</f>
        <v>0.34021990740740743</v>
      </c>
    </row>
    <row r="847" spans="1:1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</row>
    <row r="848" spans="1:1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</row>
    <row r="849" spans="1:12" s="10" customFormat="1" ht="20.100000000000001" customHeight="1" x14ac:dyDescent="0.35">
      <c r="A849" s="15" t="s">
        <v>483</v>
      </c>
      <c r="B849" s="15"/>
      <c r="C849" s="15"/>
      <c r="D849" s="15"/>
      <c r="E849" s="15"/>
      <c r="F849" s="15"/>
      <c r="G849" s="15"/>
      <c r="H849" s="15"/>
      <c r="I849" s="15"/>
      <c r="J849" s="15"/>
    </row>
    <row r="850" spans="1:12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</row>
    <row r="851" spans="1:12" ht="30" x14ac:dyDescent="0.25">
      <c r="A851" s="2" t="s">
        <v>6</v>
      </c>
      <c r="B851" s="2" t="s">
        <v>7</v>
      </c>
      <c r="C851" s="2" t="s">
        <v>8</v>
      </c>
      <c r="D851" s="2" t="s">
        <v>9</v>
      </c>
      <c r="E851" s="2" t="s">
        <v>10</v>
      </c>
      <c r="F851" s="2" t="s">
        <v>11</v>
      </c>
      <c r="G851" s="2" t="s">
        <v>12</v>
      </c>
      <c r="H851" s="2" t="s">
        <v>13</v>
      </c>
      <c r="I851" s="2" t="s">
        <v>14</v>
      </c>
      <c r="J851" s="2" t="s">
        <v>15</v>
      </c>
      <c r="K851" s="2" t="s">
        <v>16</v>
      </c>
      <c r="L851" s="2" t="s">
        <v>17</v>
      </c>
    </row>
    <row r="852" spans="1:12" x14ac:dyDescent="0.25">
      <c r="A852" s="3">
        <v>45706</v>
      </c>
      <c r="B852" t="s">
        <v>73</v>
      </c>
      <c r="C852" s="3">
        <v>45706.025775462964</v>
      </c>
      <c r="D852" t="s">
        <v>74</v>
      </c>
      <c r="E852" s="4">
        <v>19.969000000000001</v>
      </c>
      <c r="F852" s="4">
        <v>47597.866999999998</v>
      </c>
      <c r="G852" s="4">
        <v>47617.836000000003</v>
      </c>
      <c r="H852" s="5">
        <f>240 / 86400</f>
        <v>2.7777777777777779E-3</v>
      </c>
      <c r="I852" t="s">
        <v>64</v>
      </c>
      <c r="J852" t="s">
        <v>139</v>
      </c>
      <c r="K852" s="5">
        <f>2227 / 86400</f>
        <v>2.5775462962962962E-2</v>
      </c>
      <c r="L852" s="5">
        <f>443 / 86400</f>
        <v>5.1273148148148146E-3</v>
      </c>
    </row>
    <row r="853" spans="1:12" x14ac:dyDescent="0.25">
      <c r="A853" s="3">
        <v>45706.030902777777</v>
      </c>
      <c r="B853" t="s">
        <v>74</v>
      </c>
      <c r="C853" s="3">
        <v>45706.031527777777</v>
      </c>
      <c r="D853" t="s">
        <v>405</v>
      </c>
      <c r="E853" s="4">
        <v>6.2E-2</v>
      </c>
      <c r="F853" s="4">
        <v>47617.836000000003</v>
      </c>
      <c r="G853" s="4">
        <v>47617.898000000001</v>
      </c>
      <c r="H853" s="5">
        <f>0 / 86400</f>
        <v>0</v>
      </c>
      <c r="I853" t="s">
        <v>150</v>
      </c>
      <c r="J853" t="s">
        <v>127</v>
      </c>
      <c r="K853" s="5">
        <f>53 / 86400</f>
        <v>6.134259259259259E-4</v>
      </c>
      <c r="L853" s="5">
        <f>877 / 86400</f>
        <v>1.0150462962962964E-2</v>
      </c>
    </row>
    <row r="854" spans="1:12" x14ac:dyDescent="0.25">
      <c r="A854" s="3">
        <v>45706.041678240741</v>
      </c>
      <c r="B854" t="s">
        <v>405</v>
      </c>
      <c r="C854" s="3">
        <v>45706.047650462962</v>
      </c>
      <c r="D854" t="s">
        <v>36</v>
      </c>
      <c r="E854" s="4">
        <v>1.349</v>
      </c>
      <c r="F854" s="4">
        <v>47617.898000000001</v>
      </c>
      <c r="G854" s="4">
        <v>47619.247000000003</v>
      </c>
      <c r="H854" s="5">
        <f>320 / 86400</f>
        <v>3.7037037037037038E-3</v>
      </c>
      <c r="I854" t="s">
        <v>186</v>
      </c>
      <c r="J854" t="s">
        <v>171</v>
      </c>
      <c r="K854" s="5">
        <f>516 / 86400</f>
        <v>5.9722222222222225E-3</v>
      </c>
      <c r="L854" s="5">
        <f>10709 / 86400</f>
        <v>0.12394675925925926</v>
      </c>
    </row>
    <row r="855" spans="1:12" x14ac:dyDescent="0.25">
      <c r="A855" s="3">
        <v>45706.171597222223</v>
      </c>
      <c r="B855" t="s">
        <v>36</v>
      </c>
      <c r="C855" s="3">
        <v>45706.355023148149</v>
      </c>
      <c r="D855" t="s">
        <v>122</v>
      </c>
      <c r="E855" s="4">
        <v>84.153000000000006</v>
      </c>
      <c r="F855" s="4">
        <v>47619.247000000003</v>
      </c>
      <c r="G855" s="4">
        <v>47703.4</v>
      </c>
      <c r="H855" s="5">
        <f>4479 / 86400</f>
        <v>5.1840277777777777E-2</v>
      </c>
      <c r="I855" t="s">
        <v>30</v>
      </c>
      <c r="J855" t="s">
        <v>79</v>
      </c>
      <c r="K855" s="5">
        <f>15847 / 86400</f>
        <v>0.18341435185185184</v>
      </c>
      <c r="L855" s="5">
        <f>1697 / 86400</f>
        <v>1.9641203703703702E-2</v>
      </c>
    </row>
    <row r="856" spans="1:12" x14ac:dyDescent="0.25">
      <c r="A856" s="3">
        <v>45706.374664351853</v>
      </c>
      <c r="B856" t="s">
        <v>122</v>
      </c>
      <c r="C856" s="3">
        <v>45706.377500000002</v>
      </c>
      <c r="D856" t="s">
        <v>137</v>
      </c>
      <c r="E856" s="4">
        <v>0</v>
      </c>
      <c r="F856" s="4">
        <v>47703.4</v>
      </c>
      <c r="G856" s="4">
        <v>47703.4</v>
      </c>
      <c r="H856" s="5">
        <f>239 / 86400</f>
        <v>2.7662037037037039E-3</v>
      </c>
      <c r="I856" t="s">
        <v>82</v>
      </c>
      <c r="J856" t="s">
        <v>82</v>
      </c>
      <c r="K856" s="5">
        <f>244 / 86400</f>
        <v>2.8240740740740739E-3</v>
      </c>
      <c r="L856" s="5">
        <f>684 / 86400</f>
        <v>7.9166666666666673E-3</v>
      </c>
    </row>
    <row r="857" spans="1:12" x14ac:dyDescent="0.25">
      <c r="A857" s="3">
        <v>45706.385416666672</v>
      </c>
      <c r="B857" t="s">
        <v>137</v>
      </c>
      <c r="C857" s="3">
        <v>45706.385891203703</v>
      </c>
      <c r="D857" t="s">
        <v>137</v>
      </c>
      <c r="E857" s="4">
        <v>3.5000000000000003E-2</v>
      </c>
      <c r="F857" s="4">
        <v>47703.4</v>
      </c>
      <c r="G857" s="4">
        <v>47703.434999999998</v>
      </c>
      <c r="H857" s="5">
        <f>0 / 86400</f>
        <v>0</v>
      </c>
      <c r="I857" t="s">
        <v>32</v>
      </c>
      <c r="J857" t="s">
        <v>170</v>
      </c>
      <c r="K857" s="5">
        <f>41 / 86400</f>
        <v>4.7453703703703704E-4</v>
      </c>
      <c r="L857" s="5">
        <f>1160 / 86400</f>
        <v>1.3425925925925926E-2</v>
      </c>
    </row>
    <row r="858" spans="1:12" x14ac:dyDescent="0.25">
      <c r="A858" s="3">
        <v>45706.399317129632</v>
      </c>
      <c r="B858" t="s">
        <v>137</v>
      </c>
      <c r="C858" s="3">
        <v>45706.610671296294</v>
      </c>
      <c r="D858" t="s">
        <v>36</v>
      </c>
      <c r="E858" s="4">
        <v>81.697999999999993</v>
      </c>
      <c r="F858" s="4">
        <v>47703.434999999998</v>
      </c>
      <c r="G858" s="4">
        <v>47785.133000000002</v>
      </c>
      <c r="H858" s="5">
        <f>6398 / 86400</f>
        <v>7.4050925925925923E-2</v>
      </c>
      <c r="I858" t="s">
        <v>64</v>
      </c>
      <c r="J858" t="s">
        <v>28</v>
      </c>
      <c r="K858" s="5">
        <f>18260 / 86400</f>
        <v>0.21134259259259258</v>
      </c>
      <c r="L858" s="5">
        <f>249 / 86400</f>
        <v>2.8819444444444444E-3</v>
      </c>
    </row>
    <row r="859" spans="1:12" x14ac:dyDescent="0.25">
      <c r="A859" s="3">
        <v>45706.613553240742</v>
      </c>
      <c r="B859" t="s">
        <v>36</v>
      </c>
      <c r="C859" s="3">
        <v>45706.616226851853</v>
      </c>
      <c r="D859" t="s">
        <v>36</v>
      </c>
      <c r="E859" s="4">
        <v>1.38</v>
      </c>
      <c r="F859" s="4">
        <v>47785.133000000002</v>
      </c>
      <c r="G859" s="4">
        <v>47786.512999999999</v>
      </c>
      <c r="H859" s="5">
        <f>0 / 86400</f>
        <v>0</v>
      </c>
      <c r="I859" t="s">
        <v>47</v>
      </c>
      <c r="J859" t="s">
        <v>130</v>
      </c>
      <c r="K859" s="5">
        <f>230 / 86400</f>
        <v>2.662037037037037E-3</v>
      </c>
      <c r="L859" s="5">
        <f>1270 / 86400</f>
        <v>1.4699074074074074E-2</v>
      </c>
    </row>
    <row r="860" spans="1:12" x14ac:dyDescent="0.25">
      <c r="A860" s="3">
        <v>45706.630925925929</v>
      </c>
      <c r="B860" t="s">
        <v>36</v>
      </c>
      <c r="C860" s="3">
        <v>45706.835636574076</v>
      </c>
      <c r="D860" t="s">
        <v>201</v>
      </c>
      <c r="E860" s="4">
        <v>73.852000000000004</v>
      </c>
      <c r="F860" s="4">
        <v>47786.512999999999</v>
      </c>
      <c r="G860" s="4">
        <v>47860.364999999998</v>
      </c>
      <c r="H860" s="5">
        <f>6662 / 86400</f>
        <v>7.7106481481481484E-2</v>
      </c>
      <c r="I860" t="s">
        <v>30</v>
      </c>
      <c r="J860" t="s">
        <v>38</v>
      </c>
      <c r="K860" s="5">
        <f>17686 / 86400</f>
        <v>0.20469907407407406</v>
      </c>
      <c r="L860" s="5">
        <f>100 / 86400</f>
        <v>1.1574074074074073E-3</v>
      </c>
    </row>
    <row r="861" spans="1:12" x14ac:dyDescent="0.25">
      <c r="A861" s="3">
        <v>45706.836793981478</v>
      </c>
      <c r="B861" t="s">
        <v>201</v>
      </c>
      <c r="C861" s="3">
        <v>45706.997395833328</v>
      </c>
      <c r="D861" t="s">
        <v>74</v>
      </c>
      <c r="E861" s="4">
        <v>77.236000000000004</v>
      </c>
      <c r="F861" s="4">
        <v>47860.364999999998</v>
      </c>
      <c r="G861" s="4">
        <v>47937.601000000002</v>
      </c>
      <c r="H861" s="5">
        <f>4638 / 86400</f>
        <v>5.3680555555555558E-2</v>
      </c>
      <c r="I861" t="s">
        <v>75</v>
      </c>
      <c r="J861" t="s">
        <v>35</v>
      </c>
      <c r="K861" s="5">
        <f>13875 / 86400</f>
        <v>0.16059027777777779</v>
      </c>
      <c r="L861" s="5">
        <f>224 / 86400</f>
        <v>2.5925925925925925E-3</v>
      </c>
    </row>
    <row r="862" spans="1:1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</row>
    <row r="863" spans="1:1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</row>
    <row r="864" spans="1:12" s="10" customFormat="1" ht="20.100000000000001" customHeight="1" x14ac:dyDescent="0.35">
      <c r="A864" s="15" t="s">
        <v>484</v>
      </c>
      <c r="B864" s="15"/>
      <c r="C864" s="15"/>
      <c r="D864" s="15"/>
      <c r="E864" s="15"/>
      <c r="F864" s="15"/>
      <c r="G864" s="15"/>
      <c r="H864" s="15"/>
      <c r="I864" s="15"/>
      <c r="J864" s="15"/>
    </row>
    <row r="865" spans="1:1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</row>
    <row r="866" spans="1:12" ht="30" x14ac:dyDescent="0.25">
      <c r="A866" s="2" t="s">
        <v>6</v>
      </c>
      <c r="B866" s="2" t="s">
        <v>7</v>
      </c>
      <c r="C866" s="2" t="s">
        <v>8</v>
      </c>
      <c r="D866" s="2" t="s">
        <v>9</v>
      </c>
      <c r="E866" s="2" t="s">
        <v>10</v>
      </c>
      <c r="F866" s="2" t="s">
        <v>11</v>
      </c>
      <c r="G866" s="2" t="s">
        <v>12</v>
      </c>
      <c r="H866" s="2" t="s">
        <v>13</v>
      </c>
      <c r="I866" s="2" t="s">
        <v>14</v>
      </c>
      <c r="J866" s="2" t="s">
        <v>15</v>
      </c>
      <c r="K866" s="2" t="s">
        <v>16</v>
      </c>
      <c r="L866" s="2" t="s">
        <v>17</v>
      </c>
    </row>
    <row r="867" spans="1:12" x14ac:dyDescent="0.25">
      <c r="A867" s="3">
        <v>45706</v>
      </c>
      <c r="B867" t="s">
        <v>76</v>
      </c>
      <c r="C867" s="3">
        <v>45706.008750000001</v>
      </c>
      <c r="D867" t="s">
        <v>185</v>
      </c>
      <c r="E867" s="4">
        <v>4.9919999999403952</v>
      </c>
      <c r="F867" s="4">
        <v>529005.38600000006</v>
      </c>
      <c r="G867" s="4">
        <v>529010.37800000003</v>
      </c>
      <c r="H867" s="5">
        <f>180 / 86400</f>
        <v>2.0833333333333333E-3</v>
      </c>
      <c r="I867" t="s">
        <v>385</v>
      </c>
      <c r="J867" t="s">
        <v>151</v>
      </c>
      <c r="K867" s="5">
        <f>756 / 86400</f>
        <v>8.7500000000000008E-3</v>
      </c>
      <c r="L867" s="5">
        <f>274 / 86400</f>
        <v>3.1712962962962962E-3</v>
      </c>
    </row>
    <row r="868" spans="1:12" x14ac:dyDescent="0.25">
      <c r="A868" s="3">
        <v>45706.011921296296</v>
      </c>
      <c r="B868" t="s">
        <v>185</v>
      </c>
      <c r="C868" s="3">
        <v>45706.014826388884</v>
      </c>
      <c r="D868" t="s">
        <v>36</v>
      </c>
      <c r="E868" s="4">
        <v>1.7480000000596045</v>
      </c>
      <c r="F868" s="4">
        <v>529010.37800000003</v>
      </c>
      <c r="G868" s="4">
        <v>529012.12600000005</v>
      </c>
      <c r="H868" s="5">
        <f>79 / 86400</f>
        <v>9.1435185185185185E-4</v>
      </c>
      <c r="I868" t="s">
        <v>71</v>
      </c>
      <c r="J868" t="s">
        <v>31</v>
      </c>
      <c r="K868" s="5">
        <f>251 / 86400</f>
        <v>2.9050925925925928E-3</v>
      </c>
      <c r="L868" s="5">
        <f>404 / 86400</f>
        <v>4.6759259259259263E-3</v>
      </c>
    </row>
    <row r="869" spans="1:12" x14ac:dyDescent="0.25">
      <c r="A869" s="3">
        <v>45706.019502314812</v>
      </c>
      <c r="B869" t="s">
        <v>74</v>
      </c>
      <c r="C869" s="3">
        <v>45706.022326388891</v>
      </c>
      <c r="D869" t="s">
        <v>74</v>
      </c>
      <c r="E869" s="4">
        <v>0.83799999999999997</v>
      </c>
      <c r="F869" s="4">
        <v>529012.12600000005</v>
      </c>
      <c r="G869" s="4">
        <v>529012.96400000004</v>
      </c>
      <c r="H869" s="5">
        <f>0 / 86400</f>
        <v>0</v>
      </c>
      <c r="I869" t="s">
        <v>175</v>
      </c>
      <c r="J869" t="s">
        <v>25</v>
      </c>
      <c r="K869" s="5">
        <f>244 / 86400</f>
        <v>2.8240740740740739E-3</v>
      </c>
      <c r="L869" s="5">
        <f>14115 / 86400</f>
        <v>0.16336805555555556</v>
      </c>
    </row>
    <row r="870" spans="1:12" x14ac:dyDescent="0.25">
      <c r="A870" s="3">
        <v>45706.185694444444</v>
      </c>
      <c r="B870" t="s">
        <v>74</v>
      </c>
      <c r="C870" s="3">
        <v>45706.369050925925</v>
      </c>
      <c r="D870" t="s">
        <v>371</v>
      </c>
      <c r="E870" s="4">
        <v>83.434999999940402</v>
      </c>
      <c r="F870" s="4">
        <v>529012.96400000004</v>
      </c>
      <c r="G870" s="4">
        <v>529096.39899999998</v>
      </c>
      <c r="H870" s="5">
        <f>5220 / 86400</f>
        <v>6.0416666666666667E-2</v>
      </c>
      <c r="I870" t="s">
        <v>33</v>
      </c>
      <c r="J870" t="s">
        <v>79</v>
      </c>
      <c r="K870" s="5">
        <f>15841 / 86400</f>
        <v>0.18334490740740741</v>
      </c>
      <c r="L870" s="5">
        <f>2195 / 86400</f>
        <v>2.5405092592592594E-2</v>
      </c>
    </row>
    <row r="871" spans="1:12" x14ac:dyDescent="0.25">
      <c r="A871" s="3">
        <v>45706.394456018519</v>
      </c>
      <c r="B871" t="s">
        <v>371</v>
      </c>
      <c r="C871" s="3">
        <v>45706.396562499998</v>
      </c>
      <c r="D871" t="s">
        <v>149</v>
      </c>
      <c r="E871" s="4">
        <v>0.72099999999999997</v>
      </c>
      <c r="F871" s="4">
        <v>529096.39899999998</v>
      </c>
      <c r="G871" s="4">
        <v>529097.12</v>
      </c>
      <c r="H871" s="5">
        <f>39 / 86400</f>
        <v>4.5138888888888887E-4</v>
      </c>
      <c r="I871" t="s">
        <v>92</v>
      </c>
      <c r="J871" t="s">
        <v>57</v>
      </c>
      <c r="K871" s="5">
        <f>181 / 86400</f>
        <v>2.0949074074074073E-3</v>
      </c>
      <c r="L871" s="5">
        <f>450 / 86400</f>
        <v>5.208333333333333E-3</v>
      </c>
    </row>
    <row r="872" spans="1:12" x14ac:dyDescent="0.25">
      <c r="A872" s="3">
        <v>45706.401770833334</v>
      </c>
      <c r="B872" t="s">
        <v>149</v>
      </c>
      <c r="C872" s="3">
        <v>45706.516736111109</v>
      </c>
      <c r="D872" t="s">
        <v>406</v>
      </c>
      <c r="E872" s="4">
        <v>48.917000000000002</v>
      </c>
      <c r="F872" s="4">
        <v>529097.12</v>
      </c>
      <c r="G872" s="4">
        <v>529146.03700000001</v>
      </c>
      <c r="H872" s="5">
        <f>3460 / 86400</f>
        <v>4.0046296296296295E-2</v>
      </c>
      <c r="I872" t="s">
        <v>78</v>
      </c>
      <c r="J872" t="s">
        <v>20</v>
      </c>
      <c r="K872" s="5">
        <f>9932 / 86400</f>
        <v>0.1149537037037037</v>
      </c>
      <c r="L872" s="5">
        <f>75 / 86400</f>
        <v>8.6805555555555551E-4</v>
      </c>
    </row>
    <row r="873" spans="1:12" x14ac:dyDescent="0.25">
      <c r="A873" s="3">
        <v>45706.517604166671</v>
      </c>
      <c r="B873" t="s">
        <v>406</v>
      </c>
      <c r="C873" s="3">
        <v>45706.629675925928</v>
      </c>
      <c r="D873" t="s">
        <v>137</v>
      </c>
      <c r="E873" s="4">
        <v>46.983999999940394</v>
      </c>
      <c r="F873" s="4">
        <v>529146.03700000001</v>
      </c>
      <c r="G873" s="4">
        <v>529193.02099999995</v>
      </c>
      <c r="H873" s="5">
        <f>2861 / 86400</f>
        <v>3.3113425925925928E-2</v>
      </c>
      <c r="I873" t="s">
        <v>138</v>
      </c>
      <c r="J873" t="s">
        <v>62</v>
      </c>
      <c r="K873" s="5">
        <f>9683 / 86400</f>
        <v>0.11207175925925926</v>
      </c>
      <c r="L873" s="5">
        <f>292 / 86400</f>
        <v>3.3796296296296296E-3</v>
      </c>
    </row>
    <row r="874" spans="1:12" x14ac:dyDescent="0.25">
      <c r="A874" s="3">
        <v>45706.633055555554</v>
      </c>
      <c r="B874" t="s">
        <v>137</v>
      </c>
      <c r="C874" s="3">
        <v>45706.634884259256</v>
      </c>
      <c r="D874" t="s">
        <v>149</v>
      </c>
      <c r="E874" s="4">
        <v>0.30700000005960465</v>
      </c>
      <c r="F874" s="4">
        <v>529193.02099999995</v>
      </c>
      <c r="G874" s="4">
        <v>529193.32799999998</v>
      </c>
      <c r="H874" s="5">
        <f>40 / 86400</f>
        <v>4.6296296296296298E-4</v>
      </c>
      <c r="I874" t="s">
        <v>44</v>
      </c>
      <c r="J874" t="s">
        <v>150</v>
      </c>
      <c r="K874" s="5">
        <f>158 / 86400</f>
        <v>1.8287037037037037E-3</v>
      </c>
      <c r="L874" s="5">
        <f>284 / 86400</f>
        <v>3.2870370370370371E-3</v>
      </c>
    </row>
    <row r="875" spans="1:12" x14ac:dyDescent="0.25">
      <c r="A875" s="3">
        <v>45706.638171296298</v>
      </c>
      <c r="B875" t="s">
        <v>149</v>
      </c>
      <c r="C875" s="3">
        <v>45706.689108796301</v>
      </c>
      <c r="D875" t="s">
        <v>360</v>
      </c>
      <c r="E875" s="4">
        <v>24.587000000059604</v>
      </c>
      <c r="F875" s="4">
        <v>529193.32799999998</v>
      </c>
      <c r="G875" s="4">
        <v>529217.91500000004</v>
      </c>
      <c r="H875" s="5">
        <f>1500 / 86400</f>
        <v>1.7361111111111112E-2</v>
      </c>
      <c r="I875" t="s">
        <v>27</v>
      </c>
      <c r="J875" t="s">
        <v>35</v>
      </c>
      <c r="K875" s="5">
        <f>4400 / 86400</f>
        <v>5.0925925925925923E-2</v>
      </c>
      <c r="L875" s="5">
        <f>1504 / 86400</f>
        <v>1.7407407407407406E-2</v>
      </c>
    </row>
    <row r="876" spans="1:12" x14ac:dyDescent="0.25">
      <c r="A876" s="3">
        <v>45706.706516203703</v>
      </c>
      <c r="B876" t="s">
        <v>360</v>
      </c>
      <c r="C876" s="3">
        <v>45706.70988425926</v>
      </c>
      <c r="D876" t="s">
        <v>407</v>
      </c>
      <c r="E876" s="4">
        <v>0.22699999994039535</v>
      </c>
      <c r="F876" s="4">
        <v>529217.91500000004</v>
      </c>
      <c r="G876" s="4">
        <v>529218.14199999999</v>
      </c>
      <c r="H876" s="5">
        <f>199 / 86400</f>
        <v>2.3032407407407407E-3</v>
      </c>
      <c r="I876" t="s">
        <v>25</v>
      </c>
      <c r="J876" t="s">
        <v>170</v>
      </c>
      <c r="K876" s="5">
        <f>290 / 86400</f>
        <v>3.3564814814814816E-3</v>
      </c>
      <c r="L876" s="5">
        <f>183 / 86400</f>
        <v>2.1180555555555558E-3</v>
      </c>
    </row>
    <row r="877" spans="1:12" x14ac:dyDescent="0.25">
      <c r="A877" s="3">
        <v>45706.712002314816</v>
      </c>
      <c r="B877" t="s">
        <v>408</v>
      </c>
      <c r="C877" s="3">
        <v>45706.715578703705</v>
      </c>
      <c r="D877" t="s">
        <v>83</v>
      </c>
      <c r="E877" s="4">
        <v>2.8660000000596044</v>
      </c>
      <c r="F877" s="4">
        <v>529218.14199999999</v>
      </c>
      <c r="G877" s="4">
        <v>529221.00800000003</v>
      </c>
      <c r="H877" s="5">
        <f>20 / 86400</f>
        <v>2.3148148148148149E-4</v>
      </c>
      <c r="I877" t="s">
        <v>27</v>
      </c>
      <c r="J877" t="s">
        <v>152</v>
      </c>
      <c r="K877" s="5">
        <f>309 / 86400</f>
        <v>3.5763888888888889E-3</v>
      </c>
      <c r="L877" s="5">
        <f>1222 / 86400</f>
        <v>1.4143518518518519E-2</v>
      </c>
    </row>
    <row r="878" spans="1:12" x14ac:dyDescent="0.25">
      <c r="A878" s="3">
        <v>45706.729722222226</v>
      </c>
      <c r="B878" t="s">
        <v>83</v>
      </c>
      <c r="C878" s="3">
        <v>45706.83798611111</v>
      </c>
      <c r="D878" t="s">
        <v>409</v>
      </c>
      <c r="E878" s="4">
        <v>47.940999999940395</v>
      </c>
      <c r="F878" s="4">
        <v>529221.00800000003</v>
      </c>
      <c r="G878" s="4">
        <v>529268.94900000002</v>
      </c>
      <c r="H878" s="5">
        <f>3831 / 86400</f>
        <v>4.4340277777777777E-2</v>
      </c>
      <c r="I878" t="s">
        <v>43</v>
      </c>
      <c r="J878" t="s">
        <v>20</v>
      </c>
      <c r="K878" s="5">
        <f>9354 / 86400</f>
        <v>0.1082638888888889</v>
      </c>
      <c r="L878" s="5">
        <f>291 / 86400</f>
        <v>3.3680555555555556E-3</v>
      </c>
    </row>
    <row r="879" spans="1:12" x14ac:dyDescent="0.25">
      <c r="A879" s="3">
        <v>45706.841354166667</v>
      </c>
      <c r="B879" t="s">
        <v>409</v>
      </c>
      <c r="C879" s="3">
        <v>45706.915949074071</v>
      </c>
      <c r="D879" t="s">
        <v>303</v>
      </c>
      <c r="E879" s="4">
        <v>30.910000000059604</v>
      </c>
      <c r="F879" s="4">
        <v>529268.94900000002</v>
      </c>
      <c r="G879" s="4">
        <v>529299.85900000005</v>
      </c>
      <c r="H879" s="5">
        <f>2381 / 86400</f>
        <v>2.7557870370370371E-2</v>
      </c>
      <c r="I879" t="s">
        <v>60</v>
      </c>
      <c r="J879" t="s">
        <v>62</v>
      </c>
      <c r="K879" s="5">
        <f>6445 / 86400</f>
        <v>7.4594907407407401E-2</v>
      </c>
      <c r="L879" s="5">
        <f>6133 / 86400</f>
        <v>7.0983796296296295E-2</v>
      </c>
    </row>
    <row r="880" spans="1:12" x14ac:dyDescent="0.25">
      <c r="A880" s="3">
        <v>45706.986932870372</v>
      </c>
      <c r="B880" t="s">
        <v>303</v>
      </c>
      <c r="C880" s="3">
        <v>45706.99998842593</v>
      </c>
      <c r="D880" t="s">
        <v>77</v>
      </c>
      <c r="E880" s="4">
        <v>9.892999999940395</v>
      </c>
      <c r="F880" s="4">
        <v>529299.85900000005</v>
      </c>
      <c r="G880" s="4">
        <v>529309.75199999998</v>
      </c>
      <c r="H880" s="5">
        <f>59 / 86400</f>
        <v>6.8287037037037036E-4</v>
      </c>
      <c r="I880" t="s">
        <v>174</v>
      </c>
      <c r="J880" t="s">
        <v>139</v>
      </c>
      <c r="K880" s="5">
        <f>1128 / 86400</f>
        <v>1.3055555555555556E-2</v>
      </c>
      <c r="L880" s="5">
        <f>0 / 86400</f>
        <v>0</v>
      </c>
    </row>
    <row r="881" spans="1:1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</row>
    <row r="882" spans="1:12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</row>
    <row r="883" spans="1:12" s="10" customFormat="1" ht="20.100000000000001" customHeight="1" x14ac:dyDescent="0.35">
      <c r="A883" s="15" t="s">
        <v>485</v>
      </c>
      <c r="B883" s="15"/>
      <c r="C883" s="15"/>
      <c r="D883" s="15"/>
      <c r="E883" s="15"/>
      <c r="F883" s="15"/>
      <c r="G883" s="15"/>
      <c r="H883" s="15"/>
      <c r="I883" s="15"/>
      <c r="J883" s="15"/>
    </row>
    <row r="884" spans="1:12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</row>
    <row r="885" spans="1:12" ht="30" x14ac:dyDescent="0.25">
      <c r="A885" s="2" t="s">
        <v>6</v>
      </c>
      <c r="B885" s="2" t="s">
        <v>7</v>
      </c>
      <c r="C885" s="2" t="s">
        <v>8</v>
      </c>
      <c r="D885" s="2" t="s">
        <v>9</v>
      </c>
      <c r="E885" s="2" t="s">
        <v>10</v>
      </c>
      <c r="F885" s="2" t="s">
        <v>11</v>
      </c>
      <c r="G885" s="2" t="s">
        <v>12</v>
      </c>
      <c r="H885" s="2" t="s">
        <v>13</v>
      </c>
      <c r="I885" s="2" t="s">
        <v>14</v>
      </c>
      <c r="J885" s="2" t="s">
        <v>15</v>
      </c>
      <c r="K885" s="2" t="s">
        <v>16</v>
      </c>
      <c r="L885" s="2" t="s">
        <v>17</v>
      </c>
    </row>
    <row r="886" spans="1:12" x14ac:dyDescent="0.25">
      <c r="A886" s="3">
        <v>45706.211493055554</v>
      </c>
      <c r="B886" t="s">
        <v>36</v>
      </c>
      <c r="C886" s="3">
        <v>45706.303611111114</v>
      </c>
      <c r="D886" t="s">
        <v>333</v>
      </c>
      <c r="E886" s="4">
        <v>31.733000000000001</v>
      </c>
      <c r="F886" s="4">
        <v>568960.19299999997</v>
      </c>
      <c r="G886" s="4">
        <v>568991.92599999998</v>
      </c>
      <c r="H886" s="5">
        <f>3340 / 86400</f>
        <v>3.8657407407407404E-2</v>
      </c>
      <c r="I886" t="s">
        <v>33</v>
      </c>
      <c r="J886" t="s">
        <v>57</v>
      </c>
      <c r="K886" s="5">
        <f>7958 / 86400</f>
        <v>9.2106481481481484E-2</v>
      </c>
      <c r="L886" s="5">
        <f>18574 / 86400</f>
        <v>0.21497685185185186</v>
      </c>
    </row>
    <row r="887" spans="1:12" x14ac:dyDescent="0.25">
      <c r="A887" s="3">
        <v>45706.307094907403</v>
      </c>
      <c r="B887" t="s">
        <v>333</v>
      </c>
      <c r="C887" s="3">
        <v>45706.428877314815</v>
      </c>
      <c r="D887" t="s">
        <v>122</v>
      </c>
      <c r="E887" s="4">
        <v>50.154000000000003</v>
      </c>
      <c r="F887" s="4">
        <v>568991.92599999998</v>
      </c>
      <c r="G887" s="4">
        <v>569042.07999999996</v>
      </c>
      <c r="H887" s="5">
        <f>3179 / 86400</f>
        <v>3.6793981481481483E-2</v>
      </c>
      <c r="I887" t="s">
        <v>61</v>
      </c>
      <c r="J887" t="s">
        <v>62</v>
      </c>
      <c r="K887" s="5">
        <f>10522 / 86400</f>
        <v>0.12178240740740741</v>
      </c>
      <c r="L887" s="5">
        <f>2057 / 86400</f>
        <v>2.3807870370370372E-2</v>
      </c>
    </row>
    <row r="888" spans="1:12" x14ac:dyDescent="0.25">
      <c r="A888" s="3">
        <v>45706.452685185184</v>
      </c>
      <c r="B888" t="s">
        <v>122</v>
      </c>
      <c r="C888" s="3">
        <v>45706.459247685183</v>
      </c>
      <c r="D888" t="s">
        <v>153</v>
      </c>
      <c r="E888" s="4">
        <v>1.2430000000000001</v>
      </c>
      <c r="F888" s="4">
        <v>569042.07999999996</v>
      </c>
      <c r="G888" s="4">
        <v>569043.32299999997</v>
      </c>
      <c r="H888" s="5">
        <f>179 / 86400</f>
        <v>2.0717592592592593E-3</v>
      </c>
      <c r="I888" t="s">
        <v>158</v>
      </c>
      <c r="J888" t="s">
        <v>147</v>
      </c>
      <c r="K888" s="5">
        <f>567 / 86400</f>
        <v>6.5624999999999998E-3</v>
      </c>
      <c r="L888" s="5">
        <f>1607 / 86400</f>
        <v>1.8599537037037036E-2</v>
      </c>
    </row>
    <row r="889" spans="1:12" x14ac:dyDescent="0.25">
      <c r="A889" s="3">
        <v>45706.477847222224</v>
      </c>
      <c r="B889" t="s">
        <v>153</v>
      </c>
      <c r="C889" s="3">
        <v>45706.548020833332</v>
      </c>
      <c r="D889" t="s">
        <v>95</v>
      </c>
      <c r="E889" s="4">
        <v>31.02</v>
      </c>
      <c r="F889" s="4">
        <v>569043.32299999997</v>
      </c>
      <c r="G889" s="4">
        <v>569074.34299999999</v>
      </c>
      <c r="H889" s="5">
        <f>1981 / 86400</f>
        <v>2.2928240740740742E-2</v>
      </c>
      <c r="I889" t="s">
        <v>80</v>
      </c>
      <c r="J889" t="s">
        <v>20</v>
      </c>
      <c r="K889" s="5">
        <f>6063 / 86400</f>
        <v>7.0173611111111117E-2</v>
      </c>
      <c r="L889" s="5">
        <f>3 / 86400</f>
        <v>3.4722222222222222E-5</v>
      </c>
    </row>
    <row r="890" spans="1:12" x14ac:dyDescent="0.25">
      <c r="A890" s="3">
        <v>45706.548055555555</v>
      </c>
      <c r="B890" t="s">
        <v>95</v>
      </c>
      <c r="C890" s="3">
        <v>45706.63318287037</v>
      </c>
      <c r="D890" t="s">
        <v>410</v>
      </c>
      <c r="E890" s="4">
        <v>19.03</v>
      </c>
      <c r="F890" s="4">
        <v>569074.34400000004</v>
      </c>
      <c r="G890" s="4">
        <v>569093.37399999995</v>
      </c>
      <c r="H890" s="5">
        <f>3582 / 86400</f>
        <v>4.1458333333333333E-2</v>
      </c>
      <c r="I890" t="s">
        <v>167</v>
      </c>
      <c r="J890" t="s">
        <v>171</v>
      </c>
      <c r="K890" s="5">
        <f>7355 / 86400</f>
        <v>8.5127314814814808E-2</v>
      </c>
      <c r="L890" s="5">
        <f>14 / 86400</f>
        <v>1.6203703703703703E-4</v>
      </c>
    </row>
    <row r="891" spans="1:12" x14ac:dyDescent="0.25">
      <c r="A891" s="3">
        <v>45706.633344907408</v>
      </c>
      <c r="B891" t="s">
        <v>410</v>
      </c>
      <c r="C891" s="3">
        <v>45706.63344907407</v>
      </c>
      <c r="D891" t="s">
        <v>410</v>
      </c>
      <c r="E891" s="4">
        <v>6.0000000000000001E-3</v>
      </c>
      <c r="F891" s="4">
        <v>569093.37399999995</v>
      </c>
      <c r="G891" s="4">
        <v>569093.38</v>
      </c>
      <c r="H891" s="5">
        <f>0 / 86400</f>
        <v>0</v>
      </c>
      <c r="I891" t="s">
        <v>82</v>
      </c>
      <c r="J891" t="s">
        <v>111</v>
      </c>
      <c r="K891" s="5">
        <f>9 / 86400</f>
        <v>1.0416666666666667E-4</v>
      </c>
      <c r="L891" s="5">
        <f>1161 / 86400</f>
        <v>1.34375E-2</v>
      </c>
    </row>
    <row r="892" spans="1:12" x14ac:dyDescent="0.25">
      <c r="A892" s="3">
        <v>45706.646886574075</v>
      </c>
      <c r="B892" t="s">
        <v>410</v>
      </c>
      <c r="C892" s="3">
        <v>45706.771504629629</v>
      </c>
      <c r="D892" t="s">
        <v>36</v>
      </c>
      <c r="E892" s="4">
        <v>39.966000000000001</v>
      </c>
      <c r="F892" s="4">
        <v>569093.38</v>
      </c>
      <c r="G892" s="4">
        <v>569133.34600000002</v>
      </c>
      <c r="H892" s="5">
        <f>4060 / 86400</f>
        <v>4.6990740740740743E-2</v>
      </c>
      <c r="I892" t="s">
        <v>71</v>
      </c>
      <c r="J892" t="s">
        <v>44</v>
      </c>
      <c r="K892" s="5">
        <f>10767 / 86400</f>
        <v>0.12461805555555555</v>
      </c>
      <c r="L892" s="5">
        <f>419 / 86400</f>
        <v>4.8495370370370368E-3</v>
      </c>
    </row>
    <row r="893" spans="1:12" x14ac:dyDescent="0.25">
      <c r="A893" s="3">
        <v>45706.776354166665</v>
      </c>
      <c r="B893" t="s">
        <v>36</v>
      </c>
      <c r="C893" s="3">
        <v>45706.779374999998</v>
      </c>
      <c r="D893" t="s">
        <v>36</v>
      </c>
      <c r="E893" s="4">
        <v>1.421</v>
      </c>
      <c r="F893" s="4">
        <v>569133.34600000002</v>
      </c>
      <c r="G893" s="4">
        <v>569134.76699999999</v>
      </c>
      <c r="H893" s="5">
        <f>59 / 86400</f>
        <v>6.8287037037037036E-4</v>
      </c>
      <c r="I893" t="s">
        <v>92</v>
      </c>
      <c r="J893" t="s">
        <v>35</v>
      </c>
      <c r="K893" s="5">
        <f>260 / 86400</f>
        <v>3.0092592592592593E-3</v>
      </c>
      <c r="L893" s="5">
        <f>5535 / 86400</f>
        <v>6.4062499999999994E-2</v>
      </c>
    </row>
    <row r="894" spans="1:12" x14ac:dyDescent="0.25">
      <c r="A894" s="3">
        <v>45706.8434375</v>
      </c>
      <c r="B894" t="s">
        <v>36</v>
      </c>
      <c r="C894" s="3">
        <v>45706.843530092592</v>
      </c>
      <c r="D894" t="s">
        <v>36</v>
      </c>
      <c r="E894" s="4">
        <v>0</v>
      </c>
      <c r="F894" s="4">
        <v>569134.76699999999</v>
      </c>
      <c r="G894" s="4">
        <v>569134.76699999999</v>
      </c>
      <c r="H894" s="5">
        <f>0 / 86400</f>
        <v>0</v>
      </c>
      <c r="I894" t="s">
        <v>82</v>
      </c>
      <c r="J894" t="s">
        <v>82</v>
      </c>
      <c r="K894" s="5">
        <f>7 / 86400</f>
        <v>8.1018518518518516E-5</v>
      </c>
      <c r="L894" s="5">
        <f>13518 / 86400</f>
        <v>0.15645833333333334</v>
      </c>
    </row>
    <row r="895" spans="1:12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</row>
    <row r="896" spans="1:12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</row>
    <row r="897" spans="1:12" s="10" customFormat="1" ht="20.100000000000001" customHeight="1" x14ac:dyDescent="0.35">
      <c r="A897" s="15" t="s">
        <v>486</v>
      </c>
      <c r="B897" s="15"/>
      <c r="C897" s="15"/>
      <c r="D897" s="15"/>
      <c r="E897" s="15"/>
      <c r="F897" s="15"/>
      <c r="G897" s="15"/>
      <c r="H897" s="15"/>
      <c r="I897" s="15"/>
      <c r="J897" s="15"/>
    </row>
    <row r="898" spans="1:12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</row>
    <row r="899" spans="1:12" ht="30" x14ac:dyDescent="0.25">
      <c r="A899" s="2" t="s">
        <v>6</v>
      </c>
      <c r="B899" s="2" t="s">
        <v>7</v>
      </c>
      <c r="C899" s="2" t="s">
        <v>8</v>
      </c>
      <c r="D899" s="2" t="s">
        <v>9</v>
      </c>
      <c r="E899" s="2" t="s">
        <v>10</v>
      </c>
      <c r="F899" s="2" t="s">
        <v>11</v>
      </c>
      <c r="G899" s="2" t="s">
        <v>12</v>
      </c>
      <c r="H899" s="2" t="s">
        <v>13</v>
      </c>
      <c r="I899" s="2" t="s">
        <v>14</v>
      </c>
      <c r="J899" s="2" t="s">
        <v>15</v>
      </c>
      <c r="K899" s="2" t="s">
        <v>16</v>
      </c>
      <c r="L899" s="2" t="s">
        <v>17</v>
      </c>
    </row>
    <row r="900" spans="1:12" x14ac:dyDescent="0.25">
      <c r="A900" s="3">
        <v>45706.332604166666</v>
      </c>
      <c r="B900" t="s">
        <v>81</v>
      </c>
      <c r="C900" s="3">
        <v>45706.338946759264</v>
      </c>
      <c r="D900" t="s">
        <v>81</v>
      </c>
      <c r="E900" s="4">
        <v>0.01</v>
      </c>
      <c r="F900" s="4">
        <v>435880.17700000003</v>
      </c>
      <c r="G900" s="4">
        <v>435880.18699999998</v>
      </c>
      <c r="H900" s="5">
        <f>499 / 86400</f>
        <v>5.7754629629629631E-3</v>
      </c>
      <c r="I900" t="s">
        <v>111</v>
      </c>
      <c r="J900" t="s">
        <v>82</v>
      </c>
      <c r="K900" s="5">
        <f>548 / 86400</f>
        <v>6.3425925925925924E-3</v>
      </c>
      <c r="L900" s="5">
        <f>73544 / 86400</f>
        <v>0.85120370370370368</v>
      </c>
    </row>
    <row r="901" spans="1:12" x14ac:dyDescent="0.25">
      <c r="A901" s="3">
        <v>45706.857546296298</v>
      </c>
      <c r="B901" t="s">
        <v>81</v>
      </c>
      <c r="C901" s="3">
        <v>45706.861493055556</v>
      </c>
      <c r="D901" t="s">
        <v>81</v>
      </c>
      <c r="E901" s="4">
        <v>4.3999999999999997E-2</v>
      </c>
      <c r="F901" s="4">
        <v>435880.18699999998</v>
      </c>
      <c r="G901" s="4">
        <v>435880.23100000003</v>
      </c>
      <c r="H901" s="5">
        <f>259 / 86400</f>
        <v>2.9976851851851853E-3</v>
      </c>
      <c r="I901" t="s">
        <v>32</v>
      </c>
      <c r="J901" t="s">
        <v>82</v>
      </c>
      <c r="K901" s="5">
        <f>341 / 86400</f>
        <v>3.9467592592592592E-3</v>
      </c>
      <c r="L901" s="5">
        <f>11966 / 86400</f>
        <v>0.13849537037037038</v>
      </c>
    </row>
    <row r="902" spans="1:12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</row>
    <row r="903" spans="1:12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</row>
    <row r="904" spans="1:12" s="10" customFormat="1" ht="20.100000000000001" customHeight="1" x14ac:dyDescent="0.35">
      <c r="A904" s="15" t="s">
        <v>487</v>
      </c>
      <c r="B904" s="15"/>
      <c r="C904" s="15"/>
      <c r="D904" s="15"/>
      <c r="E904" s="15"/>
      <c r="F904" s="15"/>
      <c r="G904" s="15"/>
      <c r="H904" s="15"/>
      <c r="I904" s="15"/>
      <c r="J904" s="15"/>
    </row>
    <row r="905" spans="1:12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</row>
    <row r="906" spans="1:12" ht="30" x14ac:dyDescent="0.25">
      <c r="A906" s="2" t="s">
        <v>6</v>
      </c>
      <c r="B906" s="2" t="s">
        <v>7</v>
      </c>
      <c r="C906" s="2" t="s">
        <v>8</v>
      </c>
      <c r="D906" s="2" t="s">
        <v>9</v>
      </c>
      <c r="E906" s="2" t="s">
        <v>10</v>
      </c>
      <c r="F906" s="2" t="s">
        <v>11</v>
      </c>
      <c r="G906" s="2" t="s">
        <v>12</v>
      </c>
      <c r="H906" s="2" t="s">
        <v>13</v>
      </c>
      <c r="I906" s="2" t="s">
        <v>14</v>
      </c>
      <c r="J906" s="2" t="s">
        <v>15</v>
      </c>
      <c r="K906" s="2" t="s">
        <v>16</v>
      </c>
      <c r="L906" s="2" t="s">
        <v>17</v>
      </c>
    </row>
    <row r="907" spans="1:12" x14ac:dyDescent="0.25">
      <c r="A907" s="3">
        <v>45706.234282407408</v>
      </c>
      <c r="B907" t="s">
        <v>48</v>
      </c>
      <c r="C907" s="3">
        <v>45706.235868055555</v>
      </c>
      <c r="D907" t="s">
        <v>48</v>
      </c>
      <c r="E907" s="4">
        <v>1.4E-2</v>
      </c>
      <c r="F907" s="4">
        <v>516448.29800000001</v>
      </c>
      <c r="G907" s="4">
        <v>516448.31199999998</v>
      </c>
      <c r="H907" s="5">
        <f>119 / 86400</f>
        <v>1.3773148148148147E-3</v>
      </c>
      <c r="I907" t="s">
        <v>127</v>
      </c>
      <c r="J907" t="s">
        <v>82</v>
      </c>
      <c r="K907" s="5">
        <f>137 / 86400</f>
        <v>1.5856481481481481E-3</v>
      </c>
      <c r="L907" s="5">
        <f>20249 / 86400</f>
        <v>0.23436342592592593</v>
      </c>
    </row>
    <row r="908" spans="1:12" x14ac:dyDescent="0.25">
      <c r="A908" s="3">
        <v>45706.235949074078</v>
      </c>
      <c r="B908" t="s">
        <v>48</v>
      </c>
      <c r="C908" s="3">
        <v>45706.235995370371</v>
      </c>
      <c r="D908" t="s">
        <v>48</v>
      </c>
      <c r="E908" s="4">
        <v>2E-3</v>
      </c>
      <c r="F908" s="4">
        <v>516448.31300000002</v>
      </c>
      <c r="G908" s="4">
        <v>516448.315</v>
      </c>
      <c r="H908" s="5">
        <f>0 / 86400</f>
        <v>0</v>
      </c>
      <c r="I908" t="s">
        <v>170</v>
      </c>
      <c r="J908" t="s">
        <v>111</v>
      </c>
      <c r="K908" s="5">
        <f>4 / 86400</f>
        <v>4.6296296296296294E-5</v>
      </c>
      <c r="L908" s="5">
        <f>18 / 86400</f>
        <v>2.0833333333333335E-4</v>
      </c>
    </row>
    <row r="909" spans="1:12" x14ac:dyDescent="0.25">
      <c r="A909" s="3">
        <v>45706.236203703702</v>
      </c>
      <c r="B909" t="s">
        <v>48</v>
      </c>
      <c r="C909" s="3">
        <v>45706.236319444448</v>
      </c>
      <c r="D909" t="s">
        <v>48</v>
      </c>
      <c r="E909" s="4">
        <v>2.4E-2</v>
      </c>
      <c r="F909" s="4">
        <v>516448.31800000003</v>
      </c>
      <c r="G909" s="4">
        <v>516448.342</v>
      </c>
      <c r="H909" s="5">
        <f>0 / 86400</f>
        <v>0</v>
      </c>
      <c r="I909" t="s">
        <v>147</v>
      </c>
      <c r="J909" t="s">
        <v>171</v>
      </c>
      <c r="K909" s="5">
        <f>10 / 86400</f>
        <v>1.1574074074074075E-4</v>
      </c>
      <c r="L909" s="5">
        <f>40 / 86400</f>
        <v>4.6296296296296298E-4</v>
      </c>
    </row>
    <row r="910" spans="1:12" x14ac:dyDescent="0.25">
      <c r="A910" s="3">
        <v>45706.236782407403</v>
      </c>
      <c r="B910" t="s">
        <v>48</v>
      </c>
      <c r="C910" s="3">
        <v>45706.236851851849</v>
      </c>
      <c r="D910" t="s">
        <v>367</v>
      </c>
      <c r="E910" s="4">
        <v>8.9999999999999993E-3</v>
      </c>
      <c r="F910" s="4">
        <v>516448.34399999998</v>
      </c>
      <c r="G910" s="4">
        <v>516448.353</v>
      </c>
      <c r="H910" s="5">
        <f>0 / 86400</f>
        <v>0</v>
      </c>
      <c r="I910" t="s">
        <v>150</v>
      </c>
      <c r="J910" t="s">
        <v>50</v>
      </c>
      <c r="K910" s="5">
        <f>6 / 86400</f>
        <v>6.9444444444444444E-5</v>
      </c>
      <c r="L910" s="5">
        <f>4 / 86400</f>
        <v>4.6296296296296294E-5</v>
      </c>
    </row>
    <row r="911" spans="1:12" x14ac:dyDescent="0.25">
      <c r="A911" s="3">
        <v>45706.236898148149</v>
      </c>
      <c r="B911" t="s">
        <v>367</v>
      </c>
      <c r="C911" s="3">
        <v>45706.237013888887</v>
      </c>
      <c r="D911" t="s">
        <v>367</v>
      </c>
      <c r="E911" s="4">
        <v>7.0000000000000001E-3</v>
      </c>
      <c r="F911" s="4">
        <v>516448.36</v>
      </c>
      <c r="G911" s="4">
        <v>516448.36700000003</v>
      </c>
      <c r="H911" s="5">
        <f>0 / 86400</f>
        <v>0</v>
      </c>
      <c r="I911" t="s">
        <v>32</v>
      </c>
      <c r="J911" t="s">
        <v>170</v>
      </c>
      <c r="K911" s="5">
        <f>10 / 86400</f>
        <v>1.1574074074074075E-4</v>
      </c>
      <c r="L911" s="5">
        <f>1 / 86400</f>
        <v>1.1574074074074073E-5</v>
      </c>
    </row>
    <row r="912" spans="1:12" x14ac:dyDescent="0.25">
      <c r="A912" s="3">
        <v>45706.237025462964</v>
      </c>
      <c r="B912" t="s">
        <v>367</v>
      </c>
      <c r="C912" s="3">
        <v>45706.250787037032</v>
      </c>
      <c r="D912" t="s">
        <v>195</v>
      </c>
      <c r="E912" s="4">
        <v>6.23</v>
      </c>
      <c r="F912" s="4">
        <v>516448.36700000003</v>
      </c>
      <c r="G912" s="4">
        <v>516454.59700000001</v>
      </c>
      <c r="H912" s="5">
        <f>300 / 86400</f>
        <v>3.472222222222222E-3</v>
      </c>
      <c r="I912" t="s">
        <v>318</v>
      </c>
      <c r="J912" t="s">
        <v>79</v>
      </c>
      <c r="K912" s="5">
        <f>1189 / 86400</f>
        <v>1.3761574074074074E-2</v>
      </c>
      <c r="L912" s="5">
        <f>2 / 86400</f>
        <v>2.3148148148148147E-5</v>
      </c>
    </row>
    <row r="913" spans="1:12" x14ac:dyDescent="0.25">
      <c r="A913" s="3">
        <v>45706.250810185185</v>
      </c>
      <c r="B913" t="s">
        <v>195</v>
      </c>
      <c r="C913" s="3">
        <v>45706.256238425922</v>
      </c>
      <c r="D913" t="s">
        <v>192</v>
      </c>
      <c r="E913" s="4">
        <v>5.2640000000000002</v>
      </c>
      <c r="F913" s="4">
        <v>516454.61200000002</v>
      </c>
      <c r="G913" s="4">
        <v>516459.87599999999</v>
      </c>
      <c r="H913" s="5">
        <f>0 / 86400</f>
        <v>0</v>
      </c>
      <c r="I913" t="s">
        <v>37</v>
      </c>
      <c r="J913" t="s">
        <v>135</v>
      </c>
      <c r="K913" s="5">
        <f>469 / 86400</f>
        <v>5.4282407407407404E-3</v>
      </c>
      <c r="L913" s="5">
        <f>21 / 86400</f>
        <v>2.4305555555555555E-4</v>
      </c>
    </row>
    <row r="914" spans="1:12" x14ac:dyDescent="0.25">
      <c r="A914" s="3">
        <v>45706.256481481483</v>
      </c>
      <c r="B914" t="s">
        <v>411</v>
      </c>
      <c r="C914" s="3">
        <v>45706.258356481485</v>
      </c>
      <c r="D914" t="s">
        <v>141</v>
      </c>
      <c r="E914" s="4">
        <v>1.1419999999999999</v>
      </c>
      <c r="F914" s="4">
        <v>516459.93199999997</v>
      </c>
      <c r="G914" s="4">
        <v>516461.07400000002</v>
      </c>
      <c r="H914" s="5">
        <f>30 / 86400</f>
        <v>3.4722222222222224E-4</v>
      </c>
      <c r="I914" t="s">
        <v>49</v>
      </c>
      <c r="J914" t="s">
        <v>31</v>
      </c>
      <c r="K914" s="5">
        <f>162 / 86400</f>
        <v>1.8749999999999999E-3</v>
      </c>
      <c r="L914" s="5">
        <f>30 / 86400</f>
        <v>3.4722222222222224E-4</v>
      </c>
    </row>
    <row r="915" spans="1:12" x14ac:dyDescent="0.25">
      <c r="A915" s="3">
        <v>45706.258703703701</v>
      </c>
      <c r="B915" t="s">
        <v>141</v>
      </c>
      <c r="C915" s="3">
        <v>45706.284756944442</v>
      </c>
      <c r="D915" t="s">
        <v>412</v>
      </c>
      <c r="E915" s="4">
        <v>16.670999999999999</v>
      </c>
      <c r="F915" s="4">
        <v>516461.603</v>
      </c>
      <c r="G915" s="4">
        <v>516478.27399999998</v>
      </c>
      <c r="H915" s="5">
        <f>498 / 86400</f>
        <v>5.7638888888888887E-3</v>
      </c>
      <c r="I915" t="s">
        <v>56</v>
      </c>
      <c r="J915" t="s">
        <v>212</v>
      </c>
      <c r="K915" s="5">
        <f>2251 / 86400</f>
        <v>2.6053240740740741E-2</v>
      </c>
      <c r="L915" s="5">
        <f>30 / 86400</f>
        <v>3.4722222222222224E-4</v>
      </c>
    </row>
    <row r="916" spans="1:12" x14ac:dyDescent="0.25">
      <c r="A916" s="3">
        <v>45706.285104166665</v>
      </c>
      <c r="B916" t="s">
        <v>413</v>
      </c>
      <c r="C916" s="3">
        <v>45706.295682870375</v>
      </c>
      <c r="D916" t="s">
        <v>414</v>
      </c>
      <c r="E916" s="4">
        <v>3.8769999999999998</v>
      </c>
      <c r="F916" s="4">
        <v>516478.47</v>
      </c>
      <c r="G916" s="4">
        <v>516482.34700000001</v>
      </c>
      <c r="H916" s="5">
        <f>360 / 86400</f>
        <v>4.1666666666666666E-3</v>
      </c>
      <c r="I916" t="s">
        <v>196</v>
      </c>
      <c r="J916" t="s">
        <v>38</v>
      </c>
      <c r="K916" s="5">
        <f>914 / 86400</f>
        <v>1.0578703703703703E-2</v>
      </c>
      <c r="L916" s="5">
        <f>30 / 86400</f>
        <v>3.4722222222222224E-4</v>
      </c>
    </row>
    <row r="917" spans="1:12" x14ac:dyDescent="0.25">
      <c r="A917" s="3">
        <v>45706.296030092592</v>
      </c>
      <c r="B917" t="s">
        <v>219</v>
      </c>
      <c r="C917" s="3">
        <v>45706.317048611112</v>
      </c>
      <c r="D917" t="s">
        <v>415</v>
      </c>
      <c r="E917" s="4">
        <v>7.4169999999999998</v>
      </c>
      <c r="F917" s="4">
        <v>516482.69699999999</v>
      </c>
      <c r="G917" s="4">
        <v>516490.114</v>
      </c>
      <c r="H917" s="5">
        <f>450 / 86400</f>
        <v>5.208333333333333E-3</v>
      </c>
      <c r="I917" t="s">
        <v>145</v>
      </c>
      <c r="J917" t="s">
        <v>38</v>
      </c>
      <c r="K917" s="5">
        <f>1816 / 86400</f>
        <v>2.101851851851852E-2</v>
      </c>
      <c r="L917" s="5">
        <f>30 / 86400</f>
        <v>3.4722222222222224E-4</v>
      </c>
    </row>
    <row r="918" spans="1:12" x14ac:dyDescent="0.25">
      <c r="A918" s="3">
        <v>45706.317395833335</v>
      </c>
      <c r="B918" t="s">
        <v>415</v>
      </c>
      <c r="C918" s="3">
        <v>45706.466840277775</v>
      </c>
      <c r="D918" t="s">
        <v>387</v>
      </c>
      <c r="E918" s="4">
        <v>58.179000000000002</v>
      </c>
      <c r="F918" s="4">
        <v>516490.26799999998</v>
      </c>
      <c r="G918" s="4">
        <v>516548.44699999999</v>
      </c>
      <c r="H918" s="5">
        <f>4141 / 86400</f>
        <v>4.7928240740740743E-2</v>
      </c>
      <c r="I918" t="s">
        <v>385</v>
      </c>
      <c r="J918" t="s">
        <v>28</v>
      </c>
      <c r="K918" s="5">
        <f>12912 / 86400</f>
        <v>0.14944444444444444</v>
      </c>
      <c r="L918" s="5">
        <f>2015 / 86400</f>
        <v>2.3321759259259261E-2</v>
      </c>
    </row>
    <row r="919" spans="1:12" x14ac:dyDescent="0.25">
      <c r="A919" s="3">
        <v>45706.490162037036</v>
      </c>
      <c r="B919" t="s">
        <v>387</v>
      </c>
      <c r="C919" s="3">
        <v>45706.518101851849</v>
      </c>
      <c r="D919" t="s">
        <v>108</v>
      </c>
      <c r="E919" s="4">
        <v>4.2789999999999999</v>
      </c>
      <c r="F919" s="4">
        <v>516548.44699999999</v>
      </c>
      <c r="G919" s="4">
        <v>516552.72600000002</v>
      </c>
      <c r="H919" s="5">
        <f>1469 / 86400</f>
        <v>1.7002314814814814E-2</v>
      </c>
      <c r="I919" t="s">
        <v>208</v>
      </c>
      <c r="J919" t="s">
        <v>32</v>
      </c>
      <c r="K919" s="5">
        <f>2414 / 86400</f>
        <v>2.7939814814814813E-2</v>
      </c>
      <c r="L919" s="5">
        <f>30 / 86400</f>
        <v>3.4722222222222224E-4</v>
      </c>
    </row>
    <row r="920" spans="1:12" x14ac:dyDescent="0.25">
      <c r="A920" s="3">
        <v>45706.518449074079</v>
      </c>
      <c r="B920" t="s">
        <v>416</v>
      </c>
      <c r="C920" s="3">
        <v>45706.607465277775</v>
      </c>
      <c r="D920" t="s">
        <v>417</v>
      </c>
      <c r="E920" s="4">
        <v>39.838999999999999</v>
      </c>
      <c r="F920" s="4">
        <v>516552.92300000001</v>
      </c>
      <c r="G920" s="4">
        <v>516592.76199999999</v>
      </c>
      <c r="H920" s="5">
        <f>2519 / 86400</f>
        <v>2.9155092592592594E-2</v>
      </c>
      <c r="I920" t="s">
        <v>307</v>
      </c>
      <c r="J920" t="s">
        <v>79</v>
      </c>
      <c r="K920" s="5">
        <f>7691 / 86400</f>
        <v>8.9016203703703708E-2</v>
      </c>
      <c r="L920" s="5">
        <f>30 / 86400</f>
        <v>3.4722222222222224E-4</v>
      </c>
    </row>
    <row r="921" spans="1:12" x14ac:dyDescent="0.25">
      <c r="A921" s="3">
        <v>45706.607812499999</v>
      </c>
      <c r="B921" t="s">
        <v>266</v>
      </c>
      <c r="C921" s="3">
        <v>45706.778113425928</v>
      </c>
      <c r="D921" t="s">
        <v>137</v>
      </c>
      <c r="E921" s="4">
        <v>57.152999999999999</v>
      </c>
      <c r="F921" s="4">
        <v>516592.82</v>
      </c>
      <c r="G921" s="4">
        <v>516649.973</v>
      </c>
      <c r="H921" s="5">
        <f>5739 / 86400</f>
        <v>6.6423611111111114E-2</v>
      </c>
      <c r="I921" t="s">
        <v>41</v>
      </c>
      <c r="J921" t="s">
        <v>57</v>
      </c>
      <c r="K921" s="5">
        <f>14714 / 86400</f>
        <v>0.17030092592592594</v>
      </c>
      <c r="L921" s="5">
        <f>914 / 86400</f>
        <v>1.0578703703703703E-2</v>
      </c>
    </row>
    <row r="922" spans="1:12" x14ac:dyDescent="0.25">
      <c r="A922" s="3">
        <v>45706.78869212963</v>
      </c>
      <c r="B922" t="s">
        <v>137</v>
      </c>
      <c r="C922" s="3">
        <v>45706.794837962967</v>
      </c>
      <c r="D922" t="s">
        <v>48</v>
      </c>
      <c r="E922" s="4">
        <v>0.91900000000000004</v>
      </c>
      <c r="F922" s="4">
        <v>516649.973</v>
      </c>
      <c r="G922" s="4">
        <v>516650.89199999999</v>
      </c>
      <c r="H922" s="5">
        <f>271 / 86400</f>
        <v>3.1365740740740742E-3</v>
      </c>
      <c r="I922" t="s">
        <v>130</v>
      </c>
      <c r="J922" t="s">
        <v>32</v>
      </c>
      <c r="K922" s="5">
        <f>531 / 86400</f>
        <v>6.145833333333333E-3</v>
      </c>
      <c r="L922" s="5">
        <f>17725 / 86400</f>
        <v>0.20515046296296297</v>
      </c>
    </row>
    <row r="923" spans="1:12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</row>
    <row r="924" spans="1:12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</row>
    <row r="925" spans="1:12" s="10" customFormat="1" ht="20.100000000000001" customHeight="1" x14ac:dyDescent="0.35">
      <c r="A925" s="15" t="s">
        <v>488</v>
      </c>
      <c r="B925" s="15"/>
      <c r="C925" s="15"/>
      <c r="D925" s="15"/>
      <c r="E925" s="15"/>
      <c r="F925" s="15"/>
      <c r="G925" s="15"/>
      <c r="H925" s="15"/>
      <c r="I925" s="15"/>
      <c r="J925" s="15"/>
    </row>
    <row r="926" spans="1:12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</row>
    <row r="927" spans="1:12" ht="30" x14ac:dyDescent="0.25">
      <c r="A927" s="2" t="s">
        <v>6</v>
      </c>
      <c r="B927" s="2" t="s">
        <v>7</v>
      </c>
      <c r="C927" s="2" t="s">
        <v>8</v>
      </c>
      <c r="D927" s="2" t="s">
        <v>9</v>
      </c>
      <c r="E927" s="2" t="s">
        <v>10</v>
      </c>
      <c r="F927" s="2" t="s">
        <v>11</v>
      </c>
      <c r="G927" s="2" t="s">
        <v>12</v>
      </c>
      <c r="H927" s="2" t="s">
        <v>13</v>
      </c>
      <c r="I927" s="2" t="s">
        <v>14</v>
      </c>
      <c r="J927" s="2" t="s">
        <v>15</v>
      </c>
      <c r="K927" s="2" t="s">
        <v>16</v>
      </c>
      <c r="L927" s="2" t="s">
        <v>17</v>
      </c>
    </row>
    <row r="928" spans="1:12" x14ac:dyDescent="0.25">
      <c r="A928" s="3">
        <v>45706.231249999997</v>
      </c>
      <c r="B928" t="s">
        <v>83</v>
      </c>
      <c r="C928" s="3">
        <v>45706.79179398148</v>
      </c>
      <c r="D928" t="s">
        <v>84</v>
      </c>
      <c r="E928" s="4">
        <v>188.005</v>
      </c>
      <c r="F928" s="4">
        <v>506083.772</v>
      </c>
      <c r="G928" s="4">
        <v>506271.777</v>
      </c>
      <c r="H928" s="5">
        <f>19991 / 86400</f>
        <v>0.23137731481481483</v>
      </c>
      <c r="I928" t="s">
        <v>56</v>
      </c>
      <c r="J928" t="s">
        <v>57</v>
      </c>
      <c r="K928" s="5">
        <f>48431 / 86400</f>
        <v>0.56054398148148143</v>
      </c>
      <c r="L928" s="5">
        <f>37968 / 86400</f>
        <v>0.43944444444444447</v>
      </c>
    </row>
    <row r="929" spans="1:12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</row>
    <row r="930" spans="1:12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</row>
    <row r="931" spans="1:12" s="10" customFormat="1" ht="20.100000000000001" customHeight="1" x14ac:dyDescent="0.35">
      <c r="A931" s="15" t="s">
        <v>489</v>
      </c>
      <c r="B931" s="15"/>
      <c r="C931" s="15"/>
      <c r="D931" s="15"/>
      <c r="E931" s="15"/>
      <c r="F931" s="15"/>
      <c r="G931" s="15"/>
      <c r="H931" s="15"/>
      <c r="I931" s="15"/>
      <c r="J931" s="15"/>
    </row>
    <row r="932" spans="1:12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</row>
    <row r="933" spans="1:12" ht="30" x14ac:dyDescent="0.25">
      <c r="A933" s="2" t="s">
        <v>6</v>
      </c>
      <c r="B933" s="2" t="s">
        <v>7</v>
      </c>
      <c r="C933" s="2" t="s">
        <v>8</v>
      </c>
      <c r="D933" s="2" t="s">
        <v>9</v>
      </c>
      <c r="E933" s="2" t="s">
        <v>10</v>
      </c>
      <c r="F933" s="2" t="s">
        <v>11</v>
      </c>
      <c r="G933" s="2" t="s">
        <v>12</v>
      </c>
      <c r="H933" s="2" t="s">
        <v>13</v>
      </c>
      <c r="I933" s="2" t="s">
        <v>14</v>
      </c>
      <c r="J933" s="2" t="s">
        <v>15</v>
      </c>
      <c r="K933" s="2" t="s">
        <v>16</v>
      </c>
      <c r="L933" s="2" t="s">
        <v>17</v>
      </c>
    </row>
    <row r="934" spans="1:12" x14ac:dyDescent="0.25">
      <c r="A934" s="3">
        <v>45706.409421296295</v>
      </c>
      <c r="B934" t="s">
        <v>85</v>
      </c>
      <c r="C934" s="3">
        <v>45706.410393518519</v>
      </c>
      <c r="D934" t="s">
        <v>85</v>
      </c>
      <c r="E934" s="4">
        <v>0</v>
      </c>
      <c r="F934" s="4">
        <v>352508.33899999998</v>
      </c>
      <c r="G934" s="4">
        <v>352508.33899999998</v>
      </c>
      <c r="H934" s="5">
        <f>78 / 86400</f>
        <v>9.0277777777777774E-4</v>
      </c>
      <c r="I934" t="s">
        <v>82</v>
      </c>
      <c r="J934" t="s">
        <v>82</v>
      </c>
      <c r="K934" s="5">
        <f>84 / 86400</f>
        <v>9.7222222222222219E-4</v>
      </c>
      <c r="L934" s="5">
        <f>40759 / 86400</f>
        <v>0.47174768518518517</v>
      </c>
    </row>
    <row r="935" spans="1:12" x14ac:dyDescent="0.25">
      <c r="A935" s="3">
        <v>45706.472719907411</v>
      </c>
      <c r="B935" t="s">
        <v>418</v>
      </c>
      <c r="C935" s="3">
        <v>45706.480451388888</v>
      </c>
      <c r="D935" t="s">
        <v>419</v>
      </c>
      <c r="E935" s="4">
        <v>1.752</v>
      </c>
      <c r="F935" s="4">
        <v>352508.33899999998</v>
      </c>
      <c r="G935" s="4">
        <v>352510.09100000001</v>
      </c>
      <c r="H935" s="5">
        <f>240 / 86400</f>
        <v>2.7777777777777779E-3</v>
      </c>
      <c r="I935" t="s">
        <v>162</v>
      </c>
      <c r="J935" t="s">
        <v>171</v>
      </c>
      <c r="K935" s="5">
        <f>668 / 86400</f>
        <v>7.7314814814814815E-3</v>
      </c>
      <c r="L935" s="5">
        <f>1391 / 86400</f>
        <v>1.6099537037037037E-2</v>
      </c>
    </row>
    <row r="936" spans="1:12" x14ac:dyDescent="0.25">
      <c r="A936" s="3">
        <v>45706.496550925927</v>
      </c>
      <c r="B936" t="s">
        <v>419</v>
      </c>
      <c r="C936" s="3">
        <v>45706.498981481476</v>
      </c>
      <c r="D936" t="s">
        <v>420</v>
      </c>
      <c r="E936" s="4">
        <v>0.71099999999999997</v>
      </c>
      <c r="F936" s="4">
        <v>352510.09100000001</v>
      </c>
      <c r="G936" s="4">
        <v>352510.80200000003</v>
      </c>
      <c r="H936" s="5">
        <f>60 / 86400</f>
        <v>6.9444444444444447E-4</v>
      </c>
      <c r="I936" t="s">
        <v>31</v>
      </c>
      <c r="J936" t="s">
        <v>25</v>
      </c>
      <c r="K936" s="5">
        <f>209 / 86400</f>
        <v>2.4189814814814816E-3</v>
      </c>
      <c r="L936" s="5">
        <f>456 / 86400</f>
        <v>5.2777777777777779E-3</v>
      </c>
    </row>
    <row r="937" spans="1:12" x14ac:dyDescent="0.25">
      <c r="A937" s="3">
        <v>45706.504259259258</v>
      </c>
      <c r="B937" t="s">
        <v>420</v>
      </c>
      <c r="C937" s="3">
        <v>45706.504618055551</v>
      </c>
      <c r="D937" t="s">
        <v>420</v>
      </c>
      <c r="E937" s="4">
        <v>4.0000000000000001E-3</v>
      </c>
      <c r="F937" s="4">
        <v>352510.80200000003</v>
      </c>
      <c r="G937" s="4">
        <v>352510.80599999998</v>
      </c>
      <c r="H937" s="5">
        <f>19 / 86400</f>
        <v>2.199074074074074E-4</v>
      </c>
      <c r="I937" t="s">
        <v>82</v>
      </c>
      <c r="J937" t="s">
        <v>82</v>
      </c>
      <c r="K937" s="5">
        <f>31 / 86400</f>
        <v>3.5879629629629629E-4</v>
      </c>
      <c r="L937" s="5">
        <f>1027 / 86400</f>
        <v>1.1886574074074074E-2</v>
      </c>
    </row>
    <row r="938" spans="1:12" x14ac:dyDescent="0.25">
      <c r="A938" s="3">
        <v>45706.516504629632</v>
      </c>
      <c r="B938" t="s">
        <v>420</v>
      </c>
      <c r="C938" s="3">
        <v>45706.617233796293</v>
      </c>
      <c r="D938" t="s">
        <v>333</v>
      </c>
      <c r="E938" s="4">
        <v>25.527999999999999</v>
      </c>
      <c r="F938" s="4">
        <v>352510.80599999998</v>
      </c>
      <c r="G938" s="4">
        <v>352536.33399999997</v>
      </c>
      <c r="H938" s="5">
        <f>4200 / 86400</f>
        <v>4.8611111111111112E-2</v>
      </c>
      <c r="I938" t="s">
        <v>138</v>
      </c>
      <c r="J938" t="s">
        <v>93</v>
      </c>
      <c r="K938" s="5">
        <f>8702 / 86400</f>
        <v>0.10071759259259259</v>
      </c>
      <c r="L938" s="5">
        <f>394 / 86400</f>
        <v>4.5601851851851853E-3</v>
      </c>
    </row>
    <row r="939" spans="1:12" x14ac:dyDescent="0.25">
      <c r="A939" s="3">
        <v>45706.621793981481</v>
      </c>
      <c r="B939" t="s">
        <v>333</v>
      </c>
      <c r="C939" s="3">
        <v>45706.626064814816</v>
      </c>
      <c r="D939" t="s">
        <v>336</v>
      </c>
      <c r="E939" s="4">
        <v>0.109</v>
      </c>
      <c r="F939" s="4">
        <v>352536.33399999997</v>
      </c>
      <c r="G939" s="4">
        <v>352536.44300000003</v>
      </c>
      <c r="H939" s="5">
        <f>240 / 86400</f>
        <v>2.7777777777777779E-3</v>
      </c>
      <c r="I939" t="s">
        <v>147</v>
      </c>
      <c r="J939" t="s">
        <v>163</v>
      </c>
      <c r="K939" s="5">
        <f>368 / 86400</f>
        <v>4.2592592592592595E-3</v>
      </c>
      <c r="L939" s="5">
        <f>19 / 86400</f>
        <v>2.199074074074074E-4</v>
      </c>
    </row>
    <row r="940" spans="1:12" x14ac:dyDescent="0.25">
      <c r="A940" s="3">
        <v>45706.626284722224</v>
      </c>
      <c r="B940" t="s">
        <v>335</v>
      </c>
      <c r="C940" s="3">
        <v>45706.76394675926</v>
      </c>
      <c r="D940" t="s">
        <v>137</v>
      </c>
      <c r="E940" s="4">
        <v>51.195</v>
      </c>
      <c r="F940" s="4">
        <v>352536.44300000003</v>
      </c>
      <c r="G940" s="4">
        <v>352587.63799999998</v>
      </c>
      <c r="H940" s="5">
        <f>4221 / 86400</f>
        <v>4.8854166666666664E-2</v>
      </c>
      <c r="I940" t="s">
        <v>64</v>
      </c>
      <c r="J940" t="s">
        <v>38</v>
      </c>
      <c r="K940" s="5">
        <f>11894 / 86400</f>
        <v>0.13766203703703703</v>
      </c>
      <c r="L940" s="5">
        <f>292 / 86400</f>
        <v>3.3796296296296296E-3</v>
      </c>
    </row>
    <row r="941" spans="1:12" x14ac:dyDescent="0.25">
      <c r="A941" s="3">
        <v>45706.767326388886</v>
      </c>
      <c r="B941" t="s">
        <v>137</v>
      </c>
      <c r="C941" s="3">
        <v>45706.767511574071</v>
      </c>
      <c r="D941" t="s">
        <v>137</v>
      </c>
      <c r="E941" s="4">
        <v>6.0000000000000001E-3</v>
      </c>
      <c r="F941" s="4">
        <v>352587.63799999998</v>
      </c>
      <c r="G941" s="4">
        <v>352587.64399999997</v>
      </c>
      <c r="H941" s="5">
        <f>0 / 86400</f>
        <v>0</v>
      </c>
      <c r="I941" t="s">
        <v>82</v>
      </c>
      <c r="J941" t="s">
        <v>163</v>
      </c>
      <c r="K941" s="5">
        <f>15 / 86400</f>
        <v>1.7361111111111112E-4</v>
      </c>
      <c r="L941" s="5">
        <f>283 / 86400</f>
        <v>3.2754629629629631E-3</v>
      </c>
    </row>
    <row r="942" spans="1:12" x14ac:dyDescent="0.25">
      <c r="A942" s="3">
        <v>45706.770787037036</v>
      </c>
      <c r="B942" t="s">
        <v>137</v>
      </c>
      <c r="C942" s="3">
        <v>45706.770937499998</v>
      </c>
      <c r="D942" t="s">
        <v>137</v>
      </c>
      <c r="E942" s="4">
        <v>5.0000000000000001E-3</v>
      </c>
      <c r="F942" s="4">
        <v>352587.64399999997</v>
      </c>
      <c r="G942" s="4">
        <v>352587.64899999998</v>
      </c>
      <c r="H942" s="5">
        <f>0 / 86400</f>
        <v>0</v>
      </c>
      <c r="I942" t="s">
        <v>82</v>
      </c>
      <c r="J942" t="s">
        <v>111</v>
      </c>
      <c r="K942" s="5">
        <f>12 / 86400</f>
        <v>1.3888888888888889E-4</v>
      </c>
      <c r="L942" s="5">
        <f>532 / 86400</f>
        <v>6.1574074074074074E-3</v>
      </c>
    </row>
    <row r="943" spans="1:12" x14ac:dyDescent="0.25">
      <c r="A943" s="3">
        <v>45706.777094907404</v>
      </c>
      <c r="B943" t="s">
        <v>137</v>
      </c>
      <c r="C943" s="3">
        <v>45706.777280092589</v>
      </c>
      <c r="D943" t="s">
        <v>120</v>
      </c>
      <c r="E943" s="4">
        <v>1.7000000000000001E-2</v>
      </c>
      <c r="F943" s="4">
        <v>352587.64899999998</v>
      </c>
      <c r="G943" s="4">
        <v>352587.66600000003</v>
      </c>
      <c r="H943" s="5">
        <f>0 / 86400</f>
        <v>0</v>
      </c>
      <c r="I943" t="s">
        <v>150</v>
      </c>
      <c r="J943" t="s">
        <v>127</v>
      </c>
      <c r="K943" s="5">
        <f>16 / 86400</f>
        <v>1.8518518518518518E-4</v>
      </c>
      <c r="L943" s="5">
        <f>201 / 86400</f>
        <v>2.3263888888888887E-3</v>
      </c>
    </row>
    <row r="944" spans="1:12" x14ac:dyDescent="0.25">
      <c r="A944" s="3">
        <v>45706.779606481483</v>
      </c>
      <c r="B944" t="s">
        <v>120</v>
      </c>
      <c r="C944" s="3">
        <v>45706.864583333328</v>
      </c>
      <c r="D944" t="s">
        <v>142</v>
      </c>
      <c r="E944" s="4">
        <v>39.21</v>
      </c>
      <c r="F944" s="4">
        <v>352587.66600000003</v>
      </c>
      <c r="G944" s="4">
        <v>352626.87599999999</v>
      </c>
      <c r="H944" s="5">
        <f>2560 / 86400</f>
        <v>2.9629629629629631E-2</v>
      </c>
      <c r="I944" t="s">
        <v>59</v>
      </c>
      <c r="J944" t="s">
        <v>79</v>
      </c>
      <c r="K944" s="5">
        <f>7341 / 86400</f>
        <v>8.4965277777777778E-2</v>
      </c>
      <c r="L944" s="5">
        <f>146 / 86400</f>
        <v>1.6898148148148148E-3</v>
      </c>
    </row>
    <row r="945" spans="1:12" x14ac:dyDescent="0.25">
      <c r="A945" s="3">
        <v>45706.866273148145</v>
      </c>
      <c r="B945" t="s">
        <v>142</v>
      </c>
      <c r="C945" s="3">
        <v>45706.866712962961</v>
      </c>
      <c r="D945" t="s">
        <v>142</v>
      </c>
      <c r="E945" s="4">
        <v>0.02</v>
      </c>
      <c r="F945" s="4">
        <v>352626.87599999999</v>
      </c>
      <c r="G945" s="4">
        <v>352626.89600000001</v>
      </c>
      <c r="H945" s="5">
        <f>0 / 86400</f>
        <v>0</v>
      </c>
      <c r="I945" t="s">
        <v>127</v>
      </c>
      <c r="J945" t="s">
        <v>111</v>
      </c>
      <c r="K945" s="5">
        <f>37 / 86400</f>
        <v>4.2824074074074075E-4</v>
      </c>
      <c r="L945" s="5">
        <f>607 / 86400</f>
        <v>7.0254629629629634E-3</v>
      </c>
    </row>
    <row r="946" spans="1:12" x14ac:dyDescent="0.25">
      <c r="A946" s="3">
        <v>45706.873738425929</v>
      </c>
      <c r="B946" t="s">
        <v>142</v>
      </c>
      <c r="C946" s="3">
        <v>45706.952511574069</v>
      </c>
      <c r="D946" t="s">
        <v>402</v>
      </c>
      <c r="E946" s="4">
        <v>34.539000000000001</v>
      </c>
      <c r="F946" s="4">
        <v>352626.89600000001</v>
      </c>
      <c r="G946" s="4">
        <v>352661.435</v>
      </c>
      <c r="H946" s="5">
        <f>2359 / 86400</f>
        <v>2.7303240740740739E-2</v>
      </c>
      <c r="I946" t="s">
        <v>60</v>
      </c>
      <c r="J946" t="s">
        <v>20</v>
      </c>
      <c r="K946" s="5">
        <f>6806 / 86400</f>
        <v>7.8773148148148148E-2</v>
      </c>
      <c r="L946" s="5">
        <f>229 / 86400</f>
        <v>2.650462962962963E-3</v>
      </c>
    </row>
    <row r="947" spans="1:12" x14ac:dyDescent="0.25">
      <c r="A947" s="3">
        <v>45706.955162037033</v>
      </c>
      <c r="B947" t="s">
        <v>402</v>
      </c>
      <c r="C947" s="3">
        <v>45706.959189814814</v>
      </c>
      <c r="D947" t="s">
        <v>86</v>
      </c>
      <c r="E947" s="4">
        <v>1.173</v>
      </c>
      <c r="F947" s="4">
        <v>352661.435</v>
      </c>
      <c r="G947" s="4">
        <v>352662.60800000001</v>
      </c>
      <c r="H947" s="5">
        <f>40 / 86400</f>
        <v>4.6296296296296298E-4</v>
      </c>
      <c r="I947" t="s">
        <v>156</v>
      </c>
      <c r="J947" t="s">
        <v>25</v>
      </c>
      <c r="K947" s="5">
        <f>347 / 86400</f>
        <v>4.0162037037037041E-3</v>
      </c>
      <c r="L947" s="5">
        <f>483 / 86400</f>
        <v>5.5902777777777773E-3</v>
      </c>
    </row>
    <row r="948" spans="1:12" x14ac:dyDescent="0.25">
      <c r="A948" s="3">
        <v>45706.964780092589</v>
      </c>
      <c r="B948" t="s">
        <v>86</v>
      </c>
      <c r="C948" s="3">
        <v>45706.965833333335</v>
      </c>
      <c r="D948" t="s">
        <v>421</v>
      </c>
      <c r="E948" s="4">
        <v>0.13700000000000001</v>
      </c>
      <c r="F948" s="4">
        <v>352662.60800000001</v>
      </c>
      <c r="G948" s="4">
        <v>352662.745</v>
      </c>
      <c r="H948" s="5">
        <f>40 / 86400</f>
        <v>4.6296296296296298E-4</v>
      </c>
      <c r="I948" t="s">
        <v>159</v>
      </c>
      <c r="J948" t="s">
        <v>50</v>
      </c>
      <c r="K948" s="5">
        <f>90 / 86400</f>
        <v>1.0416666666666667E-3</v>
      </c>
      <c r="L948" s="5">
        <f>1754 / 86400</f>
        <v>2.0300925925925927E-2</v>
      </c>
    </row>
    <row r="949" spans="1:12" x14ac:dyDescent="0.25">
      <c r="A949" s="3">
        <v>45706.986134259263</v>
      </c>
      <c r="B949" t="s">
        <v>421</v>
      </c>
      <c r="C949" s="3">
        <v>45706.99695601852</v>
      </c>
      <c r="D949" t="s">
        <v>86</v>
      </c>
      <c r="E949" s="4">
        <v>1.3819999999999999</v>
      </c>
      <c r="F949" s="4">
        <v>352662.745</v>
      </c>
      <c r="G949" s="4">
        <v>352664.12699999998</v>
      </c>
      <c r="H949" s="5">
        <f>539 / 86400</f>
        <v>6.2384259259259259E-3</v>
      </c>
      <c r="I949" t="s">
        <v>158</v>
      </c>
      <c r="J949" t="s">
        <v>50</v>
      </c>
      <c r="K949" s="5">
        <f>934 / 86400</f>
        <v>1.0810185185185185E-2</v>
      </c>
      <c r="L949" s="5">
        <f>13 / 86400</f>
        <v>1.5046296296296297E-4</v>
      </c>
    </row>
    <row r="950" spans="1:12" x14ac:dyDescent="0.25">
      <c r="A950" s="3">
        <v>45706.997106481482</v>
      </c>
      <c r="B950" t="s">
        <v>86</v>
      </c>
      <c r="C950" s="3">
        <v>45706.99998842593</v>
      </c>
      <c r="D950" t="s">
        <v>86</v>
      </c>
      <c r="E950" s="4">
        <v>5.1999999999999998E-2</v>
      </c>
      <c r="F950" s="4">
        <v>352664.12699999998</v>
      </c>
      <c r="G950" s="4">
        <v>352664.179</v>
      </c>
      <c r="H950" s="5">
        <f>164 / 86400</f>
        <v>1.8981481481481482E-3</v>
      </c>
      <c r="I950" t="s">
        <v>32</v>
      </c>
      <c r="J950" t="s">
        <v>163</v>
      </c>
      <c r="K950" s="5">
        <f>249 / 86400</f>
        <v>2.8819444444444444E-3</v>
      </c>
      <c r="L950" s="5">
        <f>0 / 86400</f>
        <v>0</v>
      </c>
    </row>
    <row r="951" spans="1:12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</row>
    <row r="952" spans="1:12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</row>
    <row r="953" spans="1:12" s="10" customFormat="1" ht="20.100000000000001" customHeight="1" x14ac:dyDescent="0.35">
      <c r="A953" s="15" t="s">
        <v>490</v>
      </c>
      <c r="B953" s="15"/>
      <c r="C953" s="15"/>
      <c r="D953" s="15"/>
      <c r="E953" s="15"/>
      <c r="F953" s="15"/>
      <c r="G953" s="15"/>
      <c r="H953" s="15"/>
      <c r="I953" s="15"/>
      <c r="J953" s="15"/>
    </row>
    <row r="954" spans="1:12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</row>
    <row r="955" spans="1:12" ht="30" x14ac:dyDescent="0.25">
      <c r="A955" s="2" t="s">
        <v>6</v>
      </c>
      <c r="B955" s="2" t="s">
        <v>7</v>
      </c>
      <c r="C955" s="2" t="s">
        <v>8</v>
      </c>
      <c r="D955" s="2" t="s">
        <v>9</v>
      </c>
      <c r="E955" s="2" t="s">
        <v>10</v>
      </c>
      <c r="F955" s="2" t="s">
        <v>11</v>
      </c>
      <c r="G955" s="2" t="s">
        <v>12</v>
      </c>
      <c r="H955" s="2" t="s">
        <v>13</v>
      </c>
      <c r="I955" s="2" t="s">
        <v>14</v>
      </c>
      <c r="J955" s="2" t="s">
        <v>15</v>
      </c>
      <c r="K955" s="2" t="s">
        <v>16</v>
      </c>
      <c r="L955" s="2" t="s">
        <v>17</v>
      </c>
    </row>
    <row r="956" spans="1:12" x14ac:dyDescent="0.25">
      <c r="A956" s="3">
        <v>45706.216516203705</v>
      </c>
      <c r="B956" t="s">
        <v>87</v>
      </c>
      <c r="C956" s="3">
        <v>45706.216678240744</v>
      </c>
      <c r="D956" t="s">
        <v>87</v>
      </c>
      <c r="E956" s="4">
        <v>0</v>
      </c>
      <c r="F956" s="4">
        <v>411662.23200000002</v>
      </c>
      <c r="G956" s="4">
        <v>411662.23200000002</v>
      </c>
      <c r="H956" s="5">
        <f>0 / 86400</f>
        <v>0</v>
      </c>
      <c r="I956" t="s">
        <v>82</v>
      </c>
      <c r="J956" t="s">
        <v>82</v>
      </c>
      <c r="K956" s="5">
        <f>13 / 86400</f>
        <v>1.5046296296296297E-4</v>
      </c>
      <c r="L956" s="5">
        <f>18753 / 86400</f>
        <v>0.21704861111111112</v>
      </c>
    </row>
    <row r="957" spans="1:12" x14ac:dyDescent="0.25">
      <c r="A957" s="3">
        <v>45706.217210648145</v>
      </c>
      <c r="B957" t="s">
        <v>87</v>
      </c>
      <c r="C957" s="3">
        <v>45706.230613425927</v>
      </c>
      <c r="D957" t="s">
        <v>192</v>
      </c>
      <c r="E957" s="4">
        <v>9.7579999999999991</v>
      </c>
      <c r="F957" s="4">
        <v>411662.23200000002</v>
      </c>
      <c r="G957" s="4">
        <v>411671.99</v>
      </c>
      <c r="H957" s="5">
        <f>199 / 86400</f>
        <v>2.3032407407407407E-3</v>
      </c>
      <c r="I957" t="s">
        <v>191</v>
      </c>
      <c r="J957" t="s">
        <v>295</v>
      </c>
      <c r="K957" s="5">
        <f>1158 / 86400</f>
        <v>1.3402777777777777E-2</v>
      </c>
      <c r="L957" s="5">
        <f>575 / 86400</f>
        <v>6.6550925925925927E-3</v>
      </c>
    </row>
    <row r="958" spans="1:12" x14ac:dyDescent="0.25">
      <c r="A958" s="3">
        <v>45706.237268518518</v>
      </c>
      <c r="B958" t="s">
        <v>192</v>
      </c>
      <c r="C958" s="3">
        <v>45706.449837962966</v>
      </c>
      <c r="D958" t="s">
        <v>387</v>
      </c>
      <c r="E958" s="4">
        <v>86.424000000000007</v>
      </c>
      <c r="F958" s="4">
        <v>411671.99</v>
      </c>
      <c r="G958" s="4">
        <v>411758.41399999999</v>
      </c>
      <c r="H958" s="5">
        <f>6099 / 86400</f>
        <v>7.059027777777778E-2</v>
      </c>
      <c r="I958" t="s">
        <v>307</v>
      </c>
      <c r="J958" t="s">
        <v>62</v>
      </c>
      <c r="K958" s="5">
        <f>18365 / 86400</f>
        <v>0.21255787037037038</v>
      </c>
      <c r="L958" s="5">
        <f>2443 / 86400</f>
        <v>2.8275462962962964E-2</v>
      </c>
    </row>
    <row r="959" spans="1:12" x14ac:dyDescent="0.25">
      <c r="A959" s="3">
        <v>45706.478113425925</v>
      </c>
      <c r="B959" t="s">
        <v>387</v>
      </c>
      <c r="C959" s="3">
        <v>45706.480636574073</v>
      </c>
      <c r="D959" t="s">
        <v>153</v>
      </c>
      <c r="E959" s="4">
        <v>0.66300000000000003</v>
      </c>
      <c r="F959" s="4">
        <v>411758.41399999999</v>
      </c>
      <c r="G959" s="4">
        <v>411759.07699999999</v>
      </c>
      <c r="H959" s="5">
        <f>19 / 86400</f>
        <v>2.199074074074074E-4</v>
      </c>
      <c r="I959" t="s">
        <v>130</v>
      </c>
      <c r="J959" t="s">
        <v>93</v>
      </c>
      <c r="K959" s="5">
        <f>218 / 86400</f>
        <v>2.5231481481481481E-3</v>
      </c>
      <c r="L959" s="5">
        <f>2258 / 86400</f>
        <v>2.613425925925926E-2</v>
      </c>
    </row>
    <row r="960" spans="1:12" x14ac:dyDescent="0.25">
      <c r="A960" s="3">
        <v>45706.506770833337</v>
      </c>
      <c r="B960" t="s">
        <v>153</v>
      </c>
      <c r="C960" s="3">
        <v>45706.77207175926</v>
      </c>
      <c r="D960" t="s">
        <v>87</v>
      </c>
      <c r="E960" s="4">
        <v>112.059</v>
      </c>
      <c r="F960" s="4">
        <v>411759.07699999999</v>
      </c>
      <c r="G960" s="4">
        <v>411871.136</v>
      </c>
      <c r="H960" s="5">
        <f>7860 / 86400</f>
        <v>9.0972222222222218E-2</v>
      </c>
      <c r="I960" t="s">
        <v>56</v>
      </c>
      <c r="J960" t="s">
        <v>20</v>
      </c>
      <c r="K960" s="5">
        <f>22922 / 86400</f>
        <v>0.26530092592592591</v>
      </c>
      <c r="L960" s="5">
        <f>19692 / 86400</f>
        <v>0.22791666666666666</v>
      </c>
    </row>
    <row r="961" spans="1:1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</row>
    <row r="962" spans="1:1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</row>
    <row r="963" spans="1:12" s="10" customFormat="1" ht="20.100000000000001" customHeight="1" x14ac:dyDescent="0.35">
      <c r="A963" s="15" t="s">
        <v>491</v>
      </c>
      <c r="B963" s="15"/>
      <c r="C963" s="15"/>
      <c r="D963" s="15"/>
      <c r="E963" s="15"/>
      <c r="F963" s="15"/>
      <c r="G963" s="15"/>
      <c r="H963" s="15"/>
      <c r="I963" s="15"/>
      <c r="J963" s="15"/>
    </row>
    <row r="964" spans="1:12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</row>
    <row r="965" spans="1:12" ht="30" x14ac:dyDescent="0.25">
      <c r="A965" s="2" t="s">
        <v>6</v>
      </c>
      <c r="B965" s="2" t="s">
        <v>7</v>
      </c>
      <c r="C965" s="2" t="s">
        <v>8</v>
      </c>
      <c r="D965" s="2" t="s">
        <v>9</v>
      </c>
      <c r="E965" s="2" t="s">
        <v>10</v>
      </c>
      <c r="F965" s="2" t="s">
        <v>11</v>
      </c>
      <c r="G965" s="2" t="s">
        <v>12</v>
      </c>
      <c r="H965" s="2" t="s">
        <v>13</v>
      </c>
      <c r="I965" s="2" t="s">
        <v>14</v>
      </c>
      <c r="J965" s="2" t="s">
        <v>15</v>
      </c>
      <c r="K965" s="2" t="s">
        <v>16</v>
      </c>
      <c r="L965" s="2" t="s">
        <v>17</v>
      </c>
    </row>
    <row r="966" spans="1:12" x14ac:dyDescent="0.25">
      <c r="A966" s="3">
        <v>45706.151909722219</v>
      </c>
      <c r="B966" t="s">
        <v>26</v>
      </c>
      <c r="C966" s="3">
        <v>45706.223738425921</v>
      </c>
      <c r="D966" t="s">
        <v>333</v>
      </c>
      <c r="E966" s="4">
        <v>34.558999999999997</v>
      </c>
      <c r="F966" s="4">
        <v>442399.85</v>
      </c>
      <c r="G966" s="4">
        <v>442434.40899999999</v>
      </c>
      <c r="H966" s="5">
        <f>1408 / 86400</f>
        <v>1.6296296296296295E-2</v>
      </c>
      <c r="I966" t="s">
        <v>80</v>
      </c>
      <c r="J966" t="s">
        <v>35</v>
      </c>
      <c r="K966" s="5">
        <f>6206 / 86400</f>
        <v>7.18287037037037E-2</v>
      </c>
      <c r="L966" s="5">
        <f>13744 / 86400</f>
        <v>0.15907407407407406</v>
      </c>
    </row>
    <row r="967" spans="1:12" x14ac:dyDescent="0.25">
      <c r="A967" s="3">
        <v>45706.230902777781</v>
      </c>
      <c r="B967" t="s">
        <v>333</v>
      </c>
      <c r="C967" s="3">
        <v>45706.331620370373</v>
      </c>
      <c r="D967" t="s">
        <v>153</v>
      </c>
      <c r="E967" s="4">
        <v>50.554000000000002</v>
      </c>
      <c r="F967" s="4">
        <v>442434.40899999999</v>
      </c>
      <c r="G967" s="4">
        <v>442484.96299999999</v>
      </c>
      <c r="H967" s="5">
        <f>1738 / 86400</f>
        <v>2.011574074074074E-2</v>
      </c>
      <c r="I967" t="s">
        <v>61</v>
      </c>
      <c r="J967" t="s">
        <v>136</v>
      </c>
      <c r="K967" s="5">
        <f>8702 / 86400</f>
        <v>0.10071759259259259</v>
      </c>
      <c r="L967" s="5">
        <f>1725 / 86400</f>
        <v>1.9965277777777776E-2</v>
      </c>
    </row>
    <row r="968" spans="1:12" x14ac:dyDescent="0.25">
      <c r="A968" s="3">
        <v>45706.351585648154</v>
      </c>
      <c r="B968" t="s">
        <v>153</v>
      </c>
      <c r="C968" s="3">
        <v>45706.489548611113</v>
      </c>
      <c r="D968" t="s">
        <v>154</v>
      </c>
      <c r="E968" s="4">
        <v>51.198999999999998</v>
      </c>
      <c r="F968" s="4">
        <v>442484.96299999999</v>
      </c>
      <c r="G968" s="4">
        <v>442536.16200000001</v>
      </c>
      <c r="H968" s="5">
        <f>4279 / 86400</f>
        <v>4.9525462962962966E-2</v>
      </c>
      <c r="I968" t="s">
        <v>61</v>
      </c>
      <c r="J968" t="s">
        <v>38</v>
      </c>
      <c r="K968" s="5">
        <f>11920 / 86400</f>
        <v>0.13796296296296295</v>
      </c>
      <c r="L968" s="5">
        <f>3815 / 86400</f>
        <v>4.4155092592592593E-2</v>
      </c>
    </row>
    <row r="969" spans="1:12" x14ac:dyDescent="0.25">
      <c r="A969" s="3">
        <v>45706.533703703702</v>
      </c>
      <c r="B969" t="s">
        <v>154</v>
      </c>
      <c r="C969" s="3">
        <v>45706.707557870366</v>
      </c>
      <c r="D969" t="s">
        <v>91</v>
      </c>
      <c r="E969" s="4">
        <v>70.316999999999993</v>
      </c>
      <c r="F969" s="4">
        <v>442536.16200000001</v>
      </c>
      <c r="G969" s="4">
        <v>442606.47899999999</v>
      </c>
      <c r="H969" s="5">
        <f>5082 / 86400</f>
        <v>5.8819444444444445E-2</v>
      </c>
      <c r="I969" t="s">
        <v>33</v>
      </c>
      <c r="J969" t="s">
        <v>62</v>
      </c>
      <c r="K969" s="5">
        <f>15021 / 86400</f>
        <v>0.17385416666666667</v>
      </c>
      <c r="L969" s="5">
        <f>226 / 86400</f>
        <v>2.6157407407407405E-3</v>
      </c>
    </row>
    <row r="970" spans="1:12" x14ac:dyDescent="0.25">
      <c r="A970" s="3">
        <v>45706.710173611107</v>
      </c>
      <c r="B970" t="s">
        <v>91</v>
      </c>
      <c r="C970" s="3">
        <v>45706.71025462963</v>
      </c>
      <c r="D970" t="s">
        <v>91</v>
      </c>
      <c r="E970" s="4">
        <v>0</v>
      </c>
      <c r="F970" s="4">
        <v>442606.47899999999</v>
      </c>
      <c r="G970" s="4">
        <v>442606.47899999999</v>
      </c>
      <c r="H970" s="5">
        <f>0 / 86400</f>
        <v>0</v>
      </c>
      <c r="I970" t="s">
        <v>82</v>
      </c>
      <c r="J970" t="s">
        <v>82</v>
      </c>
      <c r="K970" s="5">
        <f>6 / 86400</f>
        <v>6.9444444444444444E-5</v>
      </c>
      <c r="L970" s="5">
        <f>3608 / 86400</f>
        <v>4.175925925925926E-2</v>
      </c>
    </row>
    <row r="971" spans="1:12" x14ac:dyDescent="0.25">
      <c r="A971" s="3">
        <v>45706.752013888894</v>
      </c>
      <c r="B971" t="s">
        <v>91</v>
      </c>
      <c r="C971" s="3">
        <v>45706.75273148148</v>
      </c>
      <c r="D971" t="s">
        <v>91</v>
      </c>
      <c r="E971" s="4">
        <v>1.2999999999999999E-2</v>
      </c>
      <c r="F971" s="4">
        <v>442606.47899999999</v>
      </c>
      <c r="G971" s="4">
        <v>442606.49200000003</v>
      </c>
      <c r="H971" s="5">
        <f>25 / 86400</f>
        <v>2.8935185185185184E-4</v>
      </c>
      <c r="I971" t="s">
        <v>170</v>
      </c>
      <c r="J971" t="s">
        <v>163</v>
      </c>
      <c r="K971" s="5">
        <f>62 / 86400</f>
        <v>7.1759259259259259E-4</v>
      </c>
      <c r="L971" s="5">
        <f>2945 / 86400</f>
        <v>3.408564814814815E-2</v>
      </c>
    </row>
    <row r="972" spans="1:12" x14ac:dyDescent="0.25">
      <c r="A972" s="3">
        <v>45706.786817129629</v>
      </c>
      <c r="B972" t="s">
        <v>91</v>
      </c>
      <c r="C972" s="3">
        <v>45706.804537037038</v>
      </c>
      <c r="D972" t="s">
        <v>26</v>
      </c>
      <c r="E972" s="4">
        <v>5.3390000000000004</v>
      </c>
      <c r="F972" s="4">
        <v>442606.49200000003</v>
      </c>
      <c r="G972" s="4">
        <v>442611.83100000001</v>
      </c>
      <c r="H972" s="5">
        <f>380 / 86400</f>
        <v>4.3981481481481484E-3</v>
      </c>
      <c r="I972" t="s">
        <v>139</v>
      </c>
      <c r="J972" t="s">
        <v>44</v>
      </c>
      <c r="K972" s="5">
        <f>1530 / 86400</f>
        <v>1.7708333333333333E-2</v>
      </c>
      <c r="L972" s="5">
        <f>16887 / 86400</f>
        <v>0.19545138888888888</v>
      </c>
    </row>
    <row r="973" spans="1:1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</row>
    <row r="974" spans="1:12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</row>
    <row r="975" spans="1:12" s="10" customFormat="1" ht="20.100000000000001" customHeight="1" x14ac:dyDescent="0.35">
      <c r="A975" s="15" t="s">
        <v>492</v>
      </c>
      <c r="B975" s="15"/>
      <c r="C975" s="15"/>
      <c r="D975" s="15"/>
      <c r="E975" s="15"/>
      <c r="F975" s="15"/>
      <c r="G975" s="15"/>
      <c r="H975" s="15"/>
      <c r="I975" s="15"/>
      <c r="J975" s="15"/>
    </row>
    <row r="976" spans="1:12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</row>
    <row r="977" spans="1:12" ht="30" x14ac:dyDescent="0.25">
      <c r="A977" s="2" t="s">
        <v>6</v>
      </c>
      <c r="B977" s="2" t="s">
        <v>7</v>
      </c>
      <c r="C977" s="2" t="s">
        <v>8</v>
      </c>
      <c r="D977" s="2" t="s">
        <v>9</v>
      </c>
      <c r="E977" s="2" t="s">
        <v>10</v>
      </c>
      <c r="F977" s="2" t="s">
        <v>11</v>
      </c>
      <c r="G977" s="2" t="s">
        <v>12</v>
      </c>
      <c r="H977" s="2" t="s">
        <v>13</v>
      </c>
      <c r="I977" s="2" t="s">
        <v>14</v>
      </c>
      <c r="J977" s="2" t="s">
        <v>15</v>
      </c>
      <c r="K977" s="2" t="s">
        <v>16</v>
      </c>
      <c r="L977" s="2" t="s">
        <v>17</v>
      </c>
    </row>
    <row r="978" spans="1:12" x14ac:dyDescent="0.25">
      <c r="A978" s="3">
        <v>45706.233726851853</v>
      </c>
      <c r="B978" t="s">
        <v>88</v>
      </c>
      <c r="C978" s="3">
        <v>45706.345416666663</v>
      </c>
      <c r="D978" t="s">
        <v>333</v>
      </c>
      <c r="E978" s="4">
        <v>46.841000000000001</v>
      </c>
      <c r="F978" s="4">
        <v>474744.80800000002</v>
      </c>
      <c r="G978" s="4">
        <v>474791.64899999998</v>
      </c>
      <c r="H978" s="5">
        <f>3359 / 86400</f>
        <v>3.8877314814814816E-2</v>
      </c>
      <c r="I978" t="s">
        <v>30</v>
      </c>
      <c r="J978" t="s">
        <v>62</v>
      </c>
      <c r="K978" s="5">
        <f>9649 / 86400</f>
        <v>0.11167824074074074</v>
      </c>
      <c r="L978" s="5">
        <f>20344 / 86400</f>
        <v>0.23546296296296296</v>
      </c>
    </row>
    <row r="979" spans="1:12" x14ac:dyDescent="0.25">
      <c r="A979" s="3">
        <v>45706.347152777773</v>
      </c>
      <c r="B979" t="s">
        <v>333</v>
      </c>
      <c r="C979" s="3">
        <v>45706.486817129626</v>
      </c>
      <c r="D979" t="s">
        <v>153</v>
      </c>
      <c r="E979" s="4">
        <v>50.713999999999999</v>
      </c>
      <c r="F979" s="4">
        <v>474791.64899999998</v>
      </c>
      <c r="G979" s="4">
        <v>474842.36300000001</v>
      </c>
      <c r="H979" s="5">
        <f>3941 / 86400</f>
        <v>4.5613425925925925E-2</v>
      </c>
      <c r="I979" t="s">
        <v>71</v>
      </c>
      <c r="J979" t="s">
        <v>38</v>
      </c>
      <c r="K979" s="5">
        <f>12066 / 86400</f>
        <v>0.13965277777777776</v>
      </c>
      <c r="L979" s="5">
        <f>108 / 86400</f>
        <v>1.25E-3</v>
      </c>
    </row>
    <row r="980" spans="1:12" x14ac:dyDescent="0.25">
      <c r="A980" s="3">
        <v>45706.488067129627</v>
      </c>
      <c r="B980" t="s">
        <v>153</v>
      </c>
      <c r="C980" s="3">
        <v>45706.491608796292</v>
      </c>
      <c r="D980" t="s">
        <v>122</v>
      </c>
      <c r="E980" s="4">
        <v>0.92700000000000005</v>
      </c>
      <c r="F980" s="4">
        <v>474842.36300000001</v>
      </c>
      <c r="G980" s="4">
        <v>474843.29</v>
      </c>
      <c r="H980" s="5">
        <f>0 / 86400</f>
        <v>0</v>
      </c>
      <c r="I980" t="s">
        <v>28</v>
      </c>
      <c r="J980" t="s">
        <v>93</v>
      </c>
      <c r="K980" s="5">
        <f>305 / 86400</f>
        <v>3.5300925925925925E-3</v>
      </c>
      <c r="L980" s="5">
        <f>1511 / 86400</f>
        <v>1.7488425925925925E-2</v>
      </c>
    </row>
    <row r="981" spans="1:12" x14ac:dyDescent="0.25">
      <c r="A981" s="3">
        <v>45706.509097222224</v>
      </c>
      <c r="B981" t="s">
        <v>122</v>
      </c>
      <c r="C981" s="3">
        <v>45706.513252314813</v>
      </c>
      <c r="D981" t="s">
        <v>375</v>
      </c>
      <c r="E981" s="4">
        <v>1.196</v>
      </c>
      <c r="F981" s="4">
        <v>474843.29</v>
      </c>
      <c r="G981" s="4">
        <v>474844.48599999998</v>
      </c>
      <c r="H981" s="5">
        <f>80 / 86400</f>
        <v>9.2592592592592596E-4</v>
      </c>
      <c r="I981" t="s">
        <v>169</v>
      </c>
      <c r="J981" t="s">
        <v>25</v>
      </c>
      <c r="K981" s="5">
        <f>358 / 86400</f>
        <v>4.1435185185185186E-3</v>
      </c>
      <c r="L981" s="5">
        <f>763 / 86400</f>
        <v>8.8310185185185193E-3</v>
      </c>
    </row>
    <row r="982" spans="1:12" x14ac:dyDescent="0.25">
      <c r="A982" s="3">
        <v>45706.52208333333</v>
      </c>
      <c r="B982" t="s">
        <v>375</v>
      </c>
      <c r="C982" s="3">
        <v>45706.523148148146</v>
      </c>
      <c r="D982" t="s">
        <v>137</v>
      </c>
      <c r="E982" s="4">
        <v>0.23</v>
      </c>
      <c r="F982" s="4">
        <v>474844.48599999998</v>
      </c>
      <c r="G982" s="4">
        <v>474844.71600000001</v>
      </c>
      <c r="H982" s="5">
        <f>0 / 86400</f>
        <v>0</v>
      </c>
      <c r="I982" t="s">
        <v>28</v>
      </c>
      <c r="J982" t="s">
        <v>171</v>
      </c>
      <c r="K982" s="5">
        <f>91 / 86400</f>
        <v>1.0532407407407407E-3</v>
      </c>
      <c r="L982" s="5">
        <f>605 / 86400</f>
        <v>7.0023148148148145E-3</v>
      </c>
    </row>
    <row r="983" spans="1:12" x14ac:dyDescent="0.25">
      <c r="A983" s="3">
        <v>45706.530150462961</v>
      </c>
      <c r="B983" t="s">
        <v>137</v>
      </c>
      <c r="C983" s="3">
        <v>45706.535636574074</v>
      </c>
      <c r="D983" t="s">
        <v>39</v>
      </c>
      <c r="E983" s="4">
        <v>1.0720000000000001</v>
      </c>
      <c r="F983" s="4">
        <v>474844.71600000001</v>
      </c>
      <c r="G983" s="4">
        <v>474845.788</v>
      </c>
      <c r="H983" s="5">
        <f>220 / 86400</f>
        <v>2.5462962962962965E-3</v>
      </c>
      <c r="I983" t="s">
        <v>156</v>
      </c>
      <c r="J983" t="s">
        <v>147</v>
      </c>
      <c r="K983" s="5">
        <f>473 / 86400</f>
        <v>5.4745370370370373E-3</v>
      </c>
      <c r="L983" s="5">
        <f>4303 / 86400</f>
        <v>4.9803240740740738E-2</v>
      </c>
    </row>
    <row r="984" spans="1:12" x14ac:dyDescent="0.25">
      <c r="A984" s="3">
        <v>45706.585439814815</v>
      </c>
      <c r="B984" t="s">
        <v>39</v>
      </c>
      <c r="C984" s="3">
        <v>45706.591793981483</v>
      </c>
      <c r="D984" t="s">
        <v>122</v>
      </c>
      <c r="E984" s="4">
        <v>0.373</v>
      </c>
      <c r="F984" s="4">
        <v>474845.788</v>
      </c>
      <c r="G984" s="4">
        <v>474846.16100000002</v>
      </c>
      <c r="H984" s="5">
        <f>418 / 86400</f>
        <v>4.8379629629629632E-3</v>
      </c>
      <c r="I984" t="s">
        <v>28</v>
      </c>
      <c r="J984" t="s">
        <v>111</v>
      </c>
      <c r="K984" s="5">
        <f>548 / 86400</f>
        <v>6.3425925925925924E-3</v>
      </c>
      <c r="L984" s="5">
        <f>1521 / 86400</f>
        <v>1.7604166666666667E-2</v>
      </c>
    </row>
    <row r="985" spans="1:12" x14ac:dyDescent="0.25">
      <c r="A985" s="3">
        <v>45706.609398148154</v>
      </c>
      <c r="B985" t="s">
        <v>122</v>
      </c>
      <c r="C985" s="3">
        <v>45706.840740740736</v>
      </c>
      <c r="D985" t="s">
        <v>88</v>
      </c>
      <c r="E985" s="4">
        <v>91.316000000000003</v>
      </c>
      <c r="F985" s="4">
        <v>474846.16100000002</v>
      </c>
      <c r="G985" s="4">
        <v>474937.47700000001</v>
      </c>
      <c r="H985" s="5">
        <f>5901 / 86400</f>
        <v>6.8298611111111115E-2</v>
      </c>
      <c r="I985" t="s">
        <v>30</v>
      </c>
      <c r="J985" t="s">
        <v>28</v>
      </c>
      <c r="K985" s="5">
        <f>19987 / 86400</f>
        <v>0.23133101851851851</v>
      </c>
      <c r="L985" s="5">
        <f>13759 / 86400</f>
        <v>0.15924768518518517</v>
      </c>
    </row>
    <row r="986" spans="1:1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</row>
    <row r="987" spans="1:12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</row>
    <row r="988" spans="1:12" s="10" customFormat="1" ht="20.100000000000001" customHeight="1" x14ac:dyDescent="0.35">
      <c r="A988" s="15" t="s">
        <v>493</v>
      </c>
      <c r="B988" s="15"/>
      <c r="C988" s="15"/>
      <c r="D988" s="15"/>
      <c r="E988" s="15"/>
      <c r="F988" s="15"/>
      <c r="G988" s="15"/>
      <c r="H988" s="15"/>
      <c r="I988" s="15"/>
      <c r="J988" s="15"/>
    </row>
    <row r="989" spans="1:1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</row>
    <row r="990" spans="1:12" ht="30" x14ac:dyDescent="0.25">
      <c r="A990" s="2" t="s">
        <v>6</v>
      </c>
      <c r="B990" s="2" t="s">
        <v>7</v>
      </c>
      <c r="C990" s="2" t="s">
        <v>8</v>
      </c>
      <c r="D990" s="2" t="s">
        <v>9</v>
      </c>
      <c r="E990" s="2" t="s">
        <v>10</v>
      </c>
      <c r="F990" s="2" t="s">
        <v>11</v>
      </c>
      <c r="G990" s="2" t="s">
        <v>12</v>
      </c>
      <c r="H990" s="2" t="s">
        <v>13</v>
      </c>
      <c r="I990" s="2" t="s">
        <v>14</v>
      </c>
      <c r="J990" s="2" t="s">
        <v>15</v>
      </c>
      <c r="K990" s="2" t="s">
        <v>16</v>
      </c>
      <c r="L990" s="2" t="s">
        <v>17</v>
      </c>
    </row>
    <row r="991" spans="1:12" x14ac:dyDescent="0.25">
      <c r="A991" s="3">
        <v>45706</v>
      </c>
      <c r="B991" t="s">
        <v>89</v>
      </c>
      <c r="C991" s="3">
        <v>45706.000949074078</v>
      </c>
      <c r="D991" t="s">
        <v>84</v>
      </c>
      <c r="E991" s="4">
        <v>0.41899999999999998</v>
      </c>
      <c r="F991" s="4">
        <v>415089.87599999999</v>
      </c>
      <c r="G991" s="4">
        <v>415090.29499999998</v>
      </c>
      <c r="H991" s="5">
        <f>0 / 86400</f>
        <v>0</v>
      </c>
      <c r="I991" t="s">
        <v>135</v>
      </c>
      <c r="J991" t="s">
        <v>20</v>
      </c>
      <c r="K991" s="5">
        <f>82 / 86400</f>
        <v>9.4907407407407408E-4</v>
      </c>
      <c r="L991" s="5">
        <f>2266 / 86400</f>
        <v>2.6226851851851852E-2</v>
      </c>
    </row>
    <row r="992" spans="1:12" x14ac:dyDescent="0.25">
      <c r="A992" s="3">
        <v>45706.027175925927</v>
      </c>
      <c r="B992" t="s">
        <v>84</v>
      </c>
      <c r="C992" s="3">
        <v>45706.029594907406</v>
      </c>
      <c r="D992" t="s">
        <v>84</v>
      </c>
      <c r="E992" s="4">
        <v>0.39</v>
      </c>
      <c r="F992" s="4">
        <v>415090.29499999998</v>
      </c>
      <c r="G992" s="4">
        <v>415090.685</v>
      </c>
      <c r="H992" s="5">
        <f>80 / 86400</f>
        <v>9.2592592592592596E-4</v>
      </c>
      <c r="I992" t="s">
        <v>136</v>
      </c>
      <c r="J992" t="s">
        <v>150</v>
      </c>
      <c r="K992" s="5">
        <f>208 / 86400</f>
        <v>2.4074074074074076E-3</v>
      </c>
      <c r="L992" s="5">
        <f>9636 / 86400</f>
        <v>0.11152777777777778</v>
      </c>
    </row>
    <row r="993" spans="1:12" x14ac:dyDescent="0.25">
      <c r="A993" s="3">
        <v>45706.141122685185</v>
      </c>
      <c r="B993" t="s">
        <v>84</v>
      </c>
      <c r="C993" s="3">
        <v>45706.15048611111</v>
      </c>
      <c r="D993" t="s">
        <v>392</v>
      </c>
      <c r="E993" s="4">
        <v>0.98599999999999999</v>
      </c>
      <c r="F993" s="4">
        <v>415090.685</v>
      </c>
      <c r="G993" s="4">
        <v>415091.67099999997</v>
      </c>
      <c r="H993" s="5">
        <f>499 / 86400</f>
        <v>5.7754629629629631E-3</v>
      </c>
      <c r="I993" t="s">
        <v>35</v>
      </c>
      <c r="J993" t="s">
        <v>127</v>
      </c>
      <c r="K993" s="5">
        <f>809 / 86400</f>
        <v>9.3634259259259261E-3</v>
      </c>
      <c r="L993" s="5">
        <f>738 / 86400</f>
        <v>8.5416666666666662E-3</v>
      </c>
    </row>
    <row r="994" spans="1:12" x14ac:dyDescent="0.25">
      <c r="A994" s="3">
        <v>45706.15902777778</v>
      </c>
      <c r="B994" t="s">
        <v>392</v>
      </c>
      <c r="C994" s="3">
        <v>45706.167233796295</v>
      </c>
      <c r="D994" t="s">
        <v>181</v>
      </c>
      <c r="E994" s="4">
        <v>1.744</v>
      </c>
      <c r="F994" s="4">
        <v>415091.67099999997</v>
      </c>
      <c r="G994" s="4">
        <v>415093.41499999998</v>
      </c>
      <c r="H994" s="5">
        <f>378 / 86400</f>
        <v>4.3750000000000004E-3</v>
      </c>
      <c r="I994" t="s">
        <v>209</v>
      </c>
      <c r="J994" t="s">
        <v>171</v>
      </c>
      <c r="K994" s="5">
        <f>709 / 86400</f>
        <v>8.2060185185185187E-3</v>
      </c>
      <c r="L994" s="5">
        <f>176 / 86400</f>
        <v>2.0370370370370369E-3</v>
      </c>
    </row>
    <row r="995" spans="1:12" x14ac:dyDescent="0.25">
      <c r="A995" s="3">
        <v>45706.169270833328</v>
      </c>
      <c r="B995" t="s">
        <v>181</v>
      </c>
      <c r="C995" s="3">
        <v>45706.241493055553</v>
      </c>
      <c r="D995" t="s">
        <v>333</v>
      </c>
      <c r="E995" s="4">
        <v>35.274000000000001</v>
      </c>
      <c r="F995" s="4">
        <v>415093.41499999998</v>
      </c>
      <c r="G995" s="4">
        <v>415128.68900000001</v>
      </c>
      <c r="H995" s="5">
        <f>1779 / 86400</f>
        <v>2.0590277777777777E-2</v>
      </c>
      <c r="I995" t="s">
        <v>22</v>
      </c>
      <c r="J995" t="s">
        <v>35</v>
      </c>
      <c r="K995" s="5">
        <f>6239 / 86400</f>
        <v>7.2210648148148149E-2</v>
      </c>
      <c r="L995" s="5">
        <f>418 / 86400</f>
        <v>4.8379629629629632E-3</v>
      </c>
    </row>
    <row r="996" spans="1:12" x14ac:dyDescent="0.25">
      <c r="A996" s="3">
        <v>45706.246331018519</v>
      </c>
      <c r="B996" t="s">
        <v>333</v>
      </c>
      <c r="C996" s="3">
        <v>45706.24836805556</v>
      </c>
      <c r="D996" t="s">
        <v>384</v>
      </c>
      <c r="E996" s="4">
        <v>7.9000000000000001E-2</v>
      </c>
      <c r="F996" s="4">
        <v>415128.68900000001</v>
      </c>
      <c r="G996" s="4">
        <v>415128.76799999998</v>
      </c>
      <c r="H996" s="5">
        <f>119 / 86400</f>
        <v>1.3773148148148147E-3</v>
      </c>
      <c r="I996" t="s">
        <v>159</v>
      </c>
      <c r="J996" t="s">
        <v>111</v>
      </c>
      <c r="K996" s="5">
        <f>176 / 86400</f>
        <v>2.0370370370370369E-3</v>
      </c>
      <c r="L996" s="5">
        <f>219 / 86400</f>
        <v>2.5347222222222221E-3</v>
      </c>
    </row>
    <row r="997" spans="1:12" x14ac:dyDescent="0.25">
      <c r="A997" s="3">
        <v>45706.250902777778</v>
      </c>
      <c r="B997" t="s">
        <v>384</v>
      </c>
      <c r="C997" s="3">
        <v>45706.251296296294</v>
      </c>
      <c r="D997" t="s">
        <v>384</v>
      </c>
      <c r="E997" s="4">
        <v>3.0000000000000001E-3</v>
      </c>
      <c r="F997" s="4">
        <v>415128.76799999998</v>
      </c>
      <c r="G997" s="4">
        <v>415128.77100000001</v>
      </c>
      <c r="H997" s="5">
        <f>19 / 86400</f>
        <v>2.199074074074074E-4</v>
      </c>
      <c r="I997" t="s">
        <v>82</v>
      </c>
      <c r="J997" t="s">
        <v>82</v>
      </c>
      <c r="K997" s="5">
        <f>34 / 86400</f>
        <v>3.9351851851851852E-4</v>
      </c>
      <c r="L997" s="5">
        <f>30 / 86400</f>
        <v>3.4722222222222224E-4</v>
      </c>
    </row>
    <row r="998" spans="1:12" x14ac:dyDescent="0.25">
      <c r="A998" s="3">
        <v>45706.251643518517</v>
      </c>
      <c r="B998" t="s">
        <v>384</v>
      </c>
      <c r="C998" s="3">
        <v>45706.251932870371</v>
      </c>
      <c r="D998" t="s">
        <v>384</v>
      </c>
      <c r="E998" s="4">
        <v>3.0000000000000001E-3</v>
      </c>
      <c r="F998" s="4">
        <v>415128.77100000001</v>
      </c>
      <c r="G998" s="4">
        <v>415128.77399999998</v>
      </c>
      <c r="H998" s="5">
        <f>19 / 86400</f>
        <v>2.199074074074074E-4</v>
      </c>
      <c r="I998" t="s">
        <v>82</v>
      </c>
      <c r="J998" t="s">
        <v>82</v>
      </c>
      <c r="K998" s="5">
        <f>25 / 86400</f>
        <v>2.8935185185185184E-4</v>
      </c>
      <c r="L998" s="5">
        <f>153 / 86400</f>
        <v>1.7708333333333332E-3</v>
      </c>
    </row>
    <row r="999" spans="1:12" x14ac:dyDescent="0.25">
      <c r="A999" s="3">
        <v>45706.253703703704</v>
      </c>
      <c r="B999" t="s">
        <v>384</v>
      </c>
      <c r="C999" s="3">
        <v>45706.36954861111</v>
      </c>
      <c r="D999" t="s">
        <v>153</v>
      </c>
      <c r="E999" s="4">
        <v>50.518999999999998</v>
      </c>
      <c r="F999" s="4">
        <v>415128.77399999998</v>
      </c>
      <c r="G999" s="4">
        <v>415179.29300000001</v>
      </c>
      <c r="H999" s="5">
        <f>2960 / 86400</f>
        <v>3.425925925925926E-2</v>
      </c>
      <c r="I999" t="s">
        <v>43</v>
      </c>
      <c r="J999" t="s">
        <v>20</v>
      </c>
      <c r="K999" s="5">
        <f>10009 / 86400</f>
        <v>0.11584490740740741</v>
      </c>
      <c r="L999" s="5">
        <f>433 / 86400</f>
        <v>5.0115740740740737E-3</v>
      </c>
    </row>
    <row r="1000" spans="1:12" x14ac:dyDescent="0.25">
      <c r="A1000" s="3">
        <v>45706.374560185184</v>
      </c>
      <c r="B1000" t="s">
        <v>153</v>
      </c>
      <c r="C1000" s="3">
        <v>45706.376400462963</v>
      </c>
      <c r="D1000" t="s">
        <v>48</v>
      </c>
      <c r="E1000" s="4">
        <v>0.72399999999999998</v>
      </c>
      <c r="F1000" s="4">
        <v>415179.29300000001</v>
      </c>
      <c r="G1000" s="4">
        <v>415180.01699999999</v>
      </c>
      <c r="H1000" s="5">
        <f>20 / 86400</f>
        <v>2.3148148148148149E-4</v>
      </c>
      <c r="I1000" t="s">
        <v>182</v>
      </c>
      <c r="J1000" t="s">
        <v>28</v>
      </c>
      <c r="K1000" s="5">
        <f>158 / 86400</f>
        <v>1.8287037037037037E-3</v>
      </c>
      <c r="L1000" s="5">
        <f>3036 / 86400</f>
        <v>3.5138888888888886E-2</v>
      </c>
    </row>
    <row r="1001" spans="1:12" x14ac:dyDescent="0.25">
      <c r="A1001" s="3">
        <v>45706.411539351851</v>
      </c>
      <c r="B1001" t="s">
        <v>48</v>
      </c>
      <c r="C1001" s="3">
        <v>45706.417002314818</v>
      </c>
      <c r="D1001" t="s">
        <v>157</v>
      </c>
      <c r="E1001" s="4">
        <v>1.1870000000000001</v>
      </c>
      <c r="F1001" s="4">
        <v>415180.01699999999</v>
      </c>
      <c r="G1001" s="4">
        <v>415181.20400000003</v>
      </c>
      <c r="H1001" s="5">
        <f>139 / 86400</f>
        <v>1.6087962962962963E-3</v>
      </c>
      <c r="I1001" t="s">
        <v>295</v>
      </c>
      <c r="J1001" t="s">
        <v>171</v>
      </c>
      <c r="K1001" s="5">
        <f>472 / 86400</f>
        <v>5.4629629629629629E-3</v>
      </c>
      <c r="L1001" s="5">
        <f>486 / 86400</f>
        <v>5.6249999999999998E-3</v>
      </c>
    </row>
    <row r="1002" spans="1:12" x14ac:dyDescent="0.25">
      <c r="A1002" s="3">
        <v>45706.422627314816</v>
      </c>
      <c r="B1002" t="s">
        <v>157</v>
      </c>
      <c r="C1002" s="3">
        <v>45706.484421296293</v>
      </c>
      <c r="D1002" t="s">
        <v>95</v>
      </c>
      <c r="E1002" s="4">
        <v>30.417999999999999</v>
      </c>
      <c r="F1002" s="4">
        <v>415181.20400000003</v>
      </c>
      <c r="G1002" s="4">
        <v>415211.62199999997</v>
      </c>
      <c r="H1002" s="5">
        <f>1899 / 86400</f>
        <v>2.1979166666666668E-2</v>
      </c>
      <c r="I1002" t="s">
        <v>90</v>
      </c>
      <c r="J1002" t="s">
        <v>136</v>
      </c>
      <c r="K1002" s="5">
        <f>5338 / 86400</f>
        <v>6.1782407407407404E-2</v>
      </c>
      <c r="L1002" s="5">
        <f>1 / 86400</f>
        <v>1.1574074074074073E-5</v>
      </c>
    </row>
    <row r="1003" spans="1:12" x14ac:dyDescent="0.25">
      <c r="A1003" s="3">
        <v>45706.484432870369</v>
      </c>
      <c r="B1003" t="s">
        <v>95</v>
      </c>
      <c r="C1003" s="3">
        <v>45706.513472222221</v>
      </c>
      <c r="D1003" t="s">
        <v>231</v>
      </c>
      <c r="E1003" s="4">
        <v>11.225</v>
      </c>
      <c r="F1003" s="4">
        <v>415211.62199999997</v>
      </c>
      <c r="G1003" s="4">
        <v>415222.84700000001</v>
      </c>
      <c r="H1003" s="5">
        <f>817 / 86400</f>
        <v>9.4560185185185181E-3</v>
      </c>
      <c r="I1003" t="s">
        <v>60</v>
      </c>
      <c r="J1003" t="s">
        <v>28</v>
      </c>
      <c r="K1003" s="5">
        <f>2509 / 86400</f>
        <v>2.9039351851851851E-2</v>
      </c>
      <c r="L1003" s="5">
        <f>1 / 86400</f>
        <v>1.1574074074074073E-5</v>
      </c>
    </row>
    <row r="1004" spans="1:12" x14ac:dyDescent="0.25">
      <c r="A1004" s="3">
        <v>45706.513483796298</v>
      </c>
      <c r="B1004" t="s">
        <v>231</v>
      </c>
      <c r="C1004" s="3">
        <v>45706.539004629631</v>
      </c>
      <c r="D1004" t="s">
        <v>256</v>
      </c>
      <c r="E1004" s="4">
        <v>7.7629999999999999</v>
      </c>
      <c r="F1004" s="4">
        <v>415222.84700000001</v>
      </c>
      <c r="G1004" s="4">
        <v>415230.61</v>
      </c>
      <c r="H1004" s="5">
        <f>781 / 86400</f>
        <v>9.0393518518518522E-3</v>
      </c>
      <c r="I1004" t="s">
        <v>41</v>
      </c>
      <c r="J1004" t="s">
        <v>44</v>
      </c>
      <c r="K1004" s="5">
        <f>2205 / 86400</f>
        <v>2.5520833333333333E-2</v>
      </c>
      <c r="L1004" s="5">
        <f>391 / 86400</f>
        <v>4.5254629629629629E-3</v>
      </c>
    </row>
    <row r="1005" spans="1:12" x14ac:dyDescent="0.25">
      <c r="A1005" s="3">
        <v>45706.543530092589</v>
      </c>
      <c r="B1005" t="s">
        <v>256</v>
      </c>
      <c r="C1005" s="3">
        <v>45706.620497685188</v>
      </c>
      <c r="D1005" t="s">
        <v>83</v>
      </c>
      <c r="E1005" s="4">
        <v>24.186</v>
      </c>
      <c r="F1005" s="4">
        <v>415230.61</v>
      </c>
      <c r="G1005" s="4">
        <v>415254.79599999997</v>
      </c>
      <c r="H1005" s="5">
        <f>3121 / 86400</f>
        <v>3.6122685185185188E-2</v>
      </c>
      <c r="I1005" t="s">
        <v>64</v>
      </c>
      <c r="J1005" t="s">
        <v>44</v>
      </c>
      <c r="K1005" s="5">
        <f>6649 / 86400</f>
        <v>7.6956018518518521E-2</v>
      </c>
      <c r="L1005" s="5">
        <f>771 / 86400</f>
        <v>8.9236111111111113E-3</v>
      </c>
    </row>
    <row r="1006" spans="1:12" x14ac:dyDescent="0.25">
      <c r="A1006" s="3">
        <v>45706.629421296297</v>
      </c>
      <c r="B1006" t="s">
        <v>83</v>
      </c>
      <c r="C1006" s="3">
        <v>45706.634224537032</v>
      </c>
      <c r="D1006" t="s">
        <v>84</v>
      </c>
      <c r="E1006" s="4">
        <v>1.716</v>
      </c>
      <c r="F1006" s="4">
        <v>415254.79599999997</v>
      </c>
      <c r="G1006" s="4">
        <v>415256.51199999999</v>
      </c>
      <c r="H1006" s="5">
        <f>119 / 86400</f>
        <v>1.3773148148148147E-3</v>
      </c>
      <c r="I1006" t="s">
        <v>211</v>
      </c>
      <c r="J1006" t="s">
        <v>38</v>
      </c>
      <c r="K1006" s="5">
        <f>415 / 86400</f>
        <v>4.8032407407407407E-3</v>
      </c>
      <c r="L1006" s="5">
        <f>460 / 86400</f>
        <v>5.324074074074074E-3</v>
      </c>
    </row>
    <row r="1007" spans="1:12" x14ac:dyDescent="0.25">
      <c r="A1007" s="3">
        <v>45706.639548611114</v>
      </c>
      <c r="B1007" t="s">
        <v>84</v>
      </c>
      <c r="C1007" s="3">
        <v>45706.816203703704</v>
      </c>
      <c r="D1007" t="s">
        <v>303</v>
      </c>
      <c r="E1007" s="4">
        <v>79.703999999999994</v>
      </c>
      <c r="F1007" s="4">
        <v>415256.51199999999</v>
      </c>
      <c r="G1007" s="4">
        <v>415336.21600000001</v>
      </c>
      <c r="H1007" s="5">
        <f>5699 / 86400</f>
        <v>6.5960648148148143E-2</v>
      </c>
      <c r="I1007" t="s">
        <v>19</v>
      </c>
      <c r="J1007" t="s">
        <v>79</v>
      </c>
      <c r="K1007" s="5">
        <f>15263 / 86400</f>
        <v>0.1766550925925926</v>
      </c>
      <c r="L1007" s="5">
        <f>85 / 86400</f>
        <v>9.837962962962962E-4</v>
      </c>
    </row>
    <row r="1008" spans="1:12" x14ac:dyDescent="0.25">
      <c r="A1008" s="3">
        <v>45706.817187499997</v>
      </c>
      <c r="B1008" t="s">
        <v>303</v>
      </c>
      <c r="C1008" s="3">
        <v>45706.817326388889</v>
      </c>
      <c r="D1008" t="s">
        <v>303</v>
      </c>
      <c r="E1008" s="4">
        <v>2E-3</v>
      </c>
      <c r="F1008" s="4">
        <v>415336.21600000001</v>
      </c>
      <c r="G1008" s="4">
        <v>415336.21799999999</v>
      </c>
      <c r="H1008" s="5">
        <f>0 / 86400</f>
        <v>0</v>
      </c>
      <c r="I1008" t="s">
        <v>163</v>
      </c>
      <c r="J1008" t="s">
        <v>163</v>
      </c>
      <c r="K1008" s="5">
        <f>12 / 86400</f>
        <v>1.3888888888888889E-4</v>
      </c>
      <c r="L1008" s="5">
        <f>327 / 86400</f>
        <v>3.7847222222222223E-3</v>
      </c>
    </row>
    <row r="1009" spans="1:12" x14ac:dyDescent="0.25">
      <c r="A1009" s="3">
        <v>45706.821111111116</v>
      </c>
      <c r="B1009" t="s">
        <v>303</v>
      </c>
      <c r="C1009" s="3">
        <v>45706.98505787037</v>
      </c>
      <c r="D1009" t="s">
        <v>83</v>
      </c>
      <c r="E1009" s="4">
        <v>75.322000000000003</v>
      </c>
      <c r="F1009" s="4">
        <v>415336.21799999999</v>
      </c>
      <c r="G1009" s="4">
        <v>415411.54</v>
      </c>
      <c r="H1009" s="5">
        <f>5260 / 86400</f>
        <v>6.0879629629629631E-2</v>
      </c>
      <c r="I1009" t="s">
        <v>52</v>
      </c>
      <c r="J1009" t="s">
        <v>79</v>
      </c>
      <c r="K1009" s="5">
        <f>14164 / 86400</f>
        <v>0.16393518518518518</v>
      </c>
      <c r="L1009" s="5">
        <f>563 / 86400</f>
        <v>6.5162037037037037E-3</v>
      </c>
    </row>
    <row r="1010" spans="1:12" x14ac:dyDescent="0.25">
      <c r="A1010" s="3">
        <v>45706.991574074069</v>
      </c>
      <c r="B1010" t="s">
        <v>83</v>
      </c>
      <c r="C1010" s="3">
        <v>45706.991967592592</v>
      </c>
      <c r="D1010" t="s">
        <v>83</v>
      </c>
      <c r="E1010" s="4">
        <v>5.8000000000000003E-2</v>
      </c>
      <c r="F1010" s="4">
        <v>415411.54</v>
      </c>
      <c r="G1010" s="4">
        <v>415411.598</v>
      </c>
      <c r="H1010" s="5">
        <f>0 / 86400</f>
        <v>0</v>
      </c>
      <c r="I1010" t="s">
        <v>93</v>
      </c>
      <c r="J1010" t="s">
        <v>32</v>
      </c>
      <c r="K1010" s="5">
        <f>33 / 86400</f>
        <v>3.8194444444444446E-4</v>
      </c>
      <c r="L1010" s="5">
        <f>693 / 86400</f>
        <v>8.0208333333333329E-3</v>
      </c>
    </row>
    <row r="1011" spans="1:12" x14ac:dyDescent="0.2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</row>
    <row r="1012" spans="1:12" x14ac:dyDescent="0.2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</row>
    <row r="1013" spans="1:12" s="10" customFormat="1" ht="20.100000000000001" customHeight="1" x14ac:dyDescent="0.35">
      <c r="A1013" s="15" t="s">
        <v>494</v>
      </c>
      <c r="B1013" s="15"/>
      <c r="C1013" s="15"/>
      <c r="D1013" s="15"/>
      <c r="E1013" s="15"/>
      <c r="F1013" s="15"/>
      <c r="G1013" s="15"/>
      <c r="H1013" s="15"/>
      <c r="I1013" s="15"/>
      <c r="J1013" s="15"/>
    </row>
    <row r="1014" spans="1:12" x14ac:dyDescent="0.2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</row>
    <row r="1015" spans="1:12" ht="30" x14ac:dyDescent="0.25">
      <c r="A1015" s="2" t="s">
        <v>6</v>
      </c>
      <c r="B1015" s="2" t="s">
        <v>7</v>
      </c>
      <c r="C1015" s="2" t="s">
        <v>8</v>
      </c>
      <c r="D1015" s="2" t="s">
        <v>9</v>
      </c>
      <c r="E1015" s="2" t="s">
        <v>10</v>
      </c>
      <c r="F1015" s="2" t="s">
        <v>11</v>
      </c>
      <c r="G1015" s="2" t="s">
        <v>12</v>
      </c>
      <c r="H1015" s="2" t="s">
        <v>13</v>
      </c>
      <c r="I1015" s="2" t="s">
        <v>14</v>
      </c>
      <c r="J1015" s="2" t="s">
        <v>15</v>
      </c>
      <c r="K1015" s="2" t="s">
        <v>16</v>
      </c>
      <c r="L1015" s="2" t="s">
        <v>17</v>
      </c>
    </row>
    <row r="1016" spans="1:12" x14ac:dyDescent="0.25">
      <c r="A1016" s="3">
        <v>45706.002743055556</v>
      </c>
      <c r="B1016" t="s">
        <v>91</v>
      </c>
      <c r="C1016" s="3">
        <v>45706.003460648149</v>
      </c>
      <c r="D1016" t="s">
        <v>91</v>
      </c>
      <c r="E1016" s="4">
        <v>9.8000000000000004E-2</v>
      </c>
      <c r="F1016" s="4">
        <v>329113.34299999999</v>
      </c>
      <c r="G1016" s="4">
        <v>329113.44099999999</v>
      </c>
      <c r="H1016" s="5">
        <f>19 / 86400</f>
        <v>2.199074074074074E-4</v>
      </c>
      <c r="I1016" t="s">
        <v>136</v>
      </c>
      <c r="J1016" t="s">
        <v>32</v>
      </c>
      <c r="K1016" s="5">
        <f>62 / 86400</f>
        <v>7.1759259259259259E-4</v>
      </c>
      <c r="L1016" s="5">
        <f>584 / 86400</f>
        <v>6.7592592592592591E-3</v>
      </c>
    </row>
    <row r="1017" spans="1:12" x14ac:dyDescent="0.25">
      <c r="A1017" s="3">
        <v>45706.007476851853</v>
      </c>
      <c r="B1017" t="s">
        <v>91</v>
      </c>
      <c r="C1017" s="3">
        <v>45706.009618055556</v>
      </c>
      <c r="D1017" t="s">
        <v>26</v>
      </c>
      <c r="E1017" s="4">
        <v>0.41699999999999998</v>
      </c>
      <c r="F1017" s="4">
        <v>329113.44099999999</v>
      </c>
      <c r="G1017" s="4">
        <v>329113.85800000001</v>
      </c>
      <c r="H1017" s="5">
        <f>100 / 86400</f>
        <v>1.1574074074074073E-3</v>
      </c>
      <c r="I1017" t="s">
        <v>156</v>
      </c>
      <c r="J1017" t="s">
        <v>147</v>
      </c>
      <c r="K1017" s="5">
        <f>184 / 86400</f>
        <v>2.1296296296296298E-3</v>
      </c>
      <c r="L1017" s="5">
        <f>14097 / 86400</f>
        <v>0.16315972222222222</v>
      </c>
    </row>
    <row r="1018" spans="1:12" x14ac:dyDescent="0.25">
      <c r="A1018" s="3">
        <v>45706.172777777778</v>
      </c>
      <c r="B1018" t="s">
        <v>26</v>
      </c>
      <c r="C1018" s="3">
        <v>45706.173750000002</v>
      </c>
      <c r="D1018" t="s">
        <v>26</v>
      </c>
      <c r="E1018" s="4">
        <v>0.01</v>
      </c>
      <c r="F1018" s="4">
        <v>329113.85800000001</v>
      </c>
      <c r="G1018" s="4">
        <v>329113.86800000002</v>
      </c>
      <c r="H1018" s="5">
        <f>79 / 86400</f>
        <v>9.1435185185185185E-4</v>
      </c>
      <c r="I1018" t="s">
        <v>82</v>
      </c>
      <c r="J1018" t="s">
        <v>82</v>
      </c>
      <c r="K1018" s="5">
        <f>84 / 86400</f>
        <v>9.7222222222222219E-4</v>
      </c>
      <c r="L1018" s="5">
        <f>109 / 86400</f>
        <v>1.261574074074074E-3</v>
      </c>
    </row>
    <row r="1019" spans="1:12" x14ac:dyDescent="0.25">
      <c r="A1019" s="3">
        <v>45706.175011574072</v>
      </c>
      <c r="B1019" t="s">
        <v>26</v>
      </c>
      <c r="C1019" s="3">
        <v>45706.324861111112</v>
      </c>
      <c r="D1019" t="s">
        <v>122</v>
      </c>
      <c r="E1019" s="4">
        <v>81.459000000000003</v>
      </c>
      <c r="F1019" s="4">
        <v>329113.86800000002</v>
      </c>
      <c r="G1019" s="4">
        <v>329195.32699999999</v>
      </c>
      <c r="H1019" s="5">
        <f>2220 / 86400</f>
        <v>2.5694444444444443E-2</v>
      </c>
      <c r="I1019" t="s">
        <v>110</v>
      </c>
      <c r="J1019" t="s">
        <v>143</v>
      </c>
      <c r="K1019" s="5">
        <f>12947 / 86400</f>
        <v>0.14984953703703704</v>
      </c>
      <c r="L1019" s="5">
        <f>2843 / 86400</f>
        <v>3.290509259259259E-2</v>
      </c>
    </row>
    <row r="1020" spans="1:12" x14ac:dyDescent="0.25">
      <c r="A1020" s="3">
        <v>45706.357766203699</v>
      </c>
      <c r="B1020" t="s">
        <v>122</v>
      </c>
      <c r="C1020" s="3">
        <v>45706.359178240746</v>
      </c>
      <c r="D1020" t="s">
        <v>122</v>
      </c>
      <c r="E1020" s="4">
        <v>0.1</v>
      </c>
      <c r="F1020" s="4">
        <v>329195.32699999999</v>
      </c>
      <c r="G1020" s="4">
        <v>329195.42700000003</v>
      </c>
      <c r="H1020" s="5">
        <f>39 / 86400</f>
        <v>4.5138888888888887E-4</v>
      </c>
      <c r="I1020" t="s">
        <v>171</v>
      </c>
      <c r="J1020" t="s">
        <v>170</v>
      </c>
      <c r="K1020" s="5">
        <f>121 / 86400</f>
        <v>1.4004629629629629E-3</v>
      </c>
      <c r="L1020" s="5">
        <f>814 / 86400</f>
        <v>9.4212962962962957E-3</v>
      </c>
    </row>
    <row r="1021" spans="1:12" x14ac:dyDescent="0.25">
      <c r="A1021" s="3">
        <v>45706.368599537032</v>
      </c>
      <c r="B1021" t="s">
        <v>122</v>
      </c>
      <c r="C1021" s="3">
        <v>45706.373738425929</v>
      </c>
      <c r="D1021" t="s">
        <v>118</v>
      </c>
      <c r="E1021" s="4">
        <v>1.0309999999999999</v>
      </c>
      <c r="F1021" s="4">
        <v>329195.42700000003</v>
      </c>
      <c r="G1021" s="4">
        <v>329196.45799999998</v>
      </c>
      <c r="H1021" s="5">
        <f>139 / 86400</f>
        <v>1.6087962962962963E-3</v>
      </c>
      <c r="I1021" t="s">
        <v>158</v>
      </c>
      <c r="J1021" t="s">
        <v>147</v>
      </c>
      <c r="K1021" s="5">
        <f>443 / 86400</f>
        <v>5.1273148148148146E-3</v>
      </c>
      <c r="L1021" s="5">
        <f>4525 / 86400</f>
        <v>5.2372685185185182E-2</v>
      </c>
    </row>
    <row r="1022" spans="1:12" x14ac:dyDescent="0.25">
      <c r="A1022" s="3">
        <v>45706.426111111112</v>
      </c>
      <c r="B1022" t="s">
        <v>118</v>
      </c>
      <c r="C1022" s="3">
        <v>45706.432222222225</v>
      </c>
      <c r="D1022" t="s">
        <v>153</v>
      </c>
      <c r="E1022" s="4">
        <v>1.385</v>
      </c>
      <c r="F1022" s="4">
        <v>329196.45799999998</v>
      </c>
      <c r="G1022" s="4">
        <v>329197.84299999999</v>
      </c>
      <c r="H1022" s="5">
        <f>100 / 86400</f>
        <v>1.1574074074074073E-3</v>
      </c>
      <c r="I1022" t="s">
        <v>136</v>
      </c>
      <c r="J1022" t="s">
        <v>171</v>
      </c>
      <c r="K1022" s="5">
        <f>527 / 86400</f>
        <v>6.099537037037037E-3</v>
      </c>
      <c r="L1022" s="5">
        <f>827 / 86400</f>
        <v>9.571759259259259E-3</v>
      </c>
    </row>
    <row r="1023" spans="1:12" x14ac:dyDescent="0.25">
      <c r="A1023" s="3">
        <v>45706.441793981481</v>
      </c>
      <c r="B1023" t="s">
        <v>153</v>
      </c>
      <c r="C1023" s="3">
        <v>45706.442187499997</v>
      </c>
      <c r="D1023" t="s">
        <v>153</v>
      </c>
      <c r="E1023" s="4">
        <v>0.01</v>
      </c>
      <c r="F1023" s="4">
        <v>329197.84299999999</v>
      </c>
      <c r="G1023" s="4">
        <v>329197.853</v>
      </c>
      <c r="H1023" s="5">
        <f>0 / 86400</f>
        <v>0</v>
      </c>
      <c r="I1023" t="s">
        <v>50</v>
      </c>
      <c r="J1023" t="s">
        <v>163</v>
      </c>
      <c r="K1023" s="5">
        <f>33 / 86400</f>
        <v>3.8194444444444446E-4</v>
      </c>
      <c r="L1023" s="5">
        <f>48 / 86400</f>
        <v>5.5555555555555556E-4</v>
      </c>
    </row>
    <row r="1024" spans="1:12" x14ac:dyDescent="0.25">
      <c r="A1024" s="3">
        <v>45706.442743055552</v>
      </c>
      <c r="B1024" t="s">
        <v>153</v>
      </c>
      <c r="C1024" s="3">
        <v>45706.649560185186</v>
      </c>
      <c r="D1024" t="s">
        <v>91</v>
      </c>
      <c r="E1024" s="4">
        <v>80.570999999999998</v>
      </c>
      <c r="F1024" s="4">
        <v>329197.853</v>
      </c>
      <c r="G1024" s="4">
        <v>329278.424</v>
      </c>
      <c r="H1024" s="5">
        <f>5161 / 86400</f>
        <v>5.9733796296296299E-2</v>
      </c>
      <c r="I1024" t="s">
        <v>56</v>
      </c>
      <c r="J1024" t="s">
        <v>28</v>
      </c>
      <c r="K1024" s="5">
        <f>17869 / 86400</f>
        <v>0.20681712962962964</v>
      </c>
      <c r="L1024" s="5">
        <f>334 / 86400</f>
        <v>3.8657407407407408E-3</v>
      </c>
    </row>
    <row r="1025" spans="1:12" x14ac:dyDescent="0.25">
      <c r="A1025" s="3">
        <v>45706.653425925921</v>
      </c>
      <c r="B1025" t="s">
        <v>91</v>
      </c>
      <c r="C1025" s="3">
        <v>45706.6559837963</v>
      </c>
      <c r="D1025" t="s">
        <v>26</v>
      </c>
      <c r="E1025" s="4">
        <v>0.48899999999999999</v>
      </c>
      <c r="F1025" s="4">
        <v>329278.424</v>
      </c>
      <c r="G1025" s="4">
        <v>329278.913</v>
      </c>
      <c r="H1025" s="5">
        <f>20 / 86400</f>
        <v>2.3148148148148149E-4</v>
      </c>
      <c r="I1025" t="s">
        <v>25</v>
      </c>
      <c r="J1025" t="s">
        <v>147</v>
      </c>
      <c r="K1025" s="5">
        <f>221 / 86400</f>
        <v>2.5578703703703705E-3</v>
      </c>
      <c r="L1025" s="5">
        <f>320 / 86400</f>
        <v>3.7037037037037038E-3</v>
      </c>
    </row>
    <row r="1026" spans="1:12" x14ac:dyDescent="0.25">
      <c r="A1026" s="3">
        <v>45706.659687499996</v>
      </c>
      <c r="B1026" t="s">
        <v>26</v>
      </c>
      <c r="C1026" s="3">
        <v>45706.663599537038</v>
      </c>
      <c r="D1026" t="s">
        <v>84</v>
      </c>
      <c r="E1026" s="4">
        <v>1.5189999999999999</v>
      </c>
      <c r="F1026" s="4">
        <v>329278.913</v>
      </c>
      <c r="G1026" s="4">
        <v>329280.43199999997</v>
      </c>
      <c r="H1026" s="5">
        <f>40 / 86400</f>
        <v>4.6296296296296298E-4</v>
      </c>
      <c r="I1026" t="s">
        <v>318</v>
      </c>
      <c r="J1026" t="s">
        <v>28</v>
      </c>
      <c r="K1026" s="5">
        <f>338 / 86400</f>
        <v>3.9120370370370368E-3</v>
      </c>
      <c r="L1026" s="5">
        <f>14 / 86400</f>
        <v>1.6203703703703703E-4</v>
      </c>
    </row>
    <row r="1027" spans="1:12" x14ac:dyDescent="0.25">
      <c r="A1027" s="3">
        <v>45706.663761574076</v>
      </c>
      <c r="B1027" t="s">
        <v>84</v>
      </c>
      <c r="C1027" s="3">
        <v>45706.812175925923</v>
      </c>
      <c r="D1027" t="s">
        <v>422</v>
      </c>
      <c r="E1027" s="4">
        <v>55.847999999999999</v>
      </c>
      <c r="F1027" s="4">
        <v>329280.43199999997</v>
      </c>
      <c r="G1027" s="4">
        <v>329336.28000000003</v>
      </c>
      <c r="H1027" s="5">
        <f>5256 / 86400</f>
        <v>6.0833333333333336E-2</v>
      </c>
      <c r="I1027" t="s">
        <v>19</v>
      </c>
      <c r="J1027" t="s">
        <v>28</v>
      </c>
      <c r="K1027" s="5">
        <f>12823 / 86400</f>
        <v>0.14841435185185184</v>
      </c>
      <c r="L1027" s="5">
        <f>3 / 86400</f>
        <v>3.4722222222222222E-5</v>
      </c>
    </row>
    <row r="1028" spans="1:12" x14ac:dyDescent="0.25">
      <c r="A1028" s="3">
        <v>45706.812210648146</v>
      </c>
      <c r="B1028" t="s">
        <v>422</v>
      </c>
      <c r="C1028" s="3">
        <v>45706.812256944446</v>
      </c>
      <c r="D1028" t="s">
        <v>422</v>
      </c>
      <c r="E1028" s="4">
        <v>1E-3</v>
      </c>
      <c r="F1028" s="4">
        <v>329336.28000000003</v>
      </c>
      <c r="G1028" s="4">
        <v>329336.28100000002</v>
      </c>
      <c r="H1028" s="5">
        <f>0 / 86400</f>
        <v>0</v>
      </c>
      <c r="I1028" t="s">
        <v>82</v>
      </c>
      <c r="J1028" t="s">
        <v>163</v>
      </c>
      <c r="K1028" s="5">
        <f>4 / 86400</f>
        <v>4.6296296296296294E-5</v>
      </c>
      <c r="L1028" s="5">
        <f>43 / 86400</f>
        <v>4.9768518518518521E-4</v>
      </c>
    </row>
    <row r="1029" spans="1:12" x14ac:dyDescent="0.25">
      <c r="A1029" s="3">
        <v>45706.812754629631</v>
      </c>
      <c r="B1029" t="s">
        <v>422</v>
      </c>
      <c r="C1029" s="3">
        <v>45706.9455787037</v>
      </c>
      <c r="D1029" t="s">
        <v>303</v>
      </c>
      <c r="E1029" s="4">
        <v>60.320999999999998</v>
      </c>
      <c r="F1029" s="4">
        <v>329336.28100000002</v>
      </c>
      <c r="G1029" s="4">
        <v>329396.60200000001</v>
      </c>
      <c r="H1029" s="5">
        <f>3878 / 86400</f>
        <v>4.4884259259259263E-2</v>
      </c>
      <c r="I1029" t="s">
        <v>138</v>
      </c>
      <c r="J1029" t="s">
        <v>79</v>
      </c>
      <c r="K1029" s="5">
        <f>11476 / 86400</f>
        <v>0.13282407407407407</v>
      </c>
      <c r="L1029" s="5">
        <f>676 / 86400</f>
        <v>7.8240740740740736E-3</v>
      </c>
    </row>
    <row r="1030" spans="1:12" x14ac:dyDescent="0.25">
      <c r="A1030" s="3">
        <v>45706.953402777777</v>
      </c>
      <c r="B1030" t="s">
        <v>303</v>
      </c>
      <c r="C1030" s="3">
        <v>45706.953587962962</v>
      </c>
      <c r="D1030" t="s">
        <v>303</v>
      </c>
      <c r="E1030" s="4">
        <v>6.0000000000000001E-3</v>
      </c>
      <c r="F1030" s="4">
        <v>329396.60200000001</v>
      </c>
      <c r="G1030" s="4">
        <v>329396.60800000001</v>
      </c>
      <c r="H1030" s="5">
        <f>0 / 86400</f>
        <v>0</v>
      </c>
      <c r="I1030" t="s">
        <v>82</v>
      </c>
      <c r="J1030" t="s">
        <v>163</v>
      </c>
      <c r="K1030" s="5">
        <f>15 / 86400</f>
        <v>1.7361111111111112E-4</v>
      </c>
      <c r="L1030" s="5">
        <f>187 / 86400</f>
        <v>2.1643518518518518E-3</v>
      </c>
    </row>
    <row r="1031" spans="1:12" x14ac:dyDescent="0.25">
      <c r="A1031" s="3">
        <v>45706.955752314811</v>
      </c>
      <c r="B1031" t="s">
        <v>303</v>
      </c>
      <c r="C1031" s="3">
        <v>45706.999814814815</v>
      </c>
      <c r="D1031" t="s">
        <v>91</v>
      </c>
      <c r="E1031" s="4">
        <v>19.916</v>
      </c>
      <c r="F1031" s="4">
        <v>329396.60800000001</v>
      </c>
      <c r="G1031" s="4">
        <v>329416.52399999998</v>
      </c>
      <c r="H1031" s="5">
        <f>1699 / 86400</f>
        <v>1.9664351851851853E-2</v>
      </c>
      <c r="I1031" t="s">
        <v>116</v>
      </c>
      <c r="J1031" t="s">
        <v>79</v>
      </c>
      <c r="K1031" s="5">
        <f>3806 / 86400</f>
        <v>4.4050925925925924E-2</v>
      </c>
      <c r="L1031" s="5">
        <f>15 / 86400</f>
        <v>1.7361111111111112E-4</v>
      </c>
    </row>
    <row r="1032" spans="1:12" x14ac:dyDescent="0.25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</row>
    <row r="1033" spans="1:12" x14ac:dyDescent="0.25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</row>
    <row r="1034" spans="1:12" s="10" customFormat="1" ht="20.100000000000001" customHeight="1" x14ac:dyDescent="0.35">
      <c r="A1034" s="15" t="s">
        <v>495</v>
      </c>
      <c r="B1034" s="15"/>
      <c r="C1034" s="15"/>
      <c r="D1034" s="15"/>
      <c r="E1034" s="15"/>
      <c r="F1034" s="15"/>
      <c r="G1034" s="15"/>
      <c r="H1034" s="15"/>
      <c r="I1034" s="15"/>
      <c r="J1034" s="15"/>
    </row>
    <row r="1035" spans="1:12" x14ac:dyDescent="0.2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</row>
    <row r="1036" spans="1:12" ht="30" x14ac:dyDescent="0.25">
      <c r="A1036" s="2" t="s">
        <v>6</v>
      </c>
      <c r="B1036" s="2" t="s">
        <v>7</v>
      </c>
      <c r="C1036" s="2" t="s">
        <v>8</v>
      </c>
      <c r="D1036" s="2" t="s">
        <v>9</v>
      </c>
      <c r="E1036" s="2" t="s">
        <v>10</v>
      </c>
      <c r="F1036" s="2" t="s">
        <v>11</v>
      </c>
      <c r="G1036" s="2" t="s">
        <v>12</v>
      </c>
      <c r="H1036" s="2" t="s">
        <v>13</v>
      </c>
      <c r="I1036" s="2" t="s">
        <v>14</v>
      </c>
      <c r="J1036" s="2" t="s">
        <v>15</v>
      </c>
      <c r="K1036" s="2" t="s">
        <v>16</v>
      </c>
      <c r="L1036" s="2" t="s">
        <v>17</v>
      </c>
    </row>
    <row r="1037" spans="1:12" x14ac:dyDescent="0.25">
      <c r="A1037" s="3">
        <v>45706.372800925921</v>
      </c>
      <c r="B1037" t="s">
        <v>26</v>
      </c>
      <c r="C1037" s="3">
        <v>45706.383113425924</v>
      </c>
      <c r="D1037" t="s">
        <v>172</v>
      </c>
      <c r="E1037" s="4">
        <v>0.69899999999999995</v>
      </c>
      <c r="F1037" s="4">
        <v>361092.82</v>
      </c>
      <c r="G1037" s="4">
        <v>361093.51899999997</v>
      </c>
      <c r="H1037" s="5">
        <f>620 / 86400</f>
        <v>7.1759259259259259E-3</v>
      </c>
      <c r="I1037" t="s">
        <v>31</v>
      </c>
      <c r="J1037" t="s">
        <v>170</v>
      </c>
      <c r="K1037" s="5">
        <f>891 / 86400</f>
        <v>1.03125E-2</v>
      </c>
      <c r="L1037" s="5">
        <f>32392 / 86400</f>
        <v>0.37490740740740741</v>
      </c>
    </row>
    <row r="1038" spans="1:12" x14ac:dyDescent="0.25">
      <c r="A1038" s="3">
        <v>45706.385219907403</v>
      </c>
      <c r="B1038" t="s">
        <v>172</v>
      </c>
      <c r="C1038" s="3">
        <v>45706.393275462964</v>
      </c>
      <c r="D1038" t="s">
        <v>26</v>
      </c>
      <c r="E1038" s="4">
        <v>2.7679999999999998</v>
      </c>
      <c r="F1038" s="4">
        <v>361093.51899999997</v>
      </c>
      <c r="G1038" s="4">
        <v>361096.28700000001</v>
      </c>
      <c r="H1038" s="5">
        <f>120 / 86400</f>
        <v>1.3888888888888889E-3</v>
      </c>
      <c r="I1038" t="s">
        <v>92</v>
      </c>
      <c r="J1038" t="s">
        <v>57</v>
      </c>
      <c r="K1038" s="5">
        <f>696 / 86400</f>
        <v>8.0555555555555554E-3</v>
      </c>
      <c r="L1038" s="5">
        <f>1238 / 86400</f>
        <v>1.4328703703703703E-2</v>
      </c>
    </row>
    <row r="1039" spans="1:12" x14ac:dyDescent="0.25">
      <c r="A1039" s="3">
        <v>45706.40760416667</v>
      </c>
      <c r="B1039" t="s">
        <v>26</v>
      </c>
      <c r="C1039" s="3">
        <v>45706.407812500001</v>
      </c>
      <c r="D1039" t="s">
        <v>26</v>
      </c>
      <c r="E1039" s="4">
        <v>0</v>
      </c>
      <c r="F1039" s="4">
        <v>361096.28700000001</v>
      </c>
      <c r="G1039" s="4">
        <v>361096.28700000001</v>
      </c>
      <c r="H1039" s="5">
        <f>0 / 86400</f>
        <v>0</v>
      </c>
      <c r="I1039" t="s">
        <v>82</v>
      </c>
      <c r="J1039" t="s">
        <v>82</v>
      </c>
      <c r="K1039" s="5">
        <f>18 / 86400</f>
        <v>2.0833333333333335E-4</v>
      </c>
      <c r="L1039" s="5">
        <f>130 / 86400</f>
        <v>1.5046296296296296E-3</v>
      </c>
    </row>
    <row r="1040" spans="1:12" x14ac:dyDescent="0.25">
      <c r="A1040" s="3">
        <v>45706.409317129626</v>
      </c>
      <c r="B1040" t="s">
        <v>26</v>
      </c>
      <c r="C1040" s="3">
        <v>45706.42</v>
      </c>
      <c r="D1040" t="s">
        <v>26</v>
      </c>
      <c r="E1040" s="4">
        <v>3.4260000000000002</v>
      </c>
      <c r="F1040" s="4">
        <v>361096.28700000001</v>
      </c>
      <c r="G1040" s="4">
        <v>361099.71299999999</v>
      </c>
      <c r="H1040" s="5">
        <f>279 / 86400</f>
        <v>3.2291666666666666E-3</v>
      </c>
      <c r="I1040" t="s">
        <v>211</v>
      </c>
      <c r="J1040" t="s">
        <v>44</v>
      </c>
      <c r="K1040" s="5">
        <f>923 / 86400</f>
        <v>1.068287037037037E-2</v>
      </c>
      <c r="L1040" s="5">
        <f>31453 / 86400</f>
        <v>0.36403935185185188</v>
      </c>
    </row>
    <row r="1041" spans="1:12" x14ac:dyDescent="0.25">
      <c r="A1041" s="3">
        <v>45706.784039351856</v>
      </c>
      <c r="B1041" t="s">
        <v>26</v>
      </c>
      <c r="C1041" s="3">
        <v>45706.794999999998</v>
      </c>
      <c r="D1041" t="s">
        <v>91</v>
      </c>
      <c r="E1041" s="4">
        <v>2.9510000000000001</v>
      </c>
      <c r="F1041" s="4">
        <v>361099.71299999999</v>
      </c>
      <c r="G1041" s="4">
        <v>361102.66399999999</v>
      </c>
      <c r="H1041" s="5">
        <f>300 / 86400</f>
        <v>3.472222222222222E-3</v>
      </c>
      <c r="I1041" t="s">
        <v>139</v>
      </c>
      <c r="J1041" t="s">
        <v>93</v>
      </c>
      <c r="K1041" s="5">
        <f>947 / 86400</f>
        <v>1.0960648148148148E-2</v>
      </c>
      <c r="L1041" s="5">
        <f>6522 / 86400</f>
        <v>7.5486111111111115E-2</v>
      </c>
    </row>
    <row r="1042" spans="1:12" x14ac:dyDescent="0.25">
      <c r="A1042" s="3">
        <v>45706.870486111111</v>
      </c>
      <c r="B1042" t="s">
        <v>423</v>
      </c>
      <c r="C1042" s="3">
        <v>45706.880729166667</v>
      </c>
      <c r="D1042" t="s">
        <v>26</v>
      </c>
      <c r="E1042" s="4">
        <v>3.169</v>
      </c>
      <c r="F1042" s="4">
        <v>361102.66399999999</v>
      </c>
      <c r="G1042" s="4">
        <v>361105.83299999998</v>
      </c>
      <c r="H1042" s="5">
        <f>160 / 86400</f>
        <v>1.8518518518518519E-3</v>
      </c>
      <c r="I1042" t="s">
        <v>31</v>
      </c>
      <c r="J1042" t="s">
        <v>44</v>
      </c>
      <c r="K1042" s="5">
        <f>885 / 86400</f>
        <v>1.0243055555555556E-2</v>
      </c>
      <c r="L1042" s="5">
        <f>10304 / 86400</f>
        <v>0.11925925925925926</v>
      </c>
    </row>
    <row r="1043" spans="1:12" x14ac:dyDescent="0.25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</row>
    <row r="1044" spans="1:12" x14ac:dyDescent="0.25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</row>
    <row r="1045" spans="1:12" s="10" customFormat="1" ht="20.100000000000001" customHeight="1" x14ac:dyDescent="0.35">
      <c r="A1045" s="15" t="s">
        <v>496</v>
      </c>
      <c r="B1045" s="15"/>
      <c r="C1045" s="15"/>
      <c r="D1045" s="15"/>
      <c r="E1045" s="15"/>
      <c r="F1045" s="15"/>
      <c r="G1045" s="15"/>
      <c r="H1045" s="15"/>
      <c r="I1045" s="15"/>
      <c r="J1045" s="15"/>
    </row>
    <row r="1046" spans="1:12" x14ac:dyDescent="0.25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</row>
    <row r="1047" spans="1:12" ht="30" x14ac:dyDescent="0.25">
      <c r="A1047" s="2" t="s">
        <v>6</v>
      </c>
      <c r="B1047" s="2" t="s">
        <v>7</v>
      </c>
      <c r="C1047" s="2" t="s">
        <v>8</v>
      </c>
      <c r="D1047" s="2" t="s">
        <v>9</v>
      </c>
      <c r="E1047" s="2" t="s">
        <v>10</v>
      </c>
      <c r="F1047" s="2" t="s">
        <v>11</v>
      </c>
      <c r="G1047" s="2" t="s">
        <v>12</v>
      </c>
      <c r="H1047" s="2" t="s">
        <v>13</v>
      </c>
      <c r="I1047" s="2" t="s">
        <v>14</v>
      </c>
      <c r="J1047" s="2" t="s">
        <v>15</v>
      </c>
      <c r="K1047" s="2" t="s">
        <v>16</v>
      </c>
      <c r="L1047" s="2" t="s">
        <v>17</v>
      </c>
    </row>
    <row r="1048" spans="1:12" x14ac:dyDescent="0.25">
      <c r="A1048" s="3">
        <v>45706.277488425927</v>
      </c>
      <c r="B1048" t="s">
        <v>66</v>
      </c>
      <c r="C1048" s="3">
        <v>45706.522175925929</v>
      </c>
      <c r="D1048" t="s">
        <v>424</v>
      </c>
      <c r="E1048" s="4">
        <v>91.055000000000007</v>
      </c>
      <c r="F1048" s="4">
        <v>82096.122000000003</v>
      </c>
      <c r="G1048" s="4">
        <v>82187.176999999996</v>
      </c>
      <c r="H1048" s="5">
        <f>7939 / 86400</f>
        <v>9.1886574074074079E-2</v>
      </c>
      <c r="I1048" t="s">
        <v>54</v>
      </c>
      <c r="J1048" t="s">
        <v>28</v>
      </c>
      <c r="K1048" s="5">
        <f>21140 / 86400</f>
        <v>0.24467592592592594</v>
      </c>
      <c r="L1048" s="5">
        <f>24190 / 86400</f>
        <v>0.27997685185185184</v>
      </c>
    </row>
    <row r="1049" spans="1:12" x14ac:dyDescent="0.25">
      <c r="A1049" s="3">
        <v>45706.524664351848</v>
      </c>
      <c r="B1049" t="s">
        <v>424</v>
      </c>
      <c r="C1049" s="3">
        <v>45706.528240740736</v>
      </c>
      <c r="D1049" t="s">
        <v>66</v>
      </c>
      <c r="E1049" s="4">
        <v>1.1599999999999999</v>
      </c>
      <c r="F1049" s="4">
        <v>82187.176999999996</v>
      </c>
      <c r="G1049" s="4">
        <v>82188.337</v>
      </c>
      <c r="H1049" s="5">
        <f>99 / 86400</f>
        <v>1.1458333333333333E-3</v>
      </c>
      <c r="I1049" t="s">
        <v>295</v>
      </c>
      <c r="J1049" t="s">
        <v>57</v>
      </c>
      <c r="K1049" s="5">
        <f>308 / 86400</f>
        <v>3.5648148148148149E-3</v>
      </c>
      <c r="L1049" s="5">
        <f>7763 / 86400</f>
        <v>8.9849537037037033E-2</v>
      </c>
    </row>
    <row r="1050" spans="1:12" x14ac:dyDescent="0.25">
      <c r="A1050" s="3">
        <v>45706.618090277778</v>
      </c>
      <c r="B1050" t="s">
        <v>66</v>
      </c>
      <c r="C1050" s="3">
        <v>45706.644421296296</v>
      </c>
      <c r="D1050" t="s">
        <v>66</v>
      </c>
      <c r="E1050" s="4">
        <v>5.1950000000000003</v>
      </c>
      <c r="F1050" s="4">
        <v>82188.337</v>
      </c>
      <c r="G1050" s="4">
        <v>82193.532000000007</v>
      </c>
      <c r="H1050" s="5">
        <f>1139 / 86400</f>
        <v>1.3182870370370371E-2</v>
      </c>
      <c r="I1050" t="s">
        <v>162</v>
      </c>
      <c r="J1050" t="s">
        <v>147</v>
      </c>
      <c r="K1050" s="5">
        <f>2275 / 86400</f>
        <v>2.6331018518518517E-2</v>
      </c>
      <c r="L1050" s="5">
        <f>12981 / 86400</f>
        <v>0.15024305555555556</v>
      </c>
    </row>
    <row r="1051" spans="1:12" x14ac:dyDescent="0.25">
      <c r="A1051" s="3">
        <v>45706.794664351852</v>
      </c>
      <c r="B1051" t="s">
        <v>66</v>
      </c>
      <c r="C1051" s="3">
        <v>45706.798414351855</v>
      </c>
      <c r="D1051" t="s">
        <v>94</v>
      </c>
      <c r="E1051" s="4">
        <v>0.25600000000000001</v>
      </c>
      <c r="F1051" s="4">
        <v>82193.532000000007</v>
      </c>
      <c r="G1051" s="4">
        <v>82193.788</v>
      </c>
      <c r="H1051" s="5">
        <f>139 / 86400</f>
        <v>1.6087962962962963E-3</v>
      </c>
      <c r="I1051" t="s">
        <v>159</v>
      </c>
      <c r="J1051" t="s">
        <v>170</v>
      </c>
      <c r="K1051" s="5">
        <f>323 / 86400</f>
        <v>3.7384259259259259E-3</v>
      </c>
      <c r="L1051" s="5">
        <f>17416 / 86400</f>
        <v>0.20157407407407407</v>
      </c>
    </row>
    <row r="1052" spans="1:12" x14ac:dyDescent="0.25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</row>
    <row r="1053" spans="1:12" x14ac:dyDescent="0.25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</row>
    <row r="1054" spans="1:12" s="10" customFormat="1" ht="20.100000000000001" customHeight="1" x14ac:dyDescent="0.35">
      <c r="A1054" s="15" t="s">
        <v>497</v>
      </c>
      <c r="B1054" s="15"/>
      <c r="C1054" s="15"/>
      <c r="D1054" s="15"/>
      <c r="E1054" s="15"/>
      <c r="F1054" s="15"/>
      <c r="G1054" s="15"/>
      <c r="H1054" s="15"/>
      <c r="I1054" s="15"/>
      <c r="J1054" s="15"/>
    </row>
    <row r="1055" spans="1:12" x14ac:dyDescent="0.2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</row>
    <row r="1056" spans="1:12" ht="30" x14ac:dyDescent="0.25">
      <c r="A1056" s="2" t="s">
        <v>6</v>
      </c>
      <c r="B1056" s="2" t="s">
        <v>7</v>
      </c>
      <c r="C1056" s="2" t="s">
        <v>8</v>
      </c>
      <c r="D1056" s="2" t="s">
        <v>9</v>
      </c>
      <c r="E1056" s="2" t="s">
        <v>10</v>
      </c>
      <c r="F1056" s="2" t="s">
        <v>11</v>
      </c>
      <c r="G1056" s="2" t="s">
        <v>12</v>
      </c>
      <c r="H1056" s="2" t="s">
        <v>13</v>
      </c>
      <c r="I1056" s="2" t="s">
        <v>14</v>
      </c>
      <c r="J1056" s="2" t="s">
        <v>15</v>
      </c>
      <c r="K1056" s="2" t="s">
        <v>16</v>
      </c>
      <c r="L1056" s="2" t="s">
        <v>17</v>
      </c>
    </row>
    <row r="1057" spans="1:12" x14ac:dyDescent="0.25">
      <c r="A1057" s="3">
        <v>45706.206111111111</v>
      </c>
      <c r="B1057" t="s">
        <v>39</v>
      </c>
      <c r="C1057" s="3">
        <v>45706.213912037041</v>
      </c>
      <c r="D1057" t="s">
        <v>157</v>
      </c>
      <c r="E1057" s="4">
        <v>0.58399999999999996</v>
      </c>
      <c r="F1057" s="4">
        <v>470704.33600000001</v>
      </c>
      <c r="G1057" s="4">
        <v>470704.92</v>
      </c>
      <c r="H1057" s="5">
        <f>459 / 86400</f>
        <v>5.3125000000000004E-3</v>
      </c>
      <c r="I1057" t="s">
        <v>151</v>
      </c>
      <c r="J1057" t="s">
        <v>170</v>
      </c>
      <c r="K1057" s="5">
        <f>673 / 86400</f>
        <v>7.789351851851852E-3</v>
      </c>
      <c r="L1057" s="5">
        <f>18112 / 86400</f>
        <v>0.20962962962962964</v>
      </c>
    </row>
    <row r="1058" spans="1:12" x14ac:dyDescent="0.25">
      <c r="A1058" s="3">
        <v>45706.217430555553</v>
      </c>
      <c r="B1058" t="s">
        <v>157</v>
      </c>
      <c r="C1058" s="3">
        <v>45706.217557870375</v>
      </c>
      <c r="D1058" t="s">
        <v>157</v>
      </c>
      <c r="E1058" s="4">
        <v>3.0000000000000001E-3</v>
      </c>
      <c r="F1058" s="4">
        <v>470704.92</v>
      </c>
      <c r="G1058" s="4">
        <v>470704.92300000001</v>
      </c>
      <c r="H1058" s="5">
        <f>0 / 86400</f>
        <v>0</v>
      </c>
      <c r="I1058" t="s">
        <v>82</v>
      </c>
      <c r="J1058" t="s">
        <v>163</v>
      </c>
      <c r="K1058" s="5">
        <f>11 / 86400</f>
        <v>1.273148148148148E-4</v>
      </c>
      <c r="L1058" s="5">
        <f>150 / 86400</f>
        <v>1.736111111111111E-3</v>
      </c>
    </row>
    <row r="1059" spans="1:12" x14ac:dyDescent="0.25">
      <c r="A1059" s="3">
        <v>45706.219293981485</v>
      </c>
      <c r="B1059" t="s">
        <v>157</v>
      </c>
      <c r="C1059" s="3">
        <v>45706.21943287037</v>
      </c>
      <c r="D1059" t="s">
        <v>157</v>
      </c>
      <c r="E1059" s="4">
        <v>6.0000000000000001E-3</v>
      </c>
      <c r="F1059" s="4">
        <v>470704.92300000001</v>
      </c>
      <c r="G1059" s="4">
        <v>470704.929</v>
      </c>
      <c r="H1059" s="5">
        <f>0 / 86400</f>
        <v>0</v>
      </c>
      <c r="I1059" t="s">
        <v>82</v>
      </c>
      <c r="J1059" t="s">
        <v>111</v>
      </c>
      <c r="K1059" s="5">
        <f>12 / 86400</f>
        <v>1.3888888888888889E-4</v>
      </c>
      <c r="L1059" s="5">
        <f>111 / 86400</f>
        <v>1.2847222222222223E-3</v>
      </c>
    </row>
    <row r="1060" spans="1:12" x14ac:dyDescent="0.25">
      <c r="A1060" s="3">
        <v>45706.220717592594</v>
      </c>
      <c r="B1060" t="s">
        <v>157</v>
      </c>
      <c r="C1060" s="3">
        <v>45706.265324074076</v>
      </c>
      <c r="D1060" t="s">
        <v>76</v>
      </c>
      <c r="E1060" s="4">
        <v>27.577000000000002</v>
      </c>
      <c r="F1060" s="4">
        <v>470704.929</v>
      </c>
      <c r="G1060" s="4">
        <v>470732.50599999999</v>
      </c>
      <c r="H1060" s="5">
        <f>1040 / 86400</f>
        <v>1.2037037037037037E-2</v>
      </c>
      <c r="I1060" t="s">
        <v>90</v>
      </c>
      <c r="J1060" t="s">
        <v>158</v>
      </c>
      <c r="K1060" s="5">
        <f>3854 / 86400</f>
        <v>4.4606481481481483E-2</v>
      </c>
      <c r="L1060" s="5">
        <f>39 / 86400</f>
        <v>4.5138888888888887E-4</v>
      </c>
    </row>
    <row r="1061" spans="1:12" x14ac:dyDescent="0.25">
      <c r="A1061" s="3">
        <v>45706.265775462962</v>
      </c>
      <c r="B1061" t="s">
        <v>76</v>
      </c>
      <c r="C1061" s="3">
        <v>45706.460439814815</v>
      </c>
      <c r="D1061" t="s">
        <v>148</v>
      </c>
      <c r="E1061" s="4">
        <v>74.108999999999995</v>
      </c>
      <c r="F1061" s="4">
        <v>470732.50599999999</v>
      </c>
      <c r="G1061" s="4">
        <v>470806.61499999999</v>
      </c>
      <c r="H1061" s="5">
        <f>5821 / 86400</f>
        <v>6.7372685185185188E-2</v>
      </c>
      <c r="I1061" t="s">
        <v>80</v>
      </c>
      <c r="J1061" t="s">
        <v>28</v>
      </c>
      <c r="K1061" s="5">
        <f>16819 / 86400</f>
        <v>0.19466435185185185</v>
      </c>
      <c r="L1061" s="5">
        <f>1279 / 86400</f>
        <v>1.480324074074074E-2</v>
      </c>
    </row>
    <row r="1062" spans="1:12" x14ac:dyDescent="0.25">
      <c r="A1062" s="3">
        <v>45706.475243055553</v>
      </c>
      <c r="B1062" t="s">
        <v>148</v>
      </c>
      <c r="C1062" s="3">
        <v>45706.480266203704</v>
      </c>
      <c r="D1062" t="s">
        <v>39</v>
      </c>
      <c r="E1062" s="4">
        <v>1.1200000000000001</v>
      </c>
      <c r="F1062" s="4">
        <v>470806.61499999999</v>
      </c>
      <c r="G1062" s="4">
        <v>470807.73499999999</v>
      </c>
      <c r="H1062" s="5">
        <f>139 / 86400</f>
        <v>1.6087962962962963E-3</v>
      </c>
      <c r="I1062" t="s">
        <v>35</v>
      </c>
      <c r="J1062" t="s">
        <v>171</v>
      </c>
      <c r="K1062" s="5">
        <f>433 / 86400</f>
        <v>5.0115740740740737E-3</v>
      </c>
      <c r="L1062" s="5">
        <f>2699 / 86400</f>
        <v>3.1238425925925926E-2</v>
      </c>
    </row>
    <row r="1063" spans="1:12" x14ac:dyDescent="0.25">
      <c r="A1063" s="3">
        <v>45706.511504629627</v>
      </c>
      <c r="B1063" t="s">
        <v>39</v>
      </c>
      <c r="C1063" s="3">
        <v>45706.516666666663</v>
      </c>
      <c r="D1063" t="s">
        <v>157</v>
      </c>
      <c r="E1063" s="4">
        <v>1.036</v>
      </c>
      <c r="F1063" s="4">
        <v>470807.73499999999</v>
      </c>
      <c r="G1063" s="4">
        <v>470808.77100000001</v>
      </c>
      <c r="H1063" s="5">
        <f>179 / 86400</f>
        <v>2.0717592592592593E-3</v>
      </c>
      <c r="I1063" t="s">
        <v>182</v>
      </c>
      <c r="J1063" t="s">
        <v>147</v>
      </c>
      <c r="K1063" s="5">
        <f>445 / 86400</f>
        <v>5.1504629629629626E-3</v>
      </c>
      <c r="L1063" s="5">
        <f>187 / 86400</f>
        <v>2.1643518518518518E-3</v>
      </c>
    </row>
    <row r="1064" spans="1:12" x14ac:dyDescent="0.25">
      <c r="A1064" s="3">
        <v>45706.518831018519</v>
      </c>
      <c r="B1064" t="s">
        <v>157</v>
      </c>
      <c r="C1064" s="3">
        <v>45706.519247685181</v>
      </c>
      <c r="D1064" t="s">
        <v>157</v>
      </c>
      <c r="E1064" s="4">
        <v>0</v>
      </c>
      <c r="F1064" s="4">
        <v>470808.77100000001</v>
      </c>
      <c r="G1064" s="4">
        <v>470808.77100000001</v>
      </c>
      <c r="H1064" s="5">
        <f>19 / 86400</f>
        <v>2.199074074074074E-4</v>
      </c>
      <c r="I1064" t="s">
        <v>82</v>
      </c>
      <c r="J1064" t="s">
        <v>82</v>
      </c>
      <c r="K1064" s="5">
        <f>35 / 86400</f>
        <v>4.0509259259259258E-4</v>
      </c>
      <c r="L1064" s="5">
        <f>40 / 86400</f>
        <v>4.6296296296296298E-4</v>
      </c>
    </row>
    <row r="1065" spans="1:12" x14ac:dyDescent="0.25">
      <c r="A1065" s="3">
        <v>45706.51971064815</v>
      </c>
      <c r="B1065" t="s">
        <v>157</v>
      </c>
      <c r="C1065" s="3">
        <v>45706.519849537042</v>
      </c>
      <c r="D1065" t="s">
        <v>157</v>
      </c>
      <c r="E1065" s="4">
        <v>1.4E-2</v>
      </c>
      <c r="F1065" s="4">
        <v>470808.77100000001</v>
      </c>
      <c r="G1065" s="4">
        <v>470808.78499999997</v>
      </c>
      <c r="H1065" s="5">
        <f>0 / 86400</f>
        <v>0</v>
      </c>
      <c r="I1065" t="s">
        <v>163</v>
      </c>
      <c r="J1065" t="s">
        <v>127</v>
      </c>
      <c r="K1065" s="5">
        <f>12 / 86400</f>
        <v>1.3888888888888889E-4</v>
      </c>
      <c r="L1065" s="5">
        <f>338 / 86400</f>
        <v>3.9120370370370368E-3</v>
      </c>
    </row>
    <row r="1066" spans="1:12" x14ac:dyDescent="0.25">
      <c r="A1066" s="3">
        <v>45706.523761574077</v>
      </c>
      <c r="B1066" t="s">
        <v>157</v>
      </c>
      <c r="C1066" s="3">
        <v>45706.610254629632</v>
      </c>
      <c r="D1066" t="s">
        <v>354</v>
      </c>
      <c r="E1066" s="4">
        <v>38.456000000000003</v>
      </c>
      <c r="F1066" s="4">
        <v>470808.78499999997</v>
      </c>
      <c r="G1066" s="4">
        <v>470847.24099999998</v>
      </c>
      <c r="H1066" s="5">
        <f>2580 / 86400</f>
        <v>2.9861111111111113E-2</v>
      </c>
      <c r="I1066" t="s">
        <v>78</v>
      </c>
      <c r="J1066" t="s">
        <v>79</v>
      </c>
      <c r="K1066" s="5">
        <f>7473 / 86400</f>
        <v>8.6493055555555559E-2</v>
      </c>
      <c r="L1066" s="5">
        <f>1616 / 86400</f>
        <v>1.8703703703703705E-2</v>
      </c>
    </row>
    <row r="1067" spans="1:12" x14ac:dyDescent="0.25">
      <c r="A1067" s="3">
        <v>45706.628958333335</v>
      </c>
      <c r="B1067" t="s">
        <v>425</v>
      </c>
      <c r="C1067" s="3">
        <v>45706.629988425921</v>
      </c>
      <c r="D1067" t="s">
        <v>426</v>
      </c>
      <c r="E1067" s="4">
        <v>1E-3</v>
      </c>
      <c r="F1067" s="4">
        <v>470847.24099999998</v>
      </c>
      <c r="G1067" s="4">
        <v>470847.24200000003</v>
      </c>
      <c r="H1067" s="5">
        <f>79 / 86400</f>
        <v>9.1435185185185185E-4</v>
      </c>
      <c r="I1067" t="s">
        <v>82</v>
      </c>
      <c r="J1067" t="s">
        <v>82</v>
      </c>
      <c r="K1067" s="5">
        <f>88 / 86400</f>
        <v>1.0185185185185184E-3</v>
      </c>
      <c r="L1067" s="5">
        <f>1139 / 86400</f>
        <v>1.3182870370370371E-2</v>
      </c>
    </row>
    <row r="1068" spans="1:12" x14ac:dyDescent="0.25">
      <c r="A1068" s="3">
        <v>45706.643171296295</v>
      </c>
      <c r="B1068" t="s">
        <v>425</v>
      </c>
      <c r="C1068" s="3">
        <v>45706.731851851851</v>
      </c>
      <c r="D1068" t="s">
        <v>137</v>
      </c>
      <c r="E1068" s="4">
        <v>39.273000000000003</v>
      </c>
      <c r="F1068" s="4">
        <v>470847.24200000003</v>
      </c>
      <c r="G1068" s="4">
        <v>470886.51500000001</v>
      </c>
      <c r="H1068" s="5">
        <f>1980 / 86400</f>
        <v>2.2916666666666665E-2</v>
      </c>
      <c r="I1068" t="s">
        <v>61</v>
      </c>
      <c r="J1068" t="s">
        <v>20</v>
      </c>
      <c r="K1068" s="5">
        <f>7661 / 86400</f>
        <v>8.8668981481481488E-2</v>
      </c>
      <c r="L1068" s="5">
        <f>598 / 86400</f>
        <v>6.9212962962962961E-3</v>
      </c>
    </row>
    <row r="1069" spans="1:12" x14ac:dyDescent="0.25">
      <c r="A1069" s="3">
        <v>45706.738773148143</v>
      </c>
      <c r="B1069" t="s">
        <v>137</v>
      </c>
      <c r="C1069" s="3">
        <v>45706.739131944443</v>
      </c>
      <c r="D1069" t="s">
        <v>137</v>
      </c>
      <c r="E1069" s="4">
        <v>1.2E-2</v>
      </c>
      <c r="F1069" s="4">
        <v>470886.51500000001</v>
      </c>
      <c r="G1069" s="4">
        <v>470886.527</v>
      </c>
      <c r="H1069" s="5">
        <f>20 / 86400</f>
        <v>2.3148148148148149E-4</v>
      </c>
      <c r="I1069" t="s">
        <v>32</v>
      </c>
      <c r="J1069" t="s">
        <v>163</v>
      </c>
      <c r="K1069" s="5">
        <f>31 / 86400</f>
        <v>3.5879629629629629E-4</v>
      </c>
      <c r="L1069" s="5">
        <f>39 / 86400</f>
        <v>4.5138888888888887E-4</v>
      </c>
    </row>
    <row r="1070" spans="1:12" x14ac:dyDescent="0.25">
      <c r="A1070" s="3">
        <v>45706.739583333328</v>
      </c>
      <c r="B1070" t="s">
        <v>137</v>
      </c>
      <c r="C1070" s="3">
        <v>45706.743692129632</v>
      </c>
      <c r="D1070" t="s">
        <v>39</v>
      </c>
      <c r="E1070" s="4">
        <v>1.012</v>
      </c>
      <c r="F1070" s="4">
        <v>470886.527</v>
      </c>
      <c r="G1070" s="4">
        <v>470887.53899999999</v>
      </c>
      <c r="H1070" s="5">
        <f>139 / 86400</f>
        <v>1.6087962962962963E-3</v>
      </c>
      <c r="I1070" t="s">
        <v>295</v>
      </c>
      <c r="J1070" t="s">
        <v>159</v>
      </c>
      <c r="K1070" s="5">
        <f>355 / 86400</f>
        <v>4.1087962962962962E-3</v>
      </c>
      <c r="L1070" s="5">
        <f>22144 / 86400</f>
        <v>0.2562962962962963</v>
      </c>
    </row>
    <row r="1071" spans="1:12" x14ac:dyDescent="0.25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</row>
    <row r="1072" spans="1:12" x14ac:dyDescent="0.25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</row>
    <row r="1073" spans="1:12" s="10" customFormat="1" ht="20.100000000000001" customHeight="1" x14ac:dyDescent="0.35">
      <c r="A1073" s="15" t="s">
        <v>498</v>
      </c>
      <c r="B1073" s="15"/>
      <c r="C1073" s="15"/>
      <c r="D1073" s="15"/>
      <c r="E1073" s="15"/>
      <c r="F1073" s="15"/>
      <c r="G1073" s="15"/>
      <c r="H1073" s="15"/>
      <c r="I1073" s="15"/>
      <c r="J1073" s="15"/>
    </row>
    <row r="1074" spans="1:12" x14ac:dyDescent="0.25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</row>
    <row r="1075" spans="1:12" ht="30" x14ac:dyDescent="0.25">
      <c r="A1075" s="2" t="s">
        <v>6</v>
      </c>
      <c r="B1075" s="2" t="s">
        <v>7</v>
      </c>
      <c r="C1075" s="2" t="s">
        <v>8</v>
      </c>
      <c r="D1075" s="2" t="s">
        <v>9</v>
      </c>
      <c r="E1075" s="2" t="s">
        <v>10</v>
      </c>
      <c r="F1075" s="2" t="s">
        <v>11</v>
      </c>
      <c r="G1075" s="2" t="s">
        <v>12</v>
      </c>
      <c r="H1075" s="2" t="s">
        <v>13</v>
      </c>
      <c r="I1075" s="2" t="s">
        <v>14</v>
      </c>
      <c r="J1075" s="2" t="s">
        <v>15</v>
      </c>
      <c r="K1075" s="2" t="s">
        <v>16</v>
      </c>
      <c r="L1075" s="2" t="s">
        <v>17</v>
      </c>
    </row>
    <row r="1076" spans="1:12" x14ac:dyDescent="0.25">
      <c r="A1076" s="3">
        <v>45706.001516203702</v>
      </c>
      <c r="B1076" t="s">
        <v>95</v>
      </c>
      <c r="C1076" s="3">
        <v>45706.002962962964</v>
      </c>
      <c r="D1076" t="s">
        <v>95</v>
      </c>
      <c r="E1076" s="4">
        <v>0</v>
      </c>
      <c r="F1076" s="4">
        <v>428213.33600000001</v>
      </c>
      <c r="G1076" s="4">
        <v>428213.33600000001</v>
      </c>
      <c r="H1076" s="5">
        <f>119 / 86400</f>
        <v>1.3773148148148147E-3</v>
      </c>
      <c r="I1076" t="s">
        <v>82</v>
      </c>
      <c r="J1076" t="s">
        <v>82</v>
      </c>
      <c r="K1076" s="5">
        <f>125 / 86400</f>
        <v>1.4467592592592592E-3</v>
      </c>
      <c r="L1076" s="5">
        <f>303 / 86400</f>
        <v>3.5069444444444445E-3</v>
      </c>
    </row>
    <row r="1077" spans="1:12" x14ac:dyDescent="0.25">
      <c r="A1077" s="3">
        <v>45706.004953703705</v>
      </c>
      <c r="B1077" t="s">
        <v>95</v>
      </c>
      <c r="C1077" s="3">
        <v>45706.007465277777</v>
      </c>
      <c r="D1077" t="s">
        <v>95</v>
      </c>
      <c r="E1077" s="4">
        <v>0</v>
      </c>
      <c r="F1077" s="4">
        <v>428213.33600000001</v>
      </c>
      <c r="G1077" s="4">
        <v>428213.33600000001</v>
      </c>
      <c r="H1077" s="5">
        <f>199 / 86400</f>
        <v>2.3032407407407407E-3</v>
      </c>
      <c r="I1077" t="s">
        <v>82</v>
      </c>
      <c r="J1077" t="s">
        <v>82</v>
      </c>
      <c r="K1077" s="5">
        <f>217 / 86400</f>
        <v>2.5115740740740741E-3</v>
      </c>
      <c r="L1077" s="5">
        <f>19174 / 86400</f>
        <v>0.22192129629629628</v>
      </c>
    </row>
    <row r="1078" spans="1:12" x14ac:dyDescent="0.25">
      <c r="A1078" s="3">
        <v>45706.229386574079</v>
      </c>
      <c r="B1078" t="s">
        <v>95</v>
      </c>
      <c r="C1078" s="3">
        <v>45706.230034722219</v>
      </c>
      <c r="D1078" t="s">
        <v>95</v>
      </c>
      <c r="E1078" s="4">
        <v>0</v>
      </c>
      <c r="F1078" s="4">
        <v>428213.33600000001</v>
      </c>
      <c r="G1078" s="4">
        <v>428213.33600000001</v>
      </c>
      <c r="H1078" s="5">
        <f>39 / 86400</f>
        <v>4.5138888888888887E-4</v>
      </c>
      <c r="I1078" t="s">
        <v>82</v>
      </c>
      <c r="J1078" t="s">
        <v>82</v>
      </c>
      <c r="K1078" s="5">
        <f>56 / 86400</f>
        <v>6.4814814814814813E-4</v>
      </c>
      <c r="L1078" s="5">
        <f>14112 / 86400</f>
        <v>0.16333333333333333</v>
      </c>
    </row>
    <row r="1079" spans="1:12" x14ac:dyDescent="0.25">
      <c r="A1079" s="3">
        <v>45706.393368055556</v>
      </c>
      <c r="B1079" t="s">
        <v>95</v>
      </c>
      <c r="C1079" s="3">
        <v>45706.397013888884</v>
      </c>
      <c r="D1079" t="s">
        <v>95</v>
      </c>
      <c r="E1079" s="4">
        <v>0</v>
      </c>
      <c r="F1079" s="4">
        <v>428213.33600000001</v>
      </c>
      <c r="G1079" s="4">
        <v>428213.33600000001</v>
      </c>
      <c r="H1079" s="5">
        <f>299 / 86400</f>
        <v>3.460648148148148E-3</v>
      </c>
      <c r="I1079" t="s">
        <v>82</v>
      </c>
      <c r="J1079" t="s">
        <v>82</v>
      </c>
      <c r="K1079" s="5">
        <f>315 / 86400</f>
        <v>3.6458333333333334E-3</v>
      </c>
      <c r="L1079" s="5">
        <f>2050 / 86400</f>
        <v>2.3726851851851853E-2</v>
      </c>
    </row>
    <row r="1080" spans="1:12" x14ac:dyDescent="0.25">
      <c r="A1080" s="3">
        <v>45706.420740740738</v>
      </c>
      <c r="B1080" t="s">
        <v>95</v>
      </c>
      <c r="C1080" s="3">
        <v>45706.425625000003</v>
      </c>
      <c r="D1080" t="s">
        <v>95</v>
      </c>
      <c r="E1080" s="4">
        <v>0</v>
      </c>
      <c r="F1080" s="4">
        <v>428213.33600000001</v>
      </c>
      <c r="G1080" s="4">
        <v>428213.33600000001</v>
      </c>
      <c r="H1080" s="5">
        <f>419 / 86400</f>
        <v>4.8495370370370368E-3</v>
      </c>
      <c r="I1080" t="s">
        <v>82</v>
      </c>
      <c r="J1080" t="s">
        <v>82</v>
      </c>
      <c r="K1080" s="5">
        <f>421 / 86400</f>
        <v>4.8726851851851848E-3</v>
      </c>
      <c r="L1080" s="5">
        <f>126 / 86400</f>
        <v>1.4583333333333334E-3</v>
      </c>
    </row>
    <row r="1081" spans="1:12" x14ac:dyDescent="0.25">
      <c r="A1081" s="3">
        <v>45706.427083333328</v>
      </c>
      <c r="B1081" t="s">
        <v>95</v>
      </c>
      <c r="C1081" s="3">
        <v>45706.427175925928</v>
      </c>
      <c r="D1081" t="s">
        <v>95</v>
      </c>
      <c r="E1081" s="4">
        <v>0</v>
      </c>
      <c r="F1081" s="4">
        <v>428213.33600000001</v>
      </c>
      <c r="G1081" s="4">
        <v>428213.33600000001</v>
      </c>
      <c r="H1081" s="5">
        <f>0 / 86400</f>
        <v>0</v>
      </c>
      <c r="I1081" t="s">
        <v>82</v>
      </c>
      <c r="J1081" t="s">
        <v>82</v>
      </c>
      <c r="K1081" s="5">
        <f>7 / 86400</f>
        <v>8.1018518518518516E-5</v>
      </c>
      <c r="L1081" s="5">
        <f>1452 / 86400</f>
        <v>1.6805555555555556E-2</v>
      </c>
    </row>
    <row r="1082" spans="1:12" x14ac:dyDescent="0.25">
      <c r="A1082" s="3">
        <v>45706.443981481483</v>
      </c>
      <c r="B1082" t="s">
        <v>95</v>
      </c>
      <c r="C1082" s="3">
        <v>45706.444085648152</v>
      </c>
      <c r="D1082" t="s">
        <v>95</v>
      </c>
      <c r="E1082" s="4">
        <v>0</v>
      </c>
      <c r="F1082" s="4">
        <v>428213.33600000001</v>
      </c>
      <c r="G1082" s="4">
        <v>428213.33600000001</v>
      </c>
      <c r="H1082" s="5">
        <f>0 / 86400</f>
        <v>0</v>
      </c>
      <c r="I1082" t="s">
        <v>82</v>
      </c>
      <c r="J1082" t="s">
        <v>82</v>
      </c>
      <c r="K1082" s="5">
        <f>8 / 86400</f>
        <v>9.2592592592592588E-5</v>
      </c>
      <c r="L1082" s="5">
        <f>15423 / 86400</f>
        <v>0.17850694444444445</v>
      </c>
    </row>
    <row r="1083" spans="1:12" x14ac:dyDescent="0.25">
      <c r="A1083" s="3">
        <v>45706.622592592597</v>
      </c>
      <c r="B1083" t="s">
        <v>95</v>
      </c>
      <c r="C1083" s="3">
        <v>45706.626782407402</v>
      </c>
      <c r="D1083" t="s">
        <v>95</v>
      </c>
      <c r="E1083" s="4">
        <v>0</v>
      </c>
      <c r="F1083" s="4">
        <v>428213.33600000001</v>
      </c>
      <c r="G1083" s="4">
        <v>428213.33600000001</v>
      </c>
      <c r="H1083" s="5">
        <f>359 / 86400</f>
        <v>4.1550925925925922E-3</v>
      </c>
      <c r="I1083" t="s">
        <v>82</v>
      </c>
      <c r="J1083" t="s">
        <v>82</v>
      </c>
      <c r="K1083" s="5">
        <f>362 / 86400</f>
        <v>4.1898148148148146E-3</v>
      </c>
      <c r="L1083" s="5">
        <f>12094 / 86400</f>
        <v>0.13997685185185185</v>
      </c>
    </row>
    <row r="1084" spans="1:12" x14ac:dyDescent="0.25">
      <c r="A1084" s="3">
        <v>45706.766759259262</v>
      </c>
      <c r="B1084" t="s">
        <v>95</v>
      </c>
      <c r="C1084" s="3">
        <v>45706.76725694444</v>
      </c>
      <c r="D1084" t="s">
        <v>95</v>
      </c>
      <c r="E1084" s="4">
        <v>0</v>
      </c>
      <c r="F1084" s="4">
        <v>428213.33600000001</v>
      </c>
      <c r="G1084" s="4">
        <v>428213.33600000001</v>
      </c>
      <c r="H1084" s="5">
        <f>39 / 86400</f>
        <v>4.5138888888888887E-4</v>
      </c>
      <c r="I1084" t="s">
        <v>82</v>
      </c>
      <c r="J1084" t="s">
        <v>82</v>
      </c>
      <c r="K1084" s="5">
        <f>42 / 86400</f>
        <v>4.861111111111111E-4</v>
      </c>
      <c r="L1084" s="5">
        <f>20108 / 86400</f>
        <v>0.23273148148148148</v>
      </c>
    </row>
    <row r="1085" spans="1:12" x14ac:dyDescent="0.2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</row>
    <row r="1086" spans="1:12" x14ac:dyDescent="0.25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</row>
    <row r="1087" spans="1:12" s="10" customFormat="1" ht="20.100000000000001" customHeight="1" x14ac:dyDescent="0.35">
      <c r="A1087" s="15" t="s">
        <v>499</v>
      </c>
      <c r="B1087" s="15"/>
      <c r="C1087" s="15"/>
      <c r="D1087" s="15"/>
      <c r="E1087" s="15"/>
      <c r="F1087" s="15"/>
      <c r="G1087" s="15"/>
      <c r="H1087" s="15"/>
      <c r="I1087" s="15"/>
      <c r="J1087" s="15"/>
    </row>
    <row r="1088" spans="1:12" x14ac:dyDescent="0.25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</row>
    <row r="1089" spans="1:12" ht="30" x14ac:dyDescent="0.25">
      <c r="A1089" s="2" t="s">
        <v>6</v>
      </c>
      <c r="B1089" s="2" t="s">
        <v>7</v>
      </c>
      <c r="C1089" s="2" t="s">
        <v>8</v>
      </c>
      <c r="D1089" s="2" t="s">
        <v>9</v>
      </c>
      <c r="E1089" s="2" t="s">
        <v>10</v>
      </c>
      <c r="F1089" s="2" t="s">
        <v>11</v>
      </c>
      <c r="G1089" s="2" t="s">
        <v>12</v>
      </c>
      <c r="H1089" s="2" t="s">
        <v>13</v>
      </c>
      <c r="I1089" s="2" t="s">
        <v>14</v>
      </c>
      <c r="J1089" s="2" t="s">
        <v>15</v>
      </c>
      <c r="K1089" s="2" t="s">
        <v>16</v>
      </c>
      <c r="L1089" s="2" t="s">
        <v>17</v>
      </c>
    </row>
    <row r="1090" spans="1:12" x14ac:dyDescent="0.25">
      <c r="A1090" s="3">
        <v>45706.178807870368</v>
      </c>
      <c r="B1090" t="s">
        <v>26</v>
      </c>
      <c r="C1090" s="3">
        <v>45706.37663194444</v>
      </c>
      <c r="D1090" t="s">
        <v>153</v>
      </c>
      <c r="E1090" s="4">
        <v>84.807000000000002</v>
      </c>
      <c r="F1090" s="4">
        <v>576196.80200000003</v>
      </c>
      <c r="G1090" s="4">
        <v>576281.60900000005</v>
      </c>
      <c r="H1090" s="5">
        <f>4955 / 86400</f>
        <v>5.7349537037037039E-2</v>
      </c>
      <c r="I1090" t="s">
        <v>110</v>
      </c>
      <c r="J1090" t="s">
        <v>20</v>
      </c>
      <c r="K1090" s="5">
        <f>17092 / 86400</f>
        <v>0.19782407407407407</v>
      </c>
      <c r="L1090" s="5">
        <f>17088 / 86400</f>
        <v>0.19777777777777777</v>
      </c>
    </row>
    <row r="1091" spans="1:12" x14ac:dyDescent="0.25">
      <c r="A1091" s="3">
        <v>45706.395601851851</v>
      </c>
      <c r="B1091" t="s">
        <v>153</v>
      </c>
      <c r="C1091" s="3">
        <v>45706.552210648151</v>
      </c>
      <c r="D1091" t="s">
        <v>172</v>
      </c>
      <c r="E1091" s="4">
        <v>65.283000000000001</v>
      </c>
      <c r="F1091" s="4">
        <v>576281.60900000005</v>
      </c>
      <c r="G1091" s="4">
        <v>576346.89199999999</v>
      </c>
      <c r="H1091" s="5">
        <f>3654 / 86400</f>
        <v>4.2291666666666665E-2</v>
      </c>
      <c r="I1091" t="s">
        <v>78</v>
      </c>
      <c r="J1091" t="s">
        <v>62</v>
      </c>
      <c r="K1091" s="5">
        <f>13531 / 86400</f>
        <v>0.15660879629629629</v>
      </c>
      <c r="L1091" s="5">
        <f>704 / 86400</f>
        <v>8.1481481481481474E-3</v>
      </c>
    </row>
    <row r="1092" spans="1:12" x14ac:dyDescent="0.25">
      <c r="A1092" s="3">
        <v>45706.560358796298</v>
      </c>
      <c r="B1092" t="s">
        <v>172</v>
      </c>
      <c r="C1092" s="3">
        <v>45706.569421296299</v>
      </c>
      <c r="D1092" t="s">
        <v>26</v>
      </c>
      <c r="E1092" s="4">
        <v>2.2320000000000002</v>
      </c>
      <c r="F1092" s="4">
        <v>576346.89199999999</v>
      </c>
      <c r="G1092" s="4">
        <v>576349.12399999995</v>
      </c>
      <c r="H1092" s="5">
        <f>119 / 86400</f>
        <v>1.3773148148148147E-3</v>
      </c>
      <c r="I1092" t="s">
        <v>156</v>
      </c>
      <c r="J1092" t="s">
        <v>159</v>
      </c>
      <c r="K1092" s="5">
        <f>783 / 86400</f>
        <v>9.0624999999999994E-3</v>
      </c>
      <c r="L1092" s="5">
        <f>2720 / 86400</f>
        <v>3.1481481481481478E-2</v>
      </c>
    </row>
    <row r="1093" spans="1:12" x14ac:dyDescent="0.25">
      <c r="A1093" s="3">
        <v>45706.600902777776</v>
      </c>
      <c r="B1093" t="s">
        <v>26</v>
      </c>
      <c r="C1093" s="3">
        <v>45706.602766203709</v>
      </c>
      <c r="D1093" t="s">
        <v>26</v>
      </c>
      <c r="E1093" s="4">
        <v>6.0999999999999999E-2</v>
      </c>
      <c r="F1093" s="4">
        <v>576349.12399999995</v>
      </c>
      <c r="G1093" s="4">
        <v>576349.18500000006</v>
      </c>
      <c r="H1093" s="5">
        <f>79 / 86400</f>
        <v>9.1435185185185185E-4</v>
      </c>
      <c r="I1093" t="s">
        <v>127</v>
      </c>
      <c r="J1093" t="s">
        <v>163</v>
      </c>
      <c r="K1093" s="5">
        <f>160 / 86400</f>
        <v>1.8518518518518519E-3</v>
      </c>
      <c r="L1093" s="5">
        <f>2393 / 86400</f>
        <v>2.7696759259259258E-2</v>
      </c>
    </row>
    <row r="1094" spans="1:12" x14ac:dyDescent="0.25">
      <c r="A1094" s="3">
        <v>45706.630462962959</v>
      </c>
      <c r="B1094" t="s">
        <v>26</v>
      </c>
      <c r="C1094" s="3">
        <v>45706.635937500003</v>
      </c>
      <c r="D1094" t="s">
        <v>172</v>
      </c>
      <c r="E1094" s="4">
        <v>1.7270000000000001</v>
      </c>
      <c r="F1094" s="4">
        <v>576349.18500000006</v>
      </c>
      <c r="G1094" s="4">
        <v>576350.91200000001</v>
      </c>
      <c r="H1094" s="5">
        <f>80 / 86400</f>
        <v>9.2592592592592596E-4</v>
      </c>
      <c r="I1094" t="s">
        <v>162</v>
      </c>
      <c r="J1094" t="s">
        <v>44</v>
      </c>
      <c r="K1094" s="5">
        <f>472 / 86400</f>
        <v>5.4629629629629629E-3</v>
      </c>
      <c r="L1094" s="5">
        <f>10525 / 86400</f>
        <v>0.12181712962962964</v>
      </c>
    </row>
    <row r="1095" spans="1:12" x14ac:dyDescent="0.25">
      <c r="A1095" s="3">
        <v>45706.757754629631</v>
      </c>
      <c r="B1095" t="s">
        <v>172</v>
      </c>
      <c r="C1095" s="3">
        <v>45706.760983796295</v>
      </c>
      <c r="D1095" t="s">
        <v>172</v>
      </c>
      <c r="E1095" s="4">
        <v>2.1999999999999999E-2</v>
      </c>
      <c r="F1095" s="4">
        <v>576350.91200000001</v>
      </c>
      <c r="G1095" s="4">
        <v>576350.93400000001</v>
      </c>
      <c r="H1095" s="5">
        <f>259 / 86400</f>
        <v>2.9976851851851853E-3</v>
      </c>
      <c r="I1095" t="s">
        <v>50</v>
      </c>
      <c r="J1095" t="s">
        <v>82</v>
      </c>
      <c r="K1095" s="5">
        <f>279 / 86400</f>
        <v>3.2291666666666666E-3</v>
      </c>
      <c r="L1095" s="5">
        <f>3530 / 86400</f>
        <v>4.085648148148148E-2</v>
      </c>
    </row>
    <row r="1096" spans="1:12" x14ac:dyDescent="0.25">
      <c r="A1096" s="3">
        <v>45706.801840277782</v>
      </c>
      <c r="B1096" t="s">
        <v>172</v>
      </c>
      <c r="C1096" s="3">
        <v>45706.802291666667</v>
      </c>
      <c r="D1096" t="s">
        <v>172</v>
      </c>
      <c r="E1096" s="4">
        <v>0</v>
      </c>
      <c r="F1096" s="4">
        <v>576350.93400000001</v>
      </c>
      <c r="G1096" s="4">
        <v>576350.93400000001</v>
      </c>
      <c r="H1096" s="5">
        <f>19 / 86400</f>
        <v>2.199074074074074E-4</v>
      </c>
      <c r="I1096" t="s">
        <v>82</v>
      </c>
      <c r="J1096" t="s">
        <v>82</v>
      </c>
      <c r="K1096" s="5">
        <f>39 / 86400</f>
        <v>4.5138888888888887E-4</v>
      </c>
      <c r="L1096" s="5">
        <f>552 / 86400</f>
        <v>6.3888888888888893E-3</v>
      </c>
    </row>
    <row r="1097" spans="1:12" x14ac:dyDescent="0.25">
      <c r="A1097" s="3">
        <v>45706.80868055555</v>
      </c>
      <c r="B1097" t="s">
        <v>172</v>
      </c>
      <c r="C1097" s="3">
        <v>45706.814016203702</v>
      </c>
      <c r="D1097" t="s">
        <v>172</v>
      </c>
      <c r="E1097" s="4">
        <v>0.42299999999999999</v>
      </c>
      <c r="F1097" s="4">
        <v>576350.93400000001</v>
      </c>
      <c r="G1097" s="4">
        <v>576351.35699999996</v>
      </c>
      <c r="H1097" s="5">
        <f>258 / 86400</f>
        <v>2.9861111111111113E-3</v>
      </c>
      <c r="I1097" t="s">
        <v>38</v>
      </c>
      <c r="J1097" t="s">
        <v>170</v>
      </c>
      <c r="K1097" s="5">
        <f>460 / 86400</f>
        <v>5.324074074074074E-3</v>
      </c>
      <c r="L1097" s="5">
        <f>65 / 86400</f>
        <v>7.5231481481481482E-4</v>
      </c>
    </row>
    <row r="1098" spans="1:12" x14ac:dyDescent="0.25">
      <c r="A1098" s="3">
        <v>45706.814768518518</v>
      </c>
      <c r="B1098" t="s">
        <v>172</v>
      </c>
      <c r="C1098" s="3">
        <v>45706.829583333332</v>
      </c>
      <c r="D1098" t="s">
        <v>172</v>
      </c>
      <c r="E1098" s="4">
        <v>0.80300000000000005</v>
      </c>
      <c r="F1098" s="4">
        <v>576351.35699999996</v>
      </c>
      <c r="G1098" s="4">
        <v>576352.16</v>
      </c>
      <c r="H1098" s="5">
        <f>880 / 86400</f>
        <v>1.0185185185185186E-2</v>
      </c>
      <c r="I1098" t="s">
        <v>25</v>
      </c>
      <c r="J1098" t="s">
        <v>111</v>
      </c>
      <c r="K1098" s="5">
        <f>1279 / 86400</f>
        <v>1.480324074074074E-2</v>
      </c>
      <c r="L1098" s="5">
        <f>435 / 86400</f>
        <v>5.0347222222222225E-3</v>
      </c>
    </row>
    <row r="1099" spans="1:12" x14ac:dyDescent="0.25">
      <c r="A1099" s="3">
        <v>45706.834618055553</v>
      </c>
      <c r="B1099" t="s">
        <v>172</v>
      </c>
      <c r="C1099" s="3">
        <v>45706.845659722225</v>
      </c>
      <c r="D1099" t="s">
        <v>427</v>
      </c>
      <c r="E1099" s="4">
        <v>2.1909999999999998</v>
      </c>
      <c r="F1099" s="4">
        <v>576352.16</v>
      </c>
      <c r="G1099" s="4">
        <v>576354.35100000002</v>
      </c>
      <c r="H1099" s="5">
        <f>359 / 86400</f>
        <v>4.1550925925925922E-3</v>
      </c>
      <c r="I1099" t="s">
        <v>31</v>
      </c>
      <c r="J1099" t="s">
        <v>147</v>
      </c>
      <c r="K1099" s="5">
        <f>953 / 86400</f>
        <v>1.1030092592592593E-2</v>
      </c>
      <c r="L1099" s="5">
        <f>80 / 86400</f>
        <v>9.2592592592592596E-4</v>
      </c>
    </row>
    <row r="1100" spans="1:12" x14ac:dyDescent="0.25">
      <c r="A1100" s="3">
        <v>45706.846585648149</v>
      </c>
      <c r="B1100" t="s">
        <v>427</v>
      </c>
      <c r="C1100" s="3">
        <v>45706.848738425921</v>
      </c>
      <c r="D1100" t="s">
        <v>26</v>
      </c>
      <c r="E1100" s="4">
        <v>0.33</v>
      </c>
      <c r="F1100" s="4">
        <v>576354.35100000002</v>
      </c>
      <c r="G1100" s="4">
        <v>576354.68099999998</v>
      </c>
      <c r="H1100" s="5">
        <f>0 / 86400</f>
        <v>0</v>
      </c>
      <c r="I1100" t="s">
        <v>79</v>
      </c>
      <c r="J1100" t="s">
        <v>32</v>
      </c>
      <c r="K1100" s="5">
        <f>185 / 86400</f>
        <v>2.1412037037037038E-3</v>
      </c>
      <c r="L1100" s="5">
        <f>1176 / 86400</f>
        <v>1.361111111111111E-2</v>
      </c>
    </row>
    <row r="1101" spans="1:12" x14ac:dyDescent="0.25">
      <c r="A1101" s="3">
        <v>45706.862349537041</v>
      </c>
      <c r="B1101" t="s">
        <v>26</v>
      </c>
      <c r="C1101" s="3">
        <v>45706.864340277782</v>
      </c>
      <c r="D1101" t="s">
        <v>26</v>
      </c>
      <c r="E1101" s="4">
        <v>1.4999999999999999E-2</v>
      </c>
      <c r="F1101" s="4">
        <v>576354.68099999998</v>
      </c>
      <c r="G1101" s="4">
        <v>576354.696</v>
      </c>
      <c r="H1101" s="5">
        <f>119 / 86400</f>
        <v>1.3773148148148147E-3</v>
      </c>
      <c r="I1101" t="s">
        <v>111</v>
      </c>
      <c r="J1101" t="s">
        <v>82</v>
      </c>
      <c r="K1101" s="5">
        <f>171 / 86400</f>
        <v>1.9791666666666668E-3</v>
      </c>
      <c r="L1101" s="5">
        <f>11720 / 86400</f>
        <v>0.13564814814814816</v>
      </c>
    </row>
    <row r="1102" spans="1:12" x14ac:dyDescent="0.25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</row>
    <row r="1103" spans="1:12" x14ac:dyDescent="0.2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</row>
    <row r="1104" spans="1:12" s="10" customFormat="1" ht="20.100000000000001" customHeight="1" x14ac:dyDescent="0.35">
      <c r="A1104" s="15" t="s">
        <v>500</v>
      </c>
      <c r="B1104" s="15"/>
      <c r="C1104" s="15"/>
      <c r="D1104" s="15"/>
      <c r="E1104" s="15"/>
      <c r="F1104" s="15"/>
      <c r="G1104" s="15"/>
      <c r="H1104" s="15"/>
      <c r="I1104" s="15"/>
      <c r="J1104" s="15"/>
    </row>
    <row r="1105" spans="1:12" x14ac:dyDescent="0.2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</row>
    <row r="1106" spans="1:12" ht="30" x14ac:dyDescent="0.25">
      <c r="A1106" s="2" t="s">
        <v>6</v>
      </c>
      <c r="B1106" s="2" t="s">
        <v>7</v>
      </c>
      <c r="C1106" s="2" t="s">
        <v>8</v>
      </c>
      <c r="D1106" s="2" t="s">
        <v>9</v>
      </c>
      <c r="E1106" s="2" t="s">
        <v>10</v>
      </c>
      <c r="F1106" s="2" t="s">
        <v>11</v>
      </c>
      <c r="G1106" s="2" t="s">
        <v>12</v>
      </c>
      <c r="H1106" s="2" t="s">
        <v>13</v>
      </c>
      <c r="I1106" s="2" t="s">
        <v>14</v>
      </c>
      <c r="J1106" s="2" t="s">
        <v>15</v>
      </c>
      <c r="K1106" s="2" t="s">
        <v>16</v>
      </c>
      <c r="L1106" s="2" t="s">
        <v>17</v>
      </c>
    </row>
    <row r="1107" spans="1:12" x14ac:dyDescent="0.25">
      <c r="A1107" s="3">
        <v>45706.241909722223</v>
      </c>
      <c r="B1107" t="s">
        <v>96</v>
      </c>
      <c r="C1107" s="3">
        <v>45706.33012731481</v>
      </c>
      <c r="D1107" t="s">
        <v>153</v>
      </c>
      <c r="E1107" s="4">
        <v>37.253</v>
      </c>
      <c r="F1107" s="4">
        <v>417125.31800000003</v>
      </c>
      <c r="G1107" s="4">
        <v>417162.571</v>
      </c>
      <c r="H1107" s="5">
        <f>2918 / 86400</f>
        <v>3.3773148148148149E-2</v>
      </c>
      <c r="I1107" t="s">
        <v>41</v>
      </c>
      <c r="J1107" t="s">
        <v>20</v>
      </c>
      <c r="K1107" s="5">
        <f>7622 / 86400</f>
        <v>8.8217592592592597E-2</v>
      </c>
      <c r="L1107" s="5">
        <f>21056 / 86400</f>
        <v>0.2437037037037037</v>
      </c>
    </row>
    <row r="1108" spans="1:12" x14ac:dyDescent="0.25">
      <c r="A1108" s="3">
        <v>45706.331921296296</v>
      </c>
      <c r="B1108" t="s">
        <v>148</v>
      </c>
      <c r="C1108" s="3">
        <v>45706.590428240743</v>
      </c>
      <c r="D1108" t="s">
        <v>137</v>
      </c>
      <c r="E1108" s="4">
        <v>101.24299999999999</v>
      </c>
      <c r="F1108" s="4">
        <v>417162.571</v>
      </c>
      <c r="G1108" s="4">
        <v>417263.81400000001</v>
      </c>
      <c r="H1108" s="5">
        <f>7056 / 86400</f>
        <v>8.1666666666666665E-2</v>
      </c>
      <c r="I1108" t="s">
        <v>64</v>
      </c>
      <c r="J1108" t="s">
        <v>28</v>
      </c>
      <c r="K1108" s="5">
        <f>22334 / 86400</f>
        <v>0.25849537037037035</v>
      </c>
      <c r="L1108" s="5">
        <f>179 / 86400</f>
        <v>2.0717592592592593E-3</v>
      </c>
    </row>
    <row r="1109" spans="1:12" x14ac:dyDescent="0.25">
      <c r="A1109" s="3">
        <v>45706.592499999999</v>
      </c>
      <c r="B1109" t="s">
        <v>149</v>
      </c>
      <c r="C1109" s="3">
        <v>45706.59306712963</v>
      </c>
      <c r="D1109" t="s">
        <v>137</v>
      </c>
      <c r="E1109" s="4">
        <v>0.114</v>
      </c>
      <c r="F1109" s="4">
        <v>417263.81400000001</v>
      </c>
      <c r="G1109" s="4">
        <v>417263.92800000001</v>
      </c>
      <c r="H1109" s="5">
        <f>0 / 86400</f>
        <v>0</v>
      </c>
      <c r="I1109" t="s">
        <v>57</v>
      </c>
      <c r="J1109" t="s">
        <v>147</v>
      </c>
      <c r="K1109" s="5">
        <f>49 / 86400</f>
        <v>5.6712962962962967E-4</v>
      </c>
      <c r="L1109" s="5">
        <f>5205 / 86400</f>
        <v>6.0243055555555557E-2</v>
      </c>
    </row>
    <row r="1110" spans="1:12" x14ac:dyDescent="0.25">
      <c r="A1110" s="3">
        <v>45706.653310185182</v>
      </c>
      <c r="B1110" t="s">
        <v>137</v>
      </c>
      <c r="C1110" s="3">
        <v>45706.654513888891</v>
      </c>
      <c r="D1110" t="s">
        <v>137</v>
      </c>
      <c r="E1110" s="4">
        <v>0.11</v>
      </c>
      <c r="F1110" s="4">
        <v>417263.92800000001</v>
      </c>
      <c r="G1110" s="4">
        <v>417264.038</v>
      </c>
      <c r="H1110" s="5">
        <f>39 / 86400</f>
        <v>4.5138888888888887E-4</v>
      </c>
      <c r="I1110" t="s">
        <v>147</v>
      </c>
      <c r="J1110" t="s">
        <v>127</v>
      </c>
      <c r="K1110" s="5">
        <f>104 / 86400</f>
        <v>1.2037037037037038E-3</v>
      </c>
      <c r="L1110" s="5">
        <f>306 / 86400</f>
        <v>3.5416666666666665E-3</v>
      </c>
    </row>
    <row r="1111" spans="1:12" x14ac:dyDescent="0.25">
      <c r="A1111" s="3">
        <v>45706.658055555556</v>
      </c>
      <c r="B1111" t="s">
        <v>137</v>
      </c>
      <c r="C1111" s="3">
        <v>45706.666886574079</v>
      </c>
      <c r="D1111" t="s">
        <v>137</v>
      </c>
      <c r="E1111" s="4">
        <v>2.4E-2</v>
      </c>
      <c r="F1111" s="4">
        <v>417264.038</v>
      </c>
      <c r="G1111" s="4">
        <v>417264.06199999998</v>
      </c>
      <c r="H1111" s="5">
        <f>739 / 86400</f>
        <v>8.5532407407407415E-3</v>
      </c>
      <c r="I1111" t="s">
        <v>32</v>
      </c>
      <c r="J1111" t="s">
        <v>82</v>
      </c>
      <c r="K1111" s="5">
        <f>763 / 86400</f>
        <v>8.8310185185185193E-3</v>
      </c>
      <c r="L1111" s="5">
        <f>5258 / 86400</f>
        <v>6.0856481481481484E-2</v>
      </c>
    </row>
    <row r="1112" spans="1:12" x14ac:dyDescent="0.25">
      <c r="A1112" s="3">
        <v>45706.727743055555</v>
      </c>
      <c r="B1112" t="s">
        <v>137</v>
      </c>
      <c r="C1112" s="3">
        <v>45706.854027777779</v>
      </c>
      <c r="D1112" t="s">
        <v>96</v>
      </c>
      <c r="E1112" s="4">
        <v>53.954000000000001</v>
      </c>
      <c r="F1112" s="4">
        <v>417264.06199999998</v>
      </c>
      <c r="G1112" s="4">
        <v>417318.016</v>
      </c>
      <c r="H1112" s="5">
        <f>3439 / 86400</f>
        <v>3.9803240740740743E-2</v>
      </c>
      <c r="I1112" t="s">
        <v>138</v>
      </c>
      <c r="J1112" t="s">
        <v>20</v>
      </c>
      <c r="K1112" s="5">
        <f>10911 / 86400</f>
        <v>0.12628472222222223</v>
      </c>
      <c r="L1112" s="5">
        <f>12611 / 86400</f>
        <v>0.14596064814814816</v>
      </c>
    </row>
    <row r="1113" spans="1:12" x14ac:dyDescent="0.25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</row>
    <row r="1114" spans="1:12" x14ac:dyDescent="0.25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</row>
    <row r="1115" spans="1:12" s="10" customFormat="1" ht="20.100000000000001" customHeight="1" x14ac:dyDescent="0.35">
      <c r="A1115" s="15" t="s">
        <v>501</v>
      </c>
      <c r="B1115" s="15"/>
      <c r="C1115" s="15"/>
      <c r="D1115" s="15"/>
      <c r="E1115" s="15"/>
      <c r="F1115" s="15"/>
      <c r="G1115" s="15"/>
      <c r="H1115" s="15"/>
      <c r="I1115" s="15"/>
      <c r="J1115" s="15"/>
    </row>
    <row r="1116" spans="1:12" x14ac:dyDescent="0.25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</row>
    <row r="1117" spans="1:12" ht="30" x14ac:dyDescent="0.25">
      <c r="A1117" s="2" t="s">
        <v>6</v>
      </c>
      <c r="B1117" s="2" t="s">
        <v>7</v>
      </c>
      <c r="C1117" s="2" t="s">
        <v>8</v>
      </c>
      <c r="D1117" s="2" t="s">
        <v>9</v>
      </c>
      <c r="E1117" s="2" t="s">
        <v>10</v>
      </c>
      <c r="F1117" s="2" t="s">
        <v>11</v>
      </c>
      <c r="G1117" s="2" t="s">
        <v>12</v>
      </c>
      <c r="H1117" s="2" t="s">
        <v>13</v>
      </c>
      <c r="I1117" s="2" t="s">
        <v>14</v>
      </c>
      <c r="J1117" s="2" t="s">
        <v>15</v>
      </c>
      <c r="K1117" s="2" t="s">
        <v>16</v>
      </c>
      <c r="L1117" s="2" t="s">
        <v>17</v>
      </c>
    </row>
    <row r="1118" spans="1:12" x14ac:dyDescent="0.25">
      <c r="A1118" s="3">
        <v>45706.284178240741</v>
      </c>
      <c r="B1118" t="s">
        <v>97</v>
      </c>
      <c r="C1118" s="3">
        <v>45706.284930555557</v>
      </c>
      <c r="D1118" t="s">
        <v>97</v>
      </c>
      <c r="E1118" s="4">
        <v>5.0000000000000001E-3</v>
      </c>
      <c r="F1118" s="4">
        <v>401370.96299999999</v>
      </c>
      <c r="G1118" s="4">
        <v>401370.96799999999</v>
      </c>
      <c r="H1118" s="5">
        <f>59 / 86400</f>
        <v>6.8287037037037036E-4</v>
      </c>
      <c r="I1118" t="s">
        <v>82</v>
      </c>
      <c r="J1118" t="s">
        <v>82</v>
      </c>
      <c r="K1118" s="5">
        <f>64 / 86400</f>
        <v>7.407407407407407E-4</v>
      </c>
      <c r="L1118" s="5">
        <f>54753 / 86400</f>
        <v>0.63371527777777781</v>
      </c>
    </row>
    <row r="1119" spans="1:12" x14ac:dyDescent="0.25">
      <c r="A1119" s="3">
        <v>45706.634467592594</v>
      </c>
      <c r="B1119" t="s">
        <v>97</v>
      </c>
      <c r="C1119" s="3">
        <v>45706.647002314814</v>
      </c>
      <c r="D1119" t="s">
        <v>120</v>
      </c>
      <c r="E1119" s="4">
        <v>8.8390000000000004</v>
      </c>
      <c r="F1119" s="4">
        <v>401370.96799999999</v>
      </c>
      <c r="G1119" s="4">
        <v>401379.80699999997</v>
      </c>
      <c r="H1119" s="5">
        <f>119 / 86400</f>
        <v>1.3773148148148147E-3</v>
      </c>
      <c r="I1119" t="s">
        <v>98</v>
      </c>
      <c r="J1119" t="s">
        <v>182</v>
      </c>
      <c r="K1119" s="5">
        <f>1083 / 86400</f>
        <v>1.2534722222222221E-2</v>
      </c>
      <c r="L1119" s="5">
        <f>2265 / 86400</f>
        <v>2.6215277777777778E-2</v>
      </c>
    </row>
    <row r="1120" spans="1:12" x14ac:dyDescent="0.25">
      <c r="A1120" s="3">
        <v>45706.673217592594</v>
      </c>
      <c r="B1120" t="s">
        <v>120</v>
      </c>
      <c r="C1120" s="3">
        <v>45706.674363425926</v>
      </c>
      <c r="D1120" t="s">
        <v>120</v>
      </c>
      <c r="E1120" s="4">
        <v>0</v>
      </c>
      <c r="F1120" s="4">
        <v>401379.80699999997</v>
      </c>
      <c r="G1120" s="4">
        <v>401379.80699999997</v>
      </c>
      <c r="H1120" s="5">
        <f>79 / 86400</f>
        <v>9.1435185185185185E-4</v>
      </c>
      <c r="I1120" t="s">
        <v>82</v>
      </c>
      <c r="J1120" t="s">
        <v>82</v>
      </c>
      <c r="K1120" s="5">
        <f>99 / 86400</f>
        <v>1.1458333333333333E-3</v>
      </c>
      <c r="L1120" s="5">
        <f>253 / 86400</f>
        <v>2.9282407407407408E-3</v>
      </c>
    </row>
    <row r="1121" spans="1:12" x14ac:dyDescent="0.25">
      <c r="A1121" s="3">
        <v>45706.677291666667</v>
      </c>
      <c r="B1121" t="s">
        <v>120</v>
      </c>
      <c r="C1121" s="3">
        <v>45706.678726851853</v>
      </c>
      <c r="D1121" t="s">
        <v>120</v>
      </c>
      <c r="E1121" s="4">
        <v>0.122</v>
      </c>
      <c r="F1121" s="4">
        <v>401379.80699999997</v>
      </c>
      <c r="G1121" s="4">
        <v>401379.929</v>
      </c>
      <c r="H1121" s="5">
        <f>79 / 86400</f>
        <v>9.1435185185185185E-4</v>
      </c>
      <c r="I1121" t="s">
        <v>44</v>
      </c>
      <c r="J1121" t="s">
        <v>127</v>
      </c>
      <c r="K1121" s="5">
        <f>123 / 86400</f>
        <v>1.4236111111111112E-3</v>
      </c>
      <c r="L1121" s="5">
        <f>321 / 86400</f>
        <v>3.7152777777777778E-3</v>
      </c>
    </row>
    <row r="1122" spans="1:12" x14ac:dyDescent="0.25">
      <c r="A1122" s="3">
        <v>45706.682442129633</v>
      </c>
      <c r="B1122" t="s">
        <v>120</v>
      </c>
      <c r="C1122" s="3">
        <v>45706.684872685189</v>
      </c>
      <c r="D1122" t="s">
        <v>120</v>
      </c>
      <c r="E1122" s="4">
        <v>0.246</v>
      </c>
      <c r="F1122" s="4">
        <v>401379.929</v>
      </c>
      <c r="G1122" s="4">
        <v>401380.17499999999</v>
      </c>
      <c r="H1122" s="5">
        <f>99 / 86400</f>
        <v>1.1458333333333333E-3</v>
      </c>
      <c r="I1122" t="s">
        <v>93</v>
      </c>
      <c r="J1122" t="s">
        <v>127</v>
      </c>
      <c r="K1122" s="5">
        <f>209 / 86400</f>
        <v>2.4189814814814816E-3</v>
      </c>
      <c r="L1122" s="5">
        <f>5832 / 86400</f>
        <v>6.7500000000000004E-2</v>
      </c>
    </row>
    <row r="1123" spans="1:12" x14ac:dyDescent="0.25">
      <c r="A1123" s="3">
        <v>45706.752372685187</v>
      </c>
      <c r="B1123" t="s">
        <v>120</v>
      </c>
      <c r="C1123" s="3">
        <v>45706.754131944443</v>
      </c>
      <c r="D1123" t="s">
        <v>386</v>
      </c>
      <c r="E1123" s="4">
        <v>0.5</v>
      </c>
      <c r="F1123" s="4">
        <v>401380.17499999999</v>
      </c>
      <c r="G1123" s="4">
        <v>401380.67499999999</v>
      </c>
      <c r="H1123" s="5">
        <f>19 / 86400</f>
        <v>2.199074074074074E-4</v>
      </c>
      <c r="I1123" t="s">
        <v>35</v>
      </c>
      <c r="J1123" t="s">
        <v>25</v>
      </c>
      <c r="K1123" s="5">
        <f>152 / 86400</f>
        <v>1.7592592592592592E-3</v>
      </c>
      <c r="L1123" s="5">
        <f>173 / 86400</f>
        <v>2.0023148148148148E-3</v>
      </c>
    </row>
    <row r="1124" spans="1:12" x14ac:dyDescent="0.25">
      <c r="A1124" s="3">
        <v>45706.75613425926</v>
      </c>
      <c r="B1124" t="s">
        <v>386</v>
      </c>
      <c r="C1124" s="3">
        <v>45706.75944444444</v>
      </c>
      <c r="D1124" t="s">
        <v>118</v>
      </c>
      <c r="E1124" s="4">
        <v>0.83699999999999997</v>
      </c>
      <c r="F1124" s="4">
        <v>401380.67499999999</v>
      </c>
      <c r="G1124" s="4">
        <v>401381.51199999999</v>
      </c>
      <c r="H1124" s="5">
        <f>99 / 86400</f>
        <v>1.1458333333333333E-3</v>
      </c>
      <c r="I1124" t="s">
        <v>31</v>
      </c>
      <c r="J1124" t="s">
        <v>93</v>
      </c>
      <c r="K1124" s="5">
        <f>286 / 86400</f>
        <v>3.3101851851851851E-3</v>
      </c>
      <c r="L1124" s="5">
        <f>221 / 86400</f>
        <v>2.5578703703703705E-3</v>
      </c>
    </row>
    <row r="1125" spans="1:12" x14ac:dyDescent="0.25">
      <c r="A1125" s="3">
        <v>45706.762002314819</v>
      </c>
      <c r="B1125" t="s">
        <v>118</v>
      </c>
      <c r="C1125" s="3">
        <v>45706.76599537037</v>
      </c>
      <c r="D1125" t="s">
        <v>137</v>
      </c>
      <c r="E1125" s="4">
        <v>0.2</v>
      </c>
      <c r="F1125" s="4">
        <v>401381.51199999999</v>
      </c>
      <c r="G1125" s="4">
        <v>401381.712</v>
      </c>
      <c r="H1125" s="5">
        <f>219 / 86400</f>
        <v>2.5347222222222221E-3</v>
      </c>
      <c r="I1125" t="s">
        <v>20</v>
      </c>
      <c r="J1125" t="s">
        <v>111</v>
      </c>
      <c r="K1125" s="5">
        <f>344 / 86400</f>
        <v>3.9814814814814817E-3</v>
      </c>
      <c r="L1125" s="5">
        <f>198 / 86400</f>
        <v>2.2916666666666667E-3</v>
      </c>
    </row>
    <row r="1126" spans="1:12" x14ac:dyDescent="0.25">
      <c r="A1126" s="3">
        <v>45706.768287037034</v>
      </c>
      <c r="B1126" t="s">
        <v>137</v>
      </c>
      <c r="C1126" s="3">
        <v>45706.781423611115</v>
      </c>
      <c r="D1126" t="s">
        <v>428</v>
      </c>
      <c r="E1126" s="4">
        <v>4.9569999999999999</v>
      </c>
      <c r="F1126" s="4">
        <v>401381.712</v>
      </c>
      <c r="G1126" s="4">
        <v>401386.66899999999</v>
      </c>
      <c r="H1126" s="5">
        <f>239 / 86400</f>
        <v>2.7662037037037039E-3</v>
      </c>
      <c r="I1126" t="s">
        <v>290</v>
      </c>
      <c r="J1126" t="s">
        <v>28</v>
      </c>
      <c r="K1126" s="5">
        <f>1135 / 86400</f>
        <v>1.3136574074074075E-2</v>
      </c>
      <c r="L1126" s="5">
        <f>7862 / 86400</f>
        <v>9.0995370370370365E-2</v>
      </c>
    </row>
    <row r="1127" spans="1:12" x14ac:dyDescent="0.25">
      <c r="A1127" s="3">
        <v>45706.872418981482</v>
      </c>
      <c r="B1127" t="s">
        <v>428</v>
      </c>
      <c r="C1127" s="3">
        <v>45706.873587962968</v>
      </c>
      <c r="D1127" t="s">
        <v>428</v>
      </c>
      <c r="E1127" s="4">
        <v>0.111</v>
      </c>
      <c r="F1127" s="4">
        <v>401386.66899999999</v>
      </c>
      <c r="G1127" s="4">
        <v>401386.78</v>
      </c>
      <c r="H1127" s="5">
        <f>19 / 86400</f>
        <v>2.199074074074074E-4</v>
      </c>
      <c r="I1127" t="s">
        <v>150</v>
      </c>
      <c r="J1127" t="s">
        <v>127</v>
      </c>
      <c r="K1127" s="5">
        <f>100 / 86400</f>
        <v>1.1574074074074073E-3</v>
      </c>
      <c r="L1127" s="5">
        <f>1161 / 86400</f>
        <v>1.34375E-2</v>
      </c>
    </row>
    <row r="1128" spans="1:12" x14ac:dyDescent="0.25">
      <c r="A1128" s="3">
        <v>45706.887025462958</v>
      </c>
      <c r="B1128" t="s">
        <v>428</v>
      </c>
      <c r="C1128" s="3">
        <v>45706.9</v>
      </c>
      <c r="D1128" t="s">
        <v>137</v>
      </c>
      <c r="E1128" s="4">
        <v>3.8879999999999999</v>
      </c>
      <c r="F1128" s="4">
        <v>401386.78</v>
      </c>
      <c r="G1128" s="4">
        <v>401390.66800000001</v>
      </c>
      <c r="H1128" s="5">
        <f>400 / 86400</f>
        <v>4.6296296296296294E-3</v>
      </c>
      <c r="I1128" t="s">
        <v>290</v>
      </c>
      <c r="J1128" t="s">
        <v>25</v>
      </c>
      <c r="K1128" s="5">
        <f>1120 / 86400</f>
        <v>1.2962962962962963E-2</v>
      </c>
      <c r="L1128" s="5">
        <f>431 / 86400</f>
        <v>4.9884259259259257E-3</v>
      </c>
    </row>
    <row r="1129" spans="1:12" x14ac:dyDescent="0.25">
      <c r="A1129" s="3">
        <v>45706.904988425929</v>
      </c>
      <c r="B1129" t="s">
        <v>137</v>
      </c>
      <c r="C1129" s="3">
        <v>45706.920925925922</v>
      </c>
      <c r="D1129" t="s">
        <v>97</v>
      </c>
      <c r="E1129" s="4">
        <v>9.0649999999999995</v>
      </c>
      <c r="F1129" s="4">
        <v>401390.66800000001</v>
      </c>
      <c r="G1129" s="4">
        <v>401399.73300000001</v>
      </c>
      <c r="H1129" s="5">
        <f>60 / 86400</f>
        <v>6.9444444444444447E-4</v>
      </c>
      <c r="I1129" t="s">
        <v>198</v>
      </c>
      <c r="J1129" t="s">
        <v>151</v>
      </c>
      <c r="K1129" s="5">
        <f>1377 / 86400</f>
        <v>1.59375E-2</v>
      </c>
      <c r="L1129" s="5">
        <f>6831 / 86400</f>
        <v>7.9062499999999994E-2</v>
      </c>
    </row>
    <row r="1130" spans="1:12" x14ac:dyDescent="0.25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</row>
    <row r="1131" spans="1:12" x14ac:dyDescent="0.25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</row>
    <row r="1132" spans="1:12" s="10" customFormat="1" ht="20.100000000000001" customHeight="1" x14ac:dyDescent="0.35">
      <c r="A1132" s="15" t="s">
        <v>502</v>
      </c>
      <c r="B1132" s="15"/>
      <c r="C1132" s="15"/>
      <c r="D1132" s="15"/>
      <c r="E1132" s="15"/>
      <c r="F1132" s="15"/>
      <c r="G1132" s="15"/>
      <c r="H1132" s="15"/>
      <c r="I1132" s="15"/>
      <c r="J1132" s="15"/>
    </row>
    <row r="1133" spans="1:12" x14ac:dyDescent="0.25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</row>
    <row r="1134" spans="1:12" ht="30" x14ac:dyDescent="0.25">
      <c r="A1134" s="2" t="s">
        <v>6</v>
      </c>
      <c r="B1134" s="2" t="s">
        <v>7</v>
      </c>
      <c r="C1134" s="2" t="s">
        <v>8</v>
      </c>
      <c r="D1134" s="2" t="s">
        <v>9</v>
      </c>
      <c r="E1134" s="2" t="s">
        <v>10</v>
      </c>
      <c r="F1134" s="2" t="s">
        <v>11</v>
      </c>
      <c r="G1134" s="2" t="s">
        <v>12</v>
      </c>
      <c r="H1134" s="2" t="s">
        <v>13</v>
      </c>
      <c r="I1134" s="2" t="s">
        <v>14</v>
      </c>
      <c r="J1134" s="2" t="s">
        <v>15</v>
      </c>
      <c r="K1134" s="2" t="s">
        <v>16</v>
      </c>
      <c r="L1134" s="2" t="s">
        <v>17</v>
      </c>
    </row>
    <row r="1135" spans="1:12" x14ac:dyDescent="0.25">
      <c r="A1135" s="3">
        <v>45706.310972222222</v>
      </c>
      <c r="B1135" t="s">
        <v>46</v>
      </c>
      <c r="C1135" s="3">
        <v>45706.595486111109</v>
      </c>
      <c r="D1135" t="s">
        <v>137</v>
      </c>
      <c r="E1135" s="4">
        <v>103.239</v>
      </c>
      <c r="F1135" s="4">
        <v>546896.29200000002</v>
      </c>
      <c r="G1135" s="4">
        <v>546999.53099999996</v>
      </c>
      <c r="H1135" s="5">
        <f>9239 / 86400</f>
        <v>0.10693287037037037</v>
      </c>
      <c r="I1135" t="s">
        <v>113</v>
      </c>
      <c r="J1135" t="s">
        <v>38</v>
      </c>
      <c r="K1135" s="5">
        <f>24582 / 86400</f>
        <v>0.2845138888888889</v>
      </c>
      <c r="L1135" s="5">
        <f>27010 / 86400</f>
        <v>0.31261574074074072</v>
      </c>
    </row>
    <row r="1136" spans="1:12" x14ac:dyDescent="0.25">
      <c r="A1136" s="3">
        <v>45706.597129629634</v>
      </c>
      <c r="B1136" t="s">
        <v>137</v>
      </c>
      <c r="C1136" s="3">
        <v>45706.599618055552</v>
      </c>
      <c r="D1136" t="s">
        <v>21</v>
      </c>
      <c r="E1136" s="4">
        <v>0.55100000000000005</v>
      </c>
      <c r="F1136" s="4">
        <v>546999.53099999996</v>
      </c>
      <c r="G1136" s="4">
        <v>547000.08200000005</v>
      </c>
      <c r="H1136" s="5">
        <f>60 / 86400</f>
        <v>6.9444444444444447E-4</v>
      </c>
      <c r="I1136" t="s">
        <v>169</v>
      </c>
      <c r="J1136" t="s">
        <v>171</v>
      </c>
      <c r="K1136" s="5">
        <f>215 / 86400</f>
        <v>2.488425925925926E-3</v>
      </c>
      <c r="L1136" s="5">
        <f>11057 / 86400</f>
        <v>0.12797453703703704</v>
      </c>
    </row>
    <row r="1137" spans="1:12" x14ac:dyDescent="0.25">
      <c r="A1137" s="3">
        <v>45706.727592592593</v>
      </c>
      <c r="B1137" t="s">
        <v>21</v>
      </c>
      <c r="C1137" s="3">
        <v>45706.728182870371</v>
      </c>
      <c r="D1137" t="s">
        <v>46</v>
      </c>
      <c r="E1137" s="4">
        <v>5.0000000000000001E-3</v>
      </c>
      <c r="F1137" s="4">
        <v>547000.08200000005</v>
      </c>
      <c r="G1137" s="4">
        <v>547000.08700000006</v>
      </c>
      <c r="H1137" s="5">
        <f>39 / 86400</f>
        <v>4.5138888888888887E-4</v>
      </c>
      <c r="I1137" t="s">
        <v>82</v>
      </c>
      <c r="J1137" t="s">
        <v>82</v>
      </c>
      <c r="K1137" s="5">
        <f>51 / 86400</f>
        <v>5.9027777777777778E-4</v>
      </c>
      <c r="L1137" s="5">
        <f>20 / 86400</f>
        <v>2.3148148148148149E-4</v>
      </c>
    </row>
    <row r="1138" spans="1:12" x14ac:dyDescent="0.25">
      <c r="A1138" s="3">
        <v>45706.728414351848</v>
      </c>
      <c r="B1138" t="s">
        <v>46</v>
      </c>
      <c r="C1138" s="3">
        <v>45706.728587962964</v>
      </c>
      <c r="D1138" t="s">
        <v>46</v>
      </c>
      <c r="E1138" s="4">
        <v>0</v>
      </c>
      <c r="F1138" s="4">
        <v>547000.08700000006</v>
      </c>
      <c r="G1138" s="4">
        <v>547000.08700000006</v>
      </c>
      <c r="H1138" s="5">
        <f>0 / 86400</f>
        <v>0</v>
      </c>
      <c r="I1138" t="s">
        <v>82</v>
      </c>
      <c r="J1138" t="s">
        <v>82</v>
      </c>
      <c r="K1138" s="5">
        <f>15 / 86400</f>
        <v>1.7361111111111112E-4</v>
      </c>
      <c r="L1138" s="5">
        <f>1269 / 86400</f>
        <v>1.4687499999999999E-2</v>
      </c>
    </row>
    <row r="1139" spans="1:12" x14ac:dyDescent="0.25">
      <c r="A1139" s="3">
        <v>45706.743275462963</v>
      </c>
      <c r="B1139" t="s">
        <v>46</v>
      </c>
      <c r="C1139" s="3">
        <v>45706.957650462966</v>
      </c>
      <c r="D1139" t="s">
        <v>400</v>
      </c>
      <c r="E1139" s="4">
        <v>96.504000000000005</v>
      </c>
      <c r="F1139" s="4">
        <v>547000.08700000006</v>
      </c>
      <c r="G1139" s="4">
        <v>547096.59100000001</v>
      </c>
      <c r="H1139" s="5">
        <f>5801 / 86400</f>
        <v>6.7141203703703703E-2</v>
      </c>
      <c r="I1139" t="s">
        <v>99</v>
      </c>
      <c r="J1139" t="s">
        <v>79</v>
      </c>
      <c r="K1139" s="5">
        <f>18521 / 86400</f>
        <v>0.21436342592592592</v>
      </c>
      <c r="L1139" s="5">
        <f>109 / 86400</f>
        <v>1.261574074074074E-3</v>
      </c>
    </row>
    <row r="1140" spans="1:12" x14ac:dyDescent="0.25">
      <c r="A1140" s="3">
        <v>45706.958912037036</v>
      </c>
      <c r="B1140" t="s">
        <v>400</v>
      </c>
      <c r="C1140" s="3">
        <v>45706.96056712963</v>
      </c>
      <c r="D1140" t="s">
        <v>21</v>
      </c>
      <c r="E1140" s="4">
        <v>0.29199999999999998</v>
      </c>
      <c r="F1140" s="4">
        <v>547096.59100000001</v>
      </c>
      <c r="G1140" s="4">
        <v>547096.88300000003</v>
      </c>
      <c r="H1140" s="5">
        <f>0 / 86400</f>
        <v>0</v>
      </c>
      <c r="I1140" t="s">
        <v>28</v>
      </c>
      <c r="J1140" t="s">
        <v>150</v>
      </c>
      <c r="K1140" s="5">
        <f>143 / 86400</f>
        <v>1.6550925925925926E-3</v>
      </c>
      <c r="L1140" s="5">
        <f>3406 / 86400</f>
        <v>3.9421296296296295E-2</v>
      </c>
    </row>
    <row r="1141" spans="1:12" x14ac:dyDescent="0.25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</row>
    <row r="1142" spans="1:12" x14ac:dyDescent="0.25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</row>
    <row r="1143" spans="1:12" s="10" customFormat="1" ht="20.100000000000001" customHeight="1" x14ac:dyDescent="0.35">
      <c r="A1143" s="15" t="s">
        <v>503</v>
      </c>
      <c r="B1143" s="15"/>
      <c r="C1143" s="15"/>
      <c r="D1143" s="15"/>
      <c r="E1143" s="15"/>
      <c r="F1143" s="15"/>
      <c r="G1143" s="15"/>
      <c r="H1143" s="15"/>
      <c r="I1143" s="15"/>
      <c r="J1143" s="15"/>
    </row>
    <row r="1144" spans="1:12" x14ac:dyDescent="0.25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</row>
    <row r="1145" spans="1:12" ht="30" x14ac:dyDescent="0.25">
      <c r="A1145" s="2" t="s">
        <v>6</v>
      </c>
      <c r="B1145" s="2" t="s">
        <v>7</v>
      </c>
      <c r="C1145" s="2" t="s">
        <v>8</v>
      </c>
      <c r="D1145" s="2" t="s">
        <v>9</v>
      </c>
      <c r="E1145" s="2" t="s">
        <v>10</v>
      </c>
      <c r="F1145" s="2" t="s">
        <v>11</v>
      </c>
      <c r="G1145" s="2" t="s">
        <v>12</v>
      </c>
      <c r="H1145" s="2" t="s">
        <v>13</v>
      </c>
      <c r="I1145" s="2" t="s">
        <v>14</v>
      </c>
      <c r="J1145" s="2" t="s">
        <v>15</v>
      </c>
      <c r="K1145" s="2" t="s">
        <v>16</v>
      </c>
      <c r="L1145" s="2" t="s">
        <v>17</v>
      </c>
    </row>
    <row r="1146" spans="1:12" x14ac:dyDescent="0.25">
      <c r="A1146" s="3">
        <v>45706</v>
      </c>
      <c r="B1146" t="s">
        <v>100</v>
      </c>
      <c r="C1146" s="3">
        <v>45706.077407407407</v>
      </c>
      <c r="D1146" t="s">
        <v>195</v>
      </c>
      <c r="E1146" s="4">
        <v>43.774000000000001</v>
      </c>
      <c r="F1146" s="4">
        <v>104966.09299999999</v>
      </c>
      <c r="G1146" s="4">
        <v>105009.867</v>
      </c>
      <c r="H1146" s="5">
        <f>2320 / 86400</f>
        <v>2.6851851851851852E-2</v>
      </c>
      <c r="I1146" t="s">
        <v>30</v>
      </c>
      <c r="J1146" t="s">
        <v>151</v>
      </c>
      <c r="K1146" s="5">
        <f>6688 / 86400</f>
        <v>7.7407407407407411E-2</v>
      </c>
      <c r="L1146" s="5">
        <f>417 / 86400</f>
        <v>4.8263888888888887E-3</v>
      </c>
    </row>
    <row r="1147" spans="1:12" x14ac:dyDescent="0.25">
      <c r="A1147" s="3">
        <v>45706.082233796296</v>
      </c>
      <c r="B1147" t="s">
        <v>195</v>
      </c>
      <c r="C1147" s="3">
        <v>45706.090520833328</v>
      </c>
      <c r="D1147" t="s">
        <v>429</v>
      </c>
      <c r="E1147" s="4">
        <v>5.93</v>
      </c>
      <c r="F1147" s="4">
        <v>105009.867</v>
      </c>
      <c r="G1147" s="4">
        <v>105015.79700000001</v>
      </c>
      <c r="H1147" s="5">
        <f>60 / 86400</f>
        <v>6.9444444444444447E-4</v>
      </c>
      <c r="I1147" t="s">
        <v>318</v>
      </c>
      <c r="J1147" t="s">
        <v>295</v>
      </c>
      <c r="K1147" s="5">
        <f>716 / 86400</f>
        <v>8.2870370370370372E-3</v>
      </c>
      <c r="L1147" s="5">
        <f>255 / 86400</f>
        <v>2.9513888888888888E-3</v>
      </c>
    </row>
    <row r="1148" spans="1:12" x14ac:dyDescent="0.25">
      <c r="A1148" s="3">
        <v>45706.093472222223</v>
      </c>
      <c r="B1148" t="s">
        <v>429</v>
      </c>
      <c r="C1148" s="3">
        <v>45706.094884259262</v>
      </c>
      <c r="D1148" t="s">
        <v>109</v>
      </c>
      <c r="E1148" s="4">
        <v>0.57599999999999996</v>
      </c>
      <c r="F1148" s="4">
        <v>105015.79700000001</v>
      </c>
      <c r="G1148" s="4">
        <v>105016.37300000001</v>
      </c>
      <c r="H1148" s="5">
        <f>0 / 86400</f>
        <v>0</v>
      </c>
      <c r="I1148" t="s">
        <v>47</v>
      </c>
      <c r="J1148" t="s">
        <v>62</v>
      </c>
      <c r="K1148" s="5">
        <f>122 / 86400</f>
        <v>1.4120370370370369E-3</v>
      </c>
      <c r="L1148" s="5">
        <f>961 / 86400</f>
        <v>1.1122685185185185E-2</v>
      </c>
    </row>
    <row r="1149" spans="1:12" x14ac:dyDescent="0.25">
      <c r="A1149" s="3">
        <v>45706.106006944443</v>
      </c>
      <c r="B1149" t="s">
        <v>109</v>
      </c>
      <c r="C1149" s="3">
        <v>45706.10670138889</v>
      </c>
      <c r="D1149" t="s">
        <v>109</v>
      </c>
      <c r="E1149" s="4">
        <v>6.2E-2</v>
      </c>
      <c r="F1149" s="4">
        <v>105016.37300000001</v>
      </c>
      <c r="G1149" s="4">
        <v>105016.435</v>
      </c>
      <c r="H1149" s="5">
        <f>20 / 86400</f>
        <v>2.3148148148148149E-4</v>
      </c>
      <c r="I1149" t="s">
        <v>57</v>
      </c>
      <c r="J1149" t="s">
        <v>127</v>
      </c>
      <c r="K1149" s="5">
        <f>60 / 86400</f>
        <v>6.9444444444444447E-4</v>
      </c>
      <c r="L1149" s="5">
        <f>6061 / 86400</f>
        <v>7.0150462962962956E-2</v>
      </c>
    </row>
    <row r="1150" spans="1:12" x14ac:dyDescent="0.25">
      <c r="A1150" s="3">
        <v>45706.176851851851</v>
      </c>
      <c r="B1150" t="s">
        <v>109</v>
      </c>
      <c r="C1150" s="3">
        <v>45706.177407407406</v>
      </c>
      <c r="D1150" t="s">
        <v>109</v>
      </c>
      <c r="E1150" s="4">
        <v>0</v>
      </c>
      <c r="F1150" s="4">
        <v>105016.435</v>
      </c>
      <c r="G1150" s="4">
        <v>105016.435</v>
      </c>
      <c r="H1150" s="5">
        <f>38 / 86400</f>
        <v>4.3981481481481481E-4</v>
      </c>
      <c r="I1150" t="s">
        <v>82</v>
      </c>
      <c r="J1150" t="s">
        <v>82</v>
      </c>
      <c r="K1150" s="5">
        <f>48 / 86400</f>
        <v>5.5555555555555556E-4</v>
      </c>
      <c r="L1150" s="5">
        <f>6198 / 86400</f>
        <v>7.1736111111111112E-2</v>
      </c>
    </row>
    <row r="1151" spans="1:12" x14ac:dyDescent="0.25">
      <c r="A1151" s="3">
        <v>45706.249143518522</v>
      </c>
      <c r="B1151" t="s">
        <v>109</v>
      </c>
      <c r="C1151" s="3">
        <v>45706.417303240742</v>
      </c>
      <c r="D1151" t="s">
        <v>430</v>
      </c>
      <c r="E1151" s="4">
        <v>78.111000000000004</v>
      </c>
      <c r="F1151" s="4">
        <v>105016.435</v>
      </c>
      <c r="G1151" s="4">
        <v>105094.546</v>
      </c>
      <c r="H1151" s="5">
        <f>4958 / 86400</f>
        <v>5.738425925925926E-2</v>
      </c>
      <c r="I1151" t="s">
        <v>30</v>
      </c>
      <c r="J1151" t="s">
        <v>79</v>
      </c>
      <c r="K1151" s="5">
        <f>14529 / 86400</f>
        <v>0.16815972222222222</v>
      </c>
      <c r="L1151" s="5">
        <f>2269 / 86400</f>
        <v>2.6261574074074073E-2</v>
      </c>
    </row>
    <row r="1152" spans="1:12" x14ac:dyDescent="0.25">
      <c r="A1152" s="3">
        <v>45706.443564814814</v>
      </c>
      <c r="B1152" t="s">
        <v>430</v>
      </c>
      <c r="C1152" s="3">
        <v>45706.448148148149</v>
      </c>
      <c r="D1152" t="s">
        <v>148</v>
      </c>
      <c r="E1152" s="4">
        <v>1.1579999999999999</v>
      </c>
      <c r="F1152" s="4">
        <v>105094.546</v>
      </c>
      <c r="G1152" s="4">
        <v>105095.704</v>
      </c>
      <c r="H1152" s="5">
        <f>100 / 86400</f>
        <v>1.1574074074074073E-3</v>
      </c>
      <c r="I1152" t="s">
        <v>152</v>
      </c>
      <c r="J1152" t="s">
        <v>93</v>
      </c>
      <c r="K1152" s="5">
        <f>396 / 86400</f>
        <v>4.5833333333333334E-3</v>
      </c>
      <c r="L1152" s="5">
        <f>1908 / 86400</f>
        <v>2.2083333333333333E-2</v>
      </c>
    </row>
    <row r="1153" spans="1:12" x14ac:dyDescent="0.25">
      <c r="A1153" s="3">
        <v>45706.470231481479</v>
      </c>
      <c r="B1153" t="s">
        <v>148</v>
      </c>
      <c r="C1153" s="3">
        <v>45706.982314814813</v>
      </c>
      <c r="D1153" t="s">
        <v>101</v>
      </c>
      <c r="E1153" s="4">
        <v>220.102</v>
      </c>
      <c r="F1153" s="4">
        <v>105095.704</v>
      </c>
      <c r="G1153" s="4">
        <v>105315.806</v>
      </c>
      <c r="H1153" s="5">
        <f>17043 / 86400</f>
        <v>0.19725694444444444</v>
      </c>
      <c r="I1153" t="s">
        <v>102</v>
      </c>
      <c r="J1153" t="s">
        <v>20</v>
      </c>
      <c r="K1153" s="5">
        <f>44244 / 86400</f>
        <v>0.51208333333333333</v>
      </c>
      <c r="L1153" s="5">
        <f>164 / 86400</f>
        <v>1.8981481481481482E-3</v>
      </c>
    </row>
    <row r="1154" spans="1:12" x14ac:dyDescent="0.25">
      <c r="A1154" s="3">
        <v>45706.984212962961</v>
      </c>
      <c r="B1154" t="s">
        <v>101</v>
      </c>
      <c r="C1154" s="3">
        <v>45706.99998842593</v>
      </c>
      <c r="D1154" t="s">
        <v>101</v>
      </c>
      <c r="E1154" s="4">
        <v>0</v>
      </c>
      <c r="F1154" s="4">
        <v>105315.806</v>
      </c>
      <c r="G1154" s="4">
        <v>105315.806</v>
      </c>
      <c r="H1154" s="5">
        <f>1357 / 86400</f>
        <v>1.5706018518518518E-2</v>
      </c>
      <c r="I1154" t="s">
        <v>82</v>
      </c>
      <c r="J1154" t="s">
        <v>82</v>
      </c>
      <c r="K1154" s="5">
        <f>1363 / 86400</f>
        <v>1.5775462962962963E-2</v>
      </c>
      <c r="L1154" s="5">
        <f>0 / 86400</f>
        <v>0</v>
      </c>
    </row>
    <row r="1155" spans="1:12" x14ac:dyDescent="0.2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</row>
    <row r="1156" spans="1:12" x14ac:dyDescent="0.2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</row>
    <row r="1157" spans="1:12" s="10" customFormat="1" ht="20.100000000000001" customHeight="1" x14ac:dyDescent="0.35">
      <c r="A1157" s="15" t="s">
        <v>504</v>
      </c>
      <c r="B1157" s="15"/>
      <c r="C1157" s="15"/>
      <c r="D1157" s="15"/>
      <c r="E1157" s="15"/>
      <c r="F1157" s="15"/>
      <c r="G1157" s="15"/>
      <c r="H1157" s="15"/>
      <c r="I1157" s="15"/>
      <c r="J1157" s="15"/>
    </row>
    <row r="1158" spans="1:12" x14ac:dyDescent="0.2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</row>
    <row r="1159" spans="1:12" ht="30" x14ac:dyDescent="0.25">
      <c r="A1159" s="2" t="s">
        <v>6</v>
      </c>
      <c r="B1159" s="2" t="s">
        <v>7</v>
      </c>
      <c r="C1159" s="2" t="s">
        <v>8</v>
      </c>
      <c r="D1159" s="2" t="s">
        <v>9</v>
      </c>
      <c r="E1159" s="2" t="s">
        <v>10</v>
      </c>
      <c r="F1159" s="2" t="s">
        <v>11</v>
      </c>
      <c r="G1159" s="2" t="s">
        <v>12</v>
      </c>
      <c r="H1159" s="2" t="s">
        <v>13</v>
      </c>
      <c r="I1159" s="2" t="s">
        <v>14</v>
      </c>
      <c r="J1159" s="2" t="s">
        <v>15</v>
      </c>
      <c r="K1159" s="2" t="s">
        <v>16</v>
      </c>
      <c r="L1159" s="2" t="s">
        <v>17</v>
      </c>
    </row>
    <row r="1160" spans="1:12" x14ac:dyDescent="0.25">
      <c r="A1160" s="3">
        <v>45706.240752314814</v>
      </c>
      <c r="B1160" t="s">
        <v>103</v>
      </c>
      <c r="C1160" s="3">
        <v>45706.473530092597</v>
      </c>
      <c r="D1160" t="s">
        <v>386</v>
      </c>
      <c r="E1160" s="4">
        <v>100.178</v>
      </c>
      <c r="F1160" s="4">
        <v>46508.375999999997</v>
      </c>
      <c r="G1160" s="4">
        <v>46608.553999999996</v>
      </c>
      <c r="H1160" s="5">
        <f>7298 / 86400</f>
        <v>8.4467592592592594E-2</v>
      </c>
      <c r="I1160" t="s">
        <v>116</v>
      </c>
      <c r="J1160" t="s">
        <v>20</v>
      </c>
      <c r="K1160" s="5">
        <f>20112 / 86400</f>
        <v>0.23277777777777778</v>
      </c>
      <c r="L1160" s="5">
        <f>21284 / 86400</f>
        <v>0.24634259259259259</v>
      </c>
    </row>
    <row r="1161" spans="1:12" x14ac:dyDescent="0.25">
      <c r="A1161" s="3">
        <v>45706.479120370372</v>
      </c>
      <c r="B1161" t="s">
        <v>386</v>
      </c>
      <c r="C1161" s="3">
        <v>45706.481909722221</v>
      </c>
      <c r="D1161" t="s">
        <v>48</v>
      </c>
      <c r="E1161" s="4">
        <v>0.60099999999999998</v>
      </c>
      <c r="F1161" s="4">
        <v>46608.553999999996</v>
      </c>
      <c r="G1161" s="4">
        <v>46609.154999999999</v>
      </c>
      <c r="H1161" s="5">
        <f>20 / 86400</f>
        <v>2.3148148148148149E-4</v>
      </c>
      <c r="I1161" t="s">
        <v>107</v>
      </c>
      <c r="J1161" t="s">
        <v>171</v>
      </c>
      <c r="K1161" s="5">
        <f>241 / 86400</f>
        <v>2.7893518518518519E-3</v>
      </c>
      <c r="L1161" s="5">
        <f>2169 / 86400</f>
        <v>2.5104166666666667E-2</v>
      </c>
    </row>
    <row r="1162" spans="1:12" x14ac:dyDescent="0.25">
      <c r="A1162" s="3">
        <v>45706.507013888884</v>
      </c>
      <c r="B1162" t="s">
        <v>48</v>
      </c>
      <c r="C1162" s="3">
        <v>45706.510370370372</v>
      </c>
      <c r="D1162" t="s">
        <v>153</v>
      </c>
      <c r="E1162" s="4">
        <v>0.82</v>
      </c>
      <c r="F1162" s="4">
        <v>46609.154999999999</v>
      </c>
      <c r="G1162" s="4">
        <v>46609.974999999999</v>
      </c>
      <c r="H1162" s="5">
        <f>40 / 86400</f>
        <v>4.6296296296296298E-4</v>
      </c>
      <c r="I1162" t="s">
        <v>158</v>
      </c>
      <c r="J1162" t="s">
        <v>159</v>
      </c>
      <c r="K1162" s="5">
        <f>290 / 86400</f>
        <v>3.3564814814814816E-3</v>
      </c>
      <c r="L1162" s="5">
        <f>898 / 86400</f>
        <v>1.0393518518518519E-2</v>
      </c>
    </row>
    <row r="1163" spans="1:12" x14ac:dyDescent="0.25">
      <c r="A1163" s="3">
        <v>45706.52076388889</v>
      </c>
      <c r="B1163" t="s">
        <v>153</v>
      </c>
      <c r="C1163" s="3">
        <v>45706.612662037034</v>
      </c>
      <c r="D1163" t="s">
        <v>273</v>
      </c>
      <c r="E1163" s="4">
        <v>40.124000000000002</v>
      </c>
      <c r="F1163" s="4">
        <v>46609.974999999999</v>
      </c>
      <c r="G1163" s="4">
        <v>46650.099000000002</v>
      </c>
      <c r="H1163" s="5">
        <f>3218 / 86400</f>
        <v>3.7245370370370373E-2</v>
      </c>
      <c r="I1163" t="s">
        <v>52</v>
      </c>
      <c r="J1163" t="s">
        <v>20</v>
      </c>
      <c r="K1163" s="5">
        <f>7940 / 86400</f>
        <v>9.1898148148148145E-2</v>
      </c>
      <c r="L1163" s="5">
        <f>2235 / 86400</f>
        <v>2.5868055555555554E-2</v>
      </c>
    </row>
    <row r="1164" spans="1:12" x14ac:dyDescent="0.25">
      <c r="A1164" s="3">
        <v>45706.63853009259</v>
      </c>
      <c r="B1164" t="s">
        <v>176</v>
      </c>
      <c r="C1164" s="3">
        <v>45706.715219907404</v>
      </c>
      <c r="D1164" t="s">
        <v>149</v>
      </c>
      <c r="E1164" s="4">
        <v>39.097000000000001</v>
      </c>
      <c r="F1164" s="4">
        <v>46650.099000000002</v>
      </c>
      <c r="G1164" s="4">
        <v>46689.196000000004</v>
      </c>
      <c r="H1164" s="5">
        <f>1718 / 86400</f>
        <v>1.9884259259259258E-2</v>
      </c>
      <c r="I1164" t="s">
        <v>307</v>
      </c>
      <c r="J1164" t="s">
        <v>136</v>
      </c>
      <c r="K1164" s="5">
        <f>6626 / 86400</f>
        <v>7.6689814814814808E-2</v>
      </c>
      <c r="L1164" s="5">
        <f>393 / 86400</f>
        <v>4.5486111111111109E-3</v>
      </c>
    </row>
    <row r="1165" spans="1:12" x14ac:dyDescent="0.25">
      <c r="A1165" s="3">
        <v>45706.719768518524</v>
      </c>
      <c r="B1165" t="s">
        <v>149</v>
      </c>
      <c r="C1165" s="3">
        <v>45706.724236111113</v>
      </c>
      <c r="D1165" t="s">
        <v>431</v>
      </c>
      <c r="E1165" s="4">
        <v>1.4870000000000001</v>
      </c>
      <c r="F1165" s="4">
        <v>46689.196000000004</v>
      </c>
      <c r="G1165" s="4">
        <v>46690.682999999997</v>
      </c>
      <c r="H1165" s="5">
        <f>0 / 86400</f>
        <v>0</v>
      </c>
      <c r="I1165" t="s">
        <v>151</v>
      </c>
      <c r="J1165" t="s">
        <v>57</v>
      </c>
      <c r="K1165" s="5">
        <f>386 / 86400</f>
        <v>4.4675925925925924E-3</v>
      </c>
      <c r="L1165" s="5">
        <f>2275 / 86400</f>
        <v>2.6331018518518517E-2</v>
      </c>
    </row>
    <row r="1166" spans="1:12" x14ac:dyDescent="0.25">
      <c r="A1166" s="3">
        <v>45706.750567129631</v>
      </c>
      <c r="B1166" t="s">
        <v>431</v>
      </c>
      <c r="C1166" s="3">
        <v>45706.752986111111</v>
      </c>
      <c r="D1166" t="s">
        <v>103</v>
      </c>
      <c r="E1166" s="4">
        <v>0.39</v>
      </c>
      <c r="F1166" s="4">
        <v>46690.682999999997</v>
      </c>
      <c r="G1166" s="4">
        <v>46691.072999999997</v>
      </c>
      <c r="H1166" s="5">
        <f>120 / 86400</f>
        <v>1.3888888888888889E-3</v>
      </c>
      <c r="I1166" t="s">
        <v>136</v>
      </c>
      <c r="J1166" t="s">
        <v>150</v>
      </c>
      <c r="K1166" s="5">
        <f>209 / 86400</f>
        <v>2.4189814814814816E-3</v>
      </c>
      <c r="L1166" s="5">
        <f>21341 / 86400</f>
        <v>0.24700231481481483</v>
      </c>
    </row>
    <row r="1167" spans="1:12" x14ac:dyDescent="0.25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</row>
    <row r="1168" spans="1:12" x14ac:dyDescent="0.25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</row>
    <row r="1169" spans="1:12" s="10" customFormat="1" ht="20.100000000000001" customHeight="1" x14ac:dyDescent="0.35">
      <c r="A1169" s="15" t="s">
        <v>505</v>
      </c>
      <c r="B1169" s="15"/>
      <c r="C1169" s="15"/>
      <c r="D1169" s="15"/>
      <c r="E1169" s="15"/>
      <c r="F1169" s="15"/>
      <c r="G1169" s="15"/>
      <c r="H1169" s="15"/>
      <c r="I1169" s="15"/>
      <c r="J1169" s="15"/>
    </row>
    <row r="1170" spans="1:12" x14ac:dyDescent="0.25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</row>
    <row r="1171" spans="1:12" ht="30" x14ac:dyDescent="0.25">
      <c r="A1171" s="2" t="s">
        <v>6</v>
      </c>
      <c r="B1171" s="2" t="s">
        <v>7</v>
      </c>
      <c r="C1171" s="2" t="s">
        <v>8</v>
      </c>
      <c r="D1171" s="2" t="s">
        <v>9</v>
      </c>
      <c r="E1171" s="2" t="s">
        <v>10</v>
      </c>
      <c r="F1171" s="2" t="s">
        <v>11</v>
      </c>
      <c r="G1171" s="2" t="s">
        <v>12</v>
      </c>
      <c r="H1171" s="2" t="s">
        <v>13</v>
      </c>
      <c r="I1171" s="2" t="s">
        <v>14</v>
      </c>
      <c r="J1171" s="2" t="s">
        <v>15</v>
      </c>
      <c r="K1171" s="2" t="s">
        <v>16</v>
      </c>
      <c r="L1171" s="2" t="s">
        <v>17</v>
      </c>
    </row>
    <row r="1172" spans="1:12" x14ac:dyDescent="0.25">
      <c r="A1172" s="3">
        <v>45706.158425925925</v>
      </c>
      <c r="B1172" t="s">
        <v>94</v>
      </c>
      <c r="C1172" s="3">
        <v>45706.335347222222</v>
      </c>
      <c r="D1172" t="s">
        <v>149</v>
      </c>
      <c r="E1172" s="4">
        <v>101.371</v>
      </c>
      <c r="F1172" s="4">
        <v>79878.482999999993</v>
      </c>
      <c r="G1172" s="4">
        <v>79979.854000000007</v>
      </c>
      <c r="H1172" s="5">
        <f>3860 / 86400</f>
        <v>4.4675925925925924E-2</v>
      </c>
      <c r="I1172" t="s">
        <v>37</v>
      </c>
      <c r="J1172" t="s">
        <v>151</v>
      </c>
      <c r="K1172" s="5">
        <f>15286 / 86400</f>
        <v>0.1769212962962963</v>
      </c>
      <c r="L1172" s="5">
        <f>13708 / 86400</f>
        <v>0.15865740740740741</v>
      </c>
    </row>
    <row r="1173" spans="1:12" x14ac:dyDescent="0.25">
      <c r="A1173" s="3">
        <v>45706.3355787037</v>
      </c>
      <c r="B1173" t="s">
        <v>149</v>
      </c>
      <c r="C1173" s="3">
        <v>45706.336435185185</v>
      </c>
      <c r="D1173" t="s">
        <v>137</v>
      </c>
      <c r="E1173" s="4">
        <v>0.156</v>
      </c>
      <c r="F1173" s="4">
        <v>79979.854000000007</v>
      </c>
      <c r="G1173" s="4">
        <v>79980.009999999995</v>
      </c>
      <c r="H1173" s="5">
        <f>40 / 86400</f>
        <v>4.6296296296296298E-4</v>
      </c>
      <c r="I1173" t="s">
        <v>28</v>
      </c>
      <c r="J1173" t="s">
        <v>147</v>
      </c>
      <c r="K1173" s="5">
        <f>74 / 86400</f>
        <v>8.564814814814815E-4</v>
      </c>
      <c r="L1173" s="5">
        <f>187 / 86400</f>
        <v>2.1643518518518518E-3</v>
      </c>
    </row>
    <row r="1174" spans="1:12" x14ac:dyDescent="0.25">
      <c r="A1174" s="3">
        <v>45706.338599537034</v>
      </c>
      <c r="B1174" t="s">
        <v>137</v>
      </c>
      <c r="C1174" s="3">
        <v>45706.340011574073</v>
      </c>
      <c r="D1174" t="s">
        <v>137</v>
      </c>
      <c r="E1174" s="4">
        <v>0.123</v>
      </c>
      <c r="F1174" s="4">
        <v>79980.009999999995</v>
      </c>
      <c r="G1174" s="4">
        <v>79980.133000000002</v>
      </c>
      <c r="H1174" s="5">
        <f>78 / 86400</f>
        <v>9.0277777777777774E-4</v>
      </c>
      <c r="I1174" t="s">
        <v>35</v>
      </c>
      <c r="J1174" t="s">
        <v>127</v>
      </c>
      <c r="K1174" s="5">
        <f>122 / 86400</f>
        <v>1.4120370370370369E-3</v>
      </c>
      <c r="L1174" s="5">
        <f>97 / 86400</f>
        <v>1.1226851851851851E-3</v>
      </c>
    </row>
    <row r="1175" spans="1:12" x14ac:dyDescent="0.25">
      <c r="A1175" s="3">
        <v>45706.341134259259</v>
      </c>
      <c r="B1175" t="s">
        <v>137</v>
      </c>
      <c r="C1175" s="3">
        <v>45706.342291666668</v>
      </c>
      <c r="D1175" t="s">
        <v>149</v>
      </c>
      <c r="E1175" s="4">
        <v>0.23200000000000001</v>
      </c>
      <c r="F1175" s="4">
        <v>79980.133000000002</v>
      </c>
      <c r="G1175" s="4">
        <v>79980.365000000005</v>
      </c>
      <c r="H1175" s="5">
        <f>37 / 86400</f>
        <v>4.2824074074074075E-4</v>
      </c>
      <c r="I1175" t="s">
        <v>175</v>
      </c>
      <c r="J1175" t="s">
        <v>147</v>
      </c>
      <c r="K1175" s="5">
        <f>100 / 86400</f>
        <v>1.1574074074074073E-3</v>
      </c>
      <c r="L1175" s="5">
        <f>626 / 86400</f>
        <v>7.2453703703703708E-3</v>
      </c>
    </row>
    <row r="1176" spans="1:12" x14ac:dyDescent="0.25">
      <c r="A1176" s="3">
        <v>45706.349537037036</v>
      </c>
      <c r="B1176" t="s">
        <v>149</v>
      </c>
      <c r="C1176" s="3">
        <v>45706.352210648147</v>
      </c>
      <c r="D1176" t="s">
        <v>153</v>
      </c>
      <c r="E1176" s="4">
        <v>1.147</v>
      </c>
      <c r="F1176" s="4">
        <v>79980.365000000005</v>
      </c>
      <c r="G1176" s="4">
        <v>79981.512000000002</v>
      </c>
      <c r="H1176" s="5">
        <f>40 / 86400</f>
        <v>4.6296296296296298E-4</v>
      </c>
      <c r="I1176" t="s">
        <v>152</v>
      </c>
      <c r="J1176" t="s">
        <v>20</v>
      </c>
      <c r="K1176" s="5">
        <f>231 / 86400</f>
        <v>2.673611111111111E-3</v>
      </c>
      <c r="L1176" s="5">
        <f>749 / 86400</f>
        <v>8.6689814814814806E-3</v>
      </c>
    </row>
    <row r="1177" spans="1:12" x14ac:dyDescent="0.25">
      <c r="A1177" s="3">
        <v>45706.360879629632</v>
      </c>
      <c r="B1177" t="s">
        <v>153</v>
      </c>
      <c r="C1177" s="3">
        <v>45706.363750000004</v>
      </c>
      <c r="D1177" t="s">
        <v>149</v>
      </c>
      <c r="E1177" s="4">
        <v>1.1399999999999999</v>
      </c>
      <c r="F1177" s="4">
        <v>79981.512000000002</v>
      </c>
      <c r="G1177" s="4">
        <v>79982.652000000002</v>
      </c>
      <c r="H1177" s="5">
        <f>20 / 86400</f>
        <v>2.3148148148148149E-4</v>
      </c>
      <c r="I1177" t="s">
        <v>24</v>
      </c>
      <c r="J1177" t="s">
        <v>62</v>
      </c>
      <c r="K1177" s="5">
        <f>248 / 86400</f>
        <v>2.8703703703703703E-3</v>
      </c>
      <c r="L1177" s="5">
        <f>99 / 86400</f>
        <v>1.1458333333333333E-3</v>
      </c>
    </row>
    <row r="1178" spans="1:12" x14ac:dyDescent="0.25">
      <c r="A1178" s="3">
        <v>45706.364895833336</v>
      </c>
      <c r="B1178" t="s">
        <v>149</v>
      </c>
      <c r="C1178" s="3">
        <v>45706.576747685191</v>
      </c>
      <c r="D1178" t="s">
        <v>137</v>
      </c>
      <c r="E1178" s="4">
        <v>96.694000000000003</v>
      </c>
      <c r="F1178" s="4">
        <v>79982.652000000002</v>
      </c>
      <c r="G1178" s="4">
        <v>80079.346000000005</v>
      </c>
      <c r="H1178" s="5">
        <f>5100 / 86400</f>
        <v>5.9027777777777776E-2</v>
      </c>
      <c r="I1178" t="s">
        <v>52</v>
      </c>
      <c r="J1178" t="s">
        <v>79</v>
      </c>
      <c r="K1178" s="5">
        <f>18304 / 86400</f>
        <v>0.21185185185185185</v>
      </c>
      <c r="L1178" s="5">
        <f>178 / 86400</f>
        <v>2.0601851851851853E-3</v>
      </c>
    </row>
    <row r="1179" spans="1:12" x14ac:dyDescent="0.25">
      <c r="A1179" s="3">
        <v>45706.57880787037</v>
      </c>
      <c r="B1179" t="s">
        <v>137</v>
      </c>
      <c r="C1179" s="3">
        <v>45706.579421296294</v>
      </c>
      <c r="D1179" t="s">
        <v>137</v>
      </c>
      <c r="E1179" s="4">
        <v>0.19400000000000001</v>
      </c>
      <c r="F1179" s="4">
        <v>80079.346000000005</v>
      </c>
      <c r="G1179" s="4">
        <v>80079.539999999994</v>
      </c>
      <c r="H1179" s="5">
        <f>0 / 86400</f>
        <v>0</v>
      </c>
      <c r="I1179" t="s">
        <v>35</v>
      </c>
      <c r="J1179" t="s">
        <v>44</v>
      </c>
      <c r="K1179" s="5">
        <f>53 / 86400</f>
        <v>6.134259259259259E-4</v>
      </c>
      <c r="L1179" s="5">
        <f>551 / 86400</f>
        <v>6.3773148148148148E-3</v>
      </c>
    </row>
    <row r="1180" spans="1:12" x14ac:dyDescent="0.25">
      <c r="A1180" s="3">
        <v>45706.585798611108</v>
      </c>
      <c r="B1180" t="s">
        <v>137</v>
      </c>
      <c r="C1180" s="3">
        <v>45706.851284722223</v>
      </c>
      <c r="D1180" t="s">
        <v>149</v>
      </c>
      <c r="E1180" s="4">
        <v>99.141999999999996</v>
      </c>
      <c r="F1180" s="4">
        <v>80079.539999999994</v>
      </c>
      <c r="G1180" s="4">
        <v>80178.682000000001</v>
      </c>
      <c r="H1180" s="5">
        <f>8578 / 86400</f>
        <v>9.9282407407407403E-2</v>
      </c>
      <c r="I1180" t="s">
        <v>80</v>
      </c>
      <c r="J1180" t="s">
        <v>28</v>
      </c>
      <c r="K1180" s="5">
        <f>22938 / 86400</f>
        <v>0.26548611111111109</v>
      </c>
      <c r="L1180" s="5">
        <f>414 / 86400</f>
        <v>4.7916666666666663E-3</v>
      </c>
    </row>
    <row r="1181" spans="1:12" x14ac:dyDescent="0.25">
      <c r="A1181" s="3">
        <v>45706.856076388889</v>
      </c>
      <c r="B1181" t="s">
        <v>149</v>
      </c>
      <c r="C1181" s="3">
        <v>45706.859803240739</v>
      </c>
      <c r="D1181" t="s">
        <v>120</v>
      </c>
      <c r="E1181" s="4">
        <v>0.95699999999999996</v>
      </c>
      <c r="F1181" s="4">
        <v>80178.682000000001</v>
      </c>
      <c r="G1181" s="4">
        <v>80179.638999999996</v>
      </c>
      <c r="H1181" s="5">
        <f>80 / 86400</f>
        <v>9.2592592592592596E-4</v>
      </c>
      <c r="I1181" t="s">
        <v>175</v>
      </c>
      <c r="J1181" t="s">
        <v>93</v>
      </c>
      <c r="K1181" s="5">
        <f>322 / 86400</f>
        <v>3.7268518518518519E-3</v>
      </c>
      <c r="L1181" s="5">
        <f>160 / 86400</f>
        <v>1.8518518518518519E-3</v>
      </c>
    </row>
    <row r="1182" spans="1:12" x14ac:dyDescent="0.25">
      <c r="A1182" s="3">
        <v>45706.861655092594</v>
      </c>
      <c r="B1182" t="s">
        <v>120</v>
      </c>
      <c r="C1182" s="3">
        <v>45706.861875000002</v>
      </c>
      <c r="D1182" t="s">
        <v>120</v>
      </c>
      <c r="E1182" s="4">
        <v>0</v>
      </c>
      <c r="F1182" s="4">
        <v>80179.638999999996</v>
      </c>
      <c r="G1182" s="4">
        <v>80179.638999999996</v>
      </c>
      <c r="H1182" s="5">
        <f>0 / 86400</f>
        <v>0</v>
      </c>
      <c r="I1182" t="s">
        <v>82</v>
      </c>
      <c r="J1182" t="s">
        <v>82</v>
      </c>
      <c r="K1182" s="5">
        <f>19 / 86400</f>
        <v>2.199074074074074E-4</v>
      </c>
      <c r="L1182" s="5">
        <f>2203 / 86400</f>
        <v>2.5497685185185186E-2</v>
      </c>
    </row>
    <row r="1183" spans="1:12" x14ac:dyDescent="0.25">
      <c r="A1183" s="3">
        <v>45706.887372685189</v>
      </c>
      <c r="B1183" t="s">
        <v>120</v>
      </c>
      <c r="C1183" s="3">
        <v>45706.88784722222</v>
      </c>
      <c r="D1183" t="s">
        <v>120</v>
      </c>
      <c r="E1183" s="4">
        <v>0</v>
      </c>
      <c r="F1183" s="4">
        <v>80179.638999999996</v>
      </c>
      <c r="G1183" s="4">
        <v>80179.638999999996</v>
      </c>
      <c r="H1183" s="5">
        <f>38 / 86400</f>
        <v>4.3981481481481481E-4</v>
      </c>
      <c r="I1183" t="s">
        <v>82</v>
      </c>
      <c r="J1183" t="s">
        <v>82</v>
      </c>
      <c r="K1183" s="5">
        <f>41 / 86400</f>
        <v>4.7453703703703704E-4</v>
      </c>
      <c r="L1183" s="5">
        <f>1066 / 86400</f>
        <v>1.2337962962962964E-2</v>
      </c>
    </row>
    <row r="1184" spans="1:12" x14ac:dyDescent="0.25">
      <c r="A1184" s="3">
        <v>45706.900185185186</v>
      </c>
      <c r="B1184" t="s">
        <v>120</v>
      </c>
      <c r="C1184" s="3">
        <v>45706.902858796297</v>
      </c>
      <c r="D1184" t="s">
        <v>94</v>
      </c>
      <c r="E1184" s="4">
        <v>0.97299999999999998</v>
      </c>
      <c r="F1184" s="4">
        <v>80179.638999999996</v>
      </c>
      <c r="G1184" s="4">
        <v>80180.611999999994</v>
      </c>
      <c r="H1184" s="5">
        <f>0 / 86400</f>
        <v>0</v>
      </c>
      <c r="I1184" t="s">
        <v>152</v>
      </c>
      <c r="J1184" t="s">
        <v>38</v>
      </c>
      <c r="K1184" s="5">
        <f>231 / 86400</f>
        <v>2.673611111111111E-3</v>
      </c>
      <c r="L1184" s="5">
        <f>8392 / 86400</f>
        <v>9.7129629629629635E-2</v>
      </c>
    </row>
    <row r="1185" spans="1:12" x14ac:dyDescent="0.2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</row>
    <row r="1186" spans="1:12" x14ac:dyDescent="0.25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</row>
    <row r="1187" spans="1:12" s="10" customFormat="1" ht="20.100000000000001" customHeight="1" x14ac:dyDescent="0.35">
      <c r="A1187" s="15" t="s">
        <v>506</v>
      </c>
      <c r="B1187" s="15"/>
      <c r="C1187" s="15"/>
      <c r="D1187" s="15"/>
      <c r="E1187" s="15"/>
      <c r="F1187" s="15"/>
      <c r="G1187" s="15"/>
      <c r="H1187" s="15"/>
      <c r="I1187" s="15"/>
      <c r="J1187" s="15"/>
    </row>
    <row r="1188" spans="1:12" x14ac:dyDescent="0.25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</row>
    <row r="1189" spans="1:12" ht="30" x14ac:dyDescent="0.25">
      <c r="A1189" s="2" t="s">
        <v>6</v>
      </c>
      <c r="B1189" s="2" t="s">
        <v>7</v>
      </c>
      <c r="C1189" s="2" t="s">
        <v>8</v>
      </c>
      <c r="D1189" s="2" t="s">
        <v>9</v>
      </c>
      <c r="E1189" s="2" t="s">
        <v>10</v>
      </c>
      <c r="F1189" s="2" t="s">
        <v>11</v>
      </c>
      <c r="G1189" s="2" t="s">
        <v>12</v>
      </c>
      <c r="H1189" s="2" t="s">
        <v>13</v>
      </c>
      <c r="I1189" s="2" t="s">
        <v>14</v>
      </c>
      <c r="J1189" s="2" t="s">
        <v>15</v>
      </c>
      <c r="K1189" s="2" t="s">
        <v>16</v>
      </c>
      <c r="L1189" s="2" t="s">
        <v>17</v>
      </c>
    </row>
    <row r="1190" spans="1:12" x14ac:dyDescent="0.25">
      <c r="A1190" s="3">
        <v>45706</v>
      </c>
      <c r="B1190" t="s">
        <v>76</v>
      </c>
      <c r="C1190" s="3">
        <v>45706.018657407403</v>
      </c>
      <c r="D1190" t="s">
        <v>36</v>
      </c>
      <c r="E1190" s="4">
        <v>15.961</v>
      </c>
      <c r="F1190" s="4">
        <v>41961.750999999997</v>
      </c>
      <c r="G1190" s="4">
        <v>41977.712</v>
      </c>
      <c r="H1190" s="5">
        <f>210 / 86400</f>
        <v>2.4305555555555556E-3</v>
      </c>
      <c r="I1190" t="s">
        <v>60</v>
      </c>
      <c r="J1190" t="s">
        <v>169</v>
      </c>
      <c r="K1190" s="5">
        <f>1612 / 86400</f>
        <v>1.8657407407407407E-2</v>
      </c>
      <c r="L1190" s="5">
        <f>1099 / 86400</f>
        <v>1.2719907407407407E-2</v>
      </c>
    </row>
    <row r="1191" spans="1:12" x14ac:dyDescent="0.25">
      <c r="A1191" s="3">
        <v>45706.031377314815</v>
      </c>
      <c r="B1191" t="s">
        <v>36</v>
      </c>
      <c r="C1191" s="3">
        <v>45706.036134259259</v>
      </c>
      <c r="D1191" t="s">
        <v>432</v>
      </c>
      <c r="E1191" s="4">
        <v>1.25</v>
      </c>
      <c r="F1191" s="4">
        <v>41977.712</v>
      </c>
      <c r="G1191" s="4">
        <v>41978.962</v>
      </c>
      <c r="H1191" s="5">
        <f>119 / 86400</f>
        <v>1.3773148148148147E-3</v>
      </c>
      <c r="I1191" t="s">
        <v>156</v>
      </c>
      <c r="J1191" t="s">
        <v>93</v>
      </c>
      <c r="K1191" s="5">
        <f>411 / 86400</f>
        <v>4.7569444444444447E-3</v>
      </c>
      <c r="L1191" s="5">
        <f>14886 / 86400</f>
        <v>0.17229166666666668</v>
      </c>
    </row>
    <row r="1192" spans="1:12" x14ac:dyDescent="0.25">
      <c r="A1192" s="3">
        <v>45706.208425925928</v>
      </c>
      <c r="B1192" t="s">
        <v>432</v>
      </c>
      <c r="C1192" s="3">
        <v>45706.409351851849</v>
      </c>
      <c r="D1192" t="s">
        <v>122</v>
      </c>
      <c r="E1192" s="4">
        <v>88.861000000000004</v>
      </c>
      <c r="F1192" s="4">
        <v>41978.962</v>
      </c>
      <c r="G1192" s="4">
        <v>42067.822999999997</v>
      </c>
      <c r="H1192" s="5">
        <f>5231 / 86400</f>
        <v>6.0543981481481483E-2</v>
      </c>
      <c r="I1192" t="s">
        <v>116</v>
      </c>
      <c r="J1192" t="s">
        <v>20</v>
      </c>
      <c r="K1192" s="5">
        <f>17360 / 86400</f>
        <v>0.20092592592592592</v>
      </c>
      <c r="L1192" s="5">
        <f>1815 / 86400</f>
        <v>2.1006944444444446E-2</v>
      </c>
    </row>
    <row r="1193" spans="1:12" x14ac:dyDescent="0.25">
      <c r="A1193" s="3">
        <v>45706.430358796293</v>
      </c>
      <c r="B1193" t="s">
        <v>122</v>
      </c>
      <c r="C1193" s="3">
        <v>45706.432303240741</v>
      </c>
      <c r="D1193" t="s">
        <v>122</v>
      </c>
      <c r="E1193" s="4">
        <v>9.7000000000000003E-2</v>
      </c>
      <c r="F1193" s="4">
        <v>42067.822999999997</v>
      </c>
      <c r="G1193" s="4">
        <v>42067.92</v>
      </c>
      <c r="H1193" s="5">
        <f>89 / 86400</f>
        <v>1.0300925925925926E-3</v>
      </c>
      <c r="I1193" t="s">
        <v>62</v>
      </c>
      <c r="J1193" t="s">
        <v>111</v>
      </c>
      <c r="K1193" s="5">
        <f>168 / 86400</f>
        <v>1.9444444444444444E-3</v>
      </c>
      <c r="L1193" s="5">
        <f>1223 / 86400</f>
        <v>1.4155092592592592E-2</v>
      </c>
    </row>
    <row r="1194" spans="1:12" x14ac:dyDescent="0.25">
      <c r="A1194" s="3">
        <v>45706.446458333332</v>
      </c>
      <c r="B1194" t="s">
        <v>122</v>
      </c>
      <c r="C1194" s="3">
        <v>45706.455023148148</v>
      </c>
      <c r="D1194" t="s">
        <v>153</v>
      </c>
      <c r="E1194" s="4">
        <v>2.1110000000000002</v>
      </c>
      <c r="F1194" s="4">
        <v>42067.92</v>
      </c>
      <c r="G1194" s="4">
        <v>42070.031000000003</v>
      </c>
      <c r="H1194" s="5">
        <f>299 / 86400</f>
        <v>3.460648148148148E-3</v>
      </c>
      <c r="I1194" t="s">
        <v>198</v>
      </c>
      <c r="J1194" t="s">
        <v>159</v>
      </c>
      <c r="K1194" s="5">
        <f>740 / 86400</f>
        <v>8.564814814814815E-3</v>
      </c>
      <c r="L1194" s="5">
        <f>2664 / 86400</f>
        <v>3.0833333333333334E-2</v>
      </c>
    </row>
    <row r="1195" spans="1:12" x14ac:dyDescent="0.25">
      <c r="A1195" s="3">
        <v>45706.485856481479</v>
      </c>
      <c r="B1195" t="s">
        <v>153</v>
      </c>
      <c r="C1195" s="3">
        <v>45706.7034375</v>
      </c>
      <c r="D1195" t="s">
        <v>137</v>
      </c>
      <c r="E1195" s="4">
        <v>94.716999999999999</v>
      </c>
      <c r="F1195" s="4">
        <v>42070.031000000003</v>
      </c>
      <c r="G1195" s="4">
        <v>42164.748</v>
      </c>
      <c r="H1195" s="5">
        <f>6328 / 86400</f>
        <v>7.3240740740740745E-2</v>
      </c>
      <c r="I1195" t="s">
        <v>64</v>
      </c>
      <c r="J1195" t="s">
        <v>20</v>
      </c>
      <c r="K1195" s="5">
        <f>18799 / 86400</f>
        <v>0.21758101851851852</v>
      </c>
      <c r="L1195" s="5">
        <f>655 / 86400</f>
        <v>7.5810185185185182E-3</v>
      </c>
    </row>
    <row r="1196" spans="1:12" x14ac:dyDescent="0.25">
      <c r="A1196" s="3">
        <v>45706.711018518516</v>
      </c>
      <c r="B1196" t="s">
        <v>137</v>
      </c>
      <c r="C1196" s="3">
        <v>45706.99998842593</v>
      </c>
      <c r="D1196" t="s">
        <v>104</v>
      </c>
      <c r="E1196" s="4">
        <v>131.18799999999999</v>
      </c>
      <c r="F1196" s="4">
        <v>42164.748</v>
      </c>
      <c r="G1196" s="4">
        <v>42295.936000000002</v>
      </c>
      <c r="H1196" s="5">
        <f>8218 / 86400</f>
        <v>9.5115740740740737E-2</v>
      </c>
      <c r="I1196" t="s">
        <v>54</v>
      </c>
      <c r="J1196" t="s">
        <v>79</v>
      </c>
      <c r="K1196" s="5">
        <f>24967 / 86400</f>
        <v>0.28896990740740741</v>
      </c>
      <c r="L1196" s="5">
        <f>0 / 86400</f>
        <v>0</v>
      </c>
    </row>
    <row r="1197" spans="1:12" x14ac:dyDescent="0.25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</row>
    <row r="1198" spans="1:12" x14ac:dyDescent="0.25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</row>
    <row r="1199" spans="1:12" s="10" customFormat="1" ht="20.100000000000001" customHeight="1" x14ac:dyDescent="0.35">
      <c r="A1199" s="15" t="s">
        <v>507</v>
      </c>
      <c r="B1199" s="15"/>
      <c r="C1199" s="15"/>
      <c r="D1199" s="15"/>
      <c r="E1199" s="15"/>
      <c r="F1199" s="15"/>
      <c r="G1199" s="15"/>
      <c r="H1199" s="15"/>
      <c r="I1199" s="15"/>
      <c r="J1199" s="15"/>
    </row>
    <row r="1200" spans="1:12" x14ac:dyDescent="0.25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</row>
    <row r="1201" spans="1:12" ht="30" x14ac:dyDescent="0.25">
      <c r="A1201" s="2" t="s">
        <v>6</v>
      </c>
      <c r="B1201" s="2" t="s">
        <v>7</v>
      </c>
      <c r="C1201" s="2" t="s">
        <v>8</v>
      </c>
      <c r="D1201" s="2" t="s">
        <v>9</v>
      </c>
      <c r="E1201" s="2" t="s">
        <v>10</v>
      </c>
      <c r="F1201" s="2" t="s">
        <v>11</v>
      </c>
      <c r="G1201" s="2" t="s">
        <v>12</v>
      </c>
      <c r="H1201" s="2" t="s">
        <v>13</v>
      </c>
      <c r="I1201" s="2" t="s">
        <v>14</v>
      </c>
      <c r="J1201" s="2" t="s">
        <v>15</v>
      </c>
      <c r="K1201" s="2" t="s">
        <v>16</v>
      </c>
      <c r="L1201" s="2" t="s">
        <v>17</v>
      </c>
    </row>
    <row r="1202" spans="1:12" x14ac:dyDescent="0.25">
      <c r="A1202" s="3">
        <v>45706</v>
      </c>
      <c r="B1202" t="s">
        <v>105</v>
      </c>
      <c r="C1202" s="3">
        <v>45706.004247685181</v>
      </c>
      <c r="D1202" t="s">
        <v>178</v>
      </c>
      <c r="E1202" s="4">
        <v>0.94799999999999995</v>
      </c>
      <c r="F1202" s="4">
        <v>193197.511</v>
      </c>
      <c r="G1202" s="4">
        <v>193198.459</v>
      </c>
      <c r="H1202" s="5">
        <f>140 / 86400</f>
        <v>1.6203703703703703E-3</v>
      </c>
      <c r="I1202" t="s">
        <v>107</v>
      </c>
      <c r="J1202" t="s">
        <v>171</v>
      </c>
      <c r="K1202" s="5">
        <f>367 / 86400</f>
        <v>4.2476851851851851E-3</v>
      </c>
      <c r="L1202" s="5">
        <f>570 / 86400</f>
        <v>6.5972222222222222E-3</v>
      </c>
    </row>
    <row r="1203" spans="1:12" x14ac:dyDescent="0.25">
      <c r="A1203" s="3">
        <v>45706.010844907403</v>
      </c>
      <c r="B1203" t="s">
        <v>178</v>
      </c>
      <c r="C1203" s="3">
        <v>45706.015543981484</v>
      </c>
      <c r="D1203" t="s">
        <v>106</v>
      </c>
      <c r="E1203" s="4">
        <v>1.5920000000000001</v>
      </c>
      <c r="F1203" s="4">
        <v>193198.459</v>
      </c>
      <c r="G1203" s="4">
        <v>193200.05100000001</v>
      </c>
      <c r="H1203" s="5">
        <f>20 / 86400</f>
        <v>2.3148148148148149E-4</v>
      </c>
      <c r="I1203" t="s">
        <v>212</v>
      </c>
      <c r="J1203" t="s">
        <v>57</v>
      </c>
      <c r="K1203" s="5">
        <f>406 / 86400</f>
        <v>4.6990740740740743E-3</v>
      </c>
      <c r="L1203" s="5">
        <f>62830 / 86400</f>
        <v>0.72719907407407403</v>
      </c>
    </row>
    <row r="1204" spans="1:12" x14ac:dyDescent="0.25">
      <c r="A1204" s="3">
        <v>45706.742743055554</v>
      </c>
      <c r="B1204" t="s">
        <v>106</v>
      </c>
      <c r="C1204" s="3">
        <v>45706.74418981481</v>
      </c>
      <c r="D1204" t="s">
        <v>106</v>
      </c>
      <c r="E1204" s="4">
        <v>0.16900000000000001</v>
      </c>
      <c r="F1204" s="4">
        <v>193200.05100000001</v>
      </c>
      <c r="G1204" s="4">
        <v>193200.22</v>
      </c>
      <c r="H1204" s="5">
        <f>39 / 86400</f>
        <v>4.5138888888888887E-4</v>
      </c>
      <c r="I1204" t="s">
        <v>93</v>
      </c>
      <c r="J1204" t="s">
        <v>50</v>
      </c>
      <c r="K1204" s="5">
        <f>124 / 86400</f>
        <v>1.4351851851851852E-3</v>
      </c>
      <c r="L1204" s="5">
        <f>22101 / 86400</f>
        <v>0.25579861111111113</v>
      </c>
    </row>
    <row r="1205" spans="1:12" x14ac:dyDescent="0.25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</row>
    <row r="1206" spans="1:12" x14ac:dyDescent="0.25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</row>
    <row r="1207" spans="1:12" s="10" customFormat="1" ht="20.100000000000001" customHeight="1" x14ac:dyDescent="0.35">
      <c r="A1207" s="15" t="s">
        <v>508</v>
      </c>
      <c r="B1207" s="15"/>
      <c r="C1207" s="15"/>
      <c r="D1207" s="15"/>
      <c r="E1207" s="15"/>
      <c r="F1207" s="15"/>
      <c r="G1207" s="15"/>
      <c r="H1207" s="15"/>
      <c r="I1207" s="15"/>
      <c r="J1207" s="15"/>
    </row>
    <row r="1208" spans="1:12" x14ac:dyDescent="0.25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</row>
    <row r="1209" spans="1:12" ht="30" x14ac:dyDescent="0.25">
      <c r="A1209" s="2" t="s">
        <v>6</v>
      </c>
      <c r="B1209" s="2" t="s">
        <v>7</v>
      </c>
      <c r="C1209" s="2" t="s">
        <v>8</v>
      </c>
      <c r="D1209" s="2" t="s">
        <v>9</v>
      </c>
      <c r="E1209" s="2" t="s">
        <v>10</v>
      </c>
      <c r="F1209" s="2" t="s">
        <v>11</v>
      </c>
      <c r="G1209" s="2" t="s">
        <v>12</v>
      </c>
      <c r="H1209" s="2" t="s">
        <v>13</v>
      </c>
      <c r="I1209" s="2" t="s">
        <v>14</v>
      </c>
      <c r="J1209" s="2" t="s">
        <v>15</v>
      </c>
      <c r="K1209" s="2" t="s">
        <v>16</v>
      </c>
      <c r="L1209" s="2" t="s">
        <v>17</v>
      </c>
    </row>
    <row r="1210" spans="1:12" x14ac:dyDescent="0.25">
      <c r="A1210" s="3">
        <v>45706</v>
      </c>
      <c r="B1210" t="s">
        <v>108</v>
      </c>
      <c r="C1210" s="3">
        <v>45706.011388888888</v>
      </c>
      <c r="D1210" t="s">
        <v>66</v>
      </c>
      <c r="E1210" s="4">
        <v>3.1659999999999999</v>
      </c>
      <c r="F1210" s="4">
        <v>524131.19699999999</v>
      </c>
      <c r="G1210" s="4">
        <v>524134.36300000001</v>
      </c>
      <c r="H1210" s="5">
        <f>480 / 86400</f>
        <v>5.5555555555555558E-3</v>
      </c>
      <c r="I1210" t="s">
        <v>165</v>
      </c>
      <c r="J1210" t="s">
        <v>25</v>
      </c>
      <c r="K1210" s="5">
        <f>984 / 86400</f>
        <v>1.1388888888888889E-2</v>
      </c>
      <c r="L1210" s="5">
        <f>16625 / 86400</f>
        <v>0.19241898148148148</v>
      </c>
    </row>
    <row r="1211" spans="1:12" x14ac:dyDescent="0.25">
      <c r="A1211" s="3">
        <v>45706.20380787037</v>
      </c>
      <c r="B1211" t="s">
        <v>66</v>
      </c>
      <c r="C1211" s="3">
        <v>45706.457442129627</v>
      </c>
      <c r="D1211" t="s">
        <v>137</v>
      </c>
      <c r="E1211" s="4">
        <v>102.89</v>
      </c>
      <c r="F1211" s="4">
        <v>524134.36300000001</v>
      </c>
      <c r="G1211" s="4">
        <v>524237.25300000003</v>
      </c>
      <c r="H1211" s="5">
        <f>7479 / 86400</f>
        <v>8.6562500000000001E-2</v>
      </c>
      <c r="I1211" t="s">
        <v>52</v>
      </c>
      <c r="J1211" t="s">
        <v>62</v>
      </c>
      <c r="K1211" s="5">
        <f>21913 / 86400</f>
        <v>0.25362268518518516</v>
      </c>
      <c r="L1211" s="5">
        <f>462 / 86400</f>
        <v>5.347222222222222E-3</v>
      </c>
    </row>
    <row r="1212" spans="1:12" x14ac:dyDescent="0.25">
      <c r="A1212" s="3">
        <v>45706.462789351848</v>
      </c>
      <c r="B1212" t="s">
        <v>137</v>
      </c>
      <c r="C1212" s="3">
        <v>45706.466331018513</v>
      </c>
      <c r="D1212" t="s">
        <v>386</v>
      </c>
      <c r="E1212" s="4">
        <v>0.70899999999999996</v>
      </c>
      <c r="F1212" s="4">
        <v>524237.25300000003</v>
      </c>
      <c r="G1212" s="4">
        <v>524237.962</v>
      </c>
      <c r="H1212" s="5">
        <f>60 / 86400</f>
        <v>6.9444444444444447E-4</v>
      </c>
      <c r="I1212" t="s">
        <v>212</v>
      </c>
      <c r="J1212" t="s">
        <v>147</v>
      </c>
      <c r="K1212" s="5">
        <f>306 / 86400</f>
        <v>3.5416666666666665E-3</v>
      </c>
      <c r="L1212" s="5">
        <f>2272 / 86400</f>
        <v>2.6296296296296297E-2</v>
      </c>
    </row>
    <row r="1213" spans="1:12" x14ac:dyDescent="0.25">
      <c r="A1213" s="3">
        <v>45706.492627314816</v>
      </c>
      <c r="B1213" t="s">
        <v>386</v>
      </c>
      <c r="C1213" s="3">
        <v>45706.766574074078</v>
      </c>
      <c r="D1213" t="s">
        <v>137</v>
      </c>
      <c r="E1213" s="4">
        <v>100.6490000000596</v>
      </c>
      <c r="F1213" s="4">
        <v>524237.962</v>
      </c>
      <c r="G1213" s="4">
        <v>524338.61100000003</v>
      </c>
      <c r="H1213" s="5">
        <f>9900 / 86400</f>
        <v>0.11458333333333333</v>
      </c>
      <c r="I1213" t="s">
        <v>80</v>
      </c>
      <c r="J1213" t="s">
        <v>38</v>
      </c>
      <c r="K1213" s="5">
        <f>23669 / 86400</f>
        <v>0.27394675925925926</v>
      </c>
      <c r="L1213" s="5">
        <f>355 / 86400</f>
        <v>4.1087962962962962E-3</v>
      </c>
    </row>
    <row r="1214" spans="1:12" x14ac:dyDescent="0.25">
      <c r="A1214" s="3">
        <v>45706.770682870367</v>
      </c>
      <c r="B1214" t="s">
        <v>137</v>
      </c>
      <c r="C1214" s="3">
        <v>45706.772326388891</v>
      </c>
      <c r="D1214" t="s">
        <v>66</v>
      </c>
      <c r="E1214" s="4">
        <v>0.19599999994039535</v>
      </c>
      <c r="F1214" s="4">
        <v>524338.61100000003</v>
      </c>
      <c r="G1214" s="4">
        <v>524338.80700000003</v>
      </c>
      <c r="H1214" s="5">
        <f>20 / 86400</f>
        <v>2.3148148148148149E-4</v>
      </c>
      <c r="I1214" t="s">
        <v>38</v>
      </c>
      <c r="J1214" t="s">
        <v>50</v>
      </c>
      <c r="K1214" s="5">
        <f>141 / 86400</f>
        <v>1.6319444444444445E-3</v>
      </c>
      <c r="L1214" s="5">
        <f>19670 / 86400</f>
        <v>0.22766203703703702</v>
      </c>
    </row>
    <row r="1215" spans="1:12" x14ac:dyDescent="0.2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</row>
    <row r="1216" spans="1:12" x14ac:dyDescent="0.25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</row>
    <row r="1217" spans="1:12" s="10" customFormat="1" ht="20.100000000000001" customHeight="1" x14ac:dyDescent="0.35">
      <c r="A1217" s="15" t="s">
        <v>509</v>
      </c>
      <c r="B1217" s="15"/>
      <c r="C1217" s="15"/>
      <c r="D1217" s="15"/>
      <c r="E1217" s="15"/>
      <c r="F1217" s="15"/>
      <c r="G1217" s="15"/>
      <c r="H1217" s="15"/>
      <c r="I1217" s="15"/>
      <c r="J1217" s="15"/>
    </row>
    <row r="1218" spans="1:12" x14ac:dyDescent="0.25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</row>
    <row r="1219" spans="1:12" ht="30" x14ac:dyDescent="0.25">
      <c r="A1219" s="2" t="s">
        <v>6</v>
      </c>
      <c r="B1219" s="2" t="s">
        <v>7</v>
      </c>
      <c r="C1219" s="2" t="s">
        <v>8</v>
      </c>
      <c r="D1219" s="2" t="s">
        <v>9</v>
      </c>
      <c r="E1219" s="2" t="s">
        <v>10</v>
      </c>
      <c r="F1219" s="2" t="s">
        <v>11</v>
      </c>
      <c r="G1219" s="2" t="s">
        <v>12</v>
      </c>
      <c r="H1219" s="2" t="s">
        <v>13</v>
      </c>
      <c r="I1219" s="2" t="s">
        <v>14</v>
      </c>
      <c r="J1219" s="2" t="s">
        <v>15</v>
      </c>
      <c r="K1219" s="2" t="s">
        <v>16</v>
      </c>
      <c r="L1219" s="2" t="s">
        <v>17</v>
      </c>
    </row>
    <row r="1220" spans="1:12" x14ac:dyDescent="0.25">
      <c r="A1220" s="3">
        <v>45706.278101851851</v>
      </c>
      <c r="B1220" t="s">
        <v>109</v>
      </c>
      <c r="C1220" s="3">
        <v>45706.279606481483</v>
      </c>
      <c r="D1220" t="s">
        <v>109</v>
      </c>
      <c r="E1220" s="4">
        <v>7.6999999999999999E-2</v>
      </c>
      <c r="F1220" s="4">
        <v>23826.562999999998</v>
      </c>
      <c r="G1220" s="4">
        <v>23826.639999999999</v>
      </c>
      <c r="H1220" s="5">
        <f>60 / 86400</f>
        <v>6.9444444444444447E-4</v>
      </c>
      <c r="I1220" t="s">
        <v>25</v>
      </c>
      <c r="J1220" t="s">
        <v>111</v>
      </c>
      <c r="K1220" s="5">
        <f>129 / 86400</f>
        <v>1.4930555555555556E-3</v>
      </c>
      <c r="L1220" s="5">
        <f>24706 / 86400</f>
        <v>0.28594907407407405</v>
      </c>
    </row>
    <row r="1221" spans="1:12" x14ac:dyDescent="0.25">
      <c r="A1221" s="3">
        <v>45706.287453703699</v>
      </c>
      <c r="B1221" t="s">
        <v>109</v>
      </c>
      <c r="C1221" s="3">
        <v>45706.291087962964</v>
      </c>
      <c r="D1221" t="s">
        <v>120</v>
      </c>
      <c r="E1221" s="4">
        <v>0.83199999999999996</v>
      </c>
      <c r="F1221" s="4">
        <v>23826.639999999999</v>
      </c>
      <c r="G1221" s="4">
        <v>23827.472000000002</v>
      </c>
      <c r="H1221" s="5">
        <f>79 / 86400</f>
        <v>9.1435185185185185E-4</v>
      </c>
      <c r="I1221" t="s">
        <v>130</v>
      </c>
      <c r="J1221" t="s">
        <v>159</v>
      </c>
      <c r="K1221" s="5">
        <f>314 / 86400</f>
        <v>3.6342592592592594E-3</v>
      </c>
      <c r="L1221" s="5">
        <f>1148 / 86400</f>
        <v>1.3287037037037036E-2</v>
      </c>
    </row>
    <row r="1222" spans="1:12" x14ac:dyDescent="0.25">
      <c r="A1222" s="3">
        <v>45706.304375</v>
      </c>
      <c r="B1222" t="s">
        <v>120</v>
      </c>
      <c r="C1222" s="3">
        <v>45706.306238425925</v>
      </c>
      <c r="D1222" t="s">
        <v>433</v>
      </c>
      <c r="E1222" s="4">
        <v>0.67700000000000005</v>
      </c>
      <c r="F1222" s="4">
        <v>23827.472000000002</v>
      </c>
      <c r="G1222" s="4">
        <v>23828.149000000001</v>
      </c>
      <c r="H1222" s="5">
        <f>40 / 86400</f>
        <v>4.6296296296296298E-4</v>
      </c>
      <c r="I1222" t="s">
        <v>212</v>
      </c>
      <c r="J1222" t="s">
        <v>38</v>
      </c>
      <c r="K1222" s="5">
        <f>160 / 86400</f>
        <v>1.8518518518518519E-3</v>
      </c>
      <c r="L1222" s="5">
        <f>493 / 86400</f>
        <v>5.7060185185185183E-3</v>
      </c>
    </row>
    <row r="1223" spans="1:12" x14ac:dyDescent="0.25">
      <c r="A1223" s="3">
        <v>45706.311944444446</v>
      </c>
      <c r="B1223" t="s">
        <v>433</v>
      </c>
      <c r="C1223" s="3">
        <v>45706.487256944441</v>
      </c>
      <c r="D1223" t="s">
        <v>137</v>
      </c>
      <c r="E1223" s="4">
        <v>79.314999999999998</v>
      </c>
      <c r="F1223" s="4">
        <v>23828.149000000001</v>
      </c>
      <c r="G1223" s="4">
        <v>23907.464</v>
      </c>
      <c r="H1223" s="5">
        <f>4100 / 86400</f>
        <v>4.7453703703703706E-2</v>
      </c>
      <c r="I1223" t="s">
        <v>56</v>
      </c>
      <c r="J1223" t="s">
        <v>79</v>
      </c>
      <c r="K1223" s="5">
        <f>15147 / 86400</f>
        <v>0.17531250000000001</v>
      </c>
      <c r="L1223" s="5">
        <f>228 / 86400</f>
        <v>2.638888888888889E-3</v>
      </c>
    </row>
    <row r="1224" spans="1:12" x14ac:dyDescent="0.25">
      <c r="A1224" s="3">
        <v>45706.489895833336</v>
      </c>
      <c r="B1224" t="s">
        <v>137</v>
      </c>
      <c r="C1224" s="3">
        <v>45706.494837962964</v>
      </c>
      <c r="D1224" t="s">
        <v>153</v>
      </c>
      <c r="E1224" s="4">
        <v>1.4259999999999999</v>
      </c>
      <c r="F1224" s="4">
        <v>23907.464</v>
      </c>
      <c r="G1224" s="4">
        <v>23908.89</v>
      </c>
      <c r="H1224" s="5">
        <f>60 / 86400</f>
        <v>6.9444444444444447E-4</v>
      </c>
      <c r="I1224" t="s">
        <v>212</v>
      </c>
      <c r="J1224" t="s">
        <v>25</v>
      </c>
      <c r="K1224" s="5">
        <f>426 / 86400</f>
        <v>4.9305555555555552E-3</v>
      </c>
      <c r="L1224" s="5">
        <f>601 / 86400</f>
        <v>6.9560185185185185E-3</v>
      </c>
    </row>
    <row r="1225" spans="1:12" x14ac:dyDescent="0.25">
      <c r="A1225" s="3">
        <v>45706.501793981486</v>
      </c>
      <c r="B1225" t="s">
        <v>153</v>
      </c>
      <c r="C1225" s="3">
        <v>45706.504050925927</v>
      </c>
      <c r="D1225" t="s">
        <v>387</v>
      </c>
      <c r="E1225" s="4">
        <v>0.67900000000000005</v>
      </c>
      <c r="F1225" s="4">
        <v>23908.89</v>
      </c>
      <c r="G1225" s="4">
        <v>23909.569</v>
      </c>
      <c r="H1225" s="5">
        <f>0 / 86400</f>
        <v>0</v>
      </c>
      <c r="I1225" t="s">
        <v>143</v>
      </c>
      <c r="J1225" t="s">
        <v>44</v>
      </c>
      <c r="K1225" s="5">
        <f>194 / 86400</f>
        <v>2.2453703703703702E-3</v>
      </c>
      <c r="L1225" s="5">
        <f>881 / 86400</f>
        <v>1.019675925925926E-2</v>
      </c>
    </row>
    <row r="1226" spans="1:12" x14ac:dyDescent="0.25">
      <c r="A1226" s="3">
        <v>45706.514247685191</v>
      </c>
      <c r="B1226" t="s">
        <v>387</v>
      </c>
      <c r="C1226" s="3">
        <v>45706.514641203699</v>
      </c>
      <c r="D1226" t="s">
        <v>157</v>
      </c>
      <c r="E1226" s="4">
        <v>6.7000000000000004E-2</v>
      </c>
      <c r="F1226" s="4">
        <v>23909.569</v>
      </c>
      <c r="G1226" s="4">
        <v>23909.635999999999</v>
      </c>
      <c r="H1226" s="5">
        <f>0 / 86400</f>
        <v>0</v>
      </c>
      <c r="I1226" t="s">
        <v>25</v>
      </c>
      <c r="J1226" t="s">
        <v>150</v>
      </c>
      <c r="K1226" s="5">
        <f>34 / 86400</f>
        <v>3.9351851851851852E-4</v>
      </c>
      <c r="L1226" s="5">
        <f>157 / 86400</f>
        <v>1.8171296296296297E-3</v>
      </c>
    </row>
    <row r="1227" spans="1:12" x14ac:dyDescent="0.25">
      <c r="A1227" s="3">
        <v>45706.516458333332</v>
      </c>
      <c r="B1227" t="s">
        <v>157</v>
      </c>
      <c r="C1227" s="3">
        <v>45706.516643518524</v>
      </c>
      <c r="D1227" t="s">
        <v>157</v>
      </c>
      <c r="E1227" s="4">
        <v>0.01</v>
      </c>
      <c r="F1227" s="4">
        <v>23909.635999999999</v>
      </c>
      <c r="G1227" s="4">
        <v>23909.646000000001</v>
      </c>
      <c r="H1227" s="5">
        <f>0 / 86400</f>
        <v>0</v>
      </c>
      <c r="I1227" t="s">
        <v>82</v>
      </c>
      <c r="J1227" t="s">
        <v>111</v>
      </c>
      <c r="K1227" s="5">
        <f>16 / 86400</f>
        <v>1.8518518518518518E-4</v>
      </c>
      <c r="L1227" s="5">
        <f>230 / 86400</f>
        <v>2.662037037037037E-3</v>
      </c>
    </row>
    <row r="1228" spans="1:12" x14ac:dyDescent="0.25">
      <c r="A1228" s="3">
        <v>45706.519305555557</v>
      </c>
      <c r="B1228" t="s">
        <v>157</v>
      </c>
      <c r="C1228" s="3">
        <v>45706.835590277777</v>
      </c>
      <c r="D1228" t="s">
        <v>386</v>
      </c>
      <c r="E1228" s="4">
        <v>100.78100000000001</v>
      </c>
      <c r="F1228" s="4">
        <v>23909.646000000001</v>
      </c>
      <c r="G1228" s="4">
        <v>24010.427</v>
      </c>
      <c r="H1228" s="5">
        <f>9759 / 86400</f>
        <v>0.11295138888888889</v>
      </c>
      <c r="I1228" t="s">
        <v>110</v>
      </c>
      <c r="J1228" t="s">
        <v>44</v>
      </c>
      <c r="K1228" s="5">
        <f>27327 / 86400</f>
        <v>0.3162847222222222</v>
      </c>
      <c r="L1228" s="5">
        <f>1209 / 86400</f>
        <v>1.3993055555555555E-2</v>
      </c>
    </row>
    <row r="1229" spans="1:12" x14ac:dyDescent="0.25">
      <c r="A1229" s="3">
        <v>45706.849583333329</v>
      </c>
      <c r="B1229" t="s">
        <v>386</v>
      </c>
      <c r="C1229" s="3">
        <v>45706.853090277778</v>
      </c>
      <c r="D1229" t="s">
        <v>109</v>
      </c>
      <c r="E1229" s="4">
        <v>1.38</v>
      </c>
      <c r="F1229" s="4">
        <v>24010.427</v>
      </c>
      <c r="G1229" s="4">
        <v>24011.807000000001</v>
      </c>
      <c r="H1229" s="5">
        <f>40 / 86400</f>
        <v>4.6296296296296298E-4</v>
      </c>
      <c r="I1229" t="s">
        <v>162</v>
      </c>
      <c r="J1229" t="s">
        <v>28</v>
      </c>
      <c r="K1229" s="5">
        <f>302 / 86400</f>
        <v>3.4953703703703705E-3</v>
      </c>
      <c r="L1229" s="5">
        <f>414 / 86400</f>
        <v>4.7916666666666663E-3</v>
      </c>
    </row>
    <row r="1230" spans="1:12" x14ac:dyDescent="0.25">
      <c r="A1230" s="3">
        <v>45706.857881944445</v>
      </c>
      <c r="B1230" t="s">
        <v>109</v>
      </c>
      <c r="C1230" s="3">
        <v>45706.859050925923</v>
      </c>
      <c r="D1230" t="s">
        <v>109</v>
      </c>
      <c r="E1230" s="4">
        <v>0.16</v>
      </c>
      <c r="F1230" s="4">
        <v>24011.807000000001</v>
      </c>
      <c r="G1230" s="4">
        <v>24011.967000000001</v>
      </c>
      <c r="H1230" s="5">
        <f>20 / 86400</f>
        <v>2.3148148148148149E-4</v>
      </c>
      <c r="I1230" t="s">
        <v>159</v>
      </c>
      <c r="J1230" t="s">
        <v>32</v>
      </c>
      <c r="K1230" s="5">
        <f>101 / 86400</f>
        <v>1.1689814814814816E-3</v>
      </c>
      <c r="L1230" s="5">
        <f>12177 / 86400</f>
        <v>0.14093749999999999</v>
      </c>
    </row>
    <row r="1231" spans="1:12" x14ac:dyDescent="0.25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</row>
    <row r="1232" spans="1:12" x14ac:dyDescent="0.25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</row>
    <row r="1233" spans="1:12" s="10" customFormat="1" ht="20.100000000000001" customHeight="1" x14ac:dyDescent="0.35">
      <c r="A1233" s="15" t="s">
        <v>510</v>
      </c>
      <c r="B1233" s="15"/>
      <c r="C1233" s="15"/>
      <c r="D1233" s="15"/>
      <c r="E1233" s="15"/>
      <c r="F1233" s="15"/>
      <c r="G1233" s="15"/>
      <c r="H1233" s="15"/>
      <c r="I1233" s="15"/>
      <c r="J1233" s="15"/>
    </row>
    <row r="1234" spans="1:12" x14ac:dyDescent="0.25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</row>
    <row r="1235" spans="1:12" ht="30" x14ac:dyDescent="0.25">
      <c r="A1235" s="2" t="s">
        <v>6</v>
      </c>
      <c r="B1235" s="2" t="s">
        <v>7</v>
      </c>
      <c r="C1235" s="2" t="s">
        <v>8</v>
      </c>
      <c r="D1235" s="2" t="s">
        <v>9</v>
      </c>
      <c r="E1235" s="2" t="s">
        <v>10</v>
      </c>
      <c r="F1235" s="2" t="s">
        <v>11</v>
      </c>
      <c r="G1235" s="2" t="s">
        <v>12</v>
      </c>
      <c r="H1235" s="2" t="s">
        <v>13</v>
      </c>
      <c r="I1235" s="2" t="s">
        <v>14</v>
      </c>
      <c r="J1235" s="2" t="s">
        <v>15</v>
      </c>
      <c r="K1235" s="2" t="s">
        <v>16</v>
      </c>
      <c r="L1235" s="2" t="s">
        <v>17</v>
      </c>
    </row>
    <row r="1236" spans="1:12" x14ac:dyDescent="0.25">
      <c r="A1236" s="3">
        <v>45706.2190625</v>
      </c>
      <c r="B1236" t="s">
        <v>36</v>
      </c>
      <c r="C1236" s="3">
        <v>45706.436793981484</v>
      </c>
      <c r="D1236" t="s">
        <v>137</v>
      </c>
      <c r="E1236" s="4">
        <v>80.671000000000006</v>
      </c>
      <c r="F1236" s="4">
        <v>64773.911999999997</v>
      </c>
      <c r="G1236" s="4">
        <v>64854.582999999999</v>
      </c>
      <c r="H1236" s="5">
        <f>6880 / 86400</f>
        <v>7.9629629629629634E-2</v>
      </c>
      <c r="I1236" t="s">
        <v>30</v>
      </c>
      <c r="J1236" t="s">
        <v>38</v>
      </c>
      <c r="K1236" s="5">
        <f>18811 / 86400</f>
        <v>0.2177199074074074</v>
      </c>
      <c r="L1236" s="5">
        <f>19150 / 86400</f>
        <v>0.22164351851851852</v>
      </c>
    </row>
    <row r="1237" spans="1:12" x14ac:dyDescent="0.25">
      <c r="A1237" s="3">
        <v>45706.439375000002</v>
      </c>
      <c r="B1237" t="s">
        <v>137</v>
      </c>
      <c r="C1237" s="3">
        <v>45706.44021990741</v>
      </c>
      <c r="D1237" t="s">
        <v>137</v>
      </c>
      <c r="E1237" s="4">
        <v>2.1000000000000001E-2</v>
      </c>
      <c r="F1237" s="4">
        <v>64854.582999999999</v>
      </c>
      <c r="G1237" s="4">
        <v>64854.603999999999</v>
      </c>
      <c r="H1237" s="5">
        <f>20 / 86400</f>
        <v>2.3148148148148149E-4</v>
      </c>
      <c r="I1237" t="s">
        <v>127</v>
      </c>
      <c r="J1237" t="s">
        <v>163</v>
      </c>
      <c r="K1237" s="5">
        <f>72 / 86400</f>
        <v>8.3333333333333339E-4</v>
      </c>
      <c r="L1237" s="5">
        <f>1880 / 86400</f>
        <v>2.1759259259259259E-2</v>
      </c>
    </row>
    <row r="1238" spans="1:12" x14ac:dyDescent="0.25">
      <c r="A1238" s="3">
        <v>45706.461979166663</v>
      </c>
      <c r="B1238" t="s">
        <v>137</v>
      </c>
      <c r="C1238" s="3">
        <v>45706.466064814813</v>
      </c>
      <c r="D1238" t="s">
        <v>153</v>
      </c>
      <c r="E1238" s="4">
        <v>1.3839999999999999</v>
      </c>
      <c r="F1238" s="4">
        <v>64854.603999999999</v>
      </c>
      <c r="G1238" s="4">
        <v>64855.987999999998</v>
      </c>
      <c r="H1238" s="5">
        <f>0 / 86400</f>
        <v>0</v>
      </c>
      <c r="I1238" t="s">
        <v>182</v>
      </c>
      <c r="J1238" t="s">
        <v>57</v>
      </c>
      <c r="K1238" s="5">
        <f>353 / 86400</f>
        <v>4.0856481481481481E-3</v>
      </c>
      <c r="L1238" s="5">
        <f>640 / 86400</f>
        <v>7.4074074074074077E-3</v>
      </c>
    </row>
    <row r="1239" spans="1:12" x14ac:dyDescent="0.25">
      <c r="A1239" s="3">
        <v>45706.47347222222</v>
      </c>
      <c r="B1239" t="s">
        <v>153</v>
      </c>
      <c r="C1239" s="3">
        <v>45706.723761574074</v>
      </c>
      <c r="D1239" t="s">
        <v>36</v>
      </c>
      <c r="E1239" s="4">
        <v>103.349</v>
      </c>
      <c r="F1239" s="4">
        <v>64855.987999999998</v>
      </c>
      <c r="G1239" s="4">
        <v>64959.337</v>
      </c>
      <c r="H1239" s="5">
        <f>7575 / 86400</f>
        <v>8.7673611111111105E-2</v>
      </c>
      <c r="I1239" t="s">
        <v>30</v>
      </c>
      <c r="J1239" t="s">
        <v>62</v>
      </c>
      <c r="K1239" s="5">
        <f>21625 / 86400</f>
        <v>0.25028935185185186</v>
      </c>
      <c r="L1239" s="5">
        <f>411 / 86400</f>
        <v>4.7569444444444447E-3</v>
      </c>
    </row>
    <row r="1240" spans="1:12" x14ac:dyDescent="0.25">
      <c r="A1240" s="3">
        <v>45706.728518518517</v>
      </c>
      <c r="B1240" t="s">
        <v>36</v>
      </c>
      <c r="C1240" s="3">
        <v>45706.731863425928</v>
      </c>
      <c r="D1240" t="s">
        <v>36</v>
      </c>
      <c r="E1240" s="4">
        <v>1.385</v>
      </c>
      <c r="F1240" s="4">
        <v>64959.337</v>
      </c>
      <c r="G1240" s="4">
        <v>64960.722000000002</v>
      </c>
      <c r="H1240" s="5">
        <f>79 / 86400</f>
        <v>9.1435185185185185E-4</v>
      </c>
      <c r="I1240" t="s">
        <v>129</v>
      </c>
      <c r="J1240" t="s">
        <v>62</v>
      </c>
      <c r="K1240" s="5">
        <f>289 / 86400</f>
        <v>3.3449074074074076E-3</v>
      </c>
      <c r="L1240" s="5">
        <f>23166 / 86400</f>
        <v>0.268125</v>
      </c>
    </row>
    <row r="1241" spans="1:12" x14ac:dyDescent="0.25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</row>
    <row r="1242" spans="1:12" x14ac:dyDescent="0.25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</row>
    <row r="1243" spans="1:12" s="10" customFormat="1" ht="20.100000000000001" customHeight="1" x14ac:dyDescent="0.35">
      <c r="A1243" s="15" t="s">
        <v>511</v>
      </c>
      <c r="B1243" s="15"/>
      <c r="C1243" s="15"/>
      <c r="D1243" s="15"/>
      <c r="E1243" s="15"/>
      <c r="F1243" s="15"/>
      <c r="G1243" s="15"/>
      <c r="H1243" s="15"/>
      <c r="I1243" s="15"/>
      <c r="J1243" s="15"/>
    </row>
    <row r="1244" spans="1:12" x14ac:dyDescent="0.25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</row>
    <row r="1245" spans="1:12" ht="30" x14ac:dyDescent="0.25">
      <c r="A1245" s="2" t="s">
        <v>6</v>
      </c>
      <c r="B1245" s="2" t="s">
        <v>7</v>
      </c>
      <c r="C1245" s="2" t="s">
        <v>8</v>
      </c>
      <c r="D1245" s="2" t="s">
        <v>9</v>
      </c>
      <c r="E1245" s="2" t="s">
        <v>10</v>
      </c>
      <c r="F1245" s="2" t="s">
        <v>11</v>
      </c>
      <c r="G1245" s="2" t="s">
        <v>12</v>
      </c>
      <c r="H1245" s="2" t="s">
        <v>13</v>
      </c>
      <c r="I1245" s="2" t="s">
        <v>14</v>
      </c>
      <c r="J1245" s="2" t="s">
        <v>15</v>
      </c>
      <c r="K1245" s="2" t="s">
        <v>16</v>
      </c>
      <c r="L1245" s="2" t="s">
        <v>17</v>
      </c>
    </row>
    <row r="1246" spans="1:12" x14ac:dyDescent="0.25">
      <c r="A1246" s="3">
        <v>45706.267881944441</v>
      </c>
      <c r="B1246" t="s">
        <v>69</v>
      </c>
      <c r="C1246" s="3">
        <v>45706.269456018519</v>
      </c>
      <c r="D1246" t="s">
        <v>69</v>
      </c>
      <c r="E1246" s="4">
        <v>5.2999999999999999E-2</v>
      </c>
      <c r="F1246" s="4">
        <v>5810.6210000000001</v>
      </c>
      <c r="G1246" s="4">
        <v>5810.674</v>
      </c>
      <c r="H1246" s="5">
        <f>60 / 86400</f>
        <v>6.9444444444444447E-4</v>
      </c>
      <c r="I1246" t="s">
        <v>150</v>
      </c>
      <c r="J1246" t="s">
        <v>163</v>
      </c>
      <c r="K1246" s="5">
        <f>136 / 86400</f>
        <v>1.5740740740740741E-3</v>
      </c>
      <c r="L1246" s="5">
        <f>23409 / 86400</f>
        <v>0.2709375</v>
      </c>
    </row>
    <row r="1247" spans="1:12" x14ac:dyDescent="0.25">
      <c r="A1247" s="3">
        <v>45706.272511574076</v>
      </c>
      <c r="B1247" t="s">
        <v>69</v>
      </c>
      <c r="C1247" s="3">
        <v>45706.273819444439</v>
      </c>
      <c r="D1247" t="s">
        <v>69</v>
      </c>
      <c r="E1247" s="4">
        <v>1.6E-2</v>
      </c>
      <c r="F1247" s="4">
        <v>5810.674</v>
      </c>
      <c r="G1247" s="4">
        <v>5810.69</v>
      </c>
      <c r="H1247" s="5">
        <f>99 / 86400</f>
        <v>1.1458333333333333E-3</v>
      </c>
      <c r="I1247" t="s">
        <v>111</v>
      </c>
      <c r="J1247" t="s">
        <v>163</v>
      </c>
      <c r="K1247" s="5">
        <f>113 / 86400</f>
        <v>1.3078703703703703E-3</v>
      </c>
      <c r="L1247" s="5">
        <f>43594 / 86400</f>
        <v>0.50456018518518519</v>
      </c>
    </row>
    <row r="1248" spans="1:12" x14ac:dyDescent="0.25">
      <c r="A1248" s="3">
        <v>45706.778379629628</v>
      </c>
      <c r="B1248" t="s">
        <v>69</v>
      </c>
      <c r="C1248" s="3">
        <v>45706.779733796298</v>
      </c>
      <c r="D1248" t="s">
        <v>69</v>
      </c>
      <c r="E1248" s="4">
        <v>0.13900000000000001</v>
      </c>
      <c r="F1248" s="4">
        <v>5810.69</v>
      </c>
      <c r="G1248" s="4">
        <v>5810.8289999999997</v>
      </c>
      <c r="H1248" s="5">
        <f>20 / 86400</f>
        <v>2.3148148148148149E-4</v>
      </c>
      <c r="I1248" t="s">
        <v>93</v>
      </c>
      <c r="J1248" t="s">
        <v>127</v>
      </c>
      <c r="K1248" s="5">
        <f>116 / 86400</f>
        <v>1.3425925925925925E-3</v>
      </c>
      <c r="L1248" s="5">
        <f>259 / 86400</f>
        <v>2.9976851851851853E-3</v>
      </c>
    </row>
    <row r="1249" spans="1:12" x14ac:dyDescent="0.25">
      <c r="A1249" s="3">
        <v>45706.782731481479</v>
      </c>
      <c r="B1249" t="s">
        <v>69</v>
      </c>
      <c r="C1249" s="3">
        <v>45706.783819444448</v>
      </c>
      <c r="D1249" t="s">
        <v>69</v>
      </c>
      <c r="E1249" s="4">
        <v>3.5000000000000003E-2</v>
      </c>
      <c r="F1249" s="4">
        <v>5810.8289999999997</v>
      </c>
      <c r="G1249" s="4">
        <v>5810.8639999999996</v>
      </c>
      <c r="H1249" s="5">
        <f>60 / 86400</f>
        <v>6.9444444444444447E-4</v>
      </c>
      <c r="I1249" t="s">
        <v>171</v>
      </c>
      <c r="J1249" t="s">
        <v>163</v>
      </c>
      <c r="K1249" s="5">
        <f>94 / 86400</f>
        <v>1.0879629629629629E-3</v>
      </c>
      <c r="L1249" s="5">
        <f>18677 / 86400</f>
        <v>0.21616898148148148</v>
      </c>
    </row>
    <row r="1250" spans="1:12" x14ac:dyDescent="0.25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</row>
    <row r="1251" spans="1:12" x14ac:dyDescent="0.25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</row>
    <row r="1252" spans="1:12" s="10" customFormat="1" ht="20.100000000000001" customHeight="1" x14ac:dyDescent="0.35">
      <c r="A1252" s="15" t="s">
        <v>512</v>
      </c>
      <c r="B1252" s="15"/>
      <c r="C1252" s="15"/>
      <c r="D1252" s="15"/>
      <c r="E1252" s="15"/>
      <c r="F1252" s="15"/>
      <c r="G1252" s="15"/>
      <c r="H1252" s="15"/>
      <c r="I1252" s="15"/>
      <c r="J1252" s="15"/>
    </row>
    <row r="1253" spans="1:12" x14ac:dyDescent="0.25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</row>
    <row r="1254" spans="1:12" ht="30" x14ac:dyDescent="0.25">
      <c r="A1254" s="2" t="s">
        <v>6</v>
      </c>
      <c r="B1254" s="2" t="s">
        <v>7</v>
      </c>
      <c r="C1254" s="2" t="s">
        <v>8</v>
      </c>
      <c r="D1254" s="2" t="s">
        <v>9</v>
      </c>
      <c r="E1254" s="2" t="s">
        <v>10</v>
      </c>
      <c r="F1254" s="2" t="s">
        <v>11</v>
      </c>
      <c r="G1254" s="2" t="s">
        <v>12</v>
      </c>
      <c r="H1254" s="2" t="s">
        <v>13</v>
      </c>
      <c r="I1254" s="2" t="s">
        <v>14</v>
      </c>
      <c r="J1254" s="2" t="s">
        <v>15</v>
      </c>
      <c r="K1254" s="2" t="s">
        <v>16</v>
      </c>
      <c r="L1254" s="2" t="s">
        <v>17</v>
      </c>
    </row>
    <row r="1255" spans="1:12" x14ac:dyDescent="0.25">
      <c r="A1255" s="3">
        <v>45706.218263888892</v>
      </c>
      <c r="B1255" t="s">
        <v>26</v>
      </c>
      <c r="C1255" s="3">
        <v>45706.528148148151</v>
      </c>
      <c r="D1255" t="s">
        <v>122</v>
      </c>
      <c r="E1255" s="4">
        <v>111.85299999999999</v>
      </c>
      <c r="F1255" s="4">
        <v>408975.924</v>
      </c>
      <c r="G1255" s="4">
        <v>409087.777</v>
      </c>
      <c r="H1255" s="5">
        <f>10860 / 86400</f>
        <v>0.12569444444444444</v>
      </c>
      <c r="I1255" t="s">
        <v>33</v>
      </c>
      <c r="J1255" t="s">
        <v>38</v>
      </c>
      <c r="K1255" s="5">
        <f>26774 / 86400</f>
        <v>0.30988425925925928</v>
      </c>
      <c r="L1255" s="5">
        <f>19457 / 86400</f>
        <v>0.22519675925925925</v>
      </c>
    </row>
    <row r="1256" spans="1:12" x14ac:dyDescent="0.25">
      <c r="A1256" s="3">
        <v>45706.535081018519</v>
      </c>
      <c r="B1256" t="s">
        <v>122</v>
      </c>
      <c r="C1256" s="3">
        <v>45706.541249999995</v>
      </c>
      <c r="D1256" t="s">
        <v>153</v>
      </c>
      <c r="E1256" s="4">
        <v>1.319</v>
      </c>
      <c r="F1256" s="4">
        <v>409087.777</v>
      </c>
      <c r="G1256" s="4">
        <v>409089.09600000002</v>
      </c>
      <c r="H1256" s="5">
        <f>139 / 86400</f>
        <v>1.6087962962962963E-3</v>
      </c>
      <c r="I1256" t="s">
        <v>35</v>
      </c>
      <c r="J1256" t="s">
        <v>171</v>
      </c>
      <c r="K1256" s="5">
        <f>533 / 86400</f>
        <v>6.1689814814814819E-3</v>
      </c>
      <c r="L1256" s="5">
        <f>565 / 86400</f>
        <v>6.5393518518518517E-3</v>
      </c>
    </row>
    <row r="1257" spans="1:12" x14ac:dyDescent="0.25">
      <c r="A1257" s="3">
        <v>45706.547789351855</v>
      </c>
      <c r="B1257" t="s">
        <v>153</v>
      </c>
      <c r="C1257" s="3">
        <v>45706.664560185185</v>
      </c>
      <c r="D1257" t="s">
        <v>83</v>
      </c>
      <c r="E1257" s="4">
        <v>56.893000000000001</v>
      </c>
      <c r="F1257" s="4">
        <v>409089.09600000002</v>
      </c>
      <c r="G1257" s="4">
        <v>409145.989</v>
      </c>
      <c r="H1257" s="5">
        <f>3040 / 86400</f>
        <v>3.5185185185185187E-2</v>
      </c>
      <c r="I1257" t="s">
        <v>64</v>
      </c>
      <c r="J1257" t="s">
        <v>35</v>
      </c>
      <c r="K1257" s="5">
        <f>10089 / 86400</f>
        <v>0.11677083333333334</v>
      </c>
      <c r="L1257" s="5">
        <f>453 / 86400</f>
        <v>5.2430555555555555E-3</v>
      </c>
    </row>
    <row r="1258" spans="1:12" x14ac:dyDescent="0.25">
      <c r="A1258" s="3">
        <v>45706.669803240744</v>
      </c>
      <c r="B1258" t="s">
        <v>83</v>
      </c>
      <c r="C1258" s="3">
        <v>45706.670659722222</v>
      </c>
      <c r="D1258" t="s">
        <v>83</v>
      </c>
      <c r="E1258" s="4">
        <v>0.313</v>
      </c>
      <c r="F1258" s="4">
        <v>409145.989</v>
      </c>
      <c r="G1258" s="4">
        <v>409146.30200000003</v>
      </c>
      <c r="H1258" s="5">
        <f>0 / 86400</f>
        <v>0</v>
      </c>
      <c r="I1258" t="s">
        <v>169</v>
      </c>
      <c r="J1258" t="s">
        <v>38</v>
      </c>
      <c r="K1258" s="5">
        <f>73 / 86400</f>
        <v>8.4490740740740739E-4</v>
      </c>
      <c r="L1258" s="5">
        <f>1881 / 86400</f>
        <v>2.1770833333333333E-2</v>
      </c>
    </row>
    <row r="1259" spans="1:12" x14ac:dyDescent="0.25">
      <c r="A1259" s="3">
        <v>45706.692430555559</v>
      </c>
      <c r="B1259" t="s">
        <v>83</v>
      </c>
      <c r="C1259" s="3">
        <v>45706.705254629633</v>
      </c>
      <c r="D1259" t="s">
        <v>26</v>
      </c>
      <c r="E1259" s="4">
        <v>5.5570000000000004</v>
      </c>
      <c r="F1259" s="4">
        <v>409146.30200000003</v>
      </c>
      <c r="G1259" s="4">
        <v>409151.859</v>
      </c>
      <c r="H1259" s="5">
        <f>140 / 86400</f>
        <v>1.6203703703703703E-3</v>
      </c>
      <c r="I1259" t="s">
        <v>47</v>
      </c>
      <c r="J1259" t="s">
        <v>20</v>
      </c>
      <c r="K1259" s="5">
        <f>1107 / 86400</f>
        <v>1.2812499999999999E-2</v>
      </c>
      <c r="L1259" s="5">
        <f>4158 / 86400</f>
        <v>4.8125000000000001E-2</v>
      </c>
    </row>
    <row r="1260" spans="1:12" x14ac:dyDescent="0.25">
      <c r="A1260" s="3">
        <v>45706.753379629634</v>
      </c>
      <c r="B1260" t="s">
        <v>26</v>
      </c>
      <c r="C1260" s="3">
        <v>45706.765127314815</v>
      </c>
      <c r="D1260" t="s">
        <v>91</v>
      </c>
      <c r="E1260" s="4">
        <v>4.2130000000000001</v>
      </c>
      <c r="F1260" s="4">
        <v>409151.859</v>
      </c>
      <c r="G1260" s="4">
        <v>409156.07199999999</v>
      </c>
      <c r="H1260" s="5">
        <f>239 / 86400</f>
        <v>2.7662037037037039E-3</v>
      </c>
      <c r="I1260" t="s">
        <v>186</v>
      </c>
      <c r="J1260" t="s">
        <v>38</v>
      </c>
      <c r="K1260" s="5">
        <f>1015 / 86400</f>
        <v>1.1747685185185186E-2</v>
      </c>
      <c r="L1260" s="5">
        <f>125 / 86400</f>
        <v>1.4467592592592592E-3</v>
      </c>
    </row>
    <row r="1261" spans="1:12" x14ac:dyDescent="0.25">
      <c r="A1261" s="3">
        <v>45706.766574074078</v>
      </c>
      <c r="B1261" t="s">
        <v>91</v>
      </c>
      <c r="C1261" s="3">
        <v>45706.767002314809</v>
      </c>
      <c r="D1261" t="s">
        <v>91</v>
      </c>
      <c r="E1261" s="4">
        <v>8.6999999999999994E-2</v>
      </c>
      <c r="F1261" s="4">
        <v>409156.07199999999</v>
      </c>
      <c r="G1261" s="4">
        <v>409156.15899999999</v>
      </c>
      <c r="H1261" s="5">
        <f>0 / 86400</f>
        <v>0</v>
      </c>
      <c r="I1261" t="s">
        <v>28</v>
      </c>
      <c r="J1261" t="s">
        <v>147</v>
      </c>
      <c r="K1261" s="5">
        <f>37 / 86400</f>
        <v>4.2824074074074075E-4</v>
      </c>
      <c r="L1261" s="5">
        <f>32 / 86400</f>
        <v>3.7037037037037035E-4</v>
      </c>
    </row>
    <row r="1262" spans="1:12" x14ac:dyDescent="0.25">
      <c r="A1262" s="3">
        <v>45706.767372685186</v>
      </c>
      <c r="B1262" t="s">
        <v>91</v>
      </c>
      <c r="C1262" s="3">
        <v>45706.768831018519</v>
      </c>
      <c r="D1262" t="s">
        <v>26</v>
      </c>
      <c r="E1262" s="4">
        <v>0.42699999999999999</v>
      </c>
      <c r="F1262" s="4">
        <v>409156.15899999999</v>
      </c>
      <c r="G1262" s="4">
        <v>409156.58600000001</v>
      </c>
      <c r="H1262" s="5">
        <f>20 / 86400</f>
        <v>2.3148148148148149E-4</v>
      </c>
      <c r="I1262" t="s">
        <v>295</v>
      </c>
      <c r="J1262" t="s">
        <v>25</v>
      </c>
      <c r="K1262" s="5">
        <f>125 / 86400</f>
        <v>1.4467592592592592E-3</v>
      </c>
      <c r="L1262" s="5">
        <f>3006 / 86400</f>
        <v>3.4791666666666665E-2</v>
      </c>
    </row>
    <row r="1263" spans="1:12" x14ac:dyDescent="0.25">
      <c r="A1263" s="3">
        <v>45706.803622685184</v>
      </c>
      <c r="B1263" t="s">
        <v>26</v>
      </c>
      <c r="C1263" s="3">
        <v>45706.81517361111</v>
      </c>
      <c r="D1263" t="s">
        <v>26</v>
      </c>
      <c r="E1263" s="4">
        <v>3.9860000000000002</v>
      </c>
      <c r="F1263" s="4">
        <v>409156.58600000001</v>
      </c>
      <c r="G1263" s="4">
        <v>409160.57199999999</v>
      </c>
      <c r="H1263" s="5">
        <f>60 / 86400</f>
        <v>6.9444444444444447E-4</v>
      </c>
      <c r="I1263" t="s">
        <v>211</v>
      </c>
      <c r="J1263" t="s">
        <v>57</v>
      </c>
      <c r="K1263" s="5">
        <f>997 / 86400</f>
        <v>1.1539351851851851E-2</v>
      </c>
      <c r="L1263" s="5">
        <f>12 / 86400</f>
        <v>1.3888888888888889E-4</v>
      </c>
    </row>
    <row r="1264" spans="1:12" x14ac:dyDescent="0.25">
      <c r="A1264" s="3">
        <v>45706.815312499995</v>
      </c>
      <c r="B1264" t="s">
        <v>26</v>
      </c>
      <c r="C1264" s="3">
        <v>45706.816550925927</v>
      </c>
      <c r="D1264" t="s">
        <v>26</v>
      </c>
      <c r="E1264" s="4">
        <v>3.5999999999999997E-2</v>
      </c>
      <c r="F1264" s="4">
        <v>409160.57199999999</v>
      </c>
      <c r="G1264" s="4">
        <v>409160.60800000001</v>
      </c>
      <c r="H1264" s="5">
        <f>79 / 86400</f>
        <v>9.1435185185185185E-4</v>
      </c>
      <c r="I1264" t="s">
        <v>50</v>
      </c>
      <c r="J1264" t="s">
        <v>163</v>
      </c>
      <c r="K1264" s="5">
        <f>107 / 86400</f>
        <v>1.238425925925926E-3</v>
      </c>
      <c r="L1264" s="5">
        <f>15849 / 86400</f>
        <v>0.1834375</v>
      </c>
    </row>
    <row r="1265" spans="1:12" x14ac:dyDescent="0.25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</row>
    <row r="1266" spans="1:12" x14ac:dyDescent="0.25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</row>
    <row r="1267" spans="1:12" s="10" customFormat="1" ht="20.100000000000001" customHeight="1" x14ac:dyDescent="0.35">
      <c r="A1267" s="15" t="s">
        <v>513</v>
      </c>
      <c r="B1267" s="15"/>
      <c r="C1267" s="15"/>
      <c r="D1267" s="15"/>
      <c r="E1267" s="15"/>
      <c r="F1267" s="15"/>
      <c r="G1267" s="15"/>
      <c r="H1267" s="15"/>
      <c r="I1267" s="15"/>
      <c r="J1267" s="15"/>
    </row>
    <row r="1268" spans="1:12" x14ac:dyDescent="0.25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</row>
    <row r="1269" spans="1:12" ht="30" x14ac:dyDescent="0.25">
      <c r="A1269" s="2" t="s">
        <v>6</v>
      </c>
      <c r="B1269" s="2" t="s">
        <v>7</v>
      </c>
      <c r="C1269" s="2" t="s">
        <v>8</v>
      </c>
      <c r="D1269" s="2" t="s">
        <v>9</v>
      </c>
      <c r="E1269" s="2" t="s">
        <v>10</v>
      </c>
      <c r="F1269" s="2" t="s">
        <v>11</v>
      </c>
      <c r="G1269" s="2" t="s">
        <v>12</v>
      </c>
      <c r="H1269" s="2" t="s">
        <v>13</v>
      </c>
      <c r="I1269" s="2" t="s">
        <v>14</v>
      </c>
      <c r="J1269" s="2" t="s">
        <v>15</v>
      </c>
      <c r="K1269" s="2" t="s">
        <v>16</v>
      </c>
      <c r="L1269" s="2" t="s">
        <v>17</v>
      </c>
    </row>
    <row r="1270" spans="1:12" x14ac:dyDescent="0.25">
      <c r="A1270" s="3">
        <v>45706</v>
      </c>
      <c r="B1270" t="s">
        <v>105</v>
      </c>
      <c r="C1270" s="3">
        <v>45706.01357638889</v>
      </c>
      <c r="D1270" t="s">
        <v>181</v>
      </c>
      <c r="E1270" s="4">
        <v>9.7729999999999997</v>
      </c>
      <c r="F1270" s="4">
        <v>551389.63600000006</v>
      </c>
      <c r="G1270" s="4">
        <v>551399.40899999999</v>
      </c>
      <c r="H1270" s="5">
        <f>120 / 86400</f>
        <v>1.3888888888888889E-3</v>
      </c>
      <c r="I1270" t="s">
        <v>67</v>
      </c>
      <c r="J1270" t="s">
        <v>295</v>
      </c>
      <c r="K1270" s="5">
        <f>1173 / 86400</f>
        <v>1.357638888888889E-2</v>
      </c>
      <c r="L1270" s="5">
        <f>479 / 86400</f>
        <v>5.5439814814814813E-3</v>
      </c>
    </row>
    <row r="1271" spans="1:12" x14ac:dyDescent="0.25">
      <c r="A1271" s="3">
        <v>45706.019120370373</v>
      </c>
      <c r="B1271" t="s">
        <v>181</v>
      </c>
      <c r="C1271" s="3">
        <v>45706.019756944443</v>
      </c>
      <c r="D1271" t="s">
        <v>83</v>
      </c>
      <c r="E1271" s="4">
        <v>4.1000000000000002E-2</v>
      </c>
      <c r="F1271" s="4">
        <v>551399.40899999999</v>
      </c>
      <c r="G1271" s="4">
        <v>551399.44999999995</v>
      </c>
      <c r="H1271" s="5">
        <f>0 / 86400</f>
        <v>0</v>
      </c>
      <c r="I1271" t="s">
        <v>32</v>
      </c>
      <c r="J1271" t="s">
        <v>170</v>
      </c>
      <c r="K1271" s="5">
        <f>55 / 86400</f>
        <v>6.3657407407407413E-4</v>
      </c>
      <c r="L1271" s="5">
        <f>1472 / 86400</f>
        <v>1.7037037037037038E-2</v>
      </c>
    </row>
    <row r="1272" spans="1:12" x14ac:dyDescent="0.25">
      <c r="A1272" s="3">
        <v>45706.036793981482</v>
      </c>
      <c r="B1272" t="s">
        <v>83</v>
      </c>
      <c r="C1272" s="3">
        <v>45706.044606481482</v>
      </c>
      <c r="D1272" t="s">
        <v>84</v>
      </c>
      <c r="E1272" s="4">
        <v>0.84399999999999997</v>
      </c>
      <c r="F1272" s="4">
        <v>551399.44999999995</v>
      </c>
      <c r="G1272" s="4">
        <v>551400.29399999999</v>
      </c>
      <c r="H1272" s="5">
        <f>360 / 86400</f>
        <v>4.1666666666666666E-3</v>
      </c>
      <c r="I1272" t="s">
        <v>151</v>
      </c>
      <c r="J1272" t="s">
        <v>50</v>
      </c>
      <c r="K1272" s="5">
        <f>674 / 86400</f>
        <v>7.8009259259259256E-3</v>
      </c>
      <c r="L1272" s="5">
        <f>14366 / 86400</f>
        <v>0.16627314814814814</v>
      </c>
    </row>
    <row r="1273" spans="1:12" x14ac:dyDescent="0.25">
      <c r="A1273" s="3">
        <v>45706.210879629631</v>
      </c>
      <c r="B1273" t="s">
        <v>84</v>
      </c>
      <c r="C1273" s="3">
        <v>45706.211655092593</v>
      </c>
      <c r="D1273" t="s">
        <v>84</v>
      </c>
      <c r="E1273" s="4">
        <v>3.5000000000000003E-2</v>
      </c>
      <c r="F1273" s="4">
        <v>551400.29399999999</v>
      </c>
      <c r="G1273" s="4">
        <v>551400.32900000003</v>
      </c>
      <c r="H1273" s="5">
        <f>20 / 86400</f>
        <v>2.3148148148148149E-4</v>
      </c>
      <c r="I1273" t="s">
        <v>150</v>
      </c>
      <c r="J1273" t="s">
        <v>111</v>
      </c>
      <c r="K1273" s="5">
        <f>67 / 86400</f>
        <v>7.7546296296296293E-4</v>
      </c>
      <c r="L1273" s="5">
        <f>5447 / 86400</f>
        <v>6.3043981481481479E-2</v>
      </c>
    </row>
    <row r="1274" spans="1:12" x14ac:dyDescent="0.25">
      <c r="A1274" s="3">
        <v>45706.274699074071</v>
      </c>
      <c r="B1274" t="s">
        <v>84</v>
      </c>
      <c r="C1274" s="3">
        <v>45706.630682870367</v>
      </c>
      <c r="D1274" t="s">
        <v>400</v>
      </c>
      <c r="E1274" s="4">
        <v>134.249</v>
      </c>
      <c r="F1274" s="4">
        <v>551400.32900000003</v>
      </c>
      <c r="G1274" s="4">
        <v>551534.57799999998</v>
      </c>
      <c r="H1274" s="5">
        <f>10662 / 86400</f>
        <v>0.12340277777777778</v>
      </c>
      <c r="I1274" t="s">
        <v>80</v>
      </c>
      <c r="J1274" t="s">
        <v>28</v>
      </c>
      <c r="K1274" s="5">
        <f>30757 / 86400</f>
        <v>0.35598379629629628</v>
      </c>
      <c r="L1274" s="5">
        <f>289 / 86400</f>
        <v>3.3449074074074076E-3</v>
      </c>
    </row>
    <row r="1275" spans="1:12" x14ac:dyDescent="0.25">
      <c r="A1275" s="3">
        <v>45706.634027777778</v>
      </c>
      <c r="B1275" t="s">
        <v>400</v>
      </c>
      <c r="C1275" s="3">
        <v>45706.634675925925</v>
      </c>
      <c r="D1275" t="s">
        <v>375</v>
      </c>
      <c r="E1275" s="4">
        <v>1.7000000000000001E-2</v>
      </c>
      <c r="F1275" s="4">
        <v>551534.57799999998</v>
      </c>
      <c r="G1275" s="4">
        <v>551534.59499999997</v>
      </c>
      <c r="H1275" s="5">
        <f>19 / 86400</f>
        <v>2.199074074074074E-4</v>
      </c>
      <c r="I1275" t="s">
        <v>127</v>
      </c>
      <c r="J1275" t="s">
        <v>163</v>
      </c>
      <c r="K1275" s="5">
        <f>56 / 86400</f>
        <v>6.4814814814814813E-4</v>
      </c>
      <c r="L1275" s="5">
        <f>367 / 86400</f>
        <v>4.2476851851851851E-3</v>
      </c>
    </row>
    <row r="1276" spans="1:12" x14ac:dyDescent="0.25">
      <c r="A1276" s="3">
        <v>45706.638923611114</v>
      </c>
      <c r="B1276" t="s">
        <v>375</v>
      </c>
      <c r="C1276" s="3">
        <v>45706.640567129631</v>
      </c>
      <c r="D1276" t="s">
        <v>375</v>
      </c>
      <c r="E1276" s="4">
        <v>2.5000000000000001E-2</v>
      </c>
      <c r="F1276" s="4">
        <v>551534.59499999997</v>
      </c>
      <c r="G1276" s="4">
        <v>551534.62</v>
      </c>
      <c r="H1276" s="5">
        <f>118 / 86400</f>
        <v>1.3657407407407407E-3</v>
      </c>
      <c r="I1276" t="s">
        <v>127</v>
      </c>
      <c r="J1276" t="s">
        <v>163</v>
      </c>
      <c r="K1276" s="5">
        <f>141 / 86400</f>
        <v>1.6319444444444445E-3</v>
      </c>
      <c r="L1276" s="5">
        <f>2281 / 86400</f>
        <v>2.6400462962962962E-2</v>
      </c>
    </row>
    <row r="1277" spans="1:12" x14ac:dyDescent="0.25">
      <c r="A1277" s="3">
        <v>45706.666967592595</v>
      </c>
      <c r="B1277" t="s">
        <v>375</v>
      </c>
      <c r="C1277" s="3">
        <v>45706.99998842593</v>
      </c>
      <c r="D1277" t="s">
        <v>112</v>
      </c>
      <c r="E1277" s="4">
        <v>136.04599999999999</v>
      </c>
      <c r="F1277" s="4">
        <v>551534.62</v>
      </c>
      <c r="G1277" s="4">
        <v>551670.66599999997</v>
      </c>
      <c r="H1277" s="5">
        <f>9839 / 86400</f>
        <v>0.11387731481481482</v>
      </c>
      <c r="I1277" t="s">
        <v>113</v>
      </c>
      <c r="J1277" t="s">
        <v>62</v>
      </c>
      <c r="K1277" s="5">
        <f>28773 / 86400</f>
        <v>0.33302083333333332</v>
      </c>
      <c r="L1277" s="5">
        <f>0 / 86400</f>
        <v>0</v>
      </c>
    </row>
    <row r="1278" spans="1:12" x14ac:dyDescent="0.25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</row>
    <row r="1279" spans="1:12" x14ac:dyDescent="0.25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</row>
    <row r="1280" spans="1:12" s="10" customFormat="1" ht="20.100000000000001" customHeight="1" x14ac:dyDescent="0.35">
      <c r="A1280" s="15" t="s">
        <v>514</v>
      </c>
      <c r="B1280" s="15"/>
      <c r="C1280" s="15"/>
      <c r="D1280" s="15"/>
      <c r="E1280" s="15"/>
      <c r="F1280" s="15"/>
      <c r="G1280" s="15"/>
      <c r="H1280" s="15"/>
      <c r="I1280" s="15"/>
      <c r="J1280" s="15"/>
    </row>
    <row r="1281" spans="1:12" x14ac:dyDescent="0.25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</row>
    <row r="1282" spans="1:12" ht="30" x14ac:dyDescent="0.25">
      <c r="A1282" s="2" t="s">
        <v>6</v>
      </c>
      <c r="B1282" s="2" t="s">
        <v>7</v>
      </c>
      <c r="C1282" s="2" t="s">
        <v>8</v>
      </c>
      <c r="D1282" s="2" t="s">
        <v>9</v>
      </c>
      <c r="E1282" s="2" t="s">
        <v>10</v>
      </c>
      <c r="F1282" s="2" t="s">
        <v>11</v>
      </c>
      <c r="G1282" s="2" t="s">
        <v>12</v>
      </c>
      <c r="H1282" s="2" t="s">
        <v>13</v>
      </c>
      <c r="I1282" s="2" t="s">
        <v>14</v>
      </c>
      <c r="J1282" s="2" t="s">
        <v>15</v>
      </c>
      <c r="K1282" s="2" t="s">
        <v>16</v>
      </c>
      <c r="L1282" s="2" t="s">
        <v>17</v>
      </c>
    </row>
    <row r="1283" spans="1:12" x14ac:dyDescent="0.25">
      <c r="A1283" s="3">
        <v>45706.254837962959</v>
      </c>
      <c r="B1283" t="s">
        <v>114</v>
      </c>
      <c r="C1283" s="3">
        <v>45706.264189814814</v>
      </c>
      <c r="D1283" t="s">
        <v>306</v>
      </c>
      <c r="E1283" s="4">
        <v>6.4450000000000003</v>
      </c>
      <c r="F1283" s="4">
        <v>57920.83</v>
      </c>
      <c r="G1283" s="4">
        <v>57927.275000000001</v>
      </c>
      <c r="H1283" s="5">
        <f>521 / 86400</f>
        <v>6.030092592592593E-3</v>
      </c>
      <c r="I1283" t="s">
        <v>211</v>
      </c>
      <c r="J1283" t="s">
        <v>182</v>
      </c>
      <c r="K1283" s="5">
        <f>808 / 86400</f>
        <v>9.3518518518518525E-3</v>
      </c>
      <c r="L1283" s="5">
        <f>22715 / 86400</f>
        <v>0.26290509259259259</v>
      </c>
    </row>
    <row r="1284" spans="1:12" x14ac:dyDescent="0.25">
      <c r="A1284" s="3">
        <v>45706.272256944445</v>
      </c>
      <c r="B1284" t="s">
        <v>359</v>
      </c>
      <c r="C1284" s="3">
        <v>45706.272303240738</v>
      </c>
      <c r="D1284" t="s">
        <v>359</v>
      </c>
      <c r="E1284" s="4">
        <v>0</v>
      </c>
      <c r="F1284" s="4">
        <v>57927.275000000001</v>
      </c>
      <c r="G1284" s="4">
        <v>57927.275000000001</v>
      </c>
      <c r="H1284" s="5">
        <f>0 / 86400</f>
        <v>0</v>
      </c>
      <c r="I1284" t="s">
        <v>82</v>
      </c>
      <c r="J1284" t="s">
        <v>82</v>
      </c>
      <c r="K1284" s="5">
        <f>3 / 86400</f>
        <v>3.4722222222222222E-5</v>
      </c>
      <c r="L1284" s="5">
        <f>1 / 86400</f>
        <v>1.1574074074074073E-5</v>
      </c>
    </row>
    <row r="1285" spans="1:12" x14ac:dyDescent="0.25">
      <c r="A1285" s="3">
        <v>45706.272314814814</v>
      </c>
      <c r="B1285" t="s">
        <v>359</v>
      </c>
      <c r="C1285" s="3">
        <v>45706.291817129633</v>
      </c>
      <c r="D1285" t="s">
        <v>205</v>
      </c>
      <c r="E1285" s="4">
        <v>64.14</v>
      </c>
      <c r="F1285" s="4">
        <v>57927.275000000001</v>
      </c>
      <c r="G1285" s="4">
        <v>57991.415000000001</v>
      </c>
      <c r="H1285" s="5">
        <f>435 / 86400</f>
        <v>5.0347222222222225E-3</v>
      </c>
      <c r="I1285" t="s">
        <v>61</v>
      </c>
      <c r="J1285" t="s">
        <v>434</v>
      </c>
      <c r="K1285" s="5">
        <f>1685 / 86400</f>
        <v>1.9502314814814816E-2</v>
      </c>
      <c r="L1285" s="5">
        <f>2 / 86400</f>
        <v>2.3148148148148147E-5</v>
      </c>
    </row>
    <row r="1286" spans="1:12" x14ac:dyDescent="0.25">
      <c r="A1286" s="3">
        <v>45706.29184027778</v>
      </c>
      <c r="B1286" t="s">
        <v>205</v>
      </c>
      <c r="C1286" s="3">
        <v>45706.312465277777</v>
      </c>
      <c r="D1286" t="s">
        <v>153</v>
      </c>
      <c r="E1286" s="4">
        <v>54.300000000007451</v>
      </c>
      <c r="F1286" s="4">
        <v>57991.415000000001</v>
      </c>
      <c r="G1286" s="4">
        <v>58045.715000000011</v>
      </c>
      <c r="H1286" s="5">
        <f>360 / 86400</f>
        <v>4.1666666666666666E-3</v>
      </c>
      <c r="I1286" t="s">
        <v>385</v>
      </c>
      <c r="J1286" t="s">
        <v>435</v>
      </c>
      <c r="K1286" s="5">
        <f>1782 / 86400</f>
        <v>2.0625000000000001E-2</v>
      </c>
      <c r="L1286" s="5">
        <f>892 / 86400</f>
        <v>1.0324074074074074E-2</v>
      </c>
    </row>
    <row r="1287" spans="1:12" x14ac:dyDescent="0.25">
      <c r="A1287" s="3">
        <v>45706.322789351849</v>
      </c>
      <c r="B1287" t="s">
        <v>153</v>
      </c>
      <c r="C1287" s="3">
        <v>45706.398194444446</v>
      </c>
      <c r="D1287" t="s">
        <v>285</v>
      </c>
      <c r="E1287" s="4">
        <v>182.93999999999255</v>
      </c>
      <c r="F1287" s="4">
        <v>58045.715000000011</v>
      </c>
      <c r="G1287" s="4">
        <v>58228.654999999999</v>
      </c>
      <c r="H1287" s="5">
        <f>1979 / 86400</f>
        <v>2.2905092592592591E-2</v>
      </c>
      <c r="I1287" t="s">
        <v>116</v>
      </c>
      <c r="J1287" t="s">
        <v>436</v>
      </c>
      <c r="K1287" s="5">
        <f>6515 / 86400</f>
        <v>7.5405092592592593E-2</v>
      </c>
      <c r="L1287" s="5">
        <f>3 / 86400</f>
        <v>3.4722222222222222E-5</v>
      </c>
    </row>
    <row r="1288" spans="1:12" x14ac:dyDescent="0.25">
      <c r="A1288" s="3">
        <v>45706.398229166662</v>
      </c>
      <c r="B1288" t="s">
        <v>285</v>
      </c>
      <c r="C1288" s="3">
        <v>45706.406145833331</v>
      </c>
      <c r="D1288" t="s">
        <v>216</v>
      </c>
      <c r="E1288" s="4">
        <v>9.9600000000000009</v>
      </c>
      <c r="F1288" s="4">
        <v>58228.654999999999</v>
      </c>
      <c r="G1288" s="4">
        <v>58238.614999999998</v>
      </c>
      <c r="H1288" s="5">
        <f>320 / 86400</f>
        <v>3.7037037037037038E-3</v>
      </c>
      <c r="I1288" t="s">
        <v>174</v>
      </c>
      <c r="J1288" t="s">
        <v>98</v>
      </c>
      <c r="K1288" s="5">
        <f>684 / 86400</f>
        <v>7.9166666666666673E-3</v>
      </c>
      <c r="L1288" s="5">
        <f>2 / 86400</f>
        <v>2.3148148148148147E-5</v>
      </c>
    </row>
    <row r="1289" spans="1:12" x14ac:dyDescent="0.25">
      <c r="A1289" s="3">
        <v>45706.406168981484</v>
      </c>
      <c r="B1289" t="s">
        <v>216</v>
      </c>
      <c r="C1289" s="3">
        <v>45706.408032407402</v>
      </c>
      <c r="D1289" t="s">
        <v>104</v>
      </c>
      <c r="E1289" s="4">
        <v>5.2149999999999999</v>
      </c>
      <c r="F1289" s="4">
        <v>58238.614999999998</v>
      </c>
      <c r="G1289" s="4">
        <v>58243.83</v>
      </c>
      <c r="H1289" s="5">
        <f>20 / 86400</f>
        <v>2.3148148148148149E-4</v>
      </c>
      <c r="I1289" t="s">
        <v>206</v>
      </c>
      <c r="J1289" t="s">
        <v>437</v>
      </c>
      <c r="K1289" s="5">
        <f>161 / 86400</f>
        <v>1.8634259259259259E-3</v>
      </c>
      <c r="L1289" s="5">
        <f>3 / 86400</f>
        <v>3.4722222222222222E-5</v>
      </c>
    </row>
    <row r="1290" spans="1:12" x14ac:dyDescent="0.25">
      <c r="A1290" s="3">
        <v>45706.408067129625</v>
      </c>
      <c r="B1290" t="s">
        <v>104</v>
      </c>
      <c r="C1290" s="3">
        <v>45706.409016203703</v>
      </c>
      <c r="D1290" t="s">
        <v>356</v>
      </c>
      <c r="E1290" s="4">
        <v>0.23499999999999999</v>
      </c>
      <c r="F1290" s="4">
        <v>58243.83</v>
      </c>
      <c r="G1290" s="4">
        <v>58244.065000000002</v>
      </c>
      <c r="H1290" s="5">
        <f>60 / 86400</f>
        <v>6.9444444444444447E-4</v>
      </c>
      <c r="I1290" t="s">
        <v>50</v>
      </c>
      <c r="J1290" t="s">
        <v>159</v>
      </c>
      <c r="K1290" s="5">
        <f>82 / 86400</f>
        <v>9.4907407407407408E-4</v>
      </c>
      <c r="L1290" s="5">
        <f>8 / 86400</f>
        <v>9.2592592592592588E-5</v>
      </c>
    </row>
    <row r="1291" spans="1:12" x14ac:dyDescent="0.25">
      <c r="A1291" s="3">
        <v>45706.409108796295</v>
      </c>
      <c r="B1291" t="s">
        <v>356</v>
      </c>
      <c r="C1291" s="3">
        <v>45706.411006944443</v>
      </c>
      <c r="D1291" t="s">
        <v>310</v>
      </c>
      <c r="E1291" s="4">
        <v>2.6850000000000001</v>
      </c>
      <c r="F1291" s="4">
        <v>58244.065000000002</v>
      </c>
      <c r="G1291" s="4">
        <v>58246.75</v>
      </c>
      <c r="H1291" s="5">
        <f>20 / 86400</f>
        <v>2.3148148148148149E-4</v>
      </c>
      <c r="I1291" t="s">
        <v>31</v>
      </c>
      <c r="J1291" t="s">
        <v>174</v>
      </c>
      <c r="K1291" s="5">
        <f>164 / 86400</f>
        <v>1.8981481481481482E-3</v>
      </c>
      <c r="L1291" s="5">
        <f>2 / 86400</f>
        <v>2.3148148148148147E-5</v>
      </c>
    </row>
    <row r="1292" spans="1:12" x14ac:dyDescent="0.25">
      <c r="A1292" s="3">
        <v>45706.411030092597</v>
      </c>
      <c r="B1292" t="s">
        <v>310</v>
      </c>
      <c r="C1292" s="3">
        <v>45706.415231481486</v>
      </c>
      <c r="D1292" t="s">
        <v>95</v>
      </c>
      <c r="E1292" s="4">
        <v>7.2649999999999997</v>
      </c>
      <c r="F1292" s="4">
        <v>58246.75</v>
      </c>
      <c r="G1292" s="4">
        <v>58254.014999999999</v>
      </c>
      <c r="H1292" s="5">
        <f>100 / 86400</f>
        <v>1.1574074074074073E-3</v>
      </c>
      <c r="I1292" t="s">
        <v>199</v>
      </c>
      <c r="J1292" t="s">
        <v>61</v>
      </c>
      <c r="K1292" s="5">
        <f>363 / 86400</f>
        <v>4.2013888888888891E-3</v>
      </c>
      <c r="L1292" s="5">
        <f>2 / 86400</f>
        <v>2.3148148148148147E-5</v>
      </c>
    </row>
    <row r="1293" spans="1:12" x14ac:dyDescent="0.25">
      <c r="A1293" s="3">
        <v>45706.415254629625</v>
      </c>
      <c r="B1293" t="s">
        <v>95</v>
      </c>
      <c r="C1293" s="3">
        <v>45706.417384259257</v>
      </c>
      <c r="D1293" t="s">
        <v>95</v>
      </c>
      <c r="E1293" s="4">
        <v>4.4850000000000003</v>
      </c>
      <c r="F1293" s="4">
        <v>58254.014999999999</v>
      </c>
      <c r="G1293" s="4">
        <v>58258.5</v>
      </c>
      <c r="H1293" s="5">
        <f>60 / 86400</f>
        <v>6.9444444444444447E-4</v>
      </c>
      <c r="I1293" t="s">
        <v>228</v>
      </c>
      <c r="J1293" t="s">
        <v>78</v>
      </c>
      <c r="K1293" s="5">
        <f>184 / 86400</f>
        <v>2.1296296296296298E-3</v>
      </c>
      <c r="L1293" s="5">
        <f>2 / 86400</f>
        <v>2.3148148148148147E-5</v>
      </c>
    </row>
    <row r="1294" spans="1:12" x14ac:dyDescent="0.25">
      <c r="A1294" s="3">
        <v>45706.417407407411</v>
      </c>
      <c r="B1294" t="s">
        <v>95</v>
      </c>
      <c r="C1294" s="3">
        <v>45706.418680555551</v>
      </c>
      <c r="D1294" t="s">
        <v>76</v>
      </c>
      <c r="E1294" s="4">
        <v>2.1850000000000001</v>
      </c>
      <c r="F1294" s="4">
        <v>58258.5</v>
      </c>
      <c r="G1294" s="4">
        <v>58260.684999999998</v>
      </c>
      <c r="H1294" s="5">
        <f>40 / 86400</f>
        <v>4.6296296296296298E-4</v>
      </c>
      <c r="I1294" t="s">
        <v>162</v>
      </c>
      <c r="J1294" t="s">
        <v>61</v>
      </c>
      <c r="K1294" s="5">
        <f>110 / 86400</f>
        <v>1.2731481481481483E-3</v>
      </c>
      <c r="L1294" s="5">
        <f>3 / 86400</f>
        <v>3.4722222222222222E-5</v>
      </c>
    </row>
    <row r="1295" spans="1:12" x14ac:dyDescent="0.25">
      <c r="A1295" s="3">
        <v>45706.418715277774</v>
      </c>
      <c r="B1295" t="s">
        <v>76</v>
      </c>
      <c r="C1295" s="3">
        <v>45706.420659722222</v>
      </c>
      <c r="D1295" t="s">
        <v>76</v>
      </c>
      <c r="E1295" s="4">
        <v>5.7</v>
      </c>
      <c r="F1295" s="4">
        <v>58260.684999999998</v>
      </c>
      <c r="G1295" s="4">
        <v>58266.385000000002</v>
      </c>
      <c r="H1295" s="5">
        <f>42 / 86400</f>
        <v>4.861111111111111E-4</v>
      </c>
      <c r="I1295" t="s">
        <v>318</v>
      </c>
      <c r="J1295" t="s">
        <v>438</v>
      </c>
      <c r="K1295" s="5">
        <f>168 / 86400</f>
        <v>1.9444444444444444E-3</v>
      </c>
      <c r="L1295" s="5">
        <f>2 / 86400</f>
        <v>2.3148148148148147E-5</v>
      </c>
    </row>
    <row r="1296" spans="1:12" x14ac:dyDescent="0.25">
      <c r="A1296" s="3">
        <v>45706.420682870375</v>
      </c>
      <c r="B1296" t="s">
        <v>76</v>
      </c>
      <c r="C1296" s="3">
        <v>45706.425509259258</v>
      </c>
      <c r="D1296" t="s">
        <v>76</v>
      </c>
      <c r="E1296" s="4">
        <v>18.13</v>
      </c>
      <c r="F1296" s="4">
        <v>58266.385000000002</v>
      </c>
      <c r="G1296" s="4">
        <v>58284.514999999999</v>
      </c>
      <c r="H1296" s="5">
        <f>20 / 86400</f>
        <v>2.3148148148148149E-4</v>
      </c>
      <c r="I1296" t="s">
        <v>67</v>
      </c>
      <c r="J1296" t="s">
        <v>439</v>
      </c>
      <c r="K1296" s="5">
        <f>417 / 86400</f>
        <v>4.8263888888888887E-3</v>
      </c>
      <c r="L1296" s="5">
        <f>2 / 86400</f>
        <v>2.3148148148148147E-5</v>
      </c>
    </row>
    <row r="1297" spans="1:12" x14ac:dyDescent="0.25">
      <c r="A1297" s="3">
        <v>45706.425532407404</v>
      </c>
      <c r="B1297" t="s">
        <v>76</v>
      </c>
      <c r="C1297" s="3">
        <v>45706.427627314813</v>
      </c>
      <c r="D1297" t="s">
        <v>181</v>
      </c>
      <c r="E1297" s="4">
        <v>8.5449999999999999</v>
      </c>
      <c r="F1297" s="4">
        <v>58284.514999999999</v>
      </c>
      <c r="G1297" s="4">
        <v>58293.06</v>
      </c>
      <c r="H1297" s="5">
        <f>20 / 86400</f>
        <v>2.3148148148148149E-4</v>
      </c>
      <c r="I1297" t="s">
        <v>132</v>
      </c>
      <c r="J1297" t="s">
        <v>440</v>
      </c>
      <c r="K1297" s="5">
        <f>181 / 86400</f>
        <v>2.0949074074074073E-3</v>
      </c>
      <c r="L1297" s="5">
        <f>2 / 86400</f>
        <v>2.3148148148148147E-5</v>
      </c>
    </row>
    <row r="1298" spans="1:12" x14ac:dyDescent="0.25">
      <c r="A1298" s="3">
        <v>45706.427650462967</v>
      </c>
      <c r="B1298" t="s">
        <v>181</v>
      </c>
      <c r="C1298" s="3">
        <v>45706.429375</v>
      </c>
      <c r="D1298" t="s">
        <v>441</v>
      </c>
      <c r="E1298" s="4">
        <v>0.29499999999999998</v>
      </c>
      <c r="F1298" s="4">
        <v>58293.06</v>
      </c>
      <c r="G1298" s="4">
        <v>58293.355000000003</v>
      </c>
      <c r="H1298" s="5">
        <f>120 / 86400</f>
        <v>1.3888888888888889E-3</v>
      </c>
      <c r="I1298" t="s">
        <v>147</v>
      </c>
      <c r="J1298" t="s">
        <v>150</v>
      </c>
      <c r="K1298" s="5">
        <f>149 / 86400</f>
        <v>1.724537037037037E-3</v>
      </c>
      <c r="L1298" s="5">
        <f>3 / 86400</f>
        <v>3.4722222222222222E-5</v>
      </c>
    </row>
    <row r="1299" spans="1:12" x14ac:dyDescent="0.25">
      <c r="A1299" s="3">
        <v>45706.429409722223</v>
      </c>
      <c r="B1299" t="s">
        <v>441</v>
      </c>
      <c r="C1299" s="3">
        <v>45706.436944444446</v>
      </c>
      <c r="D1299" t="s">
        <v>187</v>
      </c>
      <c r="E1299" s="4">
        <v>24.75</v>
      </c>
      <c r="F1299" s="4">
        <v>58293.355000000003</v>
      </c>
      <c r="G1299" s="4">
        <v>58318.105000000003</v>
      </c>
      <c r="H1299" s="5">
        <f>139 / 86400</f>
        <v>1.6087962962962963E-3</v>
      </c>
      <c r="I1299" t="s">
        <v>385</v>
      </c>
      <c r="J1299" t="s">
        <v>434</v>
      </c>
      <c r="K1299" s="5">
        <f>650 / 86400</f>
        <v>7.5231481481481477E-3</v>
      </c>
      <c r="L1299" s="5">
        <f>3 / 86400</f>
        <v>3.4722222222222222E-5</v>
      </c>
    </row>
    <row r="1300" spans="1:12" x14ac:dyDescent="0.25">
      <c r="A1300" s="3">
        <v>45706.436979166669</v>
      </c>
      <c r="B1300" t="s">
        <v>187</v>
      </c>
      <c r="C1300" s="3">
        <v>45706.437546296293</v>
      </c>
      <c r="D1300" t="s">
        <v>36</v>
      </c>
      <c r="E1300" s="4">
        <v>2.2599999999999998</v>
      </c>
      <c r="F1300" s="4">
        <v>58318.105000000003</v>
      </c>
      <c r="G1300" s="4">
        <v>58320.364999999998</v>
      </c>
      <c r="H1300" s="5">
        <f>20 / 86400</f>
        <v>2.3148148148148149E-4</v>
      </c>
      <c r="I1300" t="s">
        <v>188</v>
      </c>
      <c r="J1300" t="s">
        <v>442</v>
      </c>
      <c r="K1300" s="5">
        <f>49 / 86400</f>
        <v>5.6712962962962967E-4</v>
      </c>
      <c r="L1300" s="5">
        <f>2 / 86400</f>
        <v>2.3148148148148147E-5</v>
      </c>
    </row>
    <row r="1301" spans="1:12" x14ac:dyDescent="0.25">
      <c r="A1301" s="3">
        <v>45706.437569444446</v>
      </c>
      <c r="B1301" t="s">
        <v>36</v>
      </c>
      <c r="C1301" s="3">
        <v>45706.439953703702</v>
      </c>
      <c r="D1301" t="s">
        <v>443</v>
      </c>
      <c r="E1301" s="4">
        <v>8.1000000000074515</v>
      </c>
      <c r="F1301" s="4">
        <v>58320.364999999998</v>
      </c>
      <c r="G1301" s="4">
        <v>58328.465000000011</v>
      </c>
      <c r="H1301" s="5">
        <f>40 / 86400</f>
        <v>4.6296296296296298E-4</v>
      </c>
      <c r="I1301" t="s">
        <v>165</v>
      </c>
      <c r="J1301" t="s">
        <v>444</v>
      </c>
      <c r="K1301" s="5">
        <f>206 / 86400</f>
        <v>2.3842592592592591E-3</v>
      </c>
      <c r="L1301" s="5">
        <f>2 / 86400</f>
        <v>2.3148148148148147E-5</v>
      </c>
    </row>
    <row r="1302" spans="1:12" x14ac:dyDescent="0.25">
      <c r="A1302" s="3">
        <v>45706.439976851849</v>
      </c>
      <c r="B1302" t="s">
        <v>443</v>
      </c>
      <c r="C1302" s="3">
        <v>45706.442650462966</v>
      </c>
      <c r="D1302" t="s">
        <v>445</v>
      </c>
      <c r="E1302" s="4">
        <v>6.9699999999925497</v>
      </c>
      <c r="F1302" s="4">
        <v>58328.465000000011</v>
      </c>
      <c r="G1302" s="4">
        <v>58335.434999999998</v>
      </c>
      <c r="H1302" s="5">
        <f>80 / 86400</f>
        <v>9.2592592592592596E-4</v>
      </c>
      <c r="I1302" t="s">
        <v>208</v>
      </c>
      <c r="J1302" t="s">
        <v>446</v>
      </c>
      <c r="K1302" s="5">
        <f>231 / 86400</f>
        <v>2.673611111111111E-3</v>
      </c>
      <c r="L1302" s="5">
        <f>2 / 86400</f>
        <v>2.3148148148148147E-5</v>
      </c>
    </row>
    <row r="1303" spans="1:12" x14ac:dyDescent="0.25">
      <c r="A1303" s="3">
        <v>45706.442673611113</v>
      </c>
      <c r="B1303" t="s">
        <v>445</v>
      </c>
      <c r="C1303" s="3">
        <v>45706.447418981479</v>
      </c>
      <c r="D1303" t="s">
        <v>205</v>
      </c>
      <c r="E1303" s="4">
        <v>17.975000000000001</v>
      </c>
      <c r="F1303" s="4">
        <v>58335.434999999998</v>
      </c>
      <c r="G1303" s="4">
        <v>58353.41</v>
      </c>
      <c r="H1303" s="5">
        <f>20 / 86400</f>
        <v>2.3148148148148149E-4</v>
      </c>
      <c r="I1303" t="s">
        <v>98</v>
      </c>
      <c r="J1303" t="s">
        <v>447</v>
      </c>
      <c r="K1303" s="5">
        <f>410 / 86400</f>
        <v>4.7453703703703703E-3</v>
      </c>
      <c r="L1303" s="5">
        <f>3 / 86400</f>
        <v>3.4722222222222222E-5</v>
      </c>
    </row>
    <row r="1304" spans="1:12" x14ac:dyDescent="0.25">
      <c r="A1304" s="3">
        <v>45706.447453703702</v>
      </c>
      <c r="B1304" t="s">
        <v>205</v>
      </c>
      <c r="C1304" s="3">
        <v>45706.458715277782</v>
      </c>
      <c r="D1304" t="s">
        <v>448</v>
      </c>
      <c r="E1304" s="4">
        <v>37.5</v>
      </c>
      <c r="F1304" s="4">
        <v>58353.41</v>
      </c>
      <c r="G1304" s="4">
        <v>58390.91</v>
      </c>
      <c r="H1304" s="5">
        <f>100 / 86400</f>
        <v>1.1574074074074073E-3</v>
      </c>
      <c r="I1304" t="s">
        <v>210</v>
      </c>
      <c r="J1304" t="s">
        <v>449</v>
      </c>
      <c r="K1304" s="5">
        <f>973 / 86400</f>
        <v>1.1261574074074075E-2</v>
      </c>
      <c r="L1304" s="5">
        <f>2 / 86400</f>
        <v>2.3148148148148147E-5</v>
      </c>
    </row>
    <row r="1305" spans="1:12" x14ac:dyDescent="0.25">
      <c r="A1305" s="3">
        <v>45706.458738425921</v>
      </c>
      <c r="B1305" t="s">
        <v>448</v>
      </c>
      <c r="C1305" s="3">
        <v>45706.459444444445</v>
      </c>
      <c r="D1305" t="s">
        <v>450</v>
      </c>
      <c r="E1305" s="4">
        <v>2.375</v>
      </c>
      <c r="F1305" s="4">
        <v>58390.91</v>
      </c>
      <c r="G1305" s="4">
        <v>58393.285000000003</v>
      </c>
      <c r="H1305" s="5">
        <f>0 / 86400</f>
        <v>0</v>
      </c>
      <c r="I1305" t="s">
        <v>199</v>
      </c>
      <c r="J1305" t="s">
        <v>451</v>
      </c>
      <c r="K1305" s="5">
        <f>61 / 86400</f>
        <v>7.0601851851851847E-4</v>
      </c>
      <c r="L1305" s="5">
        <f>2 / 86400</f>
        <v>2.3148148148148147E-5</v>
      </c>
    </row>
    <row r="1306" spans="1:12" x14ac:dyDescent="0.25">
      <c r="A1306" s="3">
        <v>45706.459467592591</v>
      </c>
      <c r="B1306" t="s">
        <v>452</v>
      </c>
      <c r="C1306" s="3">
        <v>45706.460034722222</v>
      </c>
      <c r="D1306" t="s">
        <v>453</v>
      </c>
      <c r="E1306" s="4">
        <v>2.1650000000074505</v>
      </c>
      <c r="F1306" s="4">
        <v>58393.285000000003</v>
      </c>
      <c r="G1306" s="4">
        <v>58395.450000000004</v>
      </c>
      <c r="H1306" s="5">
        <f>0 / 86400</f>
        <v>0</v>
      </c>
      <c r="I1306" t="s">
        <v>92</v>
      </c>
      <c r="J1306" t="s">
        <v>454</v>
      </c>
      <c r="K1306" s="5">
        <f>48 / 86400</f>
        <v>5.5555555555555556E-4</v>
      </c>
      <c r="L1306" s="5">
        <f>2 / 86400</f>
        <v>2.3148148148148147E-5</v>
      </c>
    </row>
    <row r="1307" spans="1:12" x14ac:dyDescent="0.25">
      <c r="A1307" s="3">
        <v>45706.460057870368</v>
      </c>
      <c r="B1307" t="s">
        <v>453</v>
      </c>
      <c r="C1307" s="3">
        <v>45706.466053240743</v>
      </c>
      <c r="D1307" t="s">
        <v>122</v>
      </c>
      <c r="E1307" s="4">
        <v>10.14499999999255</v>
      </c>
      <c r="F1307" s="4">
        <v>58395.450000000004</v>
      </c>
      <c r="G1307" s="4">
        <v>58405.595000000001</v>
      </c>
      <c r="H1307" s="5">
        <f>140 / 86400</f>
        <v>1.6203703703703703E-3</v>
      </c>
      <c r="I1307" t="s">
        <v>199</v>
      </c>
      <c r="J1307" t="s">
        <v>138</v>
      </c>
      <c r="K1307" s="5">
        <f>518 / 86400</f>
        <v>5.9953703703703705E-3</v>
      </c>
      <c r="L1307" s="5">
        <f>13411 / 86400</f>
        <v>0.1552199074074074</v>
      </c>
    </row>
    <row r="1308" spans="1:12" x14ac:dyDescent="0.25">
      <c r="A1308" s="3">
        <v>45706.62127314815</v>
      </c>
      <c r="B1308" t="s">
        <v>122</v>
      </c>
      <c r="C1308" s="3">
        <v>45706.624722222223</v>
      </c>
      <c r="D1308" t="s">
        <v>122</v>
      </c>
      <c r="E1308" s="4">
        <v>0</v>
      </c>
      <c r="F1308" s="4">
        <v>58405.595000000001</v>
      </c>
      <c r="G1308" s="4">
        <v>58405.595000000001</v>
      </c>
      <c r="H1308" s="5">
        <f>279 / 86400</f>
        <v>3.2291666666666666E-3</v>
      </c>
      <c r="I1308" t="s">
        <v>82</v>
      </c>
      <c r="J1308" t="s">
        <v>82</v>
      </c>
      <c r="K1308" s="5">
        <f>297 / 86400</f>
        <v>3.4375E-3</v>
      </c>
      <c r="L1308" s="5">
        <f>4028 / 86400</f>
        <v>4.6620370370370368E-2</v>
      </c>
    </row>
    <row r="1309" spans="1:12" x14ac:dyDescent="0.25">
      <c r="A1309" s="3">
        <v>45706.671342592592</v>
      </c>
      <c r="B1309" t="s">
        <v>122</v>
      </c>
      <c r="C1309" s="3">
        <v>45706.67701388889</v>
      </c>
      <c r="D1309" t="s">
        <v>387</v>
      </c>
      <c r="E1309" s="4">
        <v>3.59</v>
      </c>
      <c r="F1309" s="4">
        <v>58405.595000000001</v>
      </c>
      <c r="G1309" s="4">
        <v>58409.184999999998</v>
      </c>
      <c r="H1309" s="5">
        <f>239 / 86400</f>
        <v>2.7662037037037039E-3</v>
      </c>
      <c r="I1309" t="s">
        <v>158</v>
      </c>
      <c r="J1309" t="s">
        <v>158</v>
      </c>
      <c r="K1309" s="5">
        <f>490 / 86400</f>
        <v>5.6712962962962967E-3</v>
      </c>
      <c r="L1309" s="5">
        <f>82 / 86400</f>
        <v>9.4907407407407408E-4</v>
      </c>
    </row>
    <row r="1310" spans="1:12" x14ac:dyDescent="0.25">
      <c r="A1310" s="3">
        <v>45706.67796296296</v>
      </c>
      <c r="B1310" t="s">
        <v>387</v>
      </c>
      <c r="C1310" s="3">
        <v>45706.970972222218</v>
      </c>
      <c r="D1310" t="s">
        <v>101</v>
      </c>
      <c r="E1310" s="4">
        <v>608.54499999999996</v>
      </c>
      <c r="F1310" s="4">
        <v>58409.184999999998</v>
      </c>
      <c r="G1310" s="4">
        <v>59017.73</v>
      </c>
      <c r="H1310" s="5">
        <f>7542 / 86400</f>
        <v>8.729166666666667E-2</v>
      </c>
      <c r="I1310" t="s">
        <v>33</v>
      </c>
      <c r="J1310" t="s">
        <v>99</v>
      </c>
      <c r="K1310" s="5">
        <f>25316 / 86400</f>
        <v>0.29300925925925925</v>
      </c>
      <c r="L1310" s="5">
        <f>1160 / 86400</f>
        <v>1.3425925925925926E-2</v>
      </c>
    </row>
    <row r="1311" spans="1:12" x14ac:dyDescent="0.25">
      <c r="A1311" s="3">
        <v>45706.984398148154</v>
      </c>
      <c r="B1311" t="s">
        <v>101</v>
      </c>
      <c r="C1311" s="3">
        <v>45706.99998842593</v>
      </c>
      <c r="D1311" t="s">
        <v>115</v>
      </c>
      <c r="E1311" s="4">
        <v>23.03</v>
      </c>
      <c r="F1311" s="4">
        <v>59017.73</v>
      </c>
      <c r="G1311" s="4">
        <v>59040.76</v>
      </c>
      <c r="H1311" s="5">
        <f>479 / 86400</f>
        <v>5.5439814814814813E-3</v>
      </c>
      <c r="I1311" t="s">
        <v>198</v>
      </c>
      <c r="J1311" t="s">
        <v>71</v>
      </c>
      <c r="K1311" s="5">
        <f>1347 / 86400</f>
        <v>1.5590277777777778E-2</v>
      </c>
      <c r="L1311" s="5">
        <f>0 / 86400</f>
        <v>0</v>
      </c>
    </row>
    <row r="1312" spans="1:12" x14ac:dyDescent="0.25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</row>
    <row r="1313" spans="1:12" x14ac:dyDescent="0.25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</row>
    <row r="1314" spans="1:12" s="10" customFormat="1" ht="20.100000000000001" customHeight="1" x14ac:dyDescent="0.35">
      <c r="A1314" s="15" t="s">
        <v>515</v>
      </c>
      <c r="B1314" s="15"/>
      <c r="C1314" s="15"/>
      <c r="D1314" s="15"/>
      <c r="E1314" s="15"/>
      <c r="F1314" s="15"/>
      <c r="G1314" s="15"/>
      <c r="H1314" s="15"/>
      <c r="I1314" s="15"/>
      <c r="J1314" s="15"/>
    </row>
    <row r="1315" spans="1:12" x14ac:dyDescent="0.25">
      <c r="A1315" s="12"/>
      <c r="B1315" s="12"/>
      <c r="C1315" s="12"/>
      <c r="D1315" s="12"/>
      <c r="E1315" s="12"/>
      <c r="F1315" s="12"/>
      <c r="G1315" s="12"/>
      <c r="H1315" s="12"/>
      <c r="I1315" s="12"/>
      <c r="J1315" s="12"/>
    </row>
    <row r="1316" spans="1:12" ht="30" x14ac:dyDescent="0.25">
      <c r="A1316" s="2" t="s">
        <v>6</v>
      </c>
      <c r="B1316" s="2" t="s">
        <v>7</v>
      </c>
      <c r="C1316" s="2" t="s">
        <v>8</v>
      </c>
      <c r="D1316" s="2" t="s">
        <v>9</v>
      </c>
      <c r="E1316" s="2" t="s">
        <v>10</v>
      </c>
      <c r="F1316" s="2" t="s">
        <v>11</v>
      </c>
      <c r="G1316" s="2" t="s">
        <v>12</v>
      </c>
      <c r="H1316" s="2" t="s">
        <v>13</v>
      </c>
      <c r="I1316" s="2" t="s">
        <v>14</v>
      </c>
      <c r="J1316" s="2" t="s">
        <v>15</v>
      </c>
      <c r="K1316" s="2" t="s">
        <v>16</v>
      </c>
      <c r="L1316" s="2" t="s">
        <v>17</v>
      </c>
    </row>
    <row r="1317" spans="1:12" x14ac:dyDescent="0.25">
      <c r="A1317" s="3">
        <v>45706</v>
      </c>
      <c r="B1317" t="s">
        <v>117</v>
      </c>
      <c r="C1317" s="3">
        <v>45706.076550925922</v>
      </c>
      <c r="D1317" t="s">
        <v>400</v>
      </c>
      <c r="E1317" s="4">
        <v>48.305999999999997</v>
      </c>
      <c r="F1317" s="4">
        <v>60756.781000000003</v>
      </c>
      <c r="G1317" s="4">
        <v>60805.087</v>
      </c>
      <c r="H1317" s="5">
        <f>1360 / 86400</f>
        <v>1.5740740740740739E-2</v>
      </c>
      <c r="I1317" t="s">
        <v>27</v>
      </c>
      <c r="J1317" t="s">
        <v>158</v>
      </c>
      <c r="K1317" s="5">
        <f>6614 / 86400</f>
        <v>7.6550925925925925E-2</v>
      </c>
      <c r="L1317" s="5">
        <f>468 / 86400</f>
        <v>5.4166666666666669E-3</v>
      </c>
    </row>
    <row r="1318" spans="1:12" x14ac:dyDescent="0.25">
      <c r="A1318" s="3">
        <v>45706.081967592589</v>
      </c>
      <c r="B1318" t="s">
        <v>375</v>
      </c>
      <c r="C1318" s="3">
        <v>45706.085902777777</v>
      </c>
      <c r="D1318" t="s">
        <v>118</v>
      </c>
      <c r="E1318" s="4">
        <v>0.28100000000000003</v>
      </c>
      <c r="F1318" s="4">
        <v>60805.087</v>
      </c>
      <c r="G1318" s="4">
        <v>60805.368000000002</v>
      </c>
      <c r="H1318" s="5">
        <f>219 / 86400</f>
        <v>2.5347222222222221E-3</v>
      </c>
      <c r="I1318" t="s">
        <v>28</v>
      </c>
      <c r="J1318" t="s">
        <v>170</v>
      </c>
      <c r="K1318" s="5">
        <f>339 / 86400</f>
        <v>3.9236111111111112E-3</v>
      </c>
      <c r="L1318" s="5">
        <f>80 / 86400</f>
        <v>9.2592592592592596E-4</v>
      </c>
    </row>
    <row r="1319" spans="1:12" x14ac:dyDescent="0.25">
      <c r="A1319" s="3">
        <v>45706.086828703701</v>
      </c>
      <c r="B1319" t="s">
        <v>118</v>
      </c>
      <c r="C1319" s="3">
        <v>45706.08756944444</v>
      </c>
      <c r="D1319" t="s">
        <v>118</v>
      </c>
      <c r="E1319" s="4">
        <v>3.3000000000000002E-2</v>
      </c>
      <c r="F1319" s="4">
        <v>60805.368000000002</v>
      </c>
      <c r="G1319" s="4">
        <v>60805.400999999998</v>
      </c>
      <c r="H1319" s="5">
        <f>20 / 86400</f>
        <v>2.3148148148148149E-4</v>
      </c>
      <c r="I1319" t="s">
        <v>32</v>
      </c>
      <c r="J1319" t="s">
        <v>111</v>
      </c>
      <c r="K1319" s="5">
        <f>64 / 86400</f>
        <v>7.407407407407407E-4</v>
      </c>
      <c r="L1319" s="5">
        <f>10099 / 86400</f>
        <v>0.11688657407407407</v>
      </c>
    </row>
    <row r="1320" spans="1:12" x14ac:dyDescent="0.25">
      <c r="A1320" s="3">
        <v>45706.204456018517</v>
      </c>
      <c r="B1320" t="s">
        <v>118</v>
      </c>
      <c r="C1320" s="3">
        <v>45706.206782407404</v>
      </c>
      <c r="D1320" t="s">
        <v>149</v>
      </c>
      <c r="E1320" s="4">
        <v>0.39700000000000002</v>
      </c>
      <c r="F1320" s="4">
        <v>60805.400999999998</v>
      </c>
      <c r="G1320" s="4">
        <v>60805.798000000003</v>
      </c>
      <c r="H1320" s="5">
        <f>39 / 86400</f>
        <v>4.5138888888888887E-4</v>
      </c>
      <c r="I1320" t="s">
        <v>130</v>
      </c>
      <c r="J1320" t="s">
        <v>150</v>
      </c>
      <c r="K1320" s="5">
        <f>201 / 86400</f>
        <v>2.3263888888888887E-3</v>
      </c>
      <c r="L1320" s="5">
        <f>93 / 86400</f>
        <v>1.0763888888888889E-3</v>
      </c>
    </row>
    <row r="1321" spans="1:12" x14ac:dyDescent="0.25">
      <c r="A1321" s="3">
        <v>45706.207858796297</v>
      </c>
      <c r="B1321" t="s">
        <v>149</v>
      </c>
      <c r="C1321" s="3">
        <v>45706.383090277777</v>
      </c>
      <c r="D1321" t="s">
        <v>76</v>
      </c>
      <c r="E1321" s="4">
        <v>77.721000000000004</v>
      </c>
      <c r="F1321" s="4">
        <v>60805.798000000003</v>
      </c>
      <c r="G1321" s="4">
        <v>60883.519</v>
      </c>
      <c r="H1321" s="5">
        <f>4457 / 86400</f>
        <v>5.1585648148148151E-2</v>
      </c>
      <c r="I1321" t="s">
        <v>19</v>
      </c>
      <c r="J1321" t="s">
        <v>20</v>
      </c>
      <c r="K1321" s="5">
        <f>15140 / 86400</f>
        <v>0.17523148148148149</v>
      </c>
      <c r="L1321" s="5">
        <f>67 / 86400</f>
        <v>7.7546296296296293E-4</v>
      </c>
    </row>
    <row r="1322" spans="1:12" x14ac:dyDescent="0.25">
      <c r="A1322" s="3">
        <v>45706.38386574074</v>
      </c>
      <c r="B1322" t="s">
        <v>76</v>
      </c>
      <c r="C1322" s="3">
        <v>45706.385312500002</v>
      </c>
      <c r="D1322" t="s">
        <v>76</v>
      </c>
      <c r="E1322" s="4">
        <v>0.65800000000000003</v>
      </c>
      <c r="F1322" s="4">
        <v>60883.519</v>
      </c>
      <c r="G1322" s="4">
        <v>60884.177000000003</v>
      </c>
      <c r="H1322" s="5">
        <f>20 / 86400</f>
        <v>2.3148148148148149E-4</v>
      </c>
      <c r="I1322" t="s">
        <v>211</v>
      </c>
      <c r="J1322" t="s">
        <v>79</v>
      </c>
      <c r="K1322" s="5">
        <f>125 / 86400</f>
        <v>1.4467592592592592E-3</v>
      </c>
      <c r="L1322" s="5">
        <f>130 / 86400</f>
        <v>1.5046296296296296E-3</v>
      </c>
    </row>
    <row r="1323" spans="1:12" x14ac:dyDescent="0.25">
      <c r="A1323" s="3">
        <v>45706.386817129634</v>
      </c>
      <c r="B1323" t="s">
        <v>76</v>
      </c>
      <c r="C1323" s="3">
        <v>45706.47142361111</v>
      </c>
      <c r="D1323" t="s">
        <v>333</v>
      </c>
      <c r="E1323" s="4">
        <v>27.303000000000001</v>
      </c>
      <c r="F1323" s="4">
        <v>60884.177000000003</v>
      </c>
      <c r="G1323" s="4">
        <v>60911.48</v>
      </c>
      <c r="H1323" s="5">
        <f>2766 / 86400</f>
        <v>3.201388888888889E-2</v>
      </c>
      <c r="I1323" t="s">
        <v>37</v>
      </c>
      <c r="J1323" t="s">
        <v>44</v>
      </c>
      <c r="K1323" s="5">
        <f>7309 / 86400</f>
        <v>8.459490740740741E-2</v>
      </c>
      <c r="L1323" s="5">
        <f>196 / 86400</f>
        <v>2.2685185185185187E-3</v>
      </c>
    </row>
    <row r="1324" spans="1:12" x14ac:dyDescent="0.25">
      <c r="A1324" s="3">
        <v>45706.473692129628</v>
      </c>
      <c r="B1324" t="s">
        <v>333</v>
      </c>
      <c r="C1324" s="3">
        <v>45706.600150462968</v>
      </c>
      <c r="D1324" t="s">
        <v>149</v>
      </c>
      <c r="E1324" s="4">
        <v>52.003</v>
      </c>
      <c r="F1324" s="4">
        <v>60911.48</v>
      </c>
      <c r="G1324" s="4">
        <v>60963.483</v>
      </c>
      <c r="H1324" s="5">
        <f>3579 / 86400</f>
        <v>4.1423611111111112E-2</v>
      </c>
      <c r="I1324" t="s">
        <v>80</v>
      </c>
      <c r="J1324" t="s">
        <v>62</v>
      </c>
      <c r="K1324" s="5">
        <f>10925 / 86400</f>
        <v>0.12644675925925927</v>
      </c>
      <c r="L1324" s="5">
        <f>245 / 86400</f>
        <v>2.8356481481481483E-3</v>
      </c>
    </row>
    <row r="1325" spans="1:12" x14ac:dyDescent="0.25">
      <c r="A1325" s="3">
        <v>45706.602986111116</v>
      </c>
      <c r="B1325" t="s">
        <v>149</v>
      </c>
      <c r="C1325" s="3">
        <v>45706.603449074071</v>
      </c>
      <c r="D1325" t="s">
        <v>137</v>
      </c>
      <c r="E1325" s="4">
        <v>0.03</v>
      </c>
      <c r="F1325" s="4">
        <v>60963.483</v>
      </c>
      <c r="G1325" s="4">
        <v>60963.512999999999</v>
      </c>
      <c r="H1325" s="5">
        <f>0 / 86400</f>
        <v>0</v>
      </c>
      <c r="I1325" t="s">
        <v>150</v>
      </c>
      <c r="J1325" t="s">
        <v>170</v>
      </c>
      <c r="K1325" s="5">
        <f>39 / 86400</f>
        <v>4.5138888888888887E-4</v>
      </c>
      <c r="L1325" s="5">
        <f>320 / 86400</f>
        <v>3.7037037037037038E-3</v>
      </c>
    </row>
    <row r="1326" spans="1:12" x14ac:dyDescent="0.25">
      <c r="A1326" s="3">
        <v>45706.607152777782</v>
      </c>
      <c r="B1326" t="s">
        <v>137</v>
      </c>
      <c r="C1326" s="3">
        <v>45706.608136574076</v>
      </c>
      <c r="D1326" t="s">
        <v>137</v>
      </c>
      <c r="E1326" s="4">
        <v>0.13100000000000001</v>
      </c>
      <c r="F1326" s="4">
        <v>60963.512999999999</v>
      </c>
      <c r="G1326" s="4">
        <v>60963.644</v>
      </c>
      <c r="H1326" s="5">
        <f>0 / 86400</f>
        <v>0</v>
      </c>
      <c r="I1326" t="s">
        <v>171</v>
      </c>
      <c r="J1326" t="s">
        <v>32</v>
      </c>
      <c r="K1326" s="5">
        <f>84 / 86400</f>
        <v>9.7222222222222219E-4</v>
      </c>
      <c r="L1326" s="5">
        <f>380 / 86400</f>
        <v>4.3981481481481484E-3</v>
      </c>
    </row>
    <row r="1327" spans="1:12" x14ac:dyDescent="0.25">
      <c r="A1327" s="3">
        <v>45706.612534722226</v>
      </c>
      <c r="B1327" t="s">
        <v>137</v>
      </c>
      <c r="C1327" s="3">
        <v>45706.613981481481</v>
      </c>
      <c r="D1327" t="s">
        <v>137</v>
      </c>
      <c r="E1327" s="4">
        <v>9.8000000000000004E-2</v>
      </c>
      <c r="F1327" s="4">
        <v>60963.644</v>
      </c>
      <c r="G1327" s="4">
        <v>60963.741999999998</v>
      </c>
      <c r="H1327" s="5">
        <f>20 / 86400</f>
        <v>2.3148148148148149E-4</v>
      </c>
      <c r="I1327" t="s">
        <v>147</v>
      </c>
      <c r="J1327" t="s">
        <v>170</v>
      </c>
      <c r="K1327" s="5">
        <f>124 / 86400</f>
        <v>1.4351851851851852E-3</v>
      </c>
      <c r="L1327" s="5">
        <f>395 / 86400</f>
        <v>4.5717592592592589E-3</v>
      </c>
    </row>
    <row r="1328" spans="1:12" x14ac:dyDescent="0.25">
      <c r="A1328" s="3">
        <v>45706.61855324074</v>
      </c>
      <c r="B1328" t="s">
        <v>137</v>
      </c>
      <c r="C1328" s="3">
        <v>45706.620254629626</v>
      </c>
      <c r="D1328" t="s">
        <v>118</v>
      </c>
      <c r="E1328" s="4">
        <v>0.184</v>
      </c>
      <c r="F1328" s="4">
        <v>60963.741999999998</v>
      </c>
      <c r="G1328" s="4">
        <v>60963.925999999999</v>
      </c>
      <c r="H1328" s="5">
        <f>20 / 86400</f>
        <v>2.3148148148148149E-4</v>
      </c>
      <c r="I1328" t="s">
        <v>147</v>
      </c>
      <c r="J1328" t="s">
        <v>50</v>
      </c>
      <c r="K1328" s="5">
        <f>147 / 86400</f>
        <v>1.7013888888888888E-3</v>
      </c>
      <c r="L1328" s="5">
        <f>66 / 86400</f>
        <v>7.6388888888888893E-4</v>
      </c>
    </row>
    <row r="1329" spans="1:12" x14ac:dyDescent="0.25">
      <c r="A1329" s="3">
        <v>45706.621018518519</v>
      </c>
      <c r="B1329" t="s">
        <v>118</v>
      </c>
      <c r="C1329" s="3">
        <v>45706.622094907405</v>
      </c>
      <c r="D1329" t="s">
        <v>118</v>
      </c>
      <c r="E1329" s="4">
        <v>3.6999999999999998E-2</v>
      </c>
      <c r="F1329" s="4">
        <v>60963.925999999999</v>
      </c>
      <c r="G1329" s="4">
        <v>60963.963000000003</v>
      </c>
      <c r="H1329" s="5">
        <f>20 / 86400</f>
        <v>2.3148148148148149E-4</v>
      </c>
      <c r="I1329" t="s">
        <v>127</v>
      </c>
      <c r="J1329" t="s">
        <v>163</v>
      </c>
      <c r="K1329" s="5">
        <f>92 / 86400</f>
        <v>1.0648148148148149E-3</v>
      </c>
      <c r="L1329" s="5">
        <f>10655 / 86400</f>
        <v>0.12332175925925926</v>
      </c>
    </row>
    <row r="1330" spans="1:12" x14ac:dyDescent="0.25">
      <c r="A1330" s="3">
        <v>45706.745416666672</v>
      </c>
      <c r="B1330" t="s">
        <v>118</v>
      </c>
      <c r="C1330" s="3">
        <v>45706.746770833328</v>
      </c>
      <c r="D1330" t="s">
        <v>118</v>
      </c>
      <c r="E1330" s="4">
        <v>0.04</v>
      </c>
      <c r="F1330" s="4">
        <v>60963.963000000003</v>
      </c>
      <c r="G1330" s="4">
        <v>60964.002999999997</v>
      </c>
      <c r="H1330" s="5">
        <f>79 / 86400</f>
        <v>9.1435185185185185E-4</v>
      </c>
      <c r="I1330" t="s">
        <v>50</v>
      </c>
      <c r="J1330" t="s">
        <v>163</v>
      </c>
      <c r="K1330" s="5">
        <f>117 / 86400</f>
        <v>1.3541666666666667E-3</v>
      </c>
      <c r="L1330" s="5">
        <f>202 / 86400</f>
        <v>2.3379629629629631E-3</v>
      </c>
    </row>
    <row r="1331" spans="1:12" x14ac:dyDescent="0.25">
      <c r="A1331" s="3">
        <v>45706.749108796299</v>
      </c>
      <c r="B1331" t="s">
        <v>118</v>
      </c>
      <c r="C1331" s="3">
        <v>45706.922546296293</v>
      </c>
      <c r="D1331" t="s">
        <v>367</v>
      </c>
      <c r="E1331" s="4">
        <v>77.552999999999997</v>
      </c>
      <c r="F1331" s="4">
        <v>60964.002999999997</v>
      </c>
      <c r="G1331" s="4">
        <v>61041.555999999997</v>
      </c>
      <c r="H1331" s="5">
        <f>5400 / 86400</f>
        <v>6.25E-2</v>
      </c>
      <c r="I1331" t="s">
        <v>30</v>
      </c>
      <c r="J1331" t="s">
        <v>79</v>
      </c>
      <c r="K1331" s="5">
        <f>14985 / 86400</f>
        <v>0.17343749999999999</v>
      </c>
      <c r="L1331" s="5">
        <f>527 / 86400</f>
        <v>6.099537037037037E-3</v>
      </c>
    </row>
    <row r="1332" spans="1:12" x14ac:dyDescent="0.25">
      <c r="A1332" s="3">
        <v>45706.928645833337</v>
      </c>
      <c r="B1332" t="s">
        <v>367</v>
      </c>
      <c r="C1332" s="3">
        <v>45706.933368055557</v>
      </c>
      <c r="D1332" t="s">
        <v>118</v>
      </c>
      <c r="E1332" s="4">
        <v>1.0369999999999999</v>
      </c>
      <c r="F1332" s="4">
        <v>61041.555999999997</v>
      </c>
      <c r="G1332" s="4">
        <v>61042.593000000001</v>
      </c>
      <c r="H1332" s="5">
        <f>159 / 86400</f>
        <v>1.8402777777777777E-3</v>
      </c>
      <c r="I1332" t="s">
        <v>135</v>
      </c>
      <c r="J1332" t="s">
        <v>171</v>
      </c>
      <c r="K1332" s="5">
        <f>407 / 86400</f>
        <v>4.7106481481481478E-3</v>
      </c>
      <c r="L1332" s="5">
        <f>945 / 86400</f>
        <v>1.0937499999999999E-2</v>
      </c>
    </row>
    <row r="1333" spans="1:12" x14ac:dyDescent="0.25">
      <c r="A1333" s="3">
        <v>45706.94430555556</v>
      </c>
      <c r="B1333" t="s">
        <v>118</v>
      </c>
      <c r="C1333" s="3">
        <v>45706.94599537037</v>
      </c>
      <c r="D1333" t="s">
        <v>118</v>
      </c>
      <c r="E1333" s="4">
        <v>3.7999999999999999E-2</v>
      </c>
      <c r="F1333" s="4">
        <v>61042.593000000001</v>
      </c>
      <c r="G1333" s="4">
        <v>61042.631000000001</v>
      </c>
      <c r="H1333" s="5">
        <f>139 / 86400</f>
        <v>1.6087962962962963E-3</v>
      </c>
      <c r="I1333" t="s">
        <v>82</v>
      </c>
      <c r="J1333" t="s">
        <v>163</v>
      </c>
      <c r="K1333" s="5">
        <f>146 / 86400</f>
        <v>1.6898148148148148E-3</v>
      </c>
      <c r="L1333" s="5">
        <f>4665 / 86400</f>
        <v>5.3993055555555558E-2</v>
      </c>
    </row>
    <row r="1334" spans="1:12" x14ac:dyDescent="0.25">
      <c r="A1334" s="12"/>
      <c r="B1334" s="12"/>
      <c r="C1334" s="12"/>
      <c r="D1334" s="12"/>
      <c r="E1334" s="12"/>
      <c r="F1334" s="12"/>
      <c r="G1334" s="12"/>
      <c r="H1334" s="12"/>
      <c r="I1334" s="12"/>
      <c r="J1334" s="12"/>
    </row>
    <row r="1335" spans="1:12" x14ac:dyDescent="0.25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</row>
    <row r="1336" spans="1:12" s="10" customFormat="1" ht="20.100000000000001" customHeight="1" x14ac:dyDescent="0.35">
      <c r="A1336" s="15" t="s">
        <v>516</v>
      </c>
      <c r="B1336" s="15"/>
      <c r="C1336" s="15"/>
      <c r="D1336" s="15"/>
      <c r="E1336" s="15"/>
      <c r="F1336" s="15"/>
      <c r="G1336" s="15"/>
      <c r="H1336" s="15"/>
      <c r="I1336" s="15"/>
      <c r="J1336" s="15"/>
    </row>
    <row r="1337" spans="1:12" x14ac:dyDescent="0.25">
      <c r="A1337" s="12"/>
      <c r="B1337" s="12"/>
      <c r="C1337" s="12"/>
      <c r="D1337" s="12"/>
      <c r="E1337" s="12"/>
      <c r="F1337" s="12"/>
      <c r="G1337" s="12"/>
      <c r="H1337" s="12"/>
      <c r="I1337" s="12"/>
      <c r="J1337" s="12"/>
    </row>
    <row r="1338" spans="1:12" ht="30" x14ac:dyDescent="0.25">
      <c r="A1338" s="2" t="s">
        <v>6</v>
      </c>
      <c r="B1338" s="2" t="s">
        <v>7</v>
      </c>
      <c r="C1338" s="2" t="s">
        <v>8</v>
      </c>
      <c r="D1338" s="2" t="s">
        <v>9</v>
      </c>
      <c r="E1338" s="2" t="s">
        <v>10</v>
      </c>
      <c r="F1338" s="2" t="s">
        <v>11</v>
      </c>
      <c r="G1338" s="2" t="s">
        <v>12</v>
      </c>
      <c r="H1338" s="2" t="s">
        <v>13</v>
      </c>
      <c r="I1338" s="2" t="s">
        <v>14</v>
      </c>
      <c r="J1338" s="2" t="s">
        <v>15</v>
      </c>
      <c r="K1338" s="2" t="s">
        <v>16</v>
      </c>
      <c r="L1338" s="2" t="s">
        <v>17</v>
      </c>
    </row>
    <row r="1339" spans="1:12" x14ac:dyDescent="0.25">
      <c r="A1339" s="3">
        <v>45706.011041666672</v>
      </c>
      <c r="B1339" t="s">
        <v>119</v>
      </c>
      <c r="C1339" s="3">
        <v>45706.025636574079</v>
      </c>
      <c r="D1339" t="s">
        <v>122</v>
      </c>
      <c r="E1339" s="4">
        <v>5.7359999999999998</v>
      </c>
      <c r="F1339" s="4">
        <v>64510.027999999998</v>
      </c>
      <c r="G1339" s="4">
        <v>64515.764000000003</v>
      </c>
      <c r="H1339" s="5">
        <f>358 / 86400</f>
        <v>4.1435185185185186E-3</v>
      </c>
      <c r="I1339" t="s">
        <v>165</v>
      </c>
      <c r="J1339" t="s">
        <v>28</v>
      </c>
      <c r="K1339" s="5">
        <f>1260 / 86400</f>
        <v>1.4583333333333334E-2</v>
      </c>
      <c r="L1339" s="5">
        <f>11970 / 86400</f>
        <v>0.13854166666666667</v>
      </c>
    </row>
    <row r="1340" spans="1:12" x14ac:dyDescent="0.25">
      <c r="A1340" s="3">
        <v>45706.153136574074</v>
      </c>
      <c r="B1340" t="s">
        <v>122</v>
      </c>
      <c r="C1340" s="3">
        <v>45706.617037037038</v>
      </c>
      <c r="D1340" t="s">
        <v>122</v>
      </c>
      <c r="E1340" s="4">
        <v>205.30199999999999</v>
      </c>
      <c r="F1340" s="4">
        <v>64515.764000000003</v>
      </c>
      <c r="G1340" s="4">
        <v>64721.065999999999</v>
      </c>
      <c r="H1340" s="5">
        <f>13966 / 86400</f>
        <v>0.16164351851851852</v>
      </c>
      <c r="I1340" t="s">
        <v>121</v>
      </c>
      <c r="J1340" t="s">
        <v>20</v>
      </c>
      <c r="K1340" s="5">
        <f>40081 / 86400</f>
        <v>0.46390046296296295</v>
      </c>
      <c r="L1340" s="5">
        <f>303 / 86400</f>
        <v>3.5069444444444445E-3</v>
      </c>
    </row>
    <row r="1341" spans="1:12" x14ac:dyDescent="0.25">
      <c r="A1341" s="3">
        <v>45706.62054398148</v>
      </c>
      <c r="B1341" t="s">
        <v>122</v>
      </c>
      <c r="C1341" s="3">
        <v>45706.70112268519</v>
      </c>
      <c r="D1341" t="s">
        <v>455</v>
      </c>
      <c r="E1341" s="4">
        <v>32.076000000000001</v>
      </c>
      <c r="F1341" s="4">
        <v>64721.065999999999</v>
      </c>
      <c r="G1341" s="4">
        <v>64753.142</v>
      </c>
      <c r="H1341" s="5">
        <f>2899 / 86400</f>
        <v>3.3553240740740738E-2</v>
      </c>
      <c r="I1341" t="s">
        <v>33</v>
      </c>
      <c r="J1341" t="s">
        <v>62</v>
      </c>
      <c r="K1341" s="5">
        <f>6961 / 86400</f>
        <v>8.0567129629629627E-2</v>
      </c>
      <c r="L1341" s="5">
        <f>77 / 86400</f>
        <v>8.9120370370370373E-4</v>
      </c>
    </row>
    <row r="1342" spans="1:12" x14ac:dyDescent="0.25">
      <c r="A1342" s="3">
        <v>45706.702013888891</v>
      </c>
      <c r="B1342" t="s">
        <v>455</v>
      </c>
      <c r="C1342" s="3">
        <v>45706.987199074079</v>
      </c>
      <c r="D1342" t="s">
        <v>46</v>
      </c>
      <c r="E1342" s="4">
        <v>126.54600000000001</v>
      </c>
      <c r="F1342" s="4">
        <v>64753.142</v>
      </c>
      <c r="G1342" s="4">
        <v>64879.688000000002</v>
      </c>
      <c r="H1342" s="5">
        <f>8941 / 86400</f>
        <v>0.1034837962962963</v>
      </c>
      <c r="I1342" t="s">
        <v>19</v>
      </c>
      <c r="J1342" t="s">
        <v>20</v>
      </c>
      <c r="K1342" s="5">
        <f>24640 / 86400</f>
        <v>0.28518518518518521</v>
      </c>
      <c r="L1342" s="5">
        <f>937 / 86400</f>
        <v>1.0844907407407407E-2</v>
      </c>
    </row>
    <row r="1343" spans="1:12" x14ac:dyDescent="0.25">
      <c r="A1343" s="3">
        <v>45706.998043981483</v>
      </c>
      <c r="B1343" t="s">
        <v>46</v>
      </c>
      <c r="C1343" s="3">
        <v>45706.99998842593</v>
      </c>
      <c r="D1343" t="s">
        <v>120</v>
      </c>
      <c r="E1343" s="4">
        <v>0.56200000000000006</v>
      </c>
      <c r="F1343" s="4">
        <v>64879.688000000002</v>
      </c>
      <c r="G1343" s="4">
        <v>64880.25</v>
      </c>
      <c r="H1343" s="5">
        <f>39 / 86400</f>
        <v>4.5138888888888887E-4</v>
      </c>
      <c r="I1343" t="s">
        <v>158</v>
      </c>
      <c r="J1343" t="s">
        <v>25</v>
      </c>
      <c r="K1343" s="5">
        <f>168 / 86400</f>
        <v>1.9444444444444444E-3</v>
      </c>
      <c r="L1343" s="5">
        <f>0 / 86400</f>
        <v>0</v>
      </c>
    </row>
    <row r="1344" spans="1:12" x14ac:dyDescent="0.25">
      <c r="A1344" s="12"/>
      <c r="B1344" s="12"/>
      <c r="C1344" s="12"/>
      <c r="D1344" s="12"/>
      <c r="E1344" s="12"/>
      <c r="F1344" s="12"/>
      <c r="G1344" s="12"/>
      <c r="H1344" s="12"/>
      <c r="I1344" s="12"/>
      <c r="J1344" s="12"/>
    </row>
    <row r="1345" spans="1:12" x14ac:dyDescent="0.25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</row>
    <row r="1346" spans="1:12" s="10" customFormat="1" ht="20.100000000000001" customHeight="1" x14ac:dyDescent="0.35">
      <c r="A1346" s="15" t="s">
        <v>517</v>
      </c>
      <c r="B1346" s="15"/>
      <c r="C1346" s="15"/>
      <c r="D1346" s="15"/>
      <c r="E1346" s="15"/>
      <c r="F1346" s="15"/>
      <c r="G1346" s="15"/>
      <c r="H1346" s="15"/>
      <c r="I1346" s="15"/>
      <c r="J1346" s="15"/>
    </row>
    <row r="1347" spans="1:12" x14ac:dyDescent="0.25">
      <c r="A1347" s="12"/>
      <c r="B1347" s="12"/>
      <c r="C1347" s="12"/>
      <c r="D1347" s="12"/>
      <c r="E1347" s="12"/>
      <c r="F1347" s="12"/>
      <c r="G1347" s="12"/>
      <c r="H1347" s="12"/>
      <c r="I1347" s="12"/>
      <c r="J1347" s="12"/>
    </row>
    <row r="1348" spans="1:12" ht="30" x14ac:dyDescent="0.25">
      <c r="A1348" s="2" t="s">
        <v>6</v>
      </c>
      <c r="B1348" s="2" t="s">
        <v>7</v>
      </c>
      <c r="C1348" s="2" t="s">
        <v>8</v>
      </c>
      <c r="D1348" s="2" t="s">
        <v>9</v>
      </c>
      <c r="E1348" s="2" t="s">
        <v>10</v>
      </c>
      <c r="F1348" s="2" t="s">
        <v>11</v>
      </c>
      <c r="G1348" s="2" t="s">
        <v>12</v>
      </c>
      <c r="H1348" s="2" t="s">
        <v>13</v>
      </c>
      <c r="I1348" s="2" t="s">
        <v>14</v>
      </c>
      <c r="J1348" s="2" t="s">
        <v>15</v>
      </c>
      <c r="K1348" s="2" t="s">
        <v>16</v>
      </c>
      <c r="L1348" s="2" t="s">
        <v>17</v>
      </c>
    </row>
    <row r="1349" spans="1:12" x14ac:dyDescent="0.25">
      <c r="A1349" s="3">
        <v>45706.057638888888</v>
      </c>
      <c r="B1349" t="s">
        <v>122</v>
      </c>
      <c r="C1349" s="3">
        <v>45706.059687500005</v>
      </c>
      <c r="D1349" t="s">
        <v>122</v>
      </c>
      <c r="E1349" s="4">
        <v>5.2999999999999999E-2</v>
      </c>
      <c r="F1349" s="4">
        <v>292755.84100000001</v>
      </c>
      <c r="G1349" s="4">
        <v>292755.89399999997</v>
      </c>
      <c r="H1349" s="5">
        <f>120 / 86400</f>
        <v>1.3888888888888889E-3</v>
      </c>
      <c r="I1349" t="s">
        <v>32</v>
      </c>
      <c r="J1349" t="s">
        <v>163</v>
      </c>
      <c r="K1349" s="5">
        <f>176 / 86400</f>
        <v>2.0370370370370369E-3</v>
      </c>
      <c r="L1349" s="5">
        <f>21377 / 86400</f>
        <v>0.24741898148148148</v>
      </c>
    </row>
    <row r="1350" spans="1:12" x14ac:dyDescent="0.25">
      <c r="A1350" s="3">
        <v>45706.249467592592</v>
      </c>
      <c r="B1350" t="s">
        <v>122</v>
      </c>
      <c r="C1350" s="3">
        <v>45706.89162037037</v>
      </c>
      <c r="D1350" t="s">
        <v>122</v>
      </c>
      <c r="E1350" s="4">
        <v>206.70500000000001</v>
      </c>
      <c r="F1350" s="4">
        <v>292755.89399999997</v>
      </c>
      <c r="G1350" s="4">
        <v>292962.59899999999</v>
      </c>
      <c r="H1350" s="5">
        <f>24241 / 86400</f>
        <v>0.28056712962962965</v>
      </c>
      <c r="I1350" t="s">
        <v>123</v>
      </c>
      <c r="J1350" t="s">
        <v>44</v>
      </c>
      <c r="K1350" s="5">
        <f>55482 / 86400</f>
        <v>0.64215277777777779</v>
      </c>
      <c r="L1350" s="5">
        <f>9363 / 86400</f>
        <v>0.10836805555555555</v>
      </c>
    </row>
    <row r="1351" spans="1:12" x14ac:dyDescent="0.25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</row>
    <row r="1352" spans="1:12" x14ac:dyDescent="0.25">
      <c r="A1352" s="12" t="s">
        <v>125</v>
      </c>
      <c r="B1352" s="12"/>
      <c r="C1352" s="12"/>
      <c r="D1352" s="12"/>
      <c r="E1352" s="12"/>
      <c r="F1352" s="12"/>
      <c r="G1352" s="12"/>
      <c r="H1352" s="12"/>
      <c r="I1352" s="12"/>
      <c r="J1352" s="12"/>
    </row>
  </sheetData>
  <mergeCells count="258">
    <mergeCell ref="A1337:J1337"/>
    <mergeCell ref="A1344:J1344"/>
    <mergeCell ref="A1345:J1345"/>
    <mergeCell ref="A1346:J1346"/>
    <mergeCell ref="A1347:J1347"/>
    <mergeCell ref="A1351:J1351"/>
    <mergeCell ref="A1352:J1352"/>
    <mergeCell ref="A1280:J1280"/>
    <mergeCell ref="A1281:J1281"/>
    <mergeCell ref="A1312:J1312"/>
    <mergeCell ref="A1313:J1313"/>
    <mergeCell ref="A1314:J1314"/>
    <mergeCell ref="A1315:J1315"/>
    <mergeCell ref="A1334:J1334"/>
    <mergeCell ref="A1335:J1335"/>
    <mergeCell ref="A1336:J1336"/>
    <mergeCell ref="A1251:J1251"/>
    <mergeCell ref="A1252:J1252"/>
    <mergeCell ref="A1253:J1253"/>
    <mergeCell ref="A1265:J1265"/>
    <mergeCell ref="A1266:J1266"/>
    <mergeCell ref="A1267:J1267"/>
    <mergeCell ref="A1268:J1268"/>
    <mergeCell ref="A1278:J1278"/>
    <mergeCell ref="A1279:J1279"/>
    <mergeCell ref="A1231:J1231"/>
    <mergeCell ref="A1232:J1232"/>
    <mergeCell ref="A1233:J1233"/>
    <mergeCell ref="A1234:J1234"/>
    <mergeCell ref="A1241:J1241"/>
    <mergeCell ref="A1242:J1242"/>
    <mergeCell ref="A1243:J1243"/>
    <mergeCell ref="A1244:J1244"/>
    <mergeCell ref="A1250:J1250"/>
    <mergeCell ref="A1200:J1200"/>
    <mergeCell ref="A1205:J1205"/>
    <mergeCell ref="A1206:J1206"/>
    <mergeCell ref="A1207:J1207"/>
    <mergeCell ref="A1208:J1208"/>
    <mergeCell ref="A1215:J1215"/>
    <mergeCell ref="A1216:J1216"/>
    <mergeCell ref="A1217:J1217"/>
    <mergeCell ref="A1218:J1218"/>
    <mergeCell ref="A1169:J1169"/>
    <mergeCell ref="A1170:J1170"/>
    <mergeCell ref="A1185:J1185"/>
    <mergeCell ref="A1186:J1186"/>
    <mergeCell ref="A1187:J1187"/>
    <mergeCell ref="A1188:J1188"/>
    <mergeCell ref="A1197:J1197"/>
    <mergeCell ref="A1198:J1198"/>
    <mergeCell ref="A1199:J1199"/>
    <mergeCell ref="A1142:J1142"/>
    <mergeCell ref="A1143:J1143"/>
    <mergeCell ref="A1144:J1144"/>
    <mergeCell ref="A1155:J1155"/>
    <mergeCell ref="A1156:J1156"/>
    <mergeCell ref="A1157:J1157"/>
    <mergeCell ref="A1158:J1158"/>
    <mergeCell ref="A1167:J1167"/>
    <mergeCell ref="A1168:J1168"/>
    <mergeCell ref="A1113:J1113"/>
    <mergeCell ref="A1114:J1114"/>
    <mergeCell ref="A1115:J1115"/>
    <mergeCell ref="A1116:J1116"/>
    <mergeCell ref="A1130:J1130"/>
    <mergeCell ref="A1131:J1131"/>
    <mergeCell ref="A1132:J1132"/>
    <mergeCell ref="A1133:J1133"/>
    <mergeCell ref="A1141:J1141"/>
    <mergeCell ref="A1074:J1074"/>
    <mergeCell ref="A1085:J1085"/>
    <mergeCell ref="A1086:J1086"/>
    <mergeCell ref="A1087:J1087"/>
    <mergeCell ref="A1088:J1088"/>
    <mergeCell ref="A1102:J1102"/>
    <mergeCell ref="A1103:J1103"/>
    <mergeCell ref="A1104:J1104"/>
    <mergeCell ref="A1105:J1105"/>
    <mergeCell ref="A1045:J1045"/>
    <mergeCell ref="A1046:J1046"/>
    <mergeCell ref="A1052:J1052"/>
    <mergeCell ref="A1053:J1053"/>
    <mergeCell ref="A1054:J1054"/>
    <mergeCell ref="A1055:J1055"/>
    <mergeCell ref="A1071:J1071"/>
    <mergeCell ref="A1072:J1072"/>
    <mergeCell ref="A1073:J1073"/>
    <mergeCell ref="A1012:J1012"/>
    <mergeCell ref="A1013:J1013"/>
    <mergeCell ref="A1014:J1014"/>
    <mergeCell ref="A1032:J1032"/>
    <mergeCell ref="A1033:J1033"/>
    <mergeCell ref="A1034:J1034"/>
    <mergeCell ref="A1035:J1035"/>
    <mergeCell ref="A1043:J1043"/>
    <mergeCell ref="A1044:J1044"/>
    <mergeCell ref="A973:J973"/>
    <mergeCell ref="A974:J974"/>
    <mergeCell ref="A975:J975"/>
    <mergeCell ref="A976:J976"/>
    <mergeCell ref="A986:J986"/>
    <mergeCell ref="A987:J987"/>
    <mergeCell ref="A988:J988"/>
    <mergeCell ref="A989:J989"/>
    <mergeCell ref="A1011:J1011"/>
    <mergeCell ref="A932:J932"/>
    <mergeCell ref="A951:J951"/>
    <mergeCell ref="A952:J952"/>
    <mergeCell ref="A953:J953"/>
    <mergeCell ref="A954:J954"/>
    <mergeCell ref="A961:J961"/>
    <mergeCell ref="A962:J962"/>
    <mergeCell ref="A963:J963"/>
    <mergeCell ref="A964:J964"/>
    <mergeCell ref="A904:J904"/>
    <mergeCell ref="A905:J905"/>
    <mergeCell ref="A923:J923"/>
    <mergeCell ref="A924:J924"/>
    <mergeCell ref="A925:J925"/>
    <mergeCell ref="A926:J926"/>
    <mergeCell ref="A929:J929"/>
    <mergeCell ref="A930:J930"/>
    <mergeCell ref="A931:J931"/>
    <mergeCell ref="A882:J882"/>
    <mergeCell ref="A883:J883"/>
    <mergeCell ref="A884:J884"/>
    <mergeCell ref="A895:J895"/>
    <mergeCell ref="A896:J896"/>
    <mergeCell ref="A897:J897"/>
    <mergeCell ref="A898:J898"/>
    <mergeCell ref="A902:J902"/>
    <mergeCell ref="A903:J903"/>
    <mergeCell ref="A847:J847"/>
    <mergeCell ref="A848:J848"/>
    <mergeCell ref="A849:J849"/>
    <mergeCell ref="A850:J850"/>
    <mergeCell ref="A862:J862"/>
    <mergeCell ref="A863:J863"/>
    <mergeCell ref="A864:J864"/>
    <mergeCell ref="A865:J865"/>
    <mergeCell ref="A881:J881"/>
    <mergeCell ref="A817:J817"/>
    <mergeCell ref="A827:J827"/>
    <mergeCell ref="A828:J828"/>
    <mergeCell ref="A829:J829"/>
    <mergeCell ref="A830:J830"/>
    <mergeCell ref="A835:J835"/>
    <mergeCell ref="A836:J836"/>
    <mergeCell ref="A837:J837"/>
    <mergeCell ref="A838:J838"/>
    <mergeCell ref="A781:J781"/>
    <mergeCell ref="A782:J782"/>
    <mergeCell ref="A799:J799"/>
    <mergeCell ref="A800:J800"/>
    <mergeCell ref="A801:J801"/>
    <mergeCell ref="A802:J802"/>
    <mergeCell ref="A814:J814"/>
    <mergeCell ref="A815:J815"/>
    <mergeCell ref="A816:J816"/>
    <mergeCell ref="A753:J753"/>
    <mergeCell ref="A754:J754"/>
    <mergeCell ref="A755:J755"/>
    <mergeCell ref="A768:J768"/>
    <mergeCell ref="A769:J769"/>
    <mergeCell ref="A770:J770"/>
    <mergeCell ref="A771:J771"/>
    <mergeCell ref="A779:J779"/>
    <mergeCell ref="A780:J780"/>
    <mergeCell ref="A729:J729"/>
    <mergeCell ref="A730:J730"/>
    <mergeCell ref="A731:J731"/>
    <mergeCell ref="A732:J732"/>
    <mergeCell ref="A740:J740"/>
    <mergeCell ref="A741:J741"/>
    <mergeCell ref="A742:J742"/>
    <mergeCell ref="A743:J743"/>
    <mergeCell ref="A752:J752"/>
    <mergeCell ref="A680:J680"/>
    <mergeCell ref="A692:J692"/>
    <mergeCell ref="A693:J693"/>
    <mergeCell ref="A694:J694"/>
    <mergeCell ref="A695:J695"/>
    <mergeCell ref="A709:J709"/>
    <mergeCell ref="A710:J710"/>
    <mergeCell ref="A711:J711"/>
    <mergeCell ref="A712:J712"/>
    <mergeCell ref="A625:J625"/>
    <mergeCell ref="A626:J626"/>
    <mergeCell ref="A647:J647"/>
    <mergeCell ref="A648:J648"/>
    <mergeCell ref="A649:J649"/>
    <mergeCell ref="A650:J650"/>
    <mergeCell ref="A677:J677"/>
    <mergeCell ref="A678:J678"/>
    <mergeCell ref="A679:J679"/>
    <mergeCell ref="A592:J592"/>
    <mergeCell ref="A593:J593"/>
    <mergeCell ref="A594:J594"/>
    <mergeCell ref="A604:J604"/>
    <mergeCell ref="A605:J605"/>
    <mergeCell ref="A606:J606"/>
    <mergeCell ref="A607:J607"/>
    <mergeCell ref="A623:J623"/>
    <mergeCell ref="A624:J624"/>
    <mergeCell ref="A562:J562"/>
    <mergeCell ref="A563:J563"/>
    <mergeCell ref="A564:J564"/>
    <mergeCell ref="A565:J565"/>
    <mergeCell ref="A577:J577"/>
    <mergeCell ref="A578:J578"/>
    <mergeCell ref="A579:J579"/>
    <mergeCell ref="A580:J580"/>
    <mergeCell ref="A591:J591"/>
    <mergeCell ref="A166:J166"/>
    <mergeCell ref="A183:J183"/>
    <mergeCell ref="A184:J184"/>
    <mergeCell ref="A185:J185"/>
    <mergeCell ref="A186:J186"/>
    <mergeCell ref="A553:J553"/>
    <mergeCell ref="A554:J554"/>
    <mergeCell ref="A555:J555"/>
    <mergeCell ref="A556:J556"/>
    <mergeCell ref="A129:J129"/>
    <mergeCell ref="A130:J130"/>
    <mergeCell ref="A147:J147"/>
    <mergeCell ref="A148:J148"/>
    <mergeCell ref="A149:J149"/>
    <mergeCell ref="A150:J150"/>
    <mergeCell ref="A163:J163"/>
    <mergeCell ref="A164:J164"/>
    <mergeCell ref="A165:J165"/>
    <mergeCell ref="A107:J107"/>
    <mergeCell ref="A108:J108"/>
    <mergeCell ref="A109:J109"/>
    <mergeCell ref="A113:J113"/>
    <mergeCell ref="A114:J114"/>
    <mergeCell ref="A115:J115"/>
    <mergeCell ref="A116:J116"/>
    <mergeCell ref="A127:J127"/>
    <mergeCell ref="A128:J128"/>
    <mergeCell ref="A73:J73"/>
    <mergeCell ref="A74:J74"/>
    <mergeCell ref="A75:J75"/>
    <mergeCell ref="A76:J76"/>
    <mergeCell ref="A94:J94"/>
    <mergeCell ref="A95:J95"/>
    <mergeCell ref="A96:J96"/>
    <mergeCell ref="A97:J97"/>
    <mergeCell ref="A106:J106"/>
    <mergeCell ref="A1:J1"/>
    <mergeCell ref="A2:J2"/>
    <mergeCell ref="A3:J3"/>
    <mergeCell ref="A4:J4"/>
    <mergeCell ref="A5:J5"/>
    <mergeCell ref="A6:J6"/>
    <mergeCell ref="A71:J71"/>
    <mergeCell ref="A72:J72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2025-09-22T19:52:45Z</dcterms:created>
  <dcterms:modified xsi:type="dcterms:W3CDTF">2025-09-23T05:36:58Z</dcterms:modified>
</cp:coreProperties>
</file>