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7C7C08E4-8359-4D60-962B-B4561284279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336" i="1" l="1"/>
  <c r="K1336" i="1"/>
  <c r="H1336" i="1"/>
  <c r="L1335" i="1"/>
  <c r="K1335" i="1"/>
  <c r="H1335" i="1"/>
  <c r="L1329" i="1"/>
  <c r="K1329" i="1"/>
  <c r="H1329" i="1"/>
  <c r="L1328" i="1"/>
  <c r="K1328" i="1"/>
  <c r="H1328" i="1"/>
  <c r="L1327" i="1"/>
  <c r="K1327" i="1"/>
  <c r="H1327" i="1"/>
  <c r="L1326" i="1"/>
  <c r="K1326" i="1"/>
  <c r="H1326" i="1"/>
  <c r="L1325" i="1"/>
  <c r="K1325" i="1"/>
  <c r="H1325" i="1"/>
  <c r="L1319" i="1"/>
  <c r="K1319" i="1"/>
  <c r="H1319" i="1"/>
  <c r="L1318" i="1"/>
  <c r="K1318" i="1"/>
  <c r="H1318" i="1"/>
  <c r="L1317" i="1"/>
  <c r="K1317" i="1"/>
  <c r="H1317" i="1"/>
  <c r="L1316" i="1"/>
  <c r="K1316" i="1"/>
  <c r="H1316" i="1"/>
  <c r="L1315" i="1"/>
  <c r="K1315" i="1"/>
  <c r="H1315" i="1"/>
  <c r="L1314" i="1"/>
  <c r="K1314" i="1"/>
  <c r="H1314" i="1"/>
  <c r="L1313" i="1"/>
  <c r="K1313" i="1"/>
  <c r="H1313" i="1"/>
  <c r="L1312" i="1"/>
  <c r="K1312" i="1"/>
  <c r="H1312" i="1"/>
  <c r="L1311" i="1"/>
  <c r="K1311" i="1"/>
  <c r="H1311" i="1"/>
  <c r="L1310" i="1"/>
  <c r="K1310" i="1"/>
  <c r="H1310" i="1"/>
  <c r="L1309" i="1"/>
  <c r="K1309" i="1"/>
  <c r="H1309" i="1"/>
  <c r="L1308" i="1"/>
  <c r="K1308" i="1"/>
  <c r="H1308" i="1"/>
  <c r="L1307" i="1"/>
  <c r="K1307" i="1"/>
  <c r="H1307" i="1"/>
  <c r="L1306" i="1"/>
  <c r="K1306" i="1"/>
  <c r="H1306" i="1"/>
  <c r="L1305" i="1"/>
  <c r="K1305" i="1"/>
  <c r="H1305" i="1"/>
  <c r="L1304" i="1"/>
  <c r="K1304" i="1"/>
  <c r="H1304" i="1"/>
  <c r="L1303" i="1"/>
  <c r="K1303" i="1"/>
  <c r="H1303" i="1"/>
  <c r="L1302" i="1"/>
  <c r="K1302" i="1"/>
  <c r="H1302" i="1"/>
  <c r="L1301" i="1"/>
  <c r="K1301" i="1"/>
  <c r="H1301" i="1"/>
  <c r="L1300" i="1"/>
  <c r="K1300" i="1"/>
  <c r="H1300" i="1"/>
  <c r="L1299" i="1"/>
  <c r="K1299" i="1"/>
  <c r="H1299" i="1"/>
  <c r="L1298" i="1"/>
  <c r="K1298" i="1"/>
  <c r="H1298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6" i="1"/>
  <c r="K1286" i="1"/>
  <c r="H1286" i="1"/>
  <c r="L1285" i="1"/>
  <c r="K1285" i="1"/>
  <c r="H1285" i="1"/>
  <c r="L1279" i="1"/>
  <c r="K1279" i="1"/>
  <c r="H1279" i="1"/>
  <c r="L1278" i="1"/>
  <c r="K1278" i="1"/>
  <c r="H1278" i="1"/>
  <c r="L1277" i="1"/>
  <c r="K1277" i="1"/>
  <c r="H1277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65" i="1"/>
  <c r="K1265" i="1"/>
  <c r="H1265" i="1"/>
  <c r="L1264" i="1"/>
  <c r="K1264" i="1"/>
  <c r="H1264" i="1"/>
  <c r="L1263" i="1"/>
  <c r="K1263" i="1"/>
  <c r="H1263" i="1"/>
  <c r="L1262" i="1"/>
  <c r="K1262" i="1"/>
  <c r="H1262" i="1"/>
  <c r="L1261" i="1"/>
  <c r="K1261" i="1"/>
  <c r="H1261" i="1"/>
  <c r="L1260" i="1"/>
  <c r="K1260" i="1"/>
  <c r="H1260" i="1"/>
  <c r="L1259" i="1"/>
  <c r="K1259" i="1"/>
  <c r="H1259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53" i="1"/>
  <c r="K1253" i="1"/>
  <c r="H1253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42" i="1"/>
  <c r="K1242" i="1"/>
  <c r="H1242" i="1"/>
  <c r="L1241" i="1"/>
  <c r="K1241" i="1"/>
  <c r="H1241" i="1"/>
  <c r="L1240" i="1"/>
  <c r="K1240" i="1"/>
  <c r="H1240" i="1"/>
  <c r="L1239" i="1"/>
  <c r="K1239" i="1"/>
  <c r="H1239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28" i="1"/>
  <c r="K1228" i="1"/>
  <c r="H1228" i="1"/>
  <c r="L1227" i="1"/>
  <c r="K1227" i="1"/>
  <c r="H1227" i="1"/>
  <c r="L1226" i="1"/>
  <c r="K1226" i="1"/>
  <c r="H1226" i="1"/>
  <c r="L1225" i="1"/>
  <c r="K1225" i="1"/>
  <c r="H1225" i="1"/>
  <c r="L1224" i="1"/>
  <c r="K1224" i="1"/>
  <c r="H1224" i="1"/>
  <c r="L1223" i="1"/>
  <c r="K1223" i="1"/>
  <c r="H1223" i="1"/>
  <c r="L1222" i="1"/>
  <c r="K1222" i="1"/>
  <c r="H1222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204" i="1"/>
  <c r="K1204" i="1"/>
  <c r="H1204" i="1"/>
  <c r="L1203" i="1"/>
  <c r="K1203" i="1"/>
  <c r="H1203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86" i="1"/>
  <c r="K1186" i="1"/>
  <c r="H1186" i="1"/>
  <c r="L1185" i="1"/>
  <c r="K1185" i="1"/>
  <c r="H1185" i="1"/>
  <c r="L1184" i="1"/>
  <c r="K1184" i="1"/>
  <c r="H1184" i="1"/>
  <c r="L1183" i="1"/>
  <c r="K1183" i="1"/>
  <c r="H1183" i="1"/>
  <c r="L1182" i="1"/>
  <c r="K1182" i="1"/>
  <c r="H1182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2" i="1"/>
  <c r="K1172" i="1"/>
  <c r="H1172" i="1"/>
  <c r="L1171" i="1"/>
  <c r="K1171" i="1"/>
  <c r="H1171" i="1"/>
  <c r="L1170" i="1"/>
  <c r="K1170" i="1"/>
  <c r="H1170" i="1"/>
  <c r="L1169" i="1"/>
  <c r="K1169" i="1"/>
  <c r="H1169" i="1"/>
  <c r="L1168" i="1"/>
  <c r="K1168" i="1"/>
  <c r="H1168" i="1"/>
  <c r="L1167" i="1"/>
  <c r="K1167" i="1"/>
  <c r="H1167" i="1"/>
  <c r="L1161" i="1"/>
  <c r="K1161" i="1"/>
  <c r="H1161" i="1"/>
  <c r="L1160" i="1"/>
  <c r="K1160" i="1"/>
  <c r="H1160" i="1"/>
  <c r="L1159" i="1"/>
  <c r="K1159" i="1"/>
  <c r="H1159" i="1"/>
  <c r="L1158" i="1"/>
  <c r="K1158" i="1"/>
  <c r="H1158" i="1"/>
  <c r="L1157" i="1"/>
  <c r="K1157" i="1"/>
  <c r="H1157" i="1"/>
  <c r="L1156" i="1"/>
  <c r="K1156" i="1"/>
  <c r="H1156" i="1"/>
  <c r="L1155" i="1"/>
  <c r="K1155" i="1"/>
  <c r="H1155" i="1"/>
  <c r="L1154" i="1"/>
  <c r="K1154" i="1"/>
  <c r="H1154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43" i="1"/>
  <c r="K1143" i="1"/>
  <c r="H1143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8" i="1"/>
  <c r="K1128" i="1"/>
  <c r="H1128" i="1"/>
  <c r="L1127" i="1"/>
  <c r="K1127" i="1"/>
  <c r="H1127" i="1"/>
  <c r="L1126" i="1"/>
  <c r="K1126" i="1"/>
  <c r="H1126" i="1"/>
  <c r="L1125" i="1"/>
  <c r="K1125" i="1"/>
  <c r="H1125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57" i="1"/>
  <c r="K1057" i="1"/>
  <c r="H1057" i="1"/>
  <c r="L1056" i="1"/>
  <c r="K1056" i="1"/>
  <c r="H1056" i="1"/>
  <c r="L1055" i="1"/>
  <c r="K1055" i="1"/>
  <c r="H1055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79" i="1"/>
  <c r="K979" i="1"/>
  <c r="H979" i="1"/>
  <c r="L978" i="1"/>
  <c r="K978" i="1"/>
  <c r="H978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47" i="1"/>
  <c r="K947" i="1"/>
  <c r="H947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896" i="1"/>
  <c r="K896" i="1"/>
  <c r="H896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89" i="1"/>
  <c r="K789" i="1"/>
  <c r="H789" i="1"/>
  <c r="L783" i="1"/>
  <c r="K783" i="1"/>
  <c r="H783" i="1"/>
  <c r="L782" i="1"/>
  <c r="K782" i="1"/>
  <c r="H782" i="1"/>
  <c r="L781" i="1"/>
  <c r="K781" i="1"/>
  <c r="H781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6" i="1"/>
  <c r="K756" i="1"/>
  <c r="H756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4" i="1"/>
  <c r="K744" i="1"/>
  <c r="H744" i="1"/>
  <c r="L743" i="1"/>
  <c r="K743" i="1"/>
  <c r="H743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3" i="1"/>
  <c r="K693" i="1"/>
  <c r="H693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1" i="1"/>
  <c r="K541" i="1"/>
  <c r="H541" i="1"/>
  <c r="L540" i="1"/>
  <c r="K540" i="1"/>
  <c r="H540" i="1"/>
  <c r="L539" i="1"/>
  <c r="K539" i="1"/>
  <c r="H539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4" i="1"/>
  <c r="K94" i="1"/>
  <c r="H94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<sst xmlns="http://schemas.openxmlformats.org/spreadsheetml/2006/main" count="4967" uniqueCount="482">
  <si>
    <t>Informe de trayectos</t>
  </si>
  <si>
    <t>Periodo: 22 de febrero de 2025 0:00 - 22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</si>
  <si>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</si>
  <si>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</si>
  <si>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</si>
  <si>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</si>
  <si>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</si>
  <si>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</si>
  <si>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</si>
  <si>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</si>
  <si>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</si>
  <si>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</si>
  <si>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</si>
  <si>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</si>
  <si>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</si>
  <si>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</si>
  <si>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</si>
  <si>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</si>
  <si>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</si>
  <si>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93 km/h</t>
  </si>
  <si>
    <t>18 km/h</t>
  </si>
  <si>
    <t>Avenida José Carlos Mariátegui, Ate, Lima Metropolitana, Lima, 15474, Perú</t>
  </si>
  <si>
    <t>Avenida Los Incas, Ate, Lima Metropolitana, Lima, 15483, Perú</t>
  </si>
  <si>
    <t>85 km/h</t>
  </si>
  <si>
    <t>Ate, Lima Metropolitana, Lima, 15483, Perú</t>
  </si>
  <si>
    <t>73 km/h</t>
  </si>
  <si>
    <t>14 km/h</t>
  </si>
  <si>
    <t>Calle Manantiales de Vida, Ate, Lima Metropolitana, Lima, 15487, Perú</t>
  </si>
  <si>
    <t>82 km/h</t>
  </si>
  <si>
    <t>17 km/h</t>
  </si>
  <si>
    <t>27 km/h</t>
  </si>
  <si>
    <t>6 km/h</t>
  </si>
  <si>
    <t>84 km/h</t>
  </si>
  <si>
    <t>16 km/h</t>
  </si>
  <si>
    <t>Calle 3, Ate, Lima Metropolitana, Lima, 15487, Perú</t>
  </si>
  <si>
    <t>Avenida Malecón Manco Cápac, Chaclacayo, Lima Metropolitana, Lima, 15472, Perú, (Ruta4507nueva era 23-10-23)</t>
  </si>
  <si>
    <t>91 km/h</t>
  </si>
  <si>
    <t>22 km/h</t>
  </si>
  <si>
    <t>Carretera Central, Chaclacayo, Lima Metropolitana, Lima, 15476, Perú</t>
  </si>
  <si>
    <t>Avenida Las Retamas, Ricardo Palma, Huarochirí, Lima, 15468, Perú</t>
  </si>
  <si>
    <t>Calle los Alamos, Chosica, Lima Metropolitana, Lima, 15468, Perú</t>
  </si>
  <si>
    <t>81 km/h</t>
  </si>
  <si>
    <t>15 km/h</t>
  </si>
  <si>
    <t>Calle Las Gardenias, Ricardo Palma, Huarochirí, Lima, 15468, Perú</t>
  </si>
  <si>
    <t>80 km/h</t>
  </si>
  <si>
    <t>13 km/h</t>
  </si>
  <si>
    <t>Capitan Gamarra, Ricardo Palma, Huarochirí, Lima, 15468, Perú, (Ruta4507nueva era 23-10-23)</t>
  </si>
  <si>
    <t>86 km/h</t>
  </si>
  <si>
    <t>Avenida Lima Norte, Santa Eulalia, Lima Metropolitana, Lima, 15468, Perú</t>
  </si>
  <si>
    <t>89 km/h</t>
  </si>
  <si>
    <t>Avenida José Carlos Mariátegui, Ricardo Palma, Huarochirí, Lima, 15468, Perú</t>
  </si>
  <si>
    <t>Avenida 22 de Julio, Ate, Lima Metropolitana, Lima, 15498, Perú</t>
  </si>
  <si>
    <t>Carretera Central, 200, Chaclacayo, Lima Metropolitana, Lima, 15476, Perú</t>
  </si>
  <si>
    <t>94 km/h</t>
  </si>
  <si>
    <t>Avenida José Carlos Mariátegui, Ate, Lima Metropolitana, Lima, 15487, Perú</t>
  </si>
  <si>
    <t>87 km/h</t>
  </si>
  <si>
    <t>28 km/h</t>
  </si>
  <si>
    <t>Calle Cerro de Pasco, Ate, Lima Metropolitana, Lima, 15498, Perú</t>
  </si>
  <si>
    <t>65 km/h</t>
  </si>
  <si>
    <t>75 km/h</t>
  </si>
  <si>
    <t>68 km/h</t>
  </si>
  <si>
    <t>11 km/h</t>
  </si>
  <si>
    <t>Calle 1, Ate, Lima Metropolitana, Lima, 15483, Perú</t>
  </si>
  <si>
    <t>74 km/h</t>
  </si>
  <si>
    <t>20 km/h</t>
  </si>
  <si>
    <t>Avenida La Paz, G2, Santa Eulalia, Huarochirí, Lima, 15500, Perú</t>
  </si>
  <si>
    <t>Avenida Lima Sur, Chosica, Lima Metropolitana, Lima, 15468, Perú, (Ruta4507nueva era 23-10-23)</t>
  </si>
  <si>
    <t>63 km/h</t>
  </si>
  <si>
    <t>Calle Leoncio Prado, Santa Eulalia, Huarochirí, Lima, 15468, Perú</t>
  </si>
  <si>
    <t>Calle Nueva Los Alamos, Santa Eulalia, Huarochirí, Lima, 15468, Perú</t>
  </si>
  <si>
    <t>76 km/h</t>
  </si>
  <si>
    <t>Calle Cesar Vallejo, Ricardo Palma, Huarochirí, Lima, 15468, Perú</t>
  </si>
  <si>
    <t>Simón Bolívar, Ricardo Palma, Huarochirí, Lima, 15468, Perú</t>
  </si>
  <si>
    <t>Calle Las Tunas, Santa Anita, Lima Metropolitana, Lima, 15007, Perú</t>
  </si>
  <si>
    <t>60 km/h</t>
  </si>
  <si>
    <t>4 km/h</t>
  </si>
  <si>
    <t>Calle Los Topacios, Lurigancho, Lima Metropolitana, Lima, 15472, Perú</t>
  </si>
  <si>
    <t>0 km/h</t>
  </si>
  <si>
    <t>Avenida Metropolitana, Santa Anita, Lima Metropolitana, Lima, 15009, Perú, (RUTA DESVIO TEM.  4507)</t>
  </si>
  <si>
    <t>Avenida Bernardino Rivadavia, Ate, Lima Metropolitana, Lima, 15498, Perú, (RUTA DESVIO TEM.  4507)</t>
  </si>
  <si>
    <t>19 km/h</t>
  </si>
  <si>
    <t>Avenida Simón Bolívar, Santa Eulalia, Huarochirí, Lima, 15468, Perú</t>
  </si>
  <si>
    <t>Calle 11, Santa Anita, Lima Metropolitana, Lima, 15009, Perú</t>
  </si>
  <si>
    <t>71 km/h</t>
  </si>
  <si>
    <t>Carretera Central, Ate, Lima Metropolitana, Lima, 15474, Perú</t>
  </si>
  <si>
    <t>Ate, Lima Metropolitana, Lima, 15474, Perú</t>
  </si>
  <si>
    <t>Avenida Lima Sur, Chosica, Lima Metropolitana, Lima, 15468, Perú</t>
  </si>
  <si>
    <t>78 km/h</t>
  </si>
  <si>
    <t>Calle Los Álamos, Ate, Lima Metropolitana, Lima, 15483, Perú</t>
  </si>
  <si>
    <t>79 km/h</t>
  </si>
  <si>
    <t>Avenida Enrique Guzmán y Valle, Chosica, Lima Metropolitana, Lima, 15468, Perú</t>
  </si>
  <si>
    <t>Avenida Andrés Avelino Cáceres, Ate, Lima Metropolitana, Lima, 15474, Perú</t>
  </si>
  <si>
    <t>Santa Eulalia, Huarochirí, Lima, 15468, Perú</t>
  </si>
  <si>
    <t>92 km/h</t>
  </si>
  <si>
    <t>Carretera Central, Chaclacayo, Lima Metropolitana, Lima, 15474, Perú, (S07ÑAÑA, Ruta4507nueva era 23-10-23)</t>
  </si>
  <si>
    <t>Avenida Nicolás de Ayllón, Ate, Lima Metropolitana, Lima, 15487, Perú, (Ruta4507nueva era 23-10-23)</t>
  </si>
  <si>
    <t>Ate, Lima Metropolitana, Lima, 15487, Perú</t>
  </si>
  <si>
    <t>77 km/h</t>
  </si>
  <si>
    <t>Corcona, Huarochirí, Lima, Perú</t>
  </si>
  <si>
    <t>49 km/h</t>
  </si>
  <si>
    <t>Lurigancho, Lima Metropolitana, Lima, 15468, Perú</t>
  </si>
  <si>
    <t>Carretera Central, Ate, Lima Metropolitana, Lima, 15487, Perú, (Ruta4507nueva era 23-10-23)</t>
  </si>
  <si>
    <t>Prolongación Javier Prado Este, Ate, Lima Metropolitana, Lima, 15498, Perú, (RUTA DESVIO TEM.  4507)</t>
  </si>
  <si>
    <t>Avenida Nicolás de Ayllón, Santa Anita, Lima Metropolitana, Lima, 15008, Perú, (Ruta4507nueva era 23-10-23, RUTA DESVIO TEM.  4507)</t>
  </si>
  <si>
    <t>100 km/h</t>
  </si>
  <si>
    <t>Avenida Colectora, Chosica, Lima Metropolitana, Lima, 15468, Perú</t>
  </si>
  <si>
    <t>90 km/h</t>
  </si>
  <si>
    <t>Avenida Micaela Bastidas, 561, Santa Eulalia, Huarochirí, Lima, 15468, Perú</t>
  </si>
  <si>
    <t>Avenida Nicolás de Ayllón, Ate, Lima Metropolitana, Lima, 15008, Perú, (Ruta4507nueva era 23-10-23)</t>
  </si>
  <si>
    <t>Avenida Lima Norte, Chosica, Lima Metropolitana, Lima, 15468, Perú</t>
  </si>
  <si>
    <t>72 km/h</t>
  </si>
  <si>
    <t>Avenida Andrés Avelino Cáceres, Ate, Lima Metropolitana, Lima, 15483, Perú</t>
  </si>
  <si>
    <t>37 km/h</t>
  </si>
  <si>
    <t>2 km/h</t>
  </si>
  <si>
    <t>Calle Estocolmo, Ate, Lima Metropolitana, Lima, 15498, Perú</t>
  </si>
  <si>
    <t>Avenida Nicolás de Ayllón, 5818, Ate, Lima Metropolitana, Lima, 15498, Perú, (Ruta4507nueva era 23-10-23)</t>
  </si>
  <si>
    <t>Avenida Bernardino Rivadavia, Ate, Lima Metropolitana, Lima, 15498, Perú</t>
  </si>
  <si>
    <t>Avenida Minería, Santa Anita, Lima Metropolitana, Lima, 15008, Perú, (Ruta4507nueva era 23-10-23, RUTA DESVIO TEM.  4507)</t>
  </si>
  <si>
    <t>Avenida Paseo de la República, Lima, Lima Metropolitana, Lima, 15083, Perú, (Ruta4507nueva era 23-10-23)</t>
  </si>
  <si>
    <t>Avenida Lima Norte, 599, Chosica, Lima Metropolitana, Lima, 15468, Perú, (Ruta4507nueva era 23-10-23)</t>
  </si>
  <si>
    <t>Ate, Lima Metropolitana, Lima, 15474, Perú, (Ruta4507nueva era 23-10-23)</t>
  </si>
  <si>
    <t>83 km/h</t>
  </si>
  <si>
    <t>Avenida José Santos Chocano, Ricardo Palma, Huarochirí, Lima, 15468, Perú</t>
  </si>
  <si>
    <t>32 km/h</t>
  </si>
  <si>
    <t>1 km/h</t>
  </si>
  <si>
    <t>Totales:</t>
  </si>
  <si>
    <t/>
  </si>
  <si>
    <t>* Los datos de combustible se calculan de acuerdo con el consumo medio de combustible del vehículo especificado en su configuración</t>
  </si>
  <si>
    <t>Jose Carlos Mariátegui, Ricardo Palma, Lima Metropolitana, Lima, 15468, Perú, (PARADERO RICARDO PALMA)</t>
  </si>
  <si>
    <t>23 km/h</t>
  </si>
  <si>
    <t>Ricardo Palma, Huarochirí, Lima, 15468, Perú, (CURVA RICARDO PALMA, Ruta4507nueva era 23-10-23)</t>
  </si>
  <si>
    <t>25 km/h</t>
  </si>
  <si>
    <t>9 km/h</t>
  </si>
  <si>
    <t>Avenida José Carlos Mariátegui, Ricardo Palma, Huarochirí, Lima, 15468, Perú, (Ruta4507nueva era 23-10-23)</t>
  </si>
  <si>
    <t>Avenida 5 de Setiembre, Ricardo Palma, Huarochirí, Lima, 15468, Perú, (Ruta4507nueva era 23-10-23)</t>
  </si>
  <si>
    <t>21 km/h</t>
  </si>
  <si>
    <t>Simón Bolívar, Ricardo Palma, Huarochirí, Lima, 15468, Perú, (Ruta4507nueva era 23-10-23)</t>
  </si>
  <si>
    <t>24 km/h</t>
  </si>
  <si>
    <t>Ricardo Palma, Huarochirí, Lima, 15468, Perú, (Ruta4507nueva era 23-10-23)</t>
  </si>
  <si>
    <t>12 km/h</t>
  </si>
  <si>
    <t>7 km/h</t>
  </si>
  <si>
    <t>Marcos Puente Llanos, Ate, Lima Metropolitana, Lima, 15498, Perú</t>
  </si>
  <si>
    <t>Calle Berlín, Ate, Lima Metropolitana, Lima, 15498, Perú</t>
  </si>
  <si>
    <t>3 km/h</t>
  </si>
  <si>
    <t>Avenida Almirante Miguel Grau, 300, La Victoria, Lima Metropolitana, Lima, 15001, Perú, (Ruta4507nueva era 23-10-23)</t>
  </si>
  <si>
    <t>Vía Expresa Almirante Miguel Grau, La Victoria, Lima Metropolitana, Lima, 15001, Perú, (Ruta4507nueva era 23-10-23)</t>
  </si>
  <si>
    <t>Avenida Simón Bolívar, Santa Eulalia, Huarochirí, Lima, 15468, Perú, (Ruta4507nueva era 23-10-23)</t>
  </si>
  <si>
    <t>Avenida Thomas Edison, Ate, Lima Metropolitana, Lima, 15002, Perú</t>
  </si>
  <si>
    <t>Avenida Nicolás de Ayllón, Ate, Lima Metropolitana, Lima, 15498, Perú, (Ruta4507nueva era 23-10-23)</t>
  </si>
  <si>
    <t>67 km/h</t>
  </si>
  <si>
    <t>8 km/h</t>
  </si>
  <si>
    <t>Chosica, Lima Metropolitana, Lima, 15468, Perú</t>
  </si>
  <si>
    <t>69 km/h</t>
  </si>
  <si>
    <t>50 km/h</t>
  </si>
  <si>
    <t>42 km/h</t>
  </si>
  <si>
    <t>Pasaje Gould, Lima, Lima Metropolitana, Lima, 15082, Perú</t>
  </si>
  <si>
    <t>5 km/h</t>
  </si>
  <si>
    <t>59 km/h</t>
  </si>
  <si>
    <t>26 km/h</t>
  </si>
  <si>
    <t>Jirón Sánchez Pinillos, Breña, Lima Metropolitana, Lima, 15082, Perú</t>
  </si>
  <si>
    <t>Jirón Sánchez Pinillos, Lima, Lima Metropolitana, Lima, 15082, Perú</t>
  </si>
  <si>
    <t>Avenida Iquitos, Lima, Lima Metropolitana, Lima, 15001, Perú, (Ruta4507nueva era 23-10-23)</t>
  </si>
  <si>
    <t>55 km/h</t>
  </si>
  <si>
    <t>Avenida Metropolitana, Ate, Lima Metropolitana, Lima, 15498, Perú, (RUTA DESVIO TEM.  4507)</t>
  </si>
  <si>
    <t>Avenida Metropolitana, Ate, Lima Metropolitana, Lima, 15498, Perú</t>
  </si>
  <si>
    <t>Carretera Central, Ricardo Palma, Huarochirí, Lima, 15468, Perú</t>
  </si>
  <si>
    <t>Jose Carlos Mariátegui, Chosica, Lima Metropolitana, Lima, 15468, Perú, (PARADERO RICARDO PALMA)</t>
  </si>
  <si>
    <t>29 km/h</t>
  </si>
  <si>
    <t>10 km/h</t>
  </si>
  <si>
    <t>Calle 2, Ate, Lima Metropolitana, Lima, 15487, Perú</t>
  </si>
  <si>
    <t>Calle B, Ate, Lima Metropolitana, Lima, 15483, Perú</t>
  </si>
  <si>
    <t>Avenida Gloria Grande, Ate, Lima Metropolitana, Lima, 15483, Perú</t>
  </si>
  <si>
    <t>Avenida Jaime Zubieta Calderón, Ate, Lima Metropolitana, Lima, 15483, Perú, (Ruta4507nueva era 23-10-23)</t>
  </si>
  <si>
    <t>39 km/h</t>
  </si>
  <si>
    <t>Avenida Jaime Zubieta Calderon, Ate, Lima Metropolitana, Lima, 15483, Perú</t>
  </si>
  <si>
    <t>Avenida Jaime Zubieta Calderon, Ate, Lima Metropolitana, Lima, 15483, Perú, (Ruta4507nueva era 23-10-23)</t>
  </si>
  <si>
    <t>61 km/h</t>
  </si>
  <si>
    <t>44 km/h</t>
  </si>
  <si>
    <t>Carretera Central, Ate, Lima Metropolitana, Lima, 15474, Perú, (Horacio Zeballos)</t>
  </si>
  <si>
    <t>Avenida José Carlos Mariátegui, Ate, Lima Metropolitana, Lima, 15474, Perú, (Horacio Zeballos)</t>
  </si>
  <si>
    <t>Chaclacayo, Lima Metropolitana, Lima, 15474, Perú, (Ruta4507nueva era 23-10-23)</t>
  </si>
  <si>
    <t>62 km/h</t>
  </si>
  <si>
    <t>33 km/h</t>
  </si>
  <si>
    <t>Carretera Central, Chaclacayo, Lima Metropolitana, Lima, 15474, Perú, (Ruta4507nueva era 23-10-23)</t>
  </si>
  <si>
    <t>40 km/h</t>
  </si>
  <si>
    <t>Carretera Central, Chaclacayo, Lima Metropolitana, Lima, 15476, Perú, (Ruta4507nueva era 23-10-23)</t>
  </si>
  <si>
    <t>45 km/h</t>
  </si>
  <si>
    <t>Avenida Nicolás Ayllón, 432, Chaclacayo, Lima Metropolitana, Lima, 15472, Perú, (Ruta4507nueva era 23-10-23)</t>
  </si>
  <si>
    <t>30 km/h</t>
  </si>
  <si>
    <t>Avenida Las Flores, Lurigancho, Lima Metropolitana, Lima, 15472, Perú, (Ruta4507nueva era 23-10-23)</t>
  </si>
  <si>
    <t>38 km/h</t>
  </si>
  <si>
    <t>Avenida Las Flores, Lurigancho, Lima Metropolitana, Lima, 15468, Perú, (Ruta4507nueva era 23-10-23)</t>
  </si>
  <si>
    <t>31 km/h</t>
  </si>
  <si>
    <t>Avenida Las Flores, Chosica, Lima Metropolitana, Lima, 15468, Perú, (Ruta4507nueva era 23-10-23)</t>
  </si>
  <si>
    <t>66 km/h</t>
  </si>
  <si>
    <t>35 km/h</t>
  </si>
  <si>
    <t>48 km/h</t>
  </si>
  <si>
    <t>Avenida Lima Sur, 1205, Chosica, Lima Metropolitana, Lima, 15468, Perú</t>
  </si>
  <si>
    <t>Avenida Lima Sur, Chosica, Lima Metropolitana, Lima, 15468, Perú, (S09 CHOSICA/ PEDREGAL, Ruta4507nueva era 23-10-23)</t>
  </si>
  <si>
    <t>34 km/h</t>
  </si>
  <si>
    <t>Jirón Trujillo Sur, 496, Chosica, Lima Metropolitana, Lima, 15468, Perú</t>
  </si>
  <si>
    <t>Jirón Trujillo Sur, 378, Chosica, Lima Metropolitana, Lima, 15468, Perú</t>
  </si>
  <si>
    <t>Avenida Lima Norte, Chosica, Lima Metropolitana, Lima, 15468, Perú, (Ruta4507nueva era 23-10-23)</t>
  </si>
  <si>
    <t>Avenida Lima Norte, Santa Eulalia, Lima Metropolitana, Lima, 15468, Perú, (Ruta4507nueva era 23-10-23)</t>
  </si>
  <si>
    <t>Avenida José Carlos Mariátegui, Ricardo Palma, Huarochirí, Lima, 15468, Perú, (CURVA RICARDO PALMA, Ruta4507nueva era 23-10-23)</t>
  </si>
  <si>
    <t>Avenida Lima Norte, Santa Eulalia, Huarochirí, Lima, 15468, Perú, (Ruta4507nueva era 23-10-23)</t>
  </si>
  <si>
    <t>Avenida Lima Norte, 246, Chosica, Lima Metropolitana, Lima, 15468, Perú, (Ruta4507nueva era 23-10-23)</t>
  </si>
  <si>
    <t>Jirón Trujillo Norte, Chosica, Lima Metropolitana, Lima, 15468, Perú</t>
  </si>
  <si>
    <t>Jirón Trujillo Norte, Chosica, Lima Metropolitana, Lima, 15468, Perú, (Ruta4507nueva era 23-10-23)</t>
  </si>
  <si>
    <t>Jirón Trujillo Sur, Chosica, Lima Metropolitana, Lima, 15468, Perú, (Ruta4507nueva era 23-10-23)</t>
  </si>
  <si>
    <t>Jirón Trujillo Sur, 344, Chosica, Lima Metropolitana, Lima, 15468, Perú, (Ruta4507nueva era 23-10-23)</t>
  </si>
  <si>
    <t>47 km/h</t>
  </si>
  <si>
    <t>Avenida Lima Sur, 1205, Chosica, Lima Metropolitana, Lima, 15468, Perú, (Ruta4507nueva era 23-10-23)</t>
  </si>
  <si>
    <t>Chosica, Lima Metropolitana, Lima, 15468, Perú, (Ruta4507nueva era 23-10-23)</t>
  </si>
  <si>
    <t>Carretera Central, Chaclacayo, Lima Metropolitana, Lima, 15472, Perú, (Ruta4507nueva era 23-10-23)</t>
  </si>
  <si>
    <t>41 km/h</t>
  </si>
  <si>
    <t>Avenida Nicolás Ayllón, Chaclacayo, Lima Metropolitana, Lima, 15472, Perú, (Ruta4507nueva era 23-10-23)</t>
  </si>
  <si>
    <t>Avenida Nicolás Ayllón, 2274, Chaclacayo, Lima Metropolitana, Lima, 15472, Perú, (Ruta4507nueva era 23-10-23)</t>
  </si>
  <si>
    <t>36 km/h</t>
  </si>
  <si>
    <t>52 km/h</t>
  </si>
  <si>
    <t>58 km/h</t>
  </si>
  <si>
    <t>70 km/h</t>
  </si>
  <si>
    <t>Avenida Unión, Chaclacayo, Lima Metropolitana, Lima, 15476, Perú, (Ruta4507nueva era 23-10-23)</t>
  </si>
  <si>
    <t>Carretera Central, Ate, Lima Metropolitana, Lima, 15474, Perú, (Ruta4507nueva era 23-10-23)</t>
  </si>
  <si>
    <t>43 km/h</t>
  </si>
  <si>
    <t>Carretera Central, Ate, Lima Metropolitana, Lima, 15487, Perú, (S06 SANTA CLARA, Ruta4507nueva era 23-10-23)</t>
  </si>
  <si>
    <t>64 km/h</t>
  </si>
  <si>
    <t>Avenida Nicolás de Ayllón, Ate, Lima Metropolitana, Lima, 15498, Perú, (Ruta4507nueva era 23-10-23, RUTA DESVIO TEM.  4507)</t>
  </si>
  <si>
    <t>Avenida Central, Ate, Lima Metropolitana, Lima, 15498, Perú, (Ruta4507nueva era 23-10-23, RUTA DESVIO TEM.  4507)</t>
  </si>
  <si>
    <t>Ate, Lima Metropolitana, Lima, 15498, Perú, (Ruta4507nueva era 23-10-23)</t>
  </si>
  <si>
    <t>Avenida Nicolás de Ayllón, 15498, Ate, Lima Metropolitana, Lima, 15498, Perú</t>
  </si>
  <si>
    <t>Avenida Huancaray, Santa Anita, Lima Metropolitana, Lima, 15009, Perú, (RUTA DESVIO TEM.  4507)</t>
  </si>
  <si>
    <t>Avenida Huancaray, Santa Anita, Lima Metropolitana, Lima, 15009, Perú</t>
  </si>
  <si>
    <t>Avenida Huancaray, Santa Anita, Lima Metropolitana, Lima, 15007, Perú, (RUTA DESVIO TEM.  4507)</t>
  </si>
  <si>
    <t>46 km/h</t>
  </si>
  <si>
    <t>Avenida Huancaray, Santa Anita, Lima Metropolitana, Lima, 15008, Perú, (RUTA DESVIO TEM.  4507)</t>
  </si>
  <si>
    <t>Avenida Los Eucaliptos, Santa Anita, Lima Metropolitana, Lima, 15008, Perú, (RUTA DESVIO TEM.  4507)</t>
  </si>
  <si>
    <t>Avenida Francisco Bolognesi, Santa Anita, Lima Metropolitana, Lima, 15008, Perú</t>
  </si>
  <si>
    <t>Avenida 7 de Junio, Santa Anita, Lima Metropolitana, Lima, 15008, Perú, (RUTA DESVIO TEM.  4507)</t>
  </si>
  <si>
    <t>Avenida Minería, Santa Anita, Lima Metropolitana, Lima, 15008, Perú, (RUTA DESVIO TEM.  4507)</t>
  </si>
  <si>
    <t>Avenida Nicolás de Ayllón, Santa Anita, Lima Metropolitana, Lima, 15008, Perú, (RUTA DESVIO TEM.  4507)</t>
  </si>
  <si>
    <t>Avenida Nicolás de Ayllón, Santa Anita, Lima Metropolitana, Lima, 15008, Perú</t>
  </si>
  <si>
    <t>Avenida Nicolás de Ayllón, El Agustino, Lima Metropolitana, Lima, 15008, Perú, (Ruta4507nueva era 23-10-23)</t>
  </si>
  <si>
    <t>Avenida Nicolás de Ayllón, Ate, Lima Metropolitana, Lima, 15022, Perú, (Ruta4507nueva era 23-10-23, RUTA DESVIO TEM.  4507)</t>
  </si>
  <si>
    <t>53 km/h</t>
  </si>
  <si>
    <t>Avenida Andrés Avelino Cáceres, Ate, Lima Metropolitana, Lima, 15019, Perú</t>
  </si>
  <si>
    <t>Calle Ollanta, San Luis, Lima Metropolitana, Lima, 15019, Perú</t>
  </si>
  <si>
    <t>Calle Angel Cepollini, San Luis, Lima Metropolitana, Lima, 15019, Perú</t>
  </si>
  <si>
    <t>Pasaje Tahuantinsuyo, San Luis, Lima Metropolitana, Lima, 15019, Perú</t>
  </si>
  <si>
    <t>Inca Garcilaso de la Vega, Lima, Lima Metropolitana, Lima, 15019, Perú</t>
  </si>
  <si>
    <t>Avenida Inca Garcilazo de la Vega, Lima, Lima Metropolitana, Lima, 15004, Perú</t>
  </si>
  <si>
    <t>Avenida Inca Garcilazo de la Vega, El Agustino, Lima Metropolitana, Lima, 15004, Perú</t>
  </si>
  <si>
    <t>Calle Ollanta, Lima, Lima Metropolitana, Lima, 15019, Perú</t>
  </si>
  <si>
    <t>Avenida José de la Riva Aguero, Lima, Lima Metropolitana, Lima, 15004, Perú</t>
  </si>
  <si>
    <t>Avenida José de la Riva Aguero, Lima, Lima Metropolitana, Lima, 15004, Perú, (Ruta4507nueva era 23-10-23)</t>
  </si>
  <si>
    <t>Avenida Nicolás de Ayllón, Lima, Lima Metropolitana, Lima, 15011, Perú, (Ruta4507nueva era 23-10-23)</t>
  </si>
  <si>
    <t>Avenida Nicolás Ayllón, Lima, Lima Metropolitana, Lima, 15011, Perú, (Ruta4507nueva era 23-10-23)</t>
  </si>
  <si>
    <t>Avenida Nicolás de Ayllón, 234-240, Lima, Lima Metropolitana, Lima, 15011, Perú, (Ruta4507nueva era 23-10-23)</t>
  </si>
  <si>
    <t>Avenida Nicolás Ayllón, 137, Lima, Lima Metropolitana, Lima, 15011, Perú, (Ruta4507nueva era 23-10-23)</t>
  </si>
  <si>
    <t>Avenida Almirante Miguel Grau, 1299, Lima, Lima Metropolitana, Lima, 15011, Perú, (Ruta4507nueva era 23-10-23)</t>
  </si>
  <si>
    <t>57 km/h</t>
  </si>
  <si>
    <t>Avenida Almirante Miguel Grau, 848, Lima, Lima Metropolitana, Lima, 15001, Perú, (Ruta4507nueva era 23-10-23)</t>
  </si>
  <si>
    <t>Vía Expresa Almirante Miguel Grau, Lima, Lima Metropolitana, Lima, 15011, Perú, (Ruta4507nueva era 23-10-23)</t>
  </si>
  <si>
    <t>Vía Expresa Almirante Miguel Grau, La Victoria, Lima Metropolitana, Lima, 15001, Perú, (S02 AV.GRAU/ JR ANDAHUAYLAS, Ruta4507nueva era 23-10-23)</t>
  </si>
  <si>
    <t>Vía Expresa Almirante Miguel Grau, Lima, Lima Metropolitana, Lima, 15001, Perú, (S02 AV.GRAU/ JR ANDAHUAYLAS, Ruta4507nueva era 23-10-23)</t>
  </si>
  <si>
    <t>Avenida 9 de Diciembre, Lima, Lima Metropolitana, Lima, 15083, Perú, (Ruta4507nueva era 23-10-23)</t>
  </si>
  <si>
    <t>Avenida Almirante Miguel Grau, Lima, Lima Metropolitana, Lima, 15083, Perú, (Ruta4507nueva era 23-10-23)</t>
  </si>
  <si>
    <t>Avenida Paseo de la República, La Victoria, Lima Metropolitana, Lima, 15001, Perú, (Ruta4507nueva era 23-10-23)</t>
  </si>
  <si>
    <t>Avenida Almirante Miguel Grau, La Victoria, Lima Metropolitana, Lima, 15001, Perú, (Ruta4507nueva era 23-10-23)</t>
  </si>
  <si>
    <t>Vía Expresa Almirante Miguel Grau, Lima, Lima Metropolitana, Lima, 15001, Perú, (Ruta4507nueva era 23-10-23)</t>
  </si>
  <si>
    <t>Vía Expresa Almirante Miguel Grau, La Victoria, Lima Metropolitana, Lima, 15011, Perú, (Ruta4507nueva era 23-10-23)</t>
  </si>
  <si>
    <t>Avenida Almirante Miguel Grau, La Victoria, Lima Metropolitana, Lima, 15011, Perú, (Ruta4507nueva era 23-10-23)</t>
  </si>
  <si>
    <t>Avenida Almirante Miguel Grau, 1400, Lima, Lima Metropolitana, Lima, 15011, Perú, (Ruta4507nueva era 23-10-23)</t>
  </si>
  <si>
    <t>Avenida Almirante Miguel Grau, Lima, Lima Metropolitana, Lima, 15011, Perú, (Ruta4507nueva era 23-10-23)</t>
  </si>
  <si>
    <t>Prolongación Avenida San Pablo, Lima, Lima Metropolitana, Lima, 15011, Perú</t>
  </si>
  <si>
    <t>Avenida Inca Garcilazo de la Vega, El Agustino, Lima Metropolitana, Lima, 15004, Perú, (Ruta4507nueva era 23-10-23)</t>
  </si>
  <si>
    <t>Avenida Circunvalación, La Victoria, Lima Metropolitana, Lima, 15019, Perú</t>
  </si>
  <si>
    <t>Avenida Nicolás de Ayllón, Ate, Lima Metropolitana, Lima, 15002, Perú, (Ruta4507nueva era 23-10-23)</t>
  </si>
  <si>
    <t>Avenida Nicolás de Ayllón, Ate, Lima Metropolitana, Lima, 15002, Perú, (Ruta4507nueva era 23-10-23, RUTA DESVIO TEM.  4507)</t>
  </si>
  <si>
    <t>Avenida Nicolás de Ayllón, Ate, Lima Metropolitana, Lima, 15008, Perú, (Ruta4507nueva era 23-10-23, RUTA DESVIO TEM.  4507)</t>
  </si>
  <si>
    <t>Vía de Evitamiento, Ate, Lima Metropolitana, Lima, 15008, Perú, (Ruta4507nueva era 23-10-23, RUTA DESVIO TEM.  4507)</t>
  </si>
  <si>
    <t>Avenida Los Cipreses, Santa Anita, Lima Metropolitana, Lima, 15002, Perú, (RUTA DESVIO TEM.  4507)</t>
  </si>
  <si>
    <t>Avenida Los Ruiseñores, Santa Anita, Lima Metropolitana, Lima, 15008, Perú, (RUTA DESVIO TEM.  4507)</t>
  </si>
  <si>
    <t>Avenida Santa Rosa, Santa Anita, Lima Metropolitana, Lima, 15007, Perú, (RUTA DESVIO TEM.  4507)</t>
  </si>
  <si>
    <t>Avenida Huarochiri, Santa Anita, Lima Metropolitana, Lima, 15009, Perú, (RUTA DESVIO TEM.  4507)</t>
  </si>
  <si>
    <t>Avenida Metropolitana, Santa Anita, Lima Metropolitana, Lima, 15009, Perú</t>
  </si>
  <si>
    <t>51 km/h</t>
  </si>
  <si>
    <t>Calle 4, Ate, Lima Metropolitana, Lima, 15498, Perú</t>
  </si>
  <si>
    <t>Avenida Nicolás de Ayllón, Ate, Lima Metropolitana, Lima, 15498, Perú</t>
  </si>
  <si>
    <t>Victor Raul Haya de la Torre, Ate, Lima Metropolitana, Lima, 15498, Perú</t>
  </si>
  <si>
    <t>Victor Raul Haya de la Torre, Ate, Lima Metropolitana, Lima, 15498, Perú, (Ruta4507nueva era 23-10-23, RUTA DESVIO TEM.  4507)</t>
  </si>
  <si>
    <t>Avenida José Carlos Mariátegui, Ate, Lima Metropolitana, Lima, 15498, Perú, (S05Vitarte/ ALT. Hospital, Ruta4507nueva era 23-10-23)</t>
  </si>
  <si>
    <t>Pasaje Unión, 107, Ate, Lima Metropolitana, Lima, 15498, Perú, (Ruta4507nueva era 23-10-23)</t>
  </si>
  <si>
    <t>Pasaje Unión, Ate, Lima Metropolitana, Lima, 15498, Perú, (RUTA DESVIO TEM.  4507)</t>
  </si>
  <si>
    <t>Avenida José Carlos Mariátegui, 797, Ate, Lima Metropolitana, Lima, 15498, Perú</t>
  </si>
  <si>
    <t>Avenida José Carlos Mariátegui, 835, Ate, Lima Metropolitana, Lima, 15487, Perú</t>
  </si>
  <si>
    <t>Calle Juan Velasco Alvarado, Ate, Lima Metropolitana, Lima, 15498, Perú</t>
  </si>
  <si>
    <t>Calle Miguel Grau, Ate, Lima Metropolitana, Lima, 15487, Perú</t>
  </si>
  <si>
    <t>Calle Los Naranjos, 130, Ate, Lima Metropolitana, Lima, 15487, Perú</t>
  </si>
  <si>
    <t>Avenida Nicolás de Ayllón, Ate, Lima Metropolitana, Lima, 15487, Perú</t>
  </si>
  <si>
    <t>Ate, Lima Metropolitana, Lima, 15487, Perú, (Ruta4507nueva era 23-10-23)</t>
  </si>
  <si>
    <t>56 km/h</t>
  </si>
  <si>
    <t>Carretera Central, Ate, Lima Metropolitana, Lima, 15483, Perú, (Ruta4507nueva era 23-10-23)</t>
  </si>
  <si>
    <t>Carretera Central, Chaclacayo, Lima Metropolitana, Lima, 15464, Perú</t>
  </si>
  <si>
    <t>Avenida Nicolás Ayllón, 477, Chaclacayo, Lima Metropolitana, Lima, 15472, Perú, (Ruta4507nueva era 23-10-23)</t>
  </si>
  <si>
    <t>Avenida Nicolás Ayllón, Km. 24, Chaclacayo, Lima Metropolitana, Lima, 15472, Perú, (S08 CHACLACAYO/PARQUE, Ruta4507nueva era 23-10-23)</t>
  </si>
  <si>
    <t>Calle Los Geranios, Chosica, Lima Metropolitana, Lima, 15468, Perú, (Ruta4507nueva era 23-10-23)</t>
  </si>
  <si>
    <t>Jirón Trujillo Sur, 496, Chosica, Lima Metropolitana, Lima, 15468, Perú, (Ruta4507nueva era 23-10-23)</t>
  </si>
  <si>
    <t>Jirón Trujillo Sur, Chosica, Lima Metropolitana, Lima, 15468, Perú</t>
  </si>
  <si>
    <t>Jirón Chucuito, 187, Chosica, Lima Metropolitana, Lima, 15468, Perú</t>
  </si>
  <si>
    <t>Jirón Chucuito, 187, Chosica, Lima Metropolitana, Lima, 15468, Perú, (Ruta4507nueva era 23-10-23)</t>
  </si>
  <si>
    <t>Jirón Tacna, Chosica, Lima Metropolitana, Lima, 15468, Perú, (Ruta4507nueva era 23-10-23)</t>
  </si>
  <si>
    <t>Jirón Tacna, Chosica, Lima Metropolitana, Lima, 15468, Perú</t>
  </si>
  <si>
    <t>Avenida Lima Sur, 765, Chosica, Lima Metropolitana, Lima, 15468, Perú, (Ruta4507nueva era 23-10-23)</t>
  </si>
  <si>
    <t>Avenida Las Flores, 29000, Lurigancho, Lima Metropolitana, Lima, 15472, Perú, (Ruta4507nueva era 23-10-23)</t>
  </si>
  <si>
    <t>Carretera Central, Lurigancho, Lima Metropolitana, Lima, 15472, Perú, (Ruta4507nueva era 23-10-23)</t>
  </si>
  <si>
    <t>Lurigancho, Lima Metropolitana, Lima, 15472, Perú, (Ruta4507nueva era 23-10-23)</t>
  </si>
  <si>
    <t>Avenida Nicolás Ayllón, 2226, Chaclacayo, Lima Metropolitana, Lima, 15472, Perú, (Ruta4507nueva era 23-10-23)</t>
  </si>
  <si>
    <t>Carretera Central, Ate, Lima Metropolitana, Lima, 15474, Perú, (Horacio Zeballos, Ruta4507nueva era 23-10-23)</t>
  </si>
  <si>
    <t>Carretera Central, 16040, Ate, Lima Metropolitana, Lima, 15487, Perú, (Ruta4507nueva era 23-10-23)</t>
  </si>
  <si>
    <t>54 km/h</t>
  </si>
  <si>
    <t>Avenida Central, Ate, Lima Metropolitana, Lima, 15498, Perú, (Ruta4507nueva era 23-10-23)</t>
  </si>
  <si>
    <t>Avenida Huancaray, Santa Anita, Lima Metropolitana, Lima, 15007, Perú</t>
  </si>
  <si>
    <t>Satuchi, Santa Anita, Lima Metropolitana, Lima, 15008, Perú</t>
  </si>
  <si>
    <t>Avenida Francisco Bolognesi, 1082, Santa Anita, Lima Metropolitana, Lima, 15008, Perú, (RUTA DESVIO TEM.  4507)</t>
  </si>
  <si>
    <t>Avenida Francisco Bolognesi, Santa Anita, Lima Metropolitana, Lima, 15008, Perú, (RUTA DESVIO TEM.  4507)</t>
  </si>
  <si>
    <t>Avenida Nicolás de Ayllón, El Agustino, Lima Metropolitana, Lima, 15002, Perú, (Ruta4507nueva era 23-10-23, RUTA DESVIO TEM.  4507)</t>
  </si>
  <si>
    <t>Calle Andrés Avelino Cáceres, El Agustino, Lima Metropolitana, Lima, 15004, Perú</t>
  </si>
  <si>
    <t>Avenida José de la Riva Aguero, El Agustino, Lima Metropolitana, Lima, 15004, Perú</t>
  </si>
  <si>
    <t>Avenida Almirante Miguel Grau, 171, Lima, Lima Metropolitana, Lima, 15001, Perú, (Ruta4507nueva era 23-10-23)</t>
  </si>
  <si>
    <t>Avenida Almirante Miguel Grau, 354, Lima, Lima Metropolitana, Lima, 15001, Perú, (Ruta4507nueva era 23-10-23)</t>
  </si>
  <si>
    <t>Avenida Almirante Miguel Grau, 1294, Lima, Lima Metropolitana, Lima, 15011, Perú, (Ruta4507nueva era 23-10-23)</t>
  </si>
  <si>
    <t>Avenida Almirante Miguel Grau, 1499, Lima, Lima Metropolitana, Lima, 15011, Perú, (Ruta4507nueva era 23-10-23)</t>
  </si>
  <si>
    <t>Prolongación Avenida San Pablo, Lima, Lima Metropolitana, Lima, 15011, Perú, (Ruta4507nueva era 23-10-23)</t>
  </si>
  <si>
    <t>Avenida Nicolás de Ayllón, San Luis, Lima Metropolitana, Lima, 15019, Perú, (Ruta4507nueva era 23-10-23)</t>
  </si>
  <si>
    <t>Calle Santa Luisa, 2142, Ate, Lima Metropolitana, Lima, 15002, Perú, (Ruta4507nueva era 23-10-23, RUTA DESVIO TEM.  4507)</t>
  </si>
  <si>
    <t>Avenida Los Cipreses, Santa Anita, Lima Metropolitana, Lima, 15008, Perú, (RUTA DESVIO TEM.  4507)</t>
  </si>
  <si>
    <t>Vía de Evitamiento, Santa Anita, Lima Metropolitana, Lima, 15002, Perú, (RUTA DESVIO TEM.  4507)</t>
  </si>
  <si>
    <t>Víctor Raúl Haya de la Torre, Ate, Lima Metropolitana, Lima, 15498, Perú, (Ruta4507nueva era 23-10-23)</t>
  </si>
  <si>
    <t>Avenida Nicolás de Ayllón, 4770, Ate, Lima Metropolitana, Lima, 15498, Perú, (Ruta4507nueva era 23-10-23)</t>
  </si>
  <si>
    <t>Prolongación Javier Prado Este, Ate, Lima Metropolitana, Lima, 15498, Perú, (Ruta4507nueva era 23-10-23, RUTA DESVIO TEM.  4507)</t>
  </si>
  <si>
    <t>Prolongación Javier Prado Este, Ate, Lima Metropolitana, Lima, 15498, Perú, (Ruta4507nueva era 23-10-23)</t>
  </si>
  <si>
    <t>Víctor Raúl Haya de la Torre, Ate, Lima Metropolitana, Lima, 15498, Perú</t>
  </si>
  <si>
    <t>Avenida Nicolás de Ayllón, 15498, Ate, Lima Metropolitana, Lima, 15498, Perú, (Ruta4507nueva era 23-10-23, RUTA DESVIO TEM.  4507)</t>
  </si>
  <si>
    <t>Avenida Nicolás de Ayllón, 5880, Ate, Lima Metropolitana, Lima, 15498, Perú, (S05Vitarte/ ALT. Hospital, Ruta4507nueva era 23-10-23)</t>
  </si>
  <si>
    <t>Avenida Esperanza, Ate, Lima Metropolitana, Lima, 15487, Perú, (Ruta4507nueva era 23-10-23)</t>
  </si>
  <si>
    <t>Calle José Gálvez, Ate, Lima Metropolitana, Lima, 15487, Perú, (Ruta4507nueva era 23-10-23)</t>
  </si>
  <si>
    <t>Jirón Tacna, 430, Chosica, Lima Metropolitana, Lima, 15468, Perú</t>
  </si>
  <si>
    <t>Jirón Tacna, 430, Chosica, Lima Metropolitana, Lima, 15468, Perú, (Ruta4507nueva era 23-10-23)</t>
  </si>
  <si>
    <t>Avenida Lima Sur, 1471, Chosica, Lima Metropolitana, Lima, 15468, Perú, (Ruta4507nueva era 23-10-23)</t>
  </si>
  <si>
    <t>Avenida Alfonso Ugarte, 650, Lima, Lima Metropolitana, Lima, 15082, Perú, (Ruta4507nueva era 23-10-23)</t>
  </si>
  <si>
    <t>Calle Abraham Valdelomar, 108, Ricardo Palma, Huarochirí, Lima, 15468, Perú</t>
  </si>
  <si>
    <t>Abraham Valdelomar, Ricardo Palma, Huarochirí, Lima, 15468, Perú</t>
  </si>
  <si>
    <t>Calle Córdova, 103, Ricardo Palma, Huarochirí, Lima, 15468, Perú, (Ruta4507nueva era 23-10-23)</t>
  </si>
  <si>
    <t>Ricardo Palma, Huarochirí, Lima, 15468, Perú, (Exceso de Velocidad)</t>
  </si>
  <si>
    <t>Jose Carlos Mariátegui, Ricardo Palma, Lima Metropolitana, Lima, 15468, Perú, (Exceso de Velocidad)</t>
  </si>
  <si>
    <t>Jirón Trujillo Sur, 378, Chosica, Lima Metropolitana, Lima, 15468, Perú, (Ruta4507nueva era 23-10-23)</t>
  </si>
  <si>
    <t>Avenida 26 de Julio, Ate, Lima Metropolitana, Lima, 15019, Perú</t>
  </si>
  <si>
    <t>Pasaje Gould, Lima, Lima Metropolitana, Lima, 15082, Perú, (PARADERO DESTINO ASCOPE)</t>
  </si>
  <si>
    <t>Avenida Nicolás de Ayllón, 2950, Ate, Lima Metropolitana, Lima, 15008, Perú, (Ruta4507nueva era 23-10-23)</t>
  </si>
  <si>
    <t>Avenida Nicolás de Ayllón, C 32, Ate, Lima Metropolitana, Lima, 15008, Perú, (Ruta4507nueva era 23-10-23)</t>
  </si>
  <si>
    <t>Avenida Simón Bolivar, Ate, Lima Metropolitana, Lima, 15498, Perú</t>
  </si>
  <si>
    <t>Jirón Huarochirí, 643, Lima, Lima Metropolitana, Lima, 15082, Perú</t>
  </si>
  <si>
    <t>Avenida Óscar Raimundo Benavides, 150, Lima, Lima Metropolitana, Lima, 15082, Perú</t>
  </si>
  <si>
    <t>Calle José De La Torres Ugarte, Ate, Lima Metropolitana, Lima, 15487, Perú</t>
  </si>
  <si>
    <t>Calle Villa Sol, Lurín, Lima Metropolitana, Lima, 15841, Perú</t>
  </si>
  <si>
    <t>Avenida Panamericana Sur, Las Salinas, Cañete, Lima, 15870, Perú</t>
  </si>
  <si>
    <t>Los Ángeles de San Antonio, Cañete, Lima, 15608, Perú</t>
  </si>
  <si>
    <t>Carretera Panamericana Sur, Chilca, Lima Metropolitana, Lima, 15956, Perú</t>
  </si>
  <si>
    <t>Almirante Miguel Grau, Ate, Lima Metropolitana, Lima, 15487, Perú</t>
  </si>
  <si>
    <t>Avenida La Estrella, Ate, Lima Metropolitana, Lima, 15487, Perú</t>
  </si>
  <si>
    <t>Calle Junín, Ate, Lima Metropolitana, Lima, 15487, Perú</t>
  </si>
  <si>
    <t>Avenida Río Perene, Ate, Lima Metropolitana, Lima, 15498, Perú</t>
  </si>
  <si>
    <t>Jirón Zorritos, 612, Lima, Lima Metropolitana, Lima, 15082, Perú</t>
  </si>
  <si>
    <t>Calle Nova, Ate, Lima Metropolitana, Lima, 15498, Perú</t>
  </si>
  <si>
    <t>Ciclovía Colonial, Lima, Lima Metropolitana, Lima, 15082, Perú, (Ruta4507nueva era 23-10-23)</t>
  </si>
  <si>
    <t>Jirón Junín, El Agustino, Lima Metropolitana, Lima, 15003, Perú</t>
  </si>
  <si>
    <t>Avenida Andrés Avelino Cáceres, Frnt. 34, Ate, Lima Metropolitana, Lima, 15483, Perú</t>
  </si>
  <si>
    <t>Jirón Cornelio Borda, Breña, Lima Metropolitana, Lima, 15082, Perú, (Ruta4507nueva era 23-10-23)</t>
  </si>
  <si>
    <t>Avenida 9 de Diciembre, 150, Lima, Lima Metropolitana, Lima, 15083, Perú, (Ruta4507nueva era 23-10-23)</t>
  </si>
  <si>
    <t>Avenida Jaime Zubieta Calderón, Ate, Lima Metropolitana, Lima, 15483, Perú</t>
  </si>
  <si>
    <t>Carretera Central, Ate, Lima Metropolitana, Lima, 15483, Perú</t>
  </si>
  <si>
    <t>Ricardo Palma, Huarochirí, Lima, 15468, Perú</t>
  </si>
  <si>
    <t>Avenida Alfonso Cobián, Chaclacayo, Lima Metropolitana, Lima, 15476, Perú</t>
  </si>
  <si>
    <t>Jirón Los Próceres, Santa Eulalia, Huarochirí, Lima, 15468, Perú</t>
  </si>
  <si>
    <t>Jirón Los Próceres, Santa Eulalia, Huarochirí, Lima, 15468, Perú, (Ruta4507nueva era 23-10-23)</t>
  </si>
  <si>
    <t>Avenida Unión, Chaclacayo, Lima Metropolitana, Lima, 15474, Perú, (S07ÑAÑA, Ruta4507nueva era 23-10-23)</t>
  </si>
  <si>
    <t>Jirón Cornelio Borda, Lima, Lima Metropolitana, Lima, 15082, Perú</t>
  </si>
  <si>
    <t>Pasaje 9 de Setiembre, Ate, Lima Metropolitana, Lima, 15008, Perú, (Ruta4507nueva era 23-10-23)</t>
  </si>
  <si>
    <t>Ate, Lima Metropolitana, Lima, 15009, Perú, (Ruta4507nueva era 23-10-23)</t>
  </si>
  <si>
    <t>Avenida Almirante Miguel Grau, 619, Lima, Lima Metropolitana, Lima, 15001, Perú, (S02 AV.GRAU/ JR ANDAHUAYLAS, Ruta4507nueva era 23-10-23)</t>
  </si>
  <si>
    <t>Metropolitano, Lima, Lima Metropolitana, Lima, 15001, Perú, (Ruta4507nueva era 23-10-23)</t>
  </si>
  <si>
    <t>Avenida Almirante Miguel Grau, 179, Lima, Lima Metropolitana, Lima, 15001, Perú, (Ruta4507nueva era 23-10-23)</t>
  </si>
  <si>
    <t>Jirón Huarochirí, Lima, Lima Metropolitana, Lima, 15082, Perú</t>
  </si>
  <si>
    <t>Avenida Nicolás Ayllón, Chaclacayo, Lima Metropolitana, Lima, 15472, Perú</t>
  </si>
  <si>
    <t>Avenida José Carlos Mariátegui, Ate, Lima Metropolitana, Lima, 15483, Perú</t>
  </si>
  <si>
    <t>Avenida Almirante Miguel Grau, 351, La Victoria, Lima Metropolitana, Lima, 15001, Perú</t>
  </si>
  <si>
    <t>Avenida San Martín, Santa Eulalia, Huarochirí, Lima, 15468, Perú</t>
  </si>
  <si>
    <t>Avenida Malecón Manco Cápac, 24500, Lurigancho, Lima Metropolitana, Lima, 15472, Perú</t>
  </si>
  <si>
    <t>Vía de Evitamiento, Santa Anita, Lima Metropolitana, Lima, 15008, Perú, (Ruta4507nueva era 23-10-23)</t>
  </si>
  <si>
    <t>Avenida 15 de Julio, Ate, Lima Metropolitana, Lima, 15483, Perú</t>
  </si>
  <si>
    <t>Avenida Colectora, Ate, Lima Metropolitana, Lima, 15483, Perú</t>
  </si>
  <si>
    <t>Avenida Lima Norte, Santa Eulalia, Huarochirí, Lima, 15468, Perú</t>
  </si>
  <si>
    <t>96 km/h</t>
  </si>
  <si>
    <t>Calle 20 de Enero, Santa Eulalia, Huarochirí, Lima, 15468, Perú</t>
  </si>
  <si>
    <t>Alameda E, Chaclacayo, Lima Metropolitana, Lima, 15476, Perú</t>
  </si>
  <si>
    <t>Simón Bolívar, Ricardo Palma, Huarochirí, Lima, 15468, Perú, (TALLER TRASANDINO)</t>
  </si>
  <si>
    <t>Avenida Palomar Sur, Santa Eulalia, Huarochirí, Lima, 15468, Perú</t>
  </si>
  <si>
    <t>Ricardo Palma, Huarochirí, Lima, 15500, Perú</t>
  </si>
  <si>
    <t>Simón Bolívar, Ricardo Palma, Huarochirí, Lima, 15468, Perú, (TALLER TRASANDINO, Ruta4507nueva era 23-10-23)</t>
  </si>
  <si>
    <t>Calle Alhelíes, Chaclacayo, Lima Metropolitana, Lima, 15476, Perú</t>
  </si>
  <si>
    <t>Avenida Alameda, Ate, Lima Metropolitana, Lima, 15483, Perú</t>
  </si>
  <si>
    <t>Calle Salaverry, 280, Chosica, Lima Metropolitana, Lima, 15468, Perú, (Ruta4507nueva era 23-10-23)</t>
  </si>
  <si>
    <t>Jirón Industrial, 477, Ate, Lima Metropolitana, Lima, 15498, Perú</t>
  </si>
  <si>
    <t>Avenida Nicolás Ayllón, 582-598, Chaclacayo, Lima Metropolitana, Lima, 15472, Perú, (Ruta4507nueva era 23-10-23)</t>
  </si>
  <si>
    <t>Carretera Central, Lurigancho, Lima Metropolitana, Lima, 15483, Perú, (Ruta4507nueva era 23-10-23)</t>
  </si>
  <si>
    <t>Carretera Central, Lurigancho, Lima Metropolitana, Lima, 15483, Perú</t>
  </si>
  <si>
    <t>Avenida Andrés Avelino Cáceres, 324, Ate, Lima Metropolitana, Lima, 15019, Perú</t>
  </si>
  <si>
    <t>Calle 8, Ate, Lima Metropolitana, Lima, 15483, Perú</t>
  </si>
  <si>
    <t>104 km/h</t>
  </si>
  <si>
    <t>Calle 5, Chaclacayo, Lima Metropolitana, Lima, 15474,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</si>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</sst>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338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421</v>
      </c>
      <c r="B8" s="3">
        <v>45710.232199074075</v>
      </c>
      <c r="C8" t="s">
        <v>18</v>
      </c>
      <c r="D8" s="3">
        <v>45710.842314814814</v>
      </c>
      <c r="E8" t="s">
        <v>18</v>
      </c>
      <c r="F8" s="4">
        <v>182.185</v>
      </c>
      <c r="G8" s="4">
        <v>515937.652</v>
      </c>
      <c r="H8" s="4">
        <v>516119.837</v>
      </c>
      <c r="I8" s="5">
        <f>10565 / 86400</f>
        <v>0.12228009259259259</v>
      </c>
      <c r="J8" t="s">
        <v>19</v>
      </c>
      <c r="K8" t="s">
        <v>20</v>
      </c>
      <c r="L8" s="5">
        <f>36165 / 86400</f>
        <v>0.41857638888888887</v>
      </c>
      <c r="M8" s="5">
        <f>50229 / 86400</f>
        <v>0.58135416666666662</v>
      </c>
    </row>
    <row r="9" spans="1:13" x14ac:dyDescent="0.25">
      <c r="A9" t="s">
        <v>422</v>
      </c>
      <c r="B9" s="3">
        <v>45710.324618055558</v>
      </c>
      <c r="C9" t="s">
        <v>21</v>
      </c>
      <c r="D9" s="3">
        <v>45710.915763888886</v>
      </c>
      <c r="E9" t="s">
        <v>22</v>
      </c>
      <c r="F9" s="4">
        <v>225.126</v>
      </c>
      <c r="G9" s="4">
        <v>329957.53399999999</v>
      </c>
      <c r="H9" s="4">
        <v>330182.66100000002</v>
      </c>
      <c r="I9" s="5">
        <f>14014 / 86400</f>
        <v>0.16219907407407408</v>
      </c>
      <c r="J9" t="s">
        <v>23</v>
      </c>
      <c r="K9" t="s">
        <v>20</v>
      </c>
      <c r="L9" s="5">
        <f>44942 / 86400</f>
        <v>0.52016203703703701</v>
      </c>
      <c r="M9" s="5">
        <f>41451 / 86400</f>
        <v>0.47975694444444444</v>
      </c>
    </row>
    <row r="10" spans="1:13" x14ac:dyDescent="0.25">
      <c r="A10" t="s">
        <v>423</v>
      </c>
      <c r="B10" s="3">
        <v>45710.313587962963</v>
      </c>
      <c r="C10" t="s">
        <v>24</v>
      </c>
      <c r="D10" s="3">
        <v>45710.869479166664</v>
      </c>
      <c r="E10" t="s">
        <v>24</v>
      </c>
      <c r="F10" s="4">
        <v>160.06299999999999</v>
      </c>
      <c r="G10" s="4">
        <v>21804.253000000001</v>
      </c>
      <c r="H10" s="4">
        <v>21964.315999999999</v>
      </c>
      <c r="I10" s="5">
        <f>17101 / 86400</f>
        <v>0.19792824074074075</v>
      </c>
      <c r="J10" t="s">
        <v>25</v>
      </c>
      <c r="K10" t="s">
        <v>26</v>
      </c>
      <c r="L10" s="5">
        <f>42231 / 86400</f>
        <v>0.48878472222222225</v>
      </c>
      <c r="M10" s="5">
        <f>44164 / 86400</f>
        <v>0.51115740740740745</v>
      </c>
    </row>
    <row r="11" spans="1:13" x14ac:dyDescent="0.25">
      <c r="A11" t="s">
        <v>424</v>
      </c>
      <c r="B11" s="3">
        <v>45710.239675925928</v>
      </c>
      <c r="C11" t="s">
        <v>27</v>
      </c>
      <c r="D11" s="3">
        <v>45710.92460648148</v>
      </c>
      <c r="E11" t="s">
        <v>27</v>
      </c>
      <c r="F11" s="4">
        <v>226.036</v>
      </c>
      <c r="G11" s="4">
        <v>514880.32299999997</v>
      </c>
      <c r="H11" s="4">
        <v>515106.359</v>
      </c>
      <c r="I11" s="5">
        <f>15315 / 86400</f>
        <v>0.17725694444444445</v>
      </c>
      <c r="J11" t="s">
        <v>28</v>
      </c>
      <c r="K11" t="s">
        <v>29</v>
      </c>
      <c r="L11" s="5">
        <f>48107 / 86400</f>
        <v>0.55679398148148151</v>
      </c>
      <c r="M11" s="5">
        <f>38286 / 86400</f>
        <v>0.44312499999999999</v>
      </c>
    </row>
    <row r="12" spans="1:13" x14ac:dyDescent="0.25">
      <c r="A12" t="s">
        <v>425</v>
      </c>
      <c r="B12" s="3">
        <v>45710.335243055553</v>
      </c>
      <c r="C12" t="s">
        <v>24</v>
      </c>
      <c r="D12" s="3">
        <v>45710.797743055555</v>
      </c>
      <c r="E12" t="s">
        <v>24</v>
      </c>
      <c r="F12" s="4">
        <v>2.8630000000000004</v>
      </c>
      <c r="G12" s="4">
        <v>93376.160999999993</v>
      </c>
      <c r="H12" s="4">
        <v>93379.024000000005</v>
      </c>
      <c r="I12" s="5">
        <f>1018 / 86400</f>
        <v>1.1782407407407408E-2</v>
      </c>
      <c r="J12" t="s">
        <v>30</v>
      </c>
      <c r="K12" t="s">
        <v>31</v>
      </c>
      <c r="L12" s="5">
        <f>1820 / 86400</f>
        <v>2.1064814814814814E-2</v>
      </c>
      <c r="M12" s="5">
        <f>84577 / 86400</f>
        <v>0.97890046296296296</v>
      </c>
    </row>
    <row r="13" spans="1:13" x14ac:dyDescent="0.25">
      <c r="A13" t="s">
        <v>426</v>
      </c>
      <c r="B13" s="3">
        <v>45710.231909722221</v>
      </c>
      <c r="C13" t="s">
        <v>18</v>
      </c>
      <c r="D13" s="3">
        <v>45710.876469907409</v>
      </c>
      <c r="E13" t="s">
        <v>18</v>
      </c>
      <c r="F13" s="4">
        <v>211.25300000000001</v>
      </c>
      <c r="G13" s="4">
        <v>139899.84099999999</v>
      </c>
      <c r="H13" s="4">
        <v>140111.09400000001</v>
      </c>
      <c r="I13" s="5">
        <f>17493 / 86400</f>
        <v>0.20246527777777779</v>
      </c>
      <c r="J13" t="s">
        <v>32</v>
      </c>
      <c r="K13" t="s">
        <v>33</v>
      </c>
      <c r="L13" s="5">
        <f>48293 / 86400</f>
        <v>0.5589467592592593</v>
      </c>
      <c r="M13" s="5">
        <f>38102 / 86400</f>
        <v>0.44099537037037034</v>
      </c>
    </row>
    <row r="14" spans="1:13" x14ac:dyDescent="0.25">
      <c r="A14" t="s">
        <v>427</v>
      </c>
      <c r="B14" s="3">
        <v>45710.319965277777</v>
      </c>
      <c r="C14" t="s">
        <v>34</v>
      </c>
      <c r="D14" s="3">
        <v>45710.99998842593</v>
      </c>
      <c r="E14" t="s">
        <v>35</v>
      </c>
      <c r="F14" s="4">
        <v>209.17500226318836</v>
      </c>
      <c r="G14" s="4">
        <v>349769.01542083401</v>
      </c>
      <c r="H14" s="4">
        <v>349993.66663391679</v>
      </c>
      <c r="I14" s="5">
        <f>0 / 86400</f>
        <v>0</v>
      </c>
      <c r="J14" t="s">
        <v>36</v>
      </c>
      <c r="K14" t="s">
        <v>37</v>
      </c>
      <c r="L14" s="5">
        <f>34872 / 86400</f>
        <v>0.40361111111111109</v>
      </c>
      <c r="M14" s="5">
        <f>51527 / 86400</f>
        <v>0.59637731481481482</v>
      </c>
    </row>
    <row r="15" spans="1:13" x14ac:dyDescent="0.25">
      <c r="A15" t="s">
        <v>428</v>
      </c>
      <c r="B15" s="3">
        <v>45710.168136574073</v>
      </c>
      <c r="C15" t="s">
        <v>38</v>
      </c>
      <c r="D15" s="3">
        <v>45710.598159722227</v>
      </c>
      <c r="E15" t="s">
        <v>38</v>
      </c>
      <c r="F15" s="4">
        <v>164.56299999999999</v>
      </c>
      <c r="G15" s="4">
        <v>485351.48499999999</v>
      </c>
      <c r="H15" s="4">
        <v>485516.04800000001</v>
      </c>
      <c r="I15" s="5">
        <f>12222 / 86400</f>
        <v>0.14145833333333332</v>
      </c>
      <c r="J15" t="s">
        <v>25</v>
      </c>
      <c r="K15" t="s">
        <v>33</v>
      </c>
      <c r="L15" s="5">
        <f>35939 / 86400</f>
        <v>0.41596064814814815</v>
      </c>
      <c r="M15" s="5">
        <f>50458 / 86400</f>
        <v>0.58400462962962962</v>
      </c>
    </row>
    <row r="16" spans="1:13" x14ac:dyDescent="0.25">
      <c r="A16" t="s">
        <v>429</v>
      </c>
      <c r="B16" s="3">
        <v>45710.275335648148</v>
      </c>
      <c r="C16" t="s">
        <v>39</v>
      </c>
      <c r="D16" s="3">
        <v>45710.90315972222</v>
      </c>
      <c r="E16" t="s">
        <v>40</v>
      </c>
      <c r="F16" s="4">
        <v>202</v>
      </c>
      <c r="G16" s="4">
        <v>509768.24200000003</v>
      </c>
      <c r="H16" s="4">
        <v>509970.24200000003</v>
      </c>
      <c r="I16" s="5">
        <f>17540 / 86400</f>
        <v>0.20300925925925925</v>
      </c>
      <c r="J16" t="s">
        <v>41</v>
      </c>
      <c r="K16" t="s">
        <v>42</v>
      </c>
      <c r="L16" s="5">
        <f>49599 / 86400</f>
        <v>0.57406250000000003</v>
      </c>
      <c r="M16" s="5">
        <f>36796 / 86400</f>
        <v>0.42587962962962961</v>
      </c>
    </row>
    <row r="17" spans="1:13" x14ac:dyDescent="0.25">
      <c r="A17" t="s">
        <v>430</v>
      </c>
      <c r="B17" s="3">
        <v>45710.237581018519</v>
      </c>
      <c r="C17" t="s">
        <v>43</v>
      </c>
      <c r="D17" s="3">
        <v>45710.968946759254</v>
      </c>
      <c r="E17" t="s">
        <v>43</v>
      </c>
      <c r="F17" s="4">
        <v>197.27199999999999</v>
      </c>
      <c r="G17" s="4">
        <v>408976.842</v>
      </c>
      <c r="H17" s="4">
        <v>409174.22200000001</v>
      </c>
      <c r="I17" s="5">
        <f>21513 / 86400</f>
        <v>0.24899305555555556</v>
      </c>
      <c r="J17" t="s">
        <v>44</v>
      </c>
      <c r="K17" t="s">
        <v>45</v>
      </c>
      <c r="L17" s="5">
        <f>52863 / 86400</f>
        <v>0.61184027777777783</v>
      </c>
      <c r="M17" s="5">
        <f>33530 / 86400</f>
        <v>0.38807870370370373</v>
      </c>
    </row>
    <row r="18" spans="1:13" x14ac:dyDescent="0.25">
      <c r="A18" t="s">
        <v>431</v>
      </c>
      <c r="B18" s="3">
        <v>45710.276909722219</v>
      </c>
      <c r="C18" t="s">
        <v>46</v>
      </c>
      <c r="D18" s="3">
        <v>45710.807187500002</v>
      </c>
      <c r="E18" t="s">
        <v>46</v>
      </c>
      <c r="F18" s="4">
        <v>104.26299999999999</v>
      </c>
      <c r="G18" s="4">
        <v>438801.42300000001</v>
      </c>
      <c r="H18" s="4">
        <v>438905.68599999999</v>
      </c>
      <c r="I18" s="5">
        <f>7372 / 86400</f>
        <v>8.532407407407408E-2</v>
      </c>
      <c r="J18" t="s">
        <v>47</v>
      </c>
      <c r="K18" t="s">
        <v>29</v>
      </c>
      <c r="L18" s="5">
        <f>22746 / 86400</f>
        <v>0.26326388888888891</v>
      </c>
      <c r="M18" s="5">
        <f>63649 / 86400</f>
        <v>0.73667824074074073</v>
      </c>
    </row>
    <row r="19" spans="1:13" x14ac:dyDescent="0.25">
      <c r="A19" t="s">
        <v>432</v>
      </c>
      <c r="B19" s="3">
        <v>45710.20722222222</v>
      </c>
      <c r="C19" t="s">
        <v>48</v>
      </c>
      <c r="D19" s="3">
        <v>45710.947847222225</v>
      </c>
      <c r="E19" t="s">
        <v>40</v>
      </c>
      <c r="F19" s="4">
        <v>278.209</v>
      </c>
      <c r="G19" s="4">
        <v>56182.945</v>
      </c>
      <c r="H19" s="4">
        <v>56461.154000000002</v>
      </c>
      <c r="I19" s="5">
        <f>17994 / 86400</f>
        <v>0.20826388888888889</v>
      </c>
      <c r="J19" t="s">
        <v>49</v>
      </c>
      <c r="K19" t="s">
        <v>29</v>
      </c>
      <c r="L19" s="5">
        <f>57818 / 86400</f>
        <v>0.66918981481481477</v>
      </c>
      <c r="M19" s="5">
        <f>28578 / 86400</f>
        <v>0.33076388888888891</v>
      </c>
    </row>
    <row r="20" spans="1:13" x14ac:dyDescent="0.25">
      <c r="A20" t="s">
        <v>433</v>
      </c>
      <c r="B20" s="3">
        <v>45710.199537037042</v>
      </c>
      <c r="C20" t="s">
        <v>50</v>
      </c>
      <c r="D20" s="3">
        <v>45710.408506944441</v>
      </c>
      <c r="E20" t="s">
        <v>51</v>
      </c>
      <c r="F20" s="4">
        <v>47.251000000000005</v>
      </c>
      <c r="G20" s="4">
        <v>217341.29699999999</v>
      </c>
      <c r="H20" s="4">
        <v>217388.54800000001</v>
      </c>
      <c r="I20" s="5">
        <f>5274 / 86400</f>
        <v>6.1041666666666668E-2</v>
      </c>
      <c r="J20" t="s">
        <v>41</v>
      </c>
      <c r="K20" t="s">
        <v>26</v>
      </c>
      <c r="L20" s="5">
        <f>11760 / 86400</f>
        <v>0.1361111111111111</v>
      </c>
      <c r="M20" s="5">
        <f>74633 / 86400</f>
        <v>0.86380787037037032</v>
      </c>
    </row>
    <row r="21" spans="1:13" x14ac:dyDescent="0.25">
      <c r="A21" t="s">
        <v>434</v>
      </c>
      <c r="B21" s="3">
        <v>45710.27511574074</v>
      </c>
      <c r="C21" t="s">
        <v>52</v>
      </c>
      <c r="D21" s="3">
        <v>45710.834560185191</v>
      </c>
      <c r="E21" t="s">
        <v>52</v>
      </c>
      <c r="F21" s="4">
        <v>167.16200000005961</v>
      </c>
      <c r="G21" s="4">
        <v>526730.07499999995</v>
      </c>
      <c r="H21" s="4">
        <v>526897.24</v>
      </c>
      <c r="I21" s="5">
        <f>15520 / 86400</f>
        <v>0.17962962962962964</v>
      </c>
      <c r="J21" t="s">
        <v>53</v>
      </c>
      <c r="K21" t="s">
        <v>42</v>
      </c>
      <c r="L21" s="5">
        <f>41175 / 86400</f>
        <v>0.4765625</v>
      </c>
      <c r="M21" s="5">
        <f>45222 / 86400</f>
        <v>0.52340277777777777</v>
      </c>
    </row>
    <row r="22" spans="1:13" x14ac:dyDescent="0.25">
      <c r="A22" t="s">
        <v>435</v>
      </c>
      <c r="B22" s="3">
        <v>45710.328900462962</v>
      </c>
      <c r="C22" t="s">
        <v>54</v>
      </c>
      <c r="D22" s="3">
        <v>45710.885682870372</v>
      </c>
      <c r="E22" t="s">
        <v>54</v>
      </c>
      <c r="F22" s="4">
        <v>197.03399999999999</v>
      </c>
      <c r="G22" s="4">
        <v>346435.61200000002</v>
      </c>
      <c r="H22" s="4">
        <v>346632.64600000001</v>
      </c>
      <c r="I22" s="5">
        <f>6018 / 86400</f>
        <v>6.9652777777777772E-2</v>
      </c>
      <c r="J22" t="s">
        <v>55</v>
      </c>
      <c r="K22" t="s">
        <v>56</v>
      </c>
      <c r="L22" s="5">
        <f>25094 / 86400</f>
        <v>0.29043981481481479</v>
      </c>
      <c r="M22" s="5">
        <f>61299 / 86400</f>
        <v>0.70947916666666666</v>
      </c>
    </row>
    <row r="23" spans="1:13" x14ac:dyDescent="0.25">
      <c r="A23" t="s">
        <v>436</v>
      </c>
      <c r="B23" s="3">
        <v>45710.251759259263</v>
      </c>
      <c r="C23" t="s">
        <v>57</v>
      </c>
      <c r="D23" s="3">
        <v>45710.820254629631</v>
      </c>
      <c r="E23" t="s">
        <v>57</v>
      </c>
      <c r="F23" s="4">
        <v>122.42100000000001</v>
      </c>
      <c r="G23" s="4">
        <v>427023.75099999999</v>
      </c>
      <c r="H23" s="4">
        <v>427146.17200000002</v>
      </c>
      <c r="I23" s="5">
        <f>10234 / 86400</f>
        <v>0.11844907407407407</v>
      </c>
      <c r="J23" t="s">
        <v>58</v>
      </c>
      <c r="K23" t="s">
        <v>42</v>
      </c>
      <c r="L23" s="5">
        <f>29301 / 86400</f>
        <v>0.33913194444444444</v>
      </c>
      <c r="M23" s="5">
        <f>57094 / 86400</f>
        <v>0.66081018518518519</v>
      </c>
    </row>
    <row r="24" spans="1:13" x14ac:dyDescent="0.25">
      <c r="A24" t="s">
        <v>437</v>
      </c>
      <c r="B24" s="3">
        <v>45710.225983796292</v>
      </c>
      <c r="C24" t="s">
        <v>24</v>
      </c>
      <c r="D24" s="3">
        <v>45710.779548611114</v>
      </c>
      <c r="E24" t="s">
        <v>24</v>
      </c>
      <c r="F24" s="4">
        <v>186.62200000000001</v>
      </c>
      <c r="G24" s="4">
        <v>14112.661</v>
      </c>
      <c r="H24" s="4">
        <v>14299.282999999999</v>
      </c>
      <c r="I24" s="5">
        <f>18512 / 86400</f>
        <v>0.21425925925925926</v>
      </c>
      <c r="J24" t="s">
        <v>59</v>
      </c>
      <c r="K24" t="s">
        <v>42</v>
      </c>
      <c r="L24" s="5">
        <f>44041 / 86400</f>
        <v>0.50973379629629634</v>
      </c>
      <c r="M24" s="5">
        <f>42353 / 86400</f>
        <v>0.49019675925925926</v>
      </c>
    </row>
    <row r="25" spans="1:13" x14ac:dyDescent="0.25">
      <c r="A25" t="s">
        <v>438</v>
      </c>
      <c r="B25" s="3">
        <v>45710.226030092592</v>
      </c>
      <c r="C25" t="s">
        <v>24</v>
      </c>
      <c r="D25" s="3">
        <v>45710.823472222226</v>
      </c>
      <c r="E25" t="s">
        <v>24</v>
      </c>
      <c r="F25" s="4">
        <v>129.953</v>
      </c>
      <c r="G25" s="4">
        <v>6824.1459999999997</v>
      </c>
      <c r="H25" s="4">
        <v>6954.0990000000002</v>
      </c>
      <c r="I25" s="5">
        <f>20473 / 86400</f>
        <v>0.23695601851851852</v>
      </c>
      <c r="J25" t="s">
        <v>60</v>
      </c>
      <c r="K25" t="s">
        <v>61</v>
      </c>
      <c r="L25" s="5">
        <f>40716 / 86400</f>
        <v>0.47125</v>
      </c>
      <c r="M25" s="5">
        <f>45681 / 86400</f>
        <v>0.52871527777777783</v>
      </c>
    </row>
    <row r="26" spans="1:13" x14ac:dyDescent="0.25">
      <c r="A26" t="s">
        <v>439</v>
      </c>
      <c r="B26" s="3">
        <v>45710.212916666671</v>
      </c>
      <c r="C26" t="s">
        <v>38</v>
      </c>
      <c r="D26" s="3">
        <v>45710.711527777778</v>
      </c>
      <c r="E26" t="s">
        <v>38</v>
      </c>
      <c r="F26" s="4">
        <v>196.17600000000002</v>
      </c>
      <c r="G26" s="4">
        <v>388376.72899999999</v>
      </c>
      <c r="H26" s="4">
        <v>388572.90500000003</v>
      </c>
      <c r="I26" s="5">
        <f>12031 / 86400</f>
        <v>0.13924768518518518</v>
      </c>
      <c r="J26" t="s">
        <v>44</v>
      </c>
      <c r="K26" t="s">
        <v>20</v>
      </c>
      <c r="L26" s="5">
        <f>38998 / 86400</f>
        <v>0.45136574074074076</v>
      </c>
      <c r="M26" s="5">
        <f>47397 / 86400</f>
        <v>0.54857638888888893</v>
      </c>
    </row>
    <row r="27" spans="1:13" x14ac:dyDescent="0.25">
      <c r="A27" t="s">
        <v>440</v>
      </c>
      <c r="B27" s="3">
        <v>45710.146250000005</v>
      </c>
      <c r="C27" t="s">
        <v>62</v>
      </c>
      <c r="D27" s="3">
        <v>45710.812222222223</v>
      </c>
      <c r="E27" t="s">
        <v>62</v>
      </c>
      <c r="F27" s="4">
        <v>258.04299999994038</v>
      </c>
      <c r="G27" s="4">
        <v>525209.84600000002</v>
      </c>
      <c r="H27" s="4">
        <v>525467.88899999997</v>
      </c>
      <c r="I27" s="5">
        <f>12816 / 86400</f>
        <v>0.14833333333333334</v>
      </c>
      <c r="J27" t="s">
        <v>63</v>
      </c>
      <c r="K27" t="s">
        <v>64</v>
      </c>
      <c r="L27" s="5">
        <f>47219 / 86400</f>
        <v>0.54651620370370368</v>
      </c>
      <c r="M27" s="5">
        <f>39174 / 86400</f>
        <v>0.45340277777777777</v>
      </c>
    </row>
    <row r="28" spans="1:13" x14ac:dyDescent="0.25">
      <c r="A28" t="s">
        <v>441</v>
      </c>
      <c r="B28" s="3">
        <v>45710.388599537036</v>
      </c>
      <c r="C28" t="s">
        <v>65</v>
      </c>
      <c r="D28" s="3">
        <v>45710.99998842593</v>
      </c>
      <c r="E28" t="s">
        <v>66</v>
      </c>
      <c r="F28" s="4">
        <v>199.441</v>
      </c>
      <c r="G28" s="4">
        <v>413047.71500000003</v>
      </c>
      <c r="H28" s="4">
        <v>413247.15600000002</v>
      </c>
      <c r="I28" s="5">
        <f>15350 / 86400</f>
        <v>0.17766203703703703</v>
      </c>
      <c r="J28" t="s">
        <v>67</v>
      </c>
      <c r="K28" t="s">
        <v>42</v>
      </c>
      <c r="L28" s="5">
        <f>47157 / 86400</f>
        <v>0.54579861111111116</v>
      </c>
      <c r="M28" s="5">
        <f>39240 / 86400</f>
        <v>0.45416666666666666</v>
      </c>
    </row>
    <row r="29" spans="1:13" x14ac:dyDescent="0.25">
      <c r="A29" t="s">
        <v>442</v>
      </c>
      <c r="B29" s="3">
        <v>45710.224340277782</v>
      </c>
      <c r="C29" t="s">
        <v>68</v>
      </c>
      <c r="D29" s="3">
        <v>45710.885277777779</v>
      </c>
      <c r="E29" t="s">
        <v>69</v>
      </c>
      <c r="F29" s="4">
        <v>205.89100000000002</v>
      </c>
      <c r="G29" s="4">
        <v>404347.28600000002</v>
      </c>
      <c r="H29" s="4">
        <v>404553.17700000003</v>
      </c>
      <c r="I29" s="5">
        <f>20051 / 86400</f>
        <v>0.23207175925925927</v>
      </c>
      <c r="J29" t="s">
        <v>70</v>
      </c>
      <c r="K29" t="s">
        <v>26</v>
      </c>
      <c r="L29" s="5">
        <f>51512 / 86400</f>
        <v>0.59620370370370368</v>
      </c>
      <c r="M29" s="5">
        <f>34879 / 86400</f>
        <v>0.40369212962962964</v>
      </c>
    </row>
    <row r="30" spans="1:13" x14ac:dyDescent="0.25">
      <c r="A30" t="s">
        <v>443</v>
      </c>
      <c r="B30" s="3">
        <v>45710.375</v>
      </c>
      <c r="C30" t="s">
        <v>71</v>
      </c>
      <c r="D30" s="3">
        <v>45710.680717592593</v>
      </c>
      <c r="E30" t="s">
        <v>72</v>
      </c>
      <c r="F30" s="4">
        <v>101.586</v>
      </c>
      <c r="G30" s="4">
        <v>408363.00099999999</v>
      </c>
      <c r="H30" s="4">
        <v>408464.587</v>
      </c>
      <c r="I30" s="5">
        <f>8098 / 86400</f>
        <v>9.3726851851851853E-2</v>
      </c>
      <c r="J30" t="s">
        <v>55</v>
      </c>
      <c r="K30" t="s">
        <v>42</v>
      </c>
      <c r="L30" s="5">
        <f>23732 / 86400</f>
        <v>0.27467592592592593</v>
      </c>
      <c r="M30" s="5">
        <f>62662 / 86400</f>
        <v>0.72525462962962961</v>
      </c>
    </row>
    <row r="31" spans="1:13" x14ac:dyDescent="0.25">
      <c r="A31" t="s">
        <v>444</v>
      </c>
      <c r="B31" s="3">
        <v>45710.311527777776</v>
      </c>
      <c r="C31" t="s">
        <v>73</v>
      </c>
      <c r="D31" s="3">
        <v>45710.99998842593</v>
      </c>
      <c r="E31" t="s">
        <v>73</v>
      </c>
      <c r="F31" s="4">
        <v>51.701000000000001</v>
      </c>
      <c r="G31" s="4">
        <v>348895.98599999998</v>
      </c>
      <c r="H31" s="4">
        <v>348947.68699999998</v>
      </c>
      <c r="I31" s="5">
        <f>43937 / 86400</f>
        <v>0.50853009259259263</v>
      </c>
      <c r="J31" t="s">
        <v>74</v>
      </c>
      <c r="K31" t="s">
        <v>75</v>
      </c>
      <c r="L31" s="5">
        <f>52165 / 86400</f>
        <v>0.60376157407407405</v>
      </c>
      <c r="M31" s="5">
        <f>34232 / 86400</f>
        <v>0.39620370370370372</v>
      </c>
    </row>
    <row r="32" spans="1:13" x14ac:dyDescent="0.25">
      <c r="A32" t="s">
        <v>445</v>
      </c>
      <c r="B32" s="3">
        <v>45710.87981481482</v>
      </c>
      <c r="C32" t="s">
        <v>76</v>
      </c>
      <c r="D32" s="3">
        <v>45710.880474537036</v>
      </c>
      <c r="E32" t="s">
        <v>76</v>
      </c>
      <c r="F32" s="4">
        <v>1E-3</v>
      </c>
      <c r="G32" s="4">
        <v>42848.311000000002</v>
      </c>
      <c r="H32" s="4">
        <v>42848.311999999998</v>
      </c>
      <c r="I32" s="5">
        <f>39 / 86400</f>
        <v>4.5138888888888887E-4</v>
      </c>
      <c r="J32" t="s">
        <v>77</v>
      </c>
      <c r="K32" t="s">
        <v>77</v>
      </c>
      <c r="L32" s="5">
        <f>57 / 86400</f>
        <v>6.5972222222222224E-4</v>
      </c>
      <c r="M32" s="5">
        <f>86342 / 86400</f>
        <v>0.99932870370370375</v>
      </c>
    </row>
    <row r="33" spans="1:13" x14ac:dyDescent="0.25">
      <c r="A33" t="s">
        <v>446</v>
      </c>
      <c r="B33" s="3">
        <v>45710.250601851847</v>
      </c>
      <c r="C33" t="s">
        <v>38</v>
      </c>
      <c r="D33" s="3">
        <v>45710.998379629629</v>
      </c>
      <c r="E33" t="s">
        <v>38</v>
      </c>
      <c r="F33" s="4">
        <v>278.64600000000002</v>
      </c>
      <c r="G33" s="4">
        <v>48522.728000000003</v>
      </c>
      <c r="H33" s="4">
        <v>48801.374000000003</v>
      </c>
      <c r="I33" s="5">
        <f>20936 / 86400</f>
        <v>0.24231481481481482</v>
      </c>
      <c r="J33" t="s">
        <v>28</v>
      </c>
      <c r="K33" t="s">
        <v>33</v>
      </c>
      <c r="L33" s="5">
        <f>61049 / 86400</f>
        <v>0.70658564814814817</v>
      </c>
      <c r="M33" s="5">
        <f>25345 / 86400</f>
        <v>0.29334490740740743</v>
      </c>
    </row>
    <row r="34" spans="1:13" x14ac:dyDescent="0.25">
      <c r="A34" t="s">
        <v>447</v>
      </c>
      <c r="B34" s="3">
        <v>45710</v>
      </c>
      <c r="C34" t="s">
        <v>78</v>
      </c>
      <c r="D34" s="3">
        <v>45710.99998842593</v>
      </c>
      <c r="E34" t="s">
        <v>79</v>
      </c>
      <c r="F34" s="4">
        <v>323.57399999988081</v>
      </c>
      <c r="G34" s="4">
        <v>530121.94700000004</v>
      </c>
      <c r="H34" s="4">
        <v>530445.52099999995</v>
      </c>
      <c r="I34" s="5">
        <f>21791 / 86400</f>
        <v>0.25221064814814814</v>
      </c>
      <c r="J34" t="s">
        <v>36</v>
      </c>
      <c r="K34" t="s">
        <v>80</v>
      </c>
      <c r="L34" s="5">
        <f>62017 / 86400</f>
        <v>0.71778935185185189</v>
      </c>
      <c r="M34" s="5">
        <f>24375 / 86400</f>
        <v>0.28211805555555558</v>
      </c>
    </row>
    <row r="35" spans="1:13" x14ac:dyDescent="0.25">
      <c r="A35" t="s">
        <v>448</v>
      </c>
      <c r="B35" s="3">
        <v>45710.21292824074</v>
      </c>
      <c r="C35" t="s">
        <v>38</v>
      </c>
      <c r="D35" s="3">
        <v>45710.884733796294</v>
      </c>
      <c r="E35" t="s">
        <v>24</v>
      </c>
      <c r="F35" s="4">
        <v>182.39400000000001</v>
      </c>
      <c r="G35" s="4">
        <v>569551.15</v>
      </c>
      <c r="H35" s="4">
        <v>569733.54399999999</v>
      </c>
      <c r="I35" s="5">
        <f>18671 / 86400</f>
        <v>0.21609953703703705</v>
      </c>
      <c r="J35" t="s">
        <v>63</v>
      </c>
      <c r="K35" t="s">
        <v>26</v>
      </c>
      <c r="L35" s="5">
        <f>47868 / 86400</f>
        <v>0.55402777777777779</v>
      </c>
      <c r="M35" s="5">
        <f>38520 / 86400</f>
        <v>0.44583333333333336</v>
      </c>
    </row>
    <row r="36" spans="1:13" x14ac:dyDescent="0.25">
      <c r="A36" t="s">
        <v>449</v>
      </c>
      <c r="B36" s="3">
        <v>45710.197662037041</v>
      </c>
      <c r="C36" t="s">
        <v>81</v>
      </c>
      <c r="D36" s="3">
        <v>45710.915219907409</v>
      </c>
      <c r="E36" t="s">
        <v>82</v>
      </c>
      <c r="F36" s="4">
        <v>226.834</v>
      </c>
      <c r="G36" s="4">
        <v>436407.23300000001</v>
      </c>
      <c r="H36" s="4">
        <v>436634.06699999998</v>
      </c>
      <c r="I36" s="5">
        <f>15545 / 86400</f>
        <v>0.17991898148148147</v>
      </c>
      <c r="J36" t="s">
        <v>47</v>
      </c>
      <c r="K36" t="s">
        <v>29</v>
      </c>
      <c r="L36" s="5">
        <f>47813 / 86400</f>
        <v>0.55339120370370365</v>
      </c>
      <c r="M36" s="5">
        <f>38581 / 86400</f>
        <v>0.44653935185185184</v>
      </c>
    </row>
    <row r="37" spans="1:13" x14ac:dyDescent="0.25">
      <c r="A37" t="s">
        <v>450</v>
      </c>
      <c r="B37" s="3">
        <v>45710.242349537039</v>
      </c>
      <c r="C37" t="s">
        <v>50</v>
      </c>
      <c r="D37" s="3">
        <v>45710.923784722225</v>
      </c>
      <c r="E37" t="s">
        <v>50</v>
      </c>
      <c r="F37" s="4">
        <v>205.453</v>
      </c>
      <c r="G37" s="4">
        <v>517247.20799999998</v>
      </c>
      <c r="H37" s="4">
        <v>517453.11499999999</v>
      </c>
      <c r="I37" s="5">
        <f>24692 / 86400</f>
        <v>0.28578703703703706</v>
      </c>
      <c r="J37" t="s">
        <v>83</v>
      </c>
      <c r="K37" t="s">
        <v>45</v>
      </c>
      <c r="L37" s="5">
        <f>57346 / 86400</f>
        <v>0.66372685185185187</v>
      </c>
      <c r="M37" s="5">
        <f>29053 / 86400</f>
        <v>0.33626157407407409</v>
      </c>
    </row>
    <row r="38" spans="1:13" x14ac:dyDescent="0.25">
      <c r="A38" t="s">
        <v>451</v>
      </c>
      <c r="B38" s="3">
        <v>45710.243425925924</v>
      </c>
      <c r="C38" t="s">
        <v>84</v>
      </c>
      <c r="D38" s="3">
        <v>45710.850763888884</v>
      </c>
      <c r="E38" t="s">
        <v>85</v>
      </c>
      <c r="F38" s="4">
        <v>203.91800000000001</v>
      </c>
      <c r="G38" s="4">
        <v>506683.495</v>
      </c>
      <c r="H38" s="4">
        <v>506887.413</v>
      </c>
      <c r="I38" s="5">
        <f>21162 / 86400</f>
        <v>0.24493055555555557</v>
      </c>
      <c r="J38" t="s">
        <v>63</v>
      </c>
      <c r="K38" t="s">
        <v>26</v>
      </c>
      <c r="L38" s="5">
        <f>52474 / 86400</f>
        <v>0.60733796296296294</v>
      </c>
      <c r="M38" s="5">
        <f>33925 / 86400</f>
        <v>0.39265046296296297</v>
      </c>
    </row>
    <row r="39" spans="1:13" x14ac:dyDescent="0.25">
      <c r="A39" t="s">
        <v>452</v>
      </c>
      <c r="B39" s="3">
        <v>45710</v>
      </c>
      <c r="C39" t="s">
        <v>86</v>
      </c>
      <c r="D39" s="3">
        <v>45710.99998842593</v>
      </c>
      <c r="E39" t="s">
        <v>86</v>
      </c>
      <c r="F39" s="4">
        <v>232.68299999999999</v>
      </c>
      <c r="G39" s="4">
        <v>353354.08</v>
      </c>
      <c r="H39" s="4">
        <v>353586.76400000002</v>
      </c>
      <c r="I39" s="5">
        <f>26357 / 86400</f>
        <v>0.30505787037037035</v>
      </c>
      <c r="J39" t="s">
        <v>87</v>
      </c>
      <c r="K39" t="s">
        <v>26</v>
      </c>
      <c r="L39" s="5">
        <f>61532 / 86400</f>
        <v>0.71217592592592593</v>
      </c>
      <c r="M39" s="5">
        <f>24864 / 86400</f>
        <v>0.2877777777777778</v>
      </c>
    </row>
    <row r="40" spans="1:13" x14ac:dyDescent="0.25">
      <c r="A40" t="s">
        <v>453</v>
      </c>
      <c r="B40" s="3">
        <v>45710.21157407407</v>
      </c>
      <c r="C40" t="s">
        <v>88</v>
      </c>
      <c r="D40" s="3">
        <v>45710.775775462964</v>
      </c>
      <c r="E40" t="s">
        <v>88</v>
      </c>
      <c r="F40" s="4">
        <v>210.44200000000001</v>
      </c>
      <c r="G40" s="4">
        <v>412293.27899999998</v>
      </c>
      <c r="H40" s="4">
        <v>412503.72100000002</v>
      </c>
      <c r="I40" s="5">
        <f>14464 / 86400</f>
        <v>0.16740740740740739</v>
      </c>
      <c r="J40" t="s">
        <v>41</v>
      </c>
      <c r="K40" t="s">
        <v>29</v>
      </c>
      <c r="L40" s="5">
        <f>44057 / 86400</f>
        <v>0.50991898148148151</v>
      </c>
      <c r="M40" s="5">
        <f>42341 / 86400</f>
        <v>0.49005787037037035</v>
      </c>
    </row>
    <row r="41" spans="1:13" x14ac:dyDescent="0.25">
      <c r="A41" t="s">
        <v>454</v>
      </c>
      <c r="B41" s="3">
        <v>45710.149861111116</v>
      </c>
      <c r="C41" t="s">
        <v>24</v>
      </c>
      <c r="D41" s="3">
        <v>45710.82167824074</v>
      </c>
      <c r="E41" t="s">
        <v>24</v>
      </c>
      <c r="F41" s="4">
        <v>174.898</v>
      </c>
      <c r="G41" s="4">
        <v>443047.989</v>
      </c>
      <c r="H41" s="4">
        <v>443222.88699999999</v>
      </c>
      <c r="I41" s="5">
        <f>11637 / 86400</f>
        <v>0.13468749999999999</v>
      </c>
      <c r="J41" t="s">
        <v>89</v>
      </c>
      <c r="K41" t="s">
        <v>29</v>
      </c>
      <c r="L41" s="5">
        <f>37813 / 86400</f>
        <v>0.43765046296296295</v>
      </c>
      <c r="M41" s="5">
        <f>48582 / 86400</f>
        <v>0.56229166666666663</v>
      </c>
    </row>
    <row r="42" spans="1:13" x14ac:dyDescent="0.25">
      <c r="A42" t="s">
        <v>455</v>
      </c>
      <c r="B42" s="3">
        <v>45710.649398148147</v>
      </c>
      <c r="C42" t="s">
        <v>90</v>
      </c>
      <c r="D42" s="3">
        <v>45710.649525462963</v>
      </c>
      <c r="E42" t="s">
        <v>90</v>
      </c>
      <c r="F42" s="4">
        <v>1E-3</v>
      </c>
      <c r="G42" s="4">
        <v>475487.397</v>
      </c>
      <c r="H42" s="4">
        <v>475487.39799999999</v>
      </c>
      <c r="I42" s="5">
        <f>0 / 86400</f>
        <v>0</v>
      </c>
      <c r="J42" t="s">
        <v>77</v>
      </c>
      <c r="K42" t="s">
        <v>77</v>
      </c>
      <c r="L42" s="5">
        <f>11 / 86400</f>
        <v>1.273148148148148E-4</v>
      </c>
      <c r="M42" s="5">
        <f>86388 / 86400</f>
        <v>0.99986111111111109</v>
      </c>
    </row>
    <row r="43" spans="1:13" x14ac:dyDescent="0.25">
      <c r="A43" t="s">
        <v>456</v>
      </c>
      <c r="B43" s="3">
        <v>45710.636203703703</v>
      </c>
      <c r="C43" t="s">
        <v>85</v>
      </c>
      <c r="D43" s="3">
        <v>45710.99998842593</v>
      </c>
      <c r="E43" t="s">
        <v>85</v>
      </c>
      <c r="F43" s="4">
        <v>153.54499999999999</v>
      </c>
      <c r="G43" s="4">
        <v>415997.87300000002</v>
      </c>
      <c r="H43" s="4">
        <v>416151.41800000001</v>
      </c>
      <c r="I43" s="5">
        <f>9938 / 86400</f>
        <v>0.11502314814814815</v>
      </c>
      <c r="J43" t="s">
        <v>41</v>
      </c>
      <c r="K43" t="s">
        <v>20</v>
      </c>
      <c r="L43" s="5">
        <f>29888 / 86400</f>
        <v>0.34592592592592591</v>
      </c>
      <c r="M43" s="5">
        <f>56511 / 86400</f>
        <v>0.65406249999999999</v>
      </c>
    </row>
    <row r="44" spans="1:13" x14ac:dyDescent="0.25">
      <c r="A44" t="s">
        <v>457</v>
      </c>
      <c r="B44" s="3">
        <v>45710.004247685181</v>
      </c>
      <c r="C44" t="s">
        <v>24</v>
      </c>
      <c r="D44" s="3">
        <v>45710.99998842593</v>
      </c>
      <c r="E44" t="s">
        <v>91</v>
      </c>
      <c r="F44" s="4">
        <v>297.762</v>
      </c>
      <c r="G44" s="4">
        <v>330096.304</v>
      </c>
      <c r="H44" s="4">
        <v>330394.06599999999</v>
      </c>
      <c r="I44" s="5">
        <f>20573 / 86400</f>
        <v>0.23811342592592594</v>
      </c>
      <c r="J44" t="s">
        <v>28</v>
      </c>
      <c r="K44" t="s">
        <v>29</v>
      </c>
      <c r="L44" s="5">
        <f>61273 / 86400</f>
        <v>0.70917824074074076</v>
      </c>
      <c r="M44" s="5">
        <f>25123 / 86400</f>
        <v>0.29077546296296297</v>
      </c>
    </row>
    <row r="45" spans="1:13" x14ac:dyDescent="0.25">
      <c r="A45" t="s">
        <v>458</v>
      </c>
      <c r="B45" s="3">
        <v>45710.555034722223</v>
      </c>
      <c r="C45" t="s">
        <v>24</v>
      </c>
      <c r="D45" s="3">
        <v>45710.961724537032</v>
      </c>
      <c r="E45" t="s">
        <v>24</v>
      </c>
      <c r="F45" s="4">
        <v>128.07</v>
      </c>
      <c r="G45" s="4">
        <v>361590.66499999998</v>
      </c>
      <c r="H45" s="4">
        <v>361718.73499999999</v>
      </c>
      <c r="I45" s="5">
        <f>14500 / 86400</f>
        <v>0.16782407407407407</v>
      </c>
      <c r="J45" t="s">
        <v>59</v>
      </c>
      <c r="K45" t="s">
        <v>45</v>
      </c>
      <c r="L45" s="5">
        <f>34189 / 86400</f>
        <v>0.3957060185185185</v>
      </c>
      <c r="M45" s="5">
        <f>52210 / 86400</f>
        <v>0.60428240740740746</v>
      </c>
    </row>
    <row r="46" spans="1:13" x14ac:dyDescent="0.25">
      <c r="A46" t="s">
        <v>459</v>
      </c>
      <c r="B46" s="3">
        <v>45710.281585648147</v>
      </c>
      <c r="C46" t="s">
        <v>92</v>
      </c>
      <c r="D46" s="3">
        <v>45710.990312499998</v>
      </c>
      <c r="E46" t="s">
        <v>92</v>
      </c>
      <c r="F46" s="4">
        <v>188.09700000000001</v>
      </c>
      <c r="G46" s="4">
        <v>82612.87</v>
      </c>
      <c r="H46" s="4">
        <v>82800.967000000004</v>
      </c>
      <c r="I46" s="5">
        <f>24653 / 86400</f>
        <v>0.28533564814814816</v>
      </c>
      <c r="J46" t="s">
        <v>93</v>
      </c>
      <c r="K46" t="s">
        <v>45</v>
      </c>
      <c r="L46" s="5">
        <f>51255 / 86400</f>
        <v>0.5932291666666667</v>
      </c>
      <c r="M46" s="5">
        <f>35141 / 86400</f>
        <v>0.40672453703703704</v>
      </c>
    </row>
    <row r="47" spans="1:13" x14ac:dyDescent="0.25">
      <c r="A47" t="s">
        <v>460</v>
      </c>
      <c r="B47" s="3">
        <v>45710.203981481478</v>
      </c>
      <c r="C47" t="s">
        <v>39</v>
      </c>
      <c r="D47" s="3">
        <v>45710.99998842593</v>
      </c>
      <c r="E47" t="s">
        <v>94</v>
      </c>
      <c r="F47" s="4">
        <v>290.774</v>
      </c>
      <c r="G47" s="4">
        <v>471607.37699999998</v>
      </c>
      <c r="H47" s="4">
        <v>471898.15100000001</v>
      </c>
      <c r="I47" s="5">
        <f>22930 / 86400</f>
        <v>0.2653935185185185</v>
      </c>
      <c r="J47" t="s">
        <v>49</v>
      </c>
      <c r="K47" t="s">
        <v>29</v>
      </c>
      <c r="L47" s="5">
        <f>61968 / 86400</f>
        <v>0.71722222222222221</v>
      </c>
      <c r="M47" s="5">
        <f>24423 / 86400</f>
        <v>0.28267361111111111</v>
      </c>
    </row>
    <row r="48" spans="1:13" x14ac:dyDescent="0.25">
      <c r="A48" t="s">
        <v>461</v>
      </c>
      <c r="B48" s="3">
        <v>45710.009293981479</v>
      </c>
      <c r="C48" t="s">
        <v>95</v>
      </c>
      <c r="D48" s="3">
        <v>45710.975960648153</v>
      </c>
      <c r="E48" t="s">
        <v>95</v>
      </c>
      <c r="F48" s="4">
        <v>0</v>
      </c>
      <c r="G48" s="4">
        <v>428213.33600000001</v>
      </c>
      <c r="H48" s="4">
        <v>428213.33600000001</v>
      </c>
      <c r="I48" s="5">
        <f>34896 / 86400</f>
        <v>0.40388888888888891</v>
      </c>
      <c r="J48" t="s">
        <v>77</v>
      </c>
      <c r="K48" t="s">
        <v>77</v>
      </c>
      <c r="L48" s="5">
        <f>35136 / 86400</f>
        <v>0.40666666666666668</v>
      </c>
      <c r="M48" s="5">
        <f>51256 / 86400</f>
        <v>0.59324074074074074</v>
      </c>
    </row>
    <row r="49" spans="1:13" x14ac:dyDescent="0.25">
      <c r="A49" t="s">
        <v>462</v>
      </c>
      <c r="B49" s="3">
        <v>45710.269629629634</v>
      </c>
      <c r="C49" t="s">
        <v>24</v>
      </c>
      <c r="D49" s="3">
        <v>45710.94767361111</v>
      </c>
      <c r="E49" t="s">
        <v>24</v>
      </c>
      <c r="F49" s="4">
        <v>226.90700000000001</v>
      </c>
      <c r="G49" s="4">
        <v>576889.36499999999</v>
      </c>
      <c r="H49" s="4">
        <v>577116.272</v>
      </c>
      <c r="I49" s="5">
        <f>15087 / 86400</f>
        <v>0.17461805555555557</v>
      </c>
      <c r="J49" t="s">
        <v>89</v>
      </c>
      <c r="K49" t="s">
        <v>33</v>
      </c>
      <c r="L49" s="5">
        <f>50544 / 86400</f>
        <v>0.58499999999999996</v>
      </c>
      <c r="M49" s="5">
        <f>35851 / 86400</f>
        <v>0.41494212962962962</v>
      </c>
    </row>
    <row r="50" spans="1:13" x14ac:dyDescent="0.25">
      <c r="A50" t="s">
        <v>463</v>
      </c>
      <c r="B50" s="3">
        <v>45710.23572916667</v>
      </c>
      <c r="C50" t="s">
        <v>96</v>
      </c>
      <c r="D50" s="3">
        <v>45710.835277777776</v>
      </c>
      <c r="E50" t="s">
        <v>96</v>
      </c>
      <c r="F50" s="4">
        <v>211.34</v>
      </c>
      <c r="G50" s="4">
        <v>417950.39399999997</v>
      </c>
      <c r="H50" s="4">
        <v>418161.734</v>
      </c>
      <c r="I50" s="5">
        <f>19279 / 86400</f>
        <v>0.22313657407407408</v>
      </c>
      <c r="J50" t="s">
        <v>97</v>
      </c>
      <c r="K50" t="s">
        <v>42</v>
      </c>
      <c r="L50" s="5">
        <f>50851 / 86400</f>
        <v>0.58855324074074078</v>
      </c>
      <c r="M50" s="5">
        <f>35548 / 86400</f>
        <v>0.41143518518518518</v>
      </c>
    </row>
    <row r="51" spans="1:13" x14ac:dyDescent="0.25">
      <c r="A51" t="s">
        <v>464</v>
      </c>
      <c r="B51" s="3">
        <v>45710.344166666662</v>
      </c>
      <c r="C51" t="s">
        <v>92</v>
      </c>
      <c r="D51" s="3">
        <v>45710.810046296298</v>
      </c>
      <c r="E51" t="s">
        <v>98</v>
      </c>
      <c r="F51" s="4">
        <v>12.334</v>
      </c>
      <c r="G51" s="4">
        <v>401640.065</v>
      </c>
      <c r="H51" s="4">
        <v>401652.39899999998</v>
      </c>
      <c r="I51" s="5">
        <f>2408 / 86400</f>
        <v>2.7870370370370372E-2</v>
      </c>
      <c r="J51" t="s">
        <v>99</v>
      </c>
      <c r="K51" t="s">
        <v>61</v>
      </c>
      <c r="L51" s="5">
        <f>4213 / 86400</f>
        <v>4.8761574074074075E-2</v>
      </c>
      <c r="M51" s="5">
        <f>82179 / 86400</f>
        <v>0.95114583333333336</v>
      </c>
    </row>
    <row r="52" spans="1:13" x14ac:dyDescent="0.25">
      <c r="A52" t="s">
        <v>465</v>
      </c>
      <c r="B52" s="3">
        <v>45710.212766203702</v>
      </c>
      <c r="C52" t="s">
        <v>24</v>
      </c>
      <c r="D52" s="3">
        <v>45710.835474537038</v>
      </c>
      <c r="E52" t="s">
        <v>24</v>
      </c>
      <c r="F52" s="4">
        <v>193.37</v>
      </c>
      <c r="G52" s="4">
        <v>383678.83500000002</v>
      </c>
      <c r="H52" s="4">
        <v>383872.20500000002</v>
      </c>
      <c r="I52" s="5">
        <f>18219 / 86400</f>
        <v>0.21086805555555554</v>
      </c>
      <c r="J52" t="s">
        <v>89</v>
      </c>
      <c r="K52" t="s">
        <v>42</v>
      </c>
      <c r="L52" s="5">
        <f>46717 / 86400</f>
        <v>0.54070601851851852</v>
      </c>
      <c r="M52" s="5">
        <f>39677 / 86400</f>
        <v>0.45922453703703703</v>
      </c>
    </row>
    <row r="53" spans="1:13" x14ac:dyDescent="0.25">
      <c r="A53" t="s">
        <v>466</v>
      </c>
      <c r="B53" s="3">
        <v>45710.317766203705</v>
      </c>
      <c r="C53" t="s">
        <v>100</v>
      </c>
      <c r="D53" s="3">
        <v>45710.99998842593</v>
      </c>
      <c r="E53" t="s">
        <v>101</v>
      </c>
      <c r="F53" s="4">
        <v>216.75</v>
      </c>
      <c r="G53" s="4">
        <v>547689.50899999996</v>
      </c>
      <c r="H53" s="4">
        <v>547906.25899999996</v>
      </c>
      <c r="I53" s="5">
        <f>14456 / 86400</f>
        <v>0.16731481481481481</v>
      </c>
      <c r="J53" t="s">
        <v>36</v>
      </c>
      <c r="K53" t="s">
        <v>20</v>
      </c>
      <c r="L53" s="5">
        <f>44060 / 86400</f>
        <v>0.50995370370370374</v>
      </c>
      <c r="M53" s="5">
        <f>42336 / 86400</f>
        <v>0.49</v>
      </c>
    </row>
    <row r="54" spans="1:13" x14ac:dyDescent="0.25">
      <c r="A54" t="s">
        <v>467</v>
      </c>
      <c r="B54" s="3">
        <v>45710</v>
      </c>
      <c r="C54" t="s">
        <v>102</v>
      </c>
      <c r="D54" s="3">
        <v>45710.99998842593</v>
      </c>
      <c r="E54" t="s">
        <v>103</v>
      </c>
      <c r="F54" s="4">
        <v>355.09000000000003</v>
      </c>
      <c r="G54" s="4">
        <v>106088.38499999999</v>
      </c>
      <c r="H54" s="4">
        <v>106443.47500000001</v>
      </c>
      <c r="I54" s="5">
        <f>24939 / 86400</f>
        <v>0.28864583333333332</v>
      </c>
      <c r="J54" t="s">
        <v>104</v>
      </c>
      <c r="K54" t="s">
        <v>80</v>
      </c>
      <c r="L54" s="5">
        <f>68572 / 86400</f>
        <v>0.79365740740740742</v>
      </c>
      <c r="M54" s="5">
        <f>17827 / 86400</f>
        <v>0.20633101851851851</v>
      </c>
    </row>
    <row r="55" spans="1:13" x14ac:dyDescent="0.25">
      <c r="A55" t="s">
        <v>468</v>
      </c>
      <c r="B55" s="3">
        <v>45710.175717592589</v>
      </c>
      <c r="C55" t="s">
        <v>105</v>
      </c>
      <c r="D55" s="3">
        <v>45710.861851851849</v>
      </c>
      <c r="E55" t="s">
        <v>105</v>
      </c>
      <c r="F55" s="4">
        <v>209.398</v>
      </c>
      <c r="G55" s="4">
        <v>47078.58</v>
      </c>
      <c r="H55" s="4">
        <v>47287.978000000003</v>
      </c>
      <c r="I55" s="5">
        <f>18937 / 86400</f>
        <v>0.21917824074074074</v>
      </c>
      <c r="J55" t="s">
        <v>106</v>
      </c>
      <c r="K55" t="s">
        <v>33</v>
      </c>
      <c r="L55" s="5">
        <f>46453 / 86400</f>
        <v>0.53765046296296293</v>
      </c>
      <c r="M55" s="5">
        <f>39946 / 86400</f>
        <v>0.46233796296296298</v>
      </c>
    </row>
    <row r="56" spans="1:13" x14ac:dyDescent="0.25">
      <c r="A56" t="s">
        <v>469</v>
      </c>
      <c r="B56" s="3">
        <v>45710.157442129625</v>
      </c>
      <c r="C56" t="s">
        <v>107</v>
      </c>
      <c r="D56" s="3">
        <v>45710.777581018519</v>
      </c>
      <c r="E56" t="s">
        <v>107</v>
      </c>
      <c r="F56" s="4">
        <v>100.03700000000001</v>
      </c>
      <c r="G56" s="4">
        <v>81099.517000000007</v>
      </c>
      <c r="H56" s="4">
        <v>81199.554000000004</v>
      </c>
      <c r="I56" s="5">
        <f>9806 / 86400</f>
        <v>0.11349537037037037</v>
      </c>
      <c r="J56" t="s">
        <v>63</v>
      </c>
      <c r="K56" t="s">
        <v>42</v>
      </c>
      <c r="L56" s="5">
        <f>23538 / 86400</f>
        <v>0.27243055555555556</v>
      </c>
      <c r="M56" s="5">
        <f>62861 / 86400</f>
        <v>0.72755787037037034</v>
      </c>
    </row>
    <row r="57" spans="1:13" x14ac:dyDescent="0.25">
      <c r="A57" t="s">
        <v>470</v>
      </c>
      <c r="B57" s="3">
        <v>45710</v>
      </c>
      <c r="C57" t="s">
        <v>108</v>
      </c>
      <c r="D57" s="3">
        <v>45710.99998842593</v>
      </c>
      <c r="E57" t="s">
        <v>78</v>
      </c>
      <c r="F57" s="4">
        <v>322.43700000000001</v>
      </c>
      <c r="G57" s="4">
        <v>42802.675999999999</v>
      </c>
      <c r="H57" s="4">
        <v>43125.112999999998</v>
      </c>
      <c r="I57" s="5">
        <f>20756 / 86400</f>
        <v>0.24023148148148149</v>
      </c>
      <c r="J57" t="s">
        <v>55</v>
      </c>
      <c r="K57" t="s">
        <v>20</v>
      </c>
      <c r="L57" s="5">
        <f>63262 / 86400</f>
        <v>0.73219907407407403</v>
      </c>
      <c r="M57" s="5">
        <f>23137 / 86400</f>
        <v>0.26778935185185188</v>
      </c>
    </row>
    <row r="58" spans="1:13" x14ac:dyDescent="0.25">
      <c r="A58" t="s">
        <v>471</v>
      </c>
      <c r="B58" s="3">
        <v>45710.365439814814</v>
      </c>
      <c r="C58" t="s">
        <v>92</v>
      </c>
      <c r="D58" s="3">
        <v>45710.764282407406</v>
      </c>
      <c r="E58" t="s">
        <v>92</v>
      </c>
      <c r="F58" s="4">
        <v>7.3009999999403954</v>
      </c>
      <c r="G58" s="4">
        <v>525139.72900000005</v>
      </c>
      <c r="H58" s="4">
        <v>525147.03</v>
      </c>
      <c r="I58" s="5">
        <f>517 / 86400</f>
        <v>5.9837962962962961E-3</v>
      </c>
      <c r="J58" t="s">
        <v>58</v>
      </c>
      <c r="K58" t="s">
        <v>20</v>
      </c>
      <c r="L58" s="5">
        <f>1480 / 86400</f>
        <v>1.712962962962963E-2</v>
      </c>
      <c r="M58" s="5">
        <f>84917 / 86400</f>
        <v>0.98283564814814817</v>
      </c>
    </row>
    <row r="59" spans="1:13" x14ac:dyDescent="0.25">
      <c r="A59" t="s">
        <v>472</v>
      </c>
      <c r="B59" s="3">
        <v>45710.24900462963</v>
      </c>
      <c r="C59" t="s">
        <v>109</v>
      </c>
      <c r="D59" s="3">
        <v>45710.885740740741</v>
      </c>
      <c r="E59" t="s">
        <v>109</v>
      </c>
      <c r="F59" s="4">
        <v>200.42</v>
      </c>
      <c r="G59" s="4">
        <v>24568.154999999999</v>
      </c>
      <c r="H59" s="4">
        <v>24768.575000000001</v>
      </c>
      <c r="I59" s="5">
        <f>16477 / 86400</f>
        <v>0.19070601851851851</v>
      </c>
      <c r="J59" t="s">
        <v>110</v>
      </c>
      <c r="K59" t="s">
        <v>42</v>
      </c>
      <c r="L59" s="5">
        <f>48999 / 86400</f>
        <v>0.5671180555555555</v>
      </c>
      <c r="M59" s="5">
        <f>37395 / 86400</f>
        <v>0.43281249999999999</v>
      </c>
    </row>
    <row r="60" spans="1:13" x14ac:dyDescent="0.25">
      <c r="A60" t="s">
        <v>473</v>
      </c>
      <c r="B60" s="3">
        <v>45710.217824074076</v>
      </c>
      <c r="C60" t="s">
        <v>38</v>
      </c>
      <c r="D60" s="3">
        <v>45710.771539351852</v>
      </c>
      <c r="E60" t="s">
        <v>38</v>
      </c>
      <c r="F60" s="4">
        <v>189.40399999999255</v>
      </c>
      <c r="G60" s="4">
        <v>65549.323000000004</v>
      </c>
      <c r="H60" s="4">
        <v>65738.726999999999</v>
      </c>
      <c r="I60" s="5">
        <f>16898 / 86400</f>
        <v>0.1955787037037037</v>
      </c>
      <c r="J60" t="s">
        <v>47</v>
      </c>
      <c r="K60" t="s">
        <v>42</v>
      </c>
      <c r="L60" s="5">
        <f>44270 / 86400</f>
        <v>0.51238425925925923</v>
      </c>
      <c r="M60" s="5">
        <f>42125 / 86400</f>
        <v>0.48755787037037035</v>
      </c>
    </row>
    <row r="61" spans="1:13" x14ac:dyDescent="0.25">
      <c r="A61" t="s">
        <v>474</v>
      </c>
      <c r="B61" s="3">
        <v>45710.409895833334</v>
      </c>
      <c r="C61" t="s">
        <v>111</v>
      </c>
      <c r="D61" s="3">
        <v>45710.991377314815</v>
      </c>
      <c r="E61" t="s">
        <v>85</v>
      </c>
      <c r="F61" s="4">
        <v>3.7779999999999996</v>
      </c>
      <c r="G61" s="4">
        <v>11544.852000000001</v>
      </c>
      <c r="H61" s="4">
        <v>11548.63</v>
      </c>
      <c r="I61" s="5">
        <f>6359 / 86400</f>
        <v>7.3599537037037033E-2</v>
      </c>
      <c r="J61" t="s">
        <v>112</v>
      </c>
      <c r="K61" t="s">
        <v>113</v>
      </c>
      <c r="L61" s="5">
        <f>7323 / 86400</f>
        <v>8.475694444444444E-2</v>
      </c>
      <c r="M61" s="5">
        <f>79074 / 86400</f>
        <v>0.91520833333333329</v>
      </c>
    </row>
    <row r="62" spans="1:13" x14ac:dyDescent="0.25">
      <c r="A62" t="s">
        <v>475</v>
      </c>
      <c r="B62" s="3">
        <v>45710.261666666665</v>
      </c>
      <c r="C62" t="s">
        <v>114</v>
      </c>
      <c r="D62" s="3">
        <v>45710.866539351853</v>
      </c>
      <c r="E62" t="s">
        <v>114</v>
      </c>
      <c r="F62" s="4">
        <v>224.583</v>
      </c>
      <c r="G62" s="4">
        <v>5986.44</v>
      </c>
      <c r="H62" s="4">
        <v>6211.0230000000001</v>
      </c>
      <c r="I62" s="5">
        <f>15456 / 86400</f>
        <v>0.17888888888888888</v>
      </c>
      <c r="J62" t="s">
        <v>36</v>
      </c>
      <c r="K62" t="s">
        <v>80</v>
      </c>
      <c r="L62" s="5">
        <f>43567 / 86400</f>
        <v>0.50424768518518515</v>
      </c>
      <c r="M62" s="5">
        <f>42826 / 86400</f>
        <v>0.4956712962962963</v>
      </c>
    </row>
    <row r="63" spans="1:13" x14ac:dyDescent="0.25">
      <c r="A63" t="s">
        <v>476</v>
      </c>
      <c r="B63" s="3">
        <v>45710</v>
      </c>
      <c r="C63" t="s">
        <v>101</v>
      </c>
      <c r="D63" s="3">
        <v>45710.99998842593</v>
      </c>
      <c r="E63" t="s">
        <v>115</v>
      </c>
      <c r="F63" s="4">
        <v>278.97399999999999</v>
      </c>
      <c r="G63" s="4">
        <v>409753.288</v>
      </c>
      <c r="H63" s="4">
        <v>410032.26199999999</v>
      </c>
      <c r="I63" s="5">
        <f>15917 / 86400</f>
        <v>0.18422453703703703</v>
      </c>
      <c r="J63" t="s">
        <v>49</v>
      </c>
      <c r="K63" t="s">
        <v>80</v>
      </c>
      <c r="L63" s="5">
        <f>53313 / 86400</f>
        <v>0.61704861111111109</v>
      </c>
      <c r="M63" s="5">
        <f>33069 / 86400</f>
        <v>0.38274305555555554</v>
      </c>
    </row>
    <row r="64" spans="1:13" x14ac:dyDescent="0.25">
      <c r="A64" t="s">
        <v>477</v>
      </c>
      <c r="B64" s="3">
        <v>45710</v>
      </c>
      <c r="C64" t="s">
        <v>116</v>
      </c>
      <c r="D64" s="3">
        <v>45710.959861111114</v>
      </c>
      <c r="E64" t="s">
        <v>85</v>
      </c>
      <c r="F64" s="4">
        <v>186.48500000000001</v>
      </c>
      <c r="G64" s="4">
        <v>552312.73</v>
      </c>
      <c r="H64" s="4">
        <v>552499.21499999997</v>
      </c>
      <c r="I64" s="5">
        <f>12976 / 86400</f>
        <v>0.15018518518518517</v>
      </c>
      <c r="J64" t="s">
        <v>41</v>
      </c>
      <c r="K64" t="s">
        <v>33</v>
      </c>
      <c r="L64" s="5">
        <f>40852 / 86400</f>
        <v>0.47282407407407406</v>
      </c>
      <c r="M64" s="5">
        <f>45542 / 86400</f>
        <v>0.52710648148148154</v>
      </c>
    </row>
    <row r="65" spans="1:13" x14ac:dyDescent="0.25">
      <c r="A65" t="s">
        <v>478</v>
      </c>
      <c r="B65" s="3">
        <v>45710.367106481484</v>
      </c>
      <c r="C65" t="s">
        <v>24</v>
      </c>
      <c r="D65" s="3">
        <v>45710.800937499997</v>
      </c>
      <c r="E65" t="s">
        <v>24</v>
      </c>
      <c r="F65" s="4">
        <v>300.99000000000024</v>
      </c>
      <c r="G65" s="4">
        <v>858.75</v>
      </c>
      <c r="H65" s="4">
        <v>1159.7450000000003</v>
      </c>
      <c r="I65" s="5">
        <f>4197 / 86400</f>
        <v>4.8576388888888891E-2</v>
      </c>
      <c r="J65" t="s">
        <v>63</v>
      </c>
      <c r="K65" t="s">
        <v>47</v>
      </c>
      <c r="L65" s="5">
        <f>12569 / 86400</f>
        <v>0.14547453703703703</v>
      </c>
      <c r="M65" s="5">
        <f>73826 / 86400</f>
        <v>0.85446759259259264</v>
      </c>
    </row>
    <row r="66" spans="1:13" x14ac:dyDescent="0.25">
      <c r="A66" t="s">
        <v>479</v>
      </c>
      <c r="B66" s="3">
        <v>45710</v>
      </c>
      <c r="C66" t="s">
        <v>117</v>
      </c>
      <c r="D66" s="3">
        <v>45710.997696759259</v>
      </c>
      <c r="E66" t="s">
        <v>118</v>
      </c>
      <c r="F66" s="4">
        <v>367.46999999999997</v>
      </c>
      <c r="G66" s="4">
        <v>61782.582999999999</v>
      </c>
      <c r="H66" s="4">
        <v>62150.053</v>
      </c>
      <c r="I66" s="5">
        <f>21119 / 86400</f>
        <v>0.24443287037037037</v>
      </c>
      <c r="J66" t="s">
        <v>23</v>
      </c>
      <c r="K66" t="s">
        <v>80</v>
      </c>
      <c r="L66" s="5">
        <f>69344 / 86400</f>
        <v>0.80259259259259264</v>
      </c>
      <c r="M66" s="5">
        <f>17044 / 86400</f>
        <v>0.19726851851851851</v>
      </c>
    </row>
    <row r="67" spans="1:13" x14ac:dyDescent="0.25">
      <c r="A67" t="s">
        <v>480</v>
      </c>
      <c r="B67" s="3">
        <v>45710</v>
      </c>
      <c r="C67" t="s">
        <v>119</v>
      </c>
      <c r="D67" s="3">
        <v>45710.99998842593</v>
      </c>
      <c r="E67" t="s">
        <v>120</v>
      </c>
      <c r="F67" s="4">
        <v>140.35000000000744</v>
      </c>
      <c r="G67" s="4">
        <v>65657.648000000001</v>
      </c>
      <c r="H67" s="4">
        <v>65797.998000000007</v>
      </c>
      <c r="I67" s="5">
        <f>13194 / 86400</f>
        <v>0.15270833333333333</v>
      </c>
      <c r="J67" t="s">
        <v>121</v>
      </c>
      <c r="K67" t="s">
        <v>33</v>
      </c>
      <c r="L67" s="5">
        <f>31768 / 86400</f>
        <v>0.36768518518518517</v>
      </c>
      <c r="M67" s="5">
        <f>54630 / 86400</f>
        <v>0.6322916666666667</v>
      </c>
    </row>
    <row r="68" spans="1:13" x14ac:dyDescent="0.25">
      <c r="A68" t="s">
        <v>481</v>
      </c>
      <c r="B68" s="3">
        <v>45710.371157407411</v>
      </c>
      <c r="C68" t="s">
        <v>122</v>
      </c>
      <c r="D68" s="3">
        <v>45710.60637731482</v>
      </c>
      <c r="E68" t="s">
        <v>122</v>
      </c>
      <c r="F68" s="4">
        <v>2.1760000000000002</v>
      </c>
      <c r="G68" s="4">
        <v>293508.02899999998</v>
      </c>
      <c r="H68" s="4">
        <v>293510.20500000002</v>
      </c>
      <c r="I68" s="5">
        <f>7338 / 86400</f>
        <v>8.4930555555555551E-2</v>
      </c>
      <c r="J68" t="s">
        <v>123</v>
      </c>
      <c r="K68" t="s">
        <v>124</v>
      </c>
      <c r="L68" s="5">
        <f>8436 / 86400</f>
        <v>9.7638888888888886E-2</v>
      </c>
      <c r="M68" s="5">
        <f>77961 / 86400</f>
        <v>0.90232638888888894</v>
      </c>
    </row>
    <row r="69" spans="1:13" x14ac:dyDescent="0.25">
      <c r="A69" s="6" t="s">
        <v>125</v>
      </c>
      <c r="B69" s="6" t="s">
        <v>126</v>
      </c>
      <c r="C69" s="6" t="s">
        <v>126</v>
      </c>
      <c r="D69" s="6" t="s">
        <v>126</v>
      </c>
      <c r="E69" s="6" t="s">
        <v>126</v>
      </c>
      <c r="F69" s="7">
        <v>10872.975002263011</v>
      </c>
      <c r="G69" s="6" t="s">
        <v>126</v>
      </c>
      <c r="H69" s="6" t="s">
        <v>126</v>
      </c>
      <c r="I69" s="8">
        <f>917580 / 86400</f>
        <v>10.620138888888889</v>
      </c>
      <c r="J69" s="6" t="s">
        <v>126</v>
      </c>
      <c r="K69" s="6" t="s">
        <v>126</v>
      </c>
      <c r="L69" s="8">
        <f>2434142 / 86400</f>
        <v>28.172939814814814</v>
      </c>
      <c r="M69" s="8">
        <f>2835964 / 86400</f>
        <v>32.82365740740741</v>
      </c>
    </row>
    <row r="70" spans="1:1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3" s="9" customFormat="1" x14ac:dyDescent="0.25">
      <c r="A71" s="14" t="s">
        <v>127</v>
      </c>
      <c r="B71" s="14"/>
      <c r="C71" s="14"/>
      <c r="D71" s="14"/>
      <c r="E71" s="14"/>
      <c r="F71" s="14"/>
      <c r="G71" s="14"/>
      <c r="H71" s="14"/>
      <c r="I71" s="14"/>
      <c r="J71" s="14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3" s="10" customFormat="1" ht="20.100000000000001" customHeight="1" x14ac:dyDescent="0.35">
      <c r="A74" s="15" t="s">
        <v>421</v>
      </c>
      <c r="B74" s="15"/>
      <c r="C74" s="15"/>
      <c r="D74" s="15"/>
      <c r="E74" s="15"/>
      <c r="F74" s="15"/>
      <c r="G74" s="15"/>
      <c r="H74" s="15"/>
      <c r="I74" s="15"/>
      <c r="J74" s="15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3" ht="30" x14ac:dyDescent="0.25">
      <c r="A76" s="2" t="s">
        <v>6</v>
      </c>
      <c r="B76" s="2" t="s">
        <v>7</v>
      </c>
      <c r="C76" s="2" t="s">
        <v>8</v>
      </c>
      <c r="D76" s="2" t="s">
        <v>9</v>
      </c>
      <c r="E76" s="2" t="s">
        <v>10</v>
      </c>
      <c r="F76" s="2" t="s">
        <v>11</v>
      </c>
      <c r="G76" s="2" t="s">
        <v>12</v>
      </c>
      <c r="H76" s="2" t="s">
        <v>13</v>
      </c>
      <c r="I76" s="2" t="s">
        <v>14</v>
      </c>
      <c r="J76" s="2" t="s">
        <v>15</v>
      </c>
      <c r="K76" s="2" t="s">
        <v>16</v>
      </c>
      <c r="L76" s="2" t="s">
        <v>17</v>
      </c>
    </row>
    <row r="77" spans="1:13" x14ac:dyDescent="0.25">
      <c r="A77" s="3">
        <v>45710.232199074075</v>
      </c>
      <c r="B77" t="s">
        <v>18</v>
      </c>
      <c r="C77" s="3">
        <v>45710.2346412037</v>
      </c>
      <c r="D77" t="s">
        <v>18</v>
      </c>
      <c r="E77" s="4">
        <v>2.5999999999999999E-2</v>
      </c>
      <c r="F77" s="4">
        <v>515937.652</v>
      </c>
      <c r="G77" s="4">
        <v>515937.67800000001</v>
      </c>
      <c r="H77" s="5">
        <f>159 / 86400</f>
        <v>1.8402777777777777E-3</v>
      </c>
      <c r="I77" t="s">
        <v>124</v>
      </c>
      <c r="J77" t="s">
        <v>77</v>
      </c>
      <c r="K77" s="5">
        <f>211 / 86400</f>
        <v>2.4421296296296296E-3</v>
      </c>
      <c r="L77" s="5">
        <f>22528 / 86400</f>
        <v>0.26074074074074072</v>
      </c>
    </row>
    <row r="78" spans="1:13" x14ac:dyDescent="0.25">
      <c r="A78" s="3">
        <v>45710.263182870374</v>
      </c>
      <c r="B78" t="s">
        <v>18</v>
      </c>
      <c r="C78" s="3">
        <v>45710.332951388889</v>
      </c>
      <c r="D78" t="s">
        <v>128</v>
      </c>
      <c r="E78" s="4">
        <v>38.686999999999998</v>
      </c>
      <c r="F78" s="4">
        <v>515937.67800000001</v>
      </c>
      <c r="G78" s="4">
        <v>515976.36499999999</v>
      </c>
      <c r="H78" s="5">
        <f>1338 / 86400</f>
        <v>1.5486111111111112E-2</v>
      </c>
      <c r="I78" t="s">
        <v>28</v>
      </c>
      <c r="J78" t="s">
        <v>129</v>
      </c>
      <c r="K78" s="5">
        <f>6027 / 86400</f>
        <v>6.9756944444444441E-2</v>
      </c>
      <c r="L78" s="5">
        <f>1406 / 86400</f>
        <v>1.6273148148148148E-2</v>
      </c>
    </row>
    <row r="79" spans="1:13" x14ac:dyDescent="0.25">
      <c r="A79" s="3">
        <v>45710.349224537036</v>
      </c>
      <c r="B79" t="s">
        <v>128</v>
      </c>
      <c r="C79" s="3">
        <v>45710.349247685182</v>
      </c>
      <c r="D79" t="s">
        <v>128</v>
      </c>
      <c r="E79" s="4">
        <v>0</v>
      </c>
      <c r="F79" s="4">
        <v>515976.36499999999</v>
      </c>
      <c r="G79" s="4">
        <v>515976.36499999999</v>
      </c>
      <c r="H79" s="5">
        <f>0 / 86400</f>
        <v>0</v>
      </c>
      <c r="I79" t="s">
        <v>77</v>
      </c>
      <c r="J79" t="s">
        <v>77</v>
      </c>
      <c r="K79" s="5">
        <f>2 / 86400</f>
        <v>2.3148148148148147E-5</v>
      </c>
      <c r="L79" s="5">
        <f>606 / 86400</f>
        <v>7.013888888888889E-3</v>
      </c>
    </row>
    <row r="80" spans="1:13" x14ac:dyDescent="0.25">
      <c r="A80" s="3">
        <v>45710.356261574074</v>
      </c>
      <c r="B80" t="s">
        <v>128</v>
      </c>
      <c r="C80" s="3">
        <v>45710.359803240739</v>
      </c>
      <c r="D80" t="s">
        <v>81</v>
      </c>
      <c r="E80" s="4">
        <v>1.335</v>
      </c>
      <c r="F80" s="4">
        <v>515976.36499999999</v>
      </c>
      <c r="G80" s="4">
        <v>515977.7</v>
      </c>
      <c r="H80" s="5">
        <f>179 / 86400</f>
        <v>2.0717592592592593E-3</v>
      </c>
      <c r="I80" t="s">
        <v>123</v>
      </c>
      <c r="J80" t="s">
        <v>33</v>
      </c>
      <c r="K80" s="5">
        <f>305 / 86400</f>
        <v>3.5300925925925925E-3</v>
      </c>
      <c r="L80" s="5">
        <f>711 / 86400</f>
        <v>8.2291666666666659E-3</v>
      </c>
    </row>
    <row r="81" spans="1:12" x14ac:dyDescent="0.25">
      <c r="A81" s="3">
        <v>45710.368032407408</v>
      </c>
      <c r="B81" t="s">
        <v>81</v>
      </c>
      <c r="C81" s="3">
        <v>45710.368055555555</v>
      </c>
      <c r="D81" t="s">
        <v>81</v>
      </c>
      <c r="E81" s="4">
        <v>0</v>
      </c>
      <c r="F81" s="4">
        <v>515977.7</v>
      </c>
      <c r="G81" s="4">
        <v>515977.7</v>
      </c>
      <c r="H81" s="5">
        <f>0 / 86400</f>
        <v>0</v>
      </c>
      <c r="I81" t="s">
        <v>77</v>
      </c>
      <c r="J81" t="s">
        <v>77</v>
      </c>
      <c r="K81" s="5">
        <f>2 / 86400</f>
        <v>2.3148148148148147E-5</v>
      </c>
      <c r="L81" s="5">
        <f>4050 / 86400</f>
        <v>4.6875E-2</v>
      </c>
    </row>
    <row r="82" spans="1:12" x14ac:dyDescent="0.25">
      <c r="A82" s="3">
        <v>45710.414930555555</v>
      </c>
      <c r="B82" t="s">
        <v>81</v>
      </c>
      <c r="C82" s="3">
        <v>45710.415567129632</v>
      </c>
      <c r="D82" t="s">
        <v>81</v>
      </c>
      <c r="E82" s="4">
        <v>0</v>
      </c>
      <c r="F82" s="4">
        <v>515977.7</v>
      </c>
      <c r="G82" s="4">
        <v>515977.7</v>
      </c>
      <c r="H82" s="5">
        <f>39 / 86400</f>
        <v>4.5138888888888887E-4</v>
      </c>
      <c r="I82" t="s">
        <v>77</v>
      </c>
      <c r="J82" t="s">
        <v>77</v>
      </c>
      <c r="K82" s="5">
        <f>55 / 86400</f>
        <v>6.3657407407407413E-4</v>
      </c>
      <c r="L82" s="5">
        <f>2 / 86400</f>
        <v>2.3148148148148147E-5</v>
      </c>
    </row>
    <row r="83" spans="1:12" x14ac:dyDescent="0.25">
      <c r="A83" s="3">
        <v>45710.415590277778</v>
      </c>
      <c r="B83" t="s">
        <v>81</v>
      </c>
      <c r="C83" s="3">
        <v>45710.415601851855</v>
      </c>
      <c r="D83" t="s">
        <v>81</v>
      </c>
      <c r="E83" s="4">
        <v>0</v>
      </c>
      <c r="F83" s="4">
        <v>515977.7</v>
      </c>
      <c r="G83" s="4">
        <v>515977.7</v>
      </c>
      <c r="H83" s="5">
        <f>0 / 86400</f>
        <v>0</v>
      </c>
      <c r="I83" t="s">
        <v>77</v>
      </c>
      <c r="J83" t="s">
        <v>77</v>
      </c>
      <c r="K83" s="5">
        <f>1 / 86400</f>
        <v>1.1574074074074073E-5</v>
      </c>
      <c r="L83" s="5">
        <f>19 / 86400</f>
        <v>2.199074074074074E-4</v>
      </c>
    </row>
    <row r="84" spans="1:12" x14ac:dyDescent="0.25">
      <c r="A84" s="3">
        <v>45710.415821759263</v>
      </c>
      <c r="B84" t="s">
        <v>81</v>
      </c>
      <c r="C84" s="3">
        <v>45710.418043981481</v>
      </c>
      <c r="D84" t="s">
        <v>130</v>
      </c>
      <c r="E84" s="4">
        <v>0.47899999999999998</v>
      </c>
      <c r="F84" s="4">
        <v>515977.7</v>
      </c>
      <c r="G84" s="4">
        <v>515978.179</v>
      </c>
      <c r="H84" s="5">
        <f>101 / 86400</f>
        <v>1.1689814814814816E-3</v>
      </c>
      <c r="I84" t="s">
        <v>131</v>
      </c>
      <c r="J84" t="s">
        <v>132</v>
      </c>
      <c r="K84" s="5">
        <f>191 / 86400</f>
        <v>2.2106481481481482E-3</v>
      </c>
      <c r="L84" s="5">
        <f>2 / 86400</f>
        <v>2.3148148148148147E-5</v>
      </c>
    </row>
    <row r="85" spans="1:12" x14ac:dyDescent="0.25">
      <c r="A85" s="3">
        <v>45710.418067129634</v>
      </c>
      <c r="B85" t="s">
        <v>130</v>
      </c>
      <c r="C85" s="3">
        <v>45710.419942129629</v>
      </c>
      <c r="D85" t="s">
        <v>133</v>
      </c>
      <c r="E85" s="4">
        <v>0.58599999999999997</v>
      </c>
      <c r="F85" s="4">
        <v>515978.179</v>
      </c>
      <c r="G85" s="4">
        <v>515978.76500000001</v>
      </c>
      <c r="H85" s="5">
        <f>31 / 86400</f>
        <v>3.5879629629629629E-4</v>
      </c>
      <c r="I85" t="s">
        <v>61</v>
      </c>
      <c r="J85" t="s">
        <v>45</v>
      </c>
      <c r="K85" s="5">
        <f>162 / 86400</f>
        <v>1.8749999999999999E-3</v>
      </c>
      <c r="L85" s="5">
        <f>9 / 86400</f>
        <v>1.0416666666666667E-4</v>
      </c>
    </row>
    <row r="86" spans="1:12" x14ac:dyDescent="0.25">
      <c r="A86" s="3">
        <v>45710.420046296298</v>
      </c>
      <c r="B86" t="s">
        <v>133</v>
      </c>
      <c r="C86" s="3">
        <v>45710.420162037037</v>
      </c>
      <c r="D86" t="s">
        <v>133</v>
      </c>
      <c r="E86" s="4">
        <v>0</v>
      </c>
      <c r="F86" s="4">
        <v>515978.76500000001</v>
      </c>
      <c r="G86" s="4">
        <v>515978.76500000001</v>
      </c>
      <c r="H86" s="5">
        <f>0 / 86400</f>
        <v>0</v>
      </c>
      <c r="I86" t="s">
        <v>77</v>
      </c>
      <c r="J86" t="s">
        <v>77</v>
      </c>
      <c r="K86" s="5">
        <f>9 / 86400</f>
        <v>1.0416666666666667E-4</v>
      </c>
      <c r="L86" s="5">
        <f>2415 / 86400</f>
        <v>2.795138888888889E-2</v>
      </c>
    </row>
    <row r="87" spans="1:12" x14ac:dyDescent="0.25">
      <c r="A87" s="3">
        <v>45710.448113425926</v>
      </c>
      <c r="B87" t="s">
        <v>134</v>
      </c>
      <c r="C87" s="3">
        <v>45710.587881944448</v>
      </c>
      <c r="D87" t="s">
        <v>81</v>
      </c>
      <c r="E87" s="4">
        <v>70.433000000000007</v>
      </c>
      <c r="F87" s="4">
        <v>515978.76500000001</v>
      </c>
      <c r="G87" s="4">
        <v>516049.19799999997</v>
      </c>
      <c r="H87" s="5">
        <f>3182 / 86400</f>
        <v>3.6828703703703704E-2</v>
      </c>
      <c r="I87" t="s">
        <v>19</v>
      </c>
      <c r="J87" t="s">
        <v>135</v>
      </c>
      <c r="K87" s="5">
        <f>12076 / 86400</f>
        <v>0.13976851851851851</v>
      </c>
      <c r="L87" s="5">
        <f>262 / 86400</f>
        <v>3.0324074074074073E-3</v>
      </c>
    </row>
    <row r="88" spans="1:12" x14ac:dyDescent="0.25">
      <c r="A88" s="3">
        <v>45710.590914351851</v>
      </c>
      <c r="B88" t="s">
        <v>81</v>
      </c>
      <c r="C88" s="3">
        <v>45710.592546296291</v>
      </c>
      <c r="D88" t="s">
        <v>136</v>
      </c>
      <c r="E88" s="4">
        <v>0.218</v>
      </c>
      <c r="F88" s="4">
        <v>516049.19799999997</v>
      </c>
      <c r="G88" s="4">
        <v>516049.41600000003</v>
      </c>
      <c r="H88" s="5">
        <f>40 / 86400</f>
        <v>4.6296296296296298E-4</v>
      </c>
      <c r="I88" t="s">
        <v>137</v>
      </c>
      <c r="J88" t="s">
        <v>31</v>
      </c>
      <c r="K88" s="5">
        <f>141 / 86400</f>
        <v>1.6319444444444445E-3</v>
      </c>
      <c r="L88" s="5">
        <f>2500 / 86400</f>
        <v>2.8935185185185185E-2</v>
      </c>
    </row>
    <row r="89" spans="1:12" x14ac:dyDescent="0.25">
      <c r="A89" s="3">
        <v>45710.621481481481</v>
      </c>
      <c r="B89" t="s">
        <v>72</v>
      </c>
      <c r="C89" s="3">
        <v>45710.623692129629</v>
      </c>
      <c r="D89" t="s">
        <v>138</v>
      </c>
      <c r="E89" s="4">
        <v>0.61799999999999999</v>
      </c>
      <c r="F89" s="4">
        <v>516049.41600000003</v>
      </c>
      <c r="G89" s="4">
        <v>516050.03399999999</v>
      </c>
      <c r="H89" s="5">
        <f>19 / 86400</f>
        <v>2.199074074074074E-4</v>
      </c>
      <c r="I89" t="s">
        <v>129</v>
      </c>
      <c r="J89" t="s">
        <v>139</v>
      </c>
      <c r="K89" s="5">
        <f>191 / 86400</f>
        <v>2.2106481481481482E-3</v>
      </c>
      <c r="L89" s="5">
        <f>1302 / 86400</f>
        <v>1.5069444444444444E-2</v>
      </c>
    </row>
    <row r="90" spans="1:12" x14ac:dyDescent="0.25">
      <c r="A90" s="3">
        <v>45710.638761574075</v>
      </c>
      <c r="B90" t="s">
        <v>138</v>
      </c>
      <c r="C90" s="3">
        <v>45710.640543981484</v>
      </c>
      <c r="D90" t="s">
        <v>130</v>
      </c>
      <c r="E90" s="4">
        <v>4.9000000000000002E-2</v>
      </c>
      <c r="F90" s="4">
        <v>516050.03399999999</v>
      </c>
      <c r="G90" s="4">
        <v>516050.08299999998</v>
      </c>
      <c r="H90" s="5">
        <f>120 / 86400</f>
        <v>1.3888888888888889E-3</v>
      </c>
      <c r="I90" t="s">
        <v>140</v>
      </c>
      <c r="J90" t="s">
        <v>124</v>
      </c>
      <c r="K90" s="5">
        <f>154 / 86400</f>
        <v>1.7824074074074075E-3</v>
      </c>
      <c r="L90" s="5">
        <f>147 / 86400</f>
        <v>1.7013888888888888E-3</v>
      </c>
    </row>
    <row r="91" spans="1:12" x14ac:dyDescent="0.25">
      <c r="A91" s="3">
        <v>45710.642245370371</v>
      </c>
      <c r="B91" t="s">
        <v>130</v>
      </c>
      <c r="C91" s="3">
        <v>45710.643194444448</v>
      </c>
      <c r="D91" t="s">
        <v>130</v>
      </c>
      <c r="E91" s="4">
        <v>3.0000000000000001E-3</v>
      </c>
      <c r="F91" s="4">
        <v>516050.08299999998</v>
      </c>
      <c r="G91" s="4">
        <v>516050.08600000001</v>
      </c>
      <c r="H91" s="5">
        <f>79 / 86400</f>
        <v>9.1435185185185185E-4</v>
      </c>
      <c r="I91" t="s">
        <v>77</v>
      </c>
      <c r="J91" t="s">
        <v>77</v>
      </c>
      <c r="K91" s="5">
        <f>82 / 86400</f>
        <v>9.4907407407407408E-4</v>
      </c>
      <c r="L91" s="5">
        <f>294 / 86400</f>
        <v>3.4027777777777776E-3</v>
      </c>
    </row>
    <row r="92" spans="1:12" x14ac:dyDescent="0.25">
      <c r="A92" s="3">
        <v>45710.646597222221</v>
      </c>
      <c r="B92" t="s">
        <v>130</v>
      </c>
      <c r="C92" s="3">
        <v>45710.833773148144</v>
      </c>
      <c r="D92" t="s">
        <v>141</v>
      </c>
      <c r="E92" s="4">
        <v>69.134</v>
      </c>
      <c r="F92" s="4">
        <v>516050.08600000001</v>
      </c>
      <c r="G92" s="4">
        <v>516119.22</v>
      </c>
      <c r="H92" s="5">
        <f>5199 / 86400</f>
        <v>6.0173611111111108E-2</v>
      </c>
      <c r="I92" t="s">
        <v>23</v>
      </c>
      <c r="J92" t="s">
        <v>42</v>
      </c>
      <c r="K92" s="5">
        <f>16171 / 86400</f>
        <v>0.18716435185185185</v>
      </c>
      <c r="L92" s="5">
        <f>147 / 86400</f>
        <v>1.7013888888888888E-3</v>
      </c>
    </row>
    <row r="93" spans="1:12" x14ac:dyDescent="0.25">
      <c r="A93" s="3">
        <v>45710.835474537038</v>
      </c>
      <c r="B93" t="s">
        <v>141</v>
      </c>
      <c r="C93" s="3">
        <v>45710.835613425923</v>
      </c>
      <c r="D93" t="s">
        <v>142</v>
      </c>
      <c r="E93" s="4">
        <v>0.01</v>
      </c>
      <c r="F93" s="4">
        <v>516119.22</v>
      </c>
      <c r="G93" s="4">
        <v>516119.23</v>
      </c>
      <c r="H93" s="5">
        <f>0 / 86400</f>
        <v>0</v>
      </c>
      <c r="I93" t="s">
        <v>77</v>
      </c>
      <c r="J93" t="s">
        <v>143</v>
      </c>
      <c r="K93" s="5">
        <f>12 / 86400</f>
        <v>1.3888888888888889E-4</v>
      </c>
      <c r="L93" s="5">
        <f>206 / 86400</f>
        <v>2.3842592592592591E-3</v>
      </c>
    </row>
    <row r="94" spans="1:12" x14ac:dyDescent="0.25">
      <c r="A94" s="3">
        <v>45710.837997685187</v>
      </c>
      <c r="B94" t="s">
        <v>142</v>
      </c>
      <c r="C94" s="3">
        <v>45710.842314814814</v>
      </c>
      <c r="D94" t="s">
        <v>18</v>
      </c>
      <c r="E94" s="4">
        <v>0.60699999999999998</v>
      </c>
      <c r="F94" s="4">
        <v>516119.23</v>
      </c>
      <c r="G94" s="4">
        <v>516119.837</v>
      </c>
      <c r="H94" s="5">
        <f>79 / 86400</f>
        <v>9.1435185185185185E-4</v>
      </c>
      <c r="I94" t="s">
        <v>33</v>
      </c>
      <c r="J94" t="s">
        <v>31</v>
      </c>
      <c r="K94" s="5">
        <f>373 / 86400</f>
        <v>4.31712962962963E-3</v>
      </c>
      <c r="L94" s="5">
        <f>13623 / 86400</f>
        <v>0.15767361111111111</v>
      </c>
    </row>
    <row r="95" spans="1:1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2" s="10" customFormat="1" ht="20.100000000000001" customHeight="1" x14ac:dyDescent="0.35">
      <c r="A97" s="15" t="s">
        <v>422</v>
      </c>
      <c r="B97" s="15"/>
      <c r="C97" s="15"/>
      <c r="D97" s="15"/>
      <c r="E97" s="15"/>
      <c r="F97" s="15"/>
      <c r="G97" s="15"/>
      <c r="H97" s="15"/>
      <c r="I97" s="15"/>
      <c r="J97" s="15"/>
    </row>
    <row r="98" spans="1:1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2" ht="30" x14ac:dyDescent="0.25">
      <c r="A99" s="2" t="s">
        <v>6</v>
      </c>
      <c r="B99" s="2" t="s">
        <v>7</v>
      </c>
      <c r="C99" s="2" t="s">
        <v>8</v>
      </c>
      <c r="D99" s="2" t="s">
        <v>9</v>
      </c>
      <c r="E99" s="2" t="s">
        <v>10</v>
      </c>
      <c r="F99" s="2" t="s">
        <v>11</v>
      </c>
      <c r="G99" s="2" t="s">
        <v>12</v>
      </c>
      <c r="H99" s="2" t="s">
        <v>13</v>
      </c>
      <c r="I99" s="2" t="s">
        <v>14</v>
      </c>
      <c r="J99" s="2" t="s">
        <v>15</v>
      </c>
      <c r="K99" s="2" t="s">
        <v>16</v>
      </c>
      <c r="L99" s="2" t="s">
        <v>17</v>
      </c>
    </row>
    <row r="100" spans="1:12" x14ac:dyDescent="0.25">
      <c r="A100" s="3">
        <v>45710.324618055558</v>
      </c>
      <c r="B100" t="s">
        <v>21</v>
      </c>
      <c r="C100" s="3">
        <v>45710.402743055558</v>
      </c>
      <c r="D100" t="s">
        <v>144</v>
      </c>
      <c r="E100" s="4">
        <v>34.994999999999997</v>
      </c>
      <c r="F100" s="4">
        <v>329957.53399999999</v>
      </c>
      <c r="G100" s="4">
        <v>329992.52899999998</v>
      </c>
      <c r="H100" s="5">
        <f>1937 / 86400</f>
        <v>2.2418981481481481E-2</v>
      </c>
      <c r="I100" t="s">
        <v>23</v>
      </c>
      <c r="J100" t="s">
        <v>80</v>
      </c>
      <c r="K100" s="5">
        <f>6749 / 86400</f>
        <v>7.8113425925925919E-2</v>
      </c>
      <c r="L100" s="5">
        <f>28145 / 86400</f>
        <v>0.32575231481481481</v>
      </c>
    </row>
    <row r="101" spans="1:12" x14ac:dyDescent="0.25">
      <c r="A101" s="3">
        <v>45710.403877314813</v>
      </c>
      <c r="B101" t="s">
        <v>145</v>
      </c>
      <c r="C101" s="3">
        <v>45710.522858796292</v>
      </c>
      <c r="D101" t="s">
        <v>81</v>
      </c>
      <c r="E101" s="4">
        <v>48.503999999999998</v>
      </c>
      <c r="F101" s="4">
        <v>329992.52899999998</v>
      </c>
      <c r="G101" s="4">
        <v>330041.033</v>
      </c>
      <c r="H101" s="5">
        <f>3201 / 86400</f>
        <v>3.7048611111111109E-2</v>
      </c>
      <c r="I101" t="s">
        <v>110</v>
      </c>
      <c r="J101" t="s">
        <v>29</v>
      </c>
      <c r="K101" s="5">
        <f>10279 / 86400</f>
        <v>0.11896990740740741</v>
      </c>
      <c r="L101" s="5">
        <f>4504 / 86400</f>
        <v>5.212962962962963E-2</v>
      </c>
    </row>
    <row r="102" spans="1:12" x14ac:dyDescent="0.25">
      <c r="A102" s="3">
        <v>45710.574988425928</v>
      </c>
      <c r="B102" t="s">
        <v>146</v>
      </c>
      <c r="C102" s="3">
        <v>45710.653912037036</v>
      </c>
      <c r="D102" t="s">
        <v>147</v>
      </c>
      <c r="E102" s="4">
        <v>41.250999999999998</v>
      </c>
      <c r="F102" s="4">
        <v>330041.033</v>
      </c>
      <c r="G102" s="4">
        <v>330082.28399999999</v>
      </c>
      <c r="H102" s="5">
        <f>1880 / 86400</f>
        <v>2.1759259259259259E-2</v>
      </c>
      <c r="I102" t="s">
        <v>89</v>
      </c>
      <c r="J102" t="s">
        <v>37</v>
      </c>
      <c r="K102" s="5">
        <f>6818 / 86400</f>
        <v>7.8912037037037031E-2</v>
      </c>
      <c r="L102" s="5">
        <f>223 / 86400</f>
        <v>2.5810185185185185E-3</v>
      </c>
    </row>
    <row r="103" spans="1:12" x14ac:dyDescent="0.25">
      <c r="A103" s="3">
        <v>45710.656493055554</v>
      </c>
      <c r="B103" t="s">
        <v>147</v>
      </c>
      <c r="C103" s="3">
        <v>45710.691932870366</v>
      </c>
      <c r="D103" t="s">
        <v>148</v>
      </c>
      <c r="E103" s="4">
        <v>9.2690000000000001</v>
      </c>
      <c r="F103" s="4">
        <v>330082.28399999999</v>
      </c>
      <c r="G103" s="4">
        <v>330091.55300000001</v>
      </c>
      <c r="H103" s="5">
        <f>1180 / 86400</f>
        <v>1.3657407407407408E-2</v>
      </c>
      <c r="I103" t="s">
        <v>149</v>
      </c>
      <c r="J103" t="s">
        <v>61</v>
      </c>
      <c r="K103" s="5">
        <f>3062 / 86400</f>
        <v>3.5439814814814813E-2</v>
      </c>
      <c r="L103" s="5">
        <f>73 / 86400</f>
        <v>8.4490740740740739E-4</v>
      </c>
    </row>
    <row r="104" spans="1:12" x14ac:dyDescent="0.25">
      <c r="A104" s="3">
        <v>45710.692777777775</v>
      </c>
      <c r="B104" t="s">
        <v>148</v>
      </c>
      <c r="C104" s="3">
        <v>45710.698912037042</v>
      </c>
      <c r="D104" t="s">
        <v>95</v>
      </c>
      <c r="E104" s="4">
        <v>1.177</v>
      </c>
      <c r="F104" s="4">
        <v>330091.55300000001</v>
      </c>
      <c r="G104" s="4">
        <v>330092.73</v>
      </c>
      <c r="H104" s="5">
        <f>218 / 86400</f>
        <v>2.5231481481481481E-3</v>
      </c>
      <c r="I104" t="s">
        <v>37</v>
      </c>
      <c r="J104" t="s">
        <v>150</v>
      </c>
      <c r="K104" s="5">
        <f>530 / 86400</f>
        <v>6.1342592592592594E-3</v>
      </c>
      <c r="L104" s="5">
        <f>100 / 86400</f>
        <v>1.1574074074074073E-3</v>
      </c>
    </row>
    <row r="105" spans="1:12" x14ac:dyDescent="0.25">
      <c r="A105" s="3">
        <v>45710.700069444443</v>
      </c>
      <c r="B105" t="s">
        <v>95</v>
      </c>
      <c r="C105" s="3">
        <v>45710.701215277775</v>
      </c>
      <c r="D105" t="s">
        <v>95</v>
      </c>
      <c r="E105" s="4">
        <v>1.7000000000000001E-2</v>
      </c>
      <c r="F105" s="4">
        <v>330092.73</v>
      </c>
      <c r="G105" s="4">
        <v>330092.74699999997</v>
      </c>
      <c r="H105" s="5">
        <f>79 / 86400</f>
        <v>9.1435185185185185E-4</v>
      </c>
      <c r="I105" t="s">
        <v>77</v>
      </c>
      <c r="J105" t="s">
        <v>124</v>
      </c>
      <c r="K105" s="5">
        <f>99 / 86400</f>
        <v>1.1458333333333333E-3</v>
      </c>
      <c r="L105" s="5">
        <f>52 / 86400</f>
        <v>6.018518518518519E-4</v>
      </c>
    </row>
    <row r="106" spans="1:12" x14ac:dyDescent="0.25">
      <c r="A106" s="3">
        <v>45710.701817129629</v>
      </c>
      <c r="B106" t="s">
        <v>95</v>
      </c>
      <c r="C106" s="3">
        <v>45710.77270833333</v>
      </c>
      <c r="D106" t="s">
        <v>151</v>
      </c>
      <c r="E106" s="4">
        <v>28.308</v>
      </c>
      <c r="F106" s="4">
        <v>330092.74699999997</v>
      </c>
      <c r="G106" s="4">
        <v>330121.05499999999</v>
      </c>
      <c r="H106" s="5">
        <f>2100 / 86400</f>
        <v>2.4305555555555556E-2</v>
      </c>
      <c r="I106" t="s">
        <v>83</v>
      </c>
      <c r="J106" t="s">
        <v>29</v>
      </c>
      <c r="K106" s="5">
        <f>6124 / 86400</f>
        <v>7.0879629629629626E-2</v>
      </c>
      <c r="L106" s="5">
        <f>102 / 86400</f>
        <v>1.1805555555555556E-3</v>
      </c>
    </row>
    <row r="107" spans="1:12" x14ac:dyDescent="0.25">
      <c r="A107" s="3">
        <v>45710.773888888885</v>
      </c>
      <c r="B107" t="s">
        <v>151</v>
      </c>
      <c r="C107" s="3">
        <v>45710.842523148152</v>
      </c>
      <c r="D107" t="s">
        <v>147</v>
      </c>
      <c r="E107" s="4">
        <v>36.923000000000002</v>
      </c>
      <c r="F107" s="4">
        <v>330121.05599999998</v>
      </c>
      <c r="G107" s="4">
        <v>330157.97899999999</v>
      </c>
      <c r="H107" s="5">
        <f>1700 / 86400</f>
        <v>1.9675925925925927E-2</v>
      </c>
      <c r="I107" t="s">
        <v>97</v>
      </c>
      <c r="J107" t="s">
        <v>37</v>
      </c>
      <c r="K107" s="5">
        <f>5930 / 86400</f>
        <v>6.8634259259259256E-2</v>
      </c>
      <c r="L107" s="5">
        <f>122 / 86400</f>
        <v>1.4120370370370369E-3</v>
      </c>
    </row>
    <row r="108" spans="1:12" x14ac:dyDescent="0.25">
      <c r="A108" s="3">
        <v>45710.843935185185</v>
      </c>
      <c r="B108" t="s">
        <v>147</v>
      </c>
      <c r="C108" s="3">
        <v>45710.902546296296</v>
      </c>
      <c r="D108" t="s">
        <v>84</v>
      </c>
      <c r="E108" s="4">
        <v>23.332000000000001</v>
      </c>
      <c r="F108" s="4">
        <v>330157.97899999999</v>
      </c>
      <c r="G108" s="4">
        <v>330181.31099999999</v>
      </c>
      <c r="H108" s="5">
        <f>1660 / 86400</f>
        <v>1.9212962962962963E-2</v>
      </c>
      <c r="I108" t="s">
        <v>152</v>
      </c>
      <c r="J108" t="s">
        <v>29</v>
      </c>
      <c r="K108" s="5">
        <f>5063 / 86400</f>
        <v>5.859953703703704E-2</v>
      </c>
      <c r="L108" s="5">
        <f>368 / 86400</f>
        <v>4.2592592592592595E-3</v>
      </c>
    </row>
    <row r="109" spans="1:12" x14ac:dyDescent="0.25">
      <c r="A109" s="3">
        <v>45710.906805555554</v>
      </c>
      <c r="B109" t="s">
        <v>84</v>
      </c>
      <c r="C109" s="3">
        <v>45710.907083333332</v>
      </c>
      <c r="D109" t="s">
        <v>84</v>
      </c>
      <c r="E109" s="4">
        <v>0</v>
      </c>
      <c r="F109" s="4">
        <v>330181.31099999999</v>
      </c>
      <c r="G109" s="4">
        <v>330181.31099999999</v>
      </c>
      <c r="H109" s="5">
        <f>19 / 86400</f>
        <v>2.199074074074074E-4</v>
      </c>
      <c r="I109" t="s">
        <v>77</v>
      </c>
      <c r="J109" t="s">
        <v>77</v>
      </c>
      <c r="K109" s="5">
        <f>24 / 86400</f>
        <v>2.7777777777777778E-4</v>
      </c>
      <c r="L109" s="5">
        <f>141 / 86400</f>
        <v>1.6319444444444445E-3</v>
      </c>
    </row>
    <row r="110" spans="1:12" x14ac:dyDescent="0.25">
      <c r="A110" s="3">
        <v>45710.908715277779</v>
      </c>
      <c r="B110" t="s">
        <v>84</v>
      </c>
      <c r="C110" s="3">
        <v>45710.910752314812</v>
      </c>
      <c r="D110" t="s">
        <v>21</v>
      </c>
      <c r="E110" s="4">
        <v>0.91200000000000003</v>
      </c>
      <c r="F110" s="4">
        <v>330181.31099999999</v>
      </c>
      <c r="G110" s="4">
        <v>330182.223</v>
      </c>
      <c r="H110" s="5">
        <f>40 / 86400</f>
        <v>4.6296296296296298E-4</v>
      </c>
      <c r="I110" t="s">
        <v>153</v>
      </c>
      <c r="J110" t="s">
        <v>80</v>
      </c>
      <c r="K110" s="5">
        <f>175 / 86400</f>
        <v>2.0254629629629629E-3</v>
      </c>
      <c r="L110" s="5">
        <f>344 / 86400</f>
        <v>3.9814814814814817E-3</v>
      </c>
    </row>
    <row r="111" spans="1:12" x14ac:dyDescent="0.25">
      <c r="A111" s="3">
        <v>45710.914733796293</v>
      </c>
      <c r="B111" t="s">
        <v>21</v>
      </c>
      <c r="C111" s="3">
        <v>45710.915763888886</v>
      </c>
      <c r="D111" t="s">
        <v>22</v>
      </c>
      <c r="E111" s="4">
        <v>0.438</v>
      </c>
      <c r="F111" s="4">
        <v>330182.223</v>
      </c>
      <c r="G111" s="4">
        <v>330182.66100000002</v>
      </c>
      <c r="H111" s="5">
        <f>0 / 86400</f>
        <v>0</v>
      </c>
      <c r="I111" t="s">
        <v>154</v>
      </c>
      <c r="J111" t="s">
        <v>20</v>
      </c>
      <c r="K111" s="5">
        <f>89 / 86400</f>
        <v>1.0300925925925926E-3</v>
      </c>
      <c r="L111" s="5">
        <f>7277 / 86400</f>
        <v>8.4224537037037042E-2</v>
      </c>
    </row>
    <row r="112" spans="1:12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1:12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2" s="10" customFormat="1" ht="20.100000000000001" customHeight="1" x14ac:dyDescent="0.35">
      <c r="A114" s="15" t="s">
        <v>423</v>
      </c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1:12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2" ht="30" x14ac:dyDescent="0.25">
      <c r="A116" s="2" t="s">
        <v>6</v>
      </c>
      <c r="B116" s="2" t="s">
        <v>7</v>
      </c>
      <c r="C116" s="2" t="s">
        <v>8</v>
      </c>
      <c r="D116" s="2" t="s">
        <v>9</v>
      </c>
      <c r="E116" s="2" t="s">
        <v>10</v>
      </c>
      <c r="F116" s="2" t="s">
        <v>11</v>
      </c>
      <c r="G116" s="2" t="s">
        <v>12</v>
      </c>
      <c r="H116" s="2" t="s">
        <v>13</v>
      </c>
      <c r="I116" s="2" t="s">
        <v>14</v>
      </c>
      <c r="J116" s="2" t="s">
        <v>15</v>
      </c>
      <c r="K116" s="2" t="s">
        <v>16</v>
      </c>
      <c r="L116" s="2" t="s">
        <v>17</v>
      </c>
    </row>
    <row r="117" spans="1:12" x14ac:dyDescent="0.25">
      <c r="A117" s="3">
        <v>45710.313587962963</v>
      </c>
      <c r="B117" t="s">
        <v>24</v>
      </c>
      <c r="C117" s="3">
        <v>45710.530370370368</v>
      </c>
      <c r="D117" t="s">
        <v>155</v>
      </c>
      <c r="E117" s="4">
        <v>80.692999999999998</v>
      </c>
      <c r="F117" s="4">
        <v>21804.253000000001</v>
      </c>
      <c r="G117" s="4">
        <v>21884.946</v>
      </c>
      <c r="H117" s="5">
        <f>7159 / 86400</f>
        <v>8.2858796296296292E-2</v>
      </c>
      <c r="I117" t="s">
        <v>25</v>
      </c>
      <c r="J117" t="s">
        <v>33</v>
      </c>
      <c r="K117" s="5">
        <f>18730 / 86400</f>
        <v>0.2167824074074074</v>
      </c>
      <c r="L117" s="5">
        <f>31482 / 86400</f>
        <v>0.364375</v>
      </c>
    </row>
    <row r="118" spans="1:12" x14ac:dyDescent="0.25">
      <c r="A118" s="3">
        <v>45710.581157407403</v>
      </c>
      <c r="B118" t="s">
        <v>155</v>
      </c>
      <c r="C118" s="3">
        <v>45710.581180555557</v>
      </c>
      <c r="D118" t="s">
        <v>155</v>
      </c>
      <c r="E118" s="4">
        <v>0</v>
      </c>
      <c r="F118" s="4">
        <v>21884.946</v>
      </c>
      <c r="G118" s="4">
        <v>21884.946</v>
      </c>
      <c r="H118" s="5">
        <f>0 / 86400</f>
        <v>0</v>
      </c>
      <c r="I118" t="s">
        <v>77</v>
      </c>
      <c r="J118" t="s">
        <v>77</v>
      </c>
      <c r="K118" s="5">
        <f>1 / 86400</f>
        <v>1.1574074074074073E-5</v>
      </c>
      <c r="L118" s="5">
        <f>19 / 86400</f>
        <v>2.199074074074074E-4</v>
      </c>
    </row>
    <row r="119" spans="1:12" x14ac:dyDescent="0.25">
      <c r="A119" s="3">
        <v>45710.581400462965</v>
      </c>
      <c r="B119" t="s">
        <v>155</v>
      </c>
      <c r="C119" s="3">
        <v>45710.782858796301</v>
      </c>
      <c r="D119" t="s">
        <v>130</v>
      </c>
      <c r="E119" s="4">
        <v>50.917000000000002</v>
      </c>
      <c r="F119" s="4">
        <v>21884.946</v>
      </c>
      <c r="G119" s="4">
        <v>21935.863000000001</v>
      </c>
      <c r="H119" s="5">
        <f>8063 / 86400</f>
        <v>9.3321759259259257E-2</v>
      </c>
      <c r="I119" t="s">
        <v>149</v>
      </c>
      <c r="J119" t="s">
        <v>61</v>
      </c>
      <c r="K119" s="5">
        <f>17405 / 86400</f>
        <v>0.20144675925925926</v>
      </c>
      <c r="L119" s="5">
        <f>237 / 86400</f>
        <v>2.7430555555555554E-3</v>
      </c>
    </row>
    <row r="120" spans="1:12" x14ac:dyDescent="0.25">
      <c r="A120" s="3">
        <v>45710.785601851851</v>
      </c>
      <c r="B120" t="s">
        <v>130</v>
      </c>
      <c r="C120" s="3">
        <v>45710.785891203705</v>
      </c>
      <c r="D120" t="s">
        <v>130</v>
      </c>
      <c r="E120" s="4">
        <v>1.4E-2</v>
      </c>
      <c r="F120" s="4">
        <v>21935.863000000001</v>
      </c>
      <c r="G120" s="4">
        <v>21935.877</v>
      </c>
      <c r="H120" s="5">
        <f>0 / 86400</f>
        <v>0</v>
      </c>
      <c r="I120" t="s">
        <v>156</v>
      </c>
      <c r="J120" t="s">
        <v>113</v>
      </c>
      <c r="K120" s="5">
        <f>24 / 86400</f>
        <v>2.7777777777777778E-4</v>
      </c>
      <c r="L120" s="5">
        <f>801 / 86400</f>
        <v>9.2708333333333341E-3</v>
      </c>
    </row>
    <row r="121" spans="1:12" x14ac:dyDescent="0.25">
      <c r="A121" s="3">
        <v>45710.795162037037</v>
      </c>
      <c r="B121" t="s">
        <v>130</v>
      </c>
      <c r="C121" s="3">
        <v>45710.795983796299</v>
      </c>
      <c r="D121" t="s">
        <v>130</v>
      </c>
      <c r="E121" s="4">
        <v>7.0000000000000001E-3</v>
      </c>
      <c r="F121" s="4">
        <v>21935.877</v>
      </c>
      <c r="G121" s="4">
        <v>21935.883999999998</v>
      </c>
      <c r="H121" s="5">
        <f>40 / 86400</f>
        <v>4.6296296296296298E-4</v>
      </c>
      <c r="I121" t="s">
        <v>31</v>
      </c>
      <c r="J121" t="s">
        <v>77</v>
      </c>
      <c r="K121" s="5">
        <f>71 / 86400</f>
        <v>8.2175925925925927E-4</v>
      </c>
      <c r="L121" s="5">
        <f>161 / 86400</f>
        <v>1.8634259259259259E-3</v>
      </c>
    </row>
    <row r="122" spans="1:12" x14ac:dyDescent="0.25">
      <c r="A122" s="3">
        <v>45710.797847222224</v>
      </c>
      <c r="B122" t="s">
        <v>130</v>
      </c>
      <c r="C122" s="3">
        <v>45710.800636574073</v>
      </c>
      <c r="D122" t="s">
        <v>130</v>
      </c>
      <c r="E122" s="4">
        <v>6.0000000000000001E-3</v>
      </c>
      <c r="F122" s="4">
        <v>21935.883999999998</v>
      </c>
      <c r="G122" s="4">
        <v>21935.89</v>
      </c>
      <c r="H122" s="5">
        <f>239 / 86400</f>
        <v>2.7662037037037039E-3</v>
      </c>
      <c r="I122" t="s">
        <v>77</v>
      </c>
      <c r="J122" t="s">
        <v>77</v>
      </c>
      <c r="K122" s="5">
        <f>241 / 86400</f>
        <v>2.7893518518518519E-3</v>
      </c>
      <c r="L122" s="5">
        <f>188 / 86400</f>
        <v>2.1759259259259258E-3</v>
      </c>
    </row>
    <row r="123" spans="1:12" x14ac:dyDescent="0.25">
      <c r="A123" s="3">
        <v>45710.802812499998</v>
      </c>
      <c r="B123" t="s">
        <v>130</v>
      </c>
      <c r="C123" s="3">
        <v>45710.869479166664</v>
      </c>
      <c r="D123" t="s">
        <v>24</v>
      </c>
      <c r="E123" s="4">
        <v>28.425999999999998</v>
      </c>
      <c r="F123" s="4">
        <v>21935.89</v>
      </c>
      <c r="G123" s="4">
        <v>21964.315999999999</v>
      </c>
      <c r="H123" s="5">
        <f>1600 / 86400</f>
        <v>1.8518518518518517E-2</v>
      </c>
      <c r="I123" t="s">
        <v>157</v>
      </c>
      <c r="J123" t="s">
        <v>20</v>
      </c>
      <c r="K123" s="5">
        <f>5759 / 86400</f>
        <v>6.6655092592592599E-2</v>
      </c>
      <c r="L123" s="5">
        <f>11276 / 86400</f>
        <v>0.13050925925925927</v>
      </c>
    </row>
    <row r="124" spans="1:1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2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2" s="10" customFormat="1" ht="20.100000000000001" customHeight="1" x14ac:dyDescent="0.35">
      <c r="A126" s="15" t="s">
        <v>424</v>
      </c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2" ht="30" x14ac:dyDescent="0.25">
      <c r="A128" s="2" t="s">
        <v>6</v>
      </c>
      <c r="B128" s="2" t="s">
        <v>7</v>
      </c>
      <c r="C128" s="2" t="s">
        <v>8</v>
      </c>
      <c r="D128" s="2" t="s">
        <v>9</v>
      </c>
      <c r="E128" s="2" t="s">
        <v>10</v>
      </c>
      <c r="F128" s="2" t="s">
        <v>11</v>
      </c>
      <c r="G128" s="2" t="s">
        <v>12</v>
      </c>
      <c r="H128" s="2" t="s">
        <v>13</v>
      </c>
      <c r="I128" s="2" t="s">
        <v>14</v>
      </c>
      <c r="J128" s="2" t="s">
        <v>15</v>
      </c>
      <c r="K128" s="2" t="s">
        <v>16</v>
      </c>
      <c r="L128" s="2" t="s">
        <v>17</v>
      </c>
    </row>
    <row r="129" spans="1:12" x14ac:dyDescent="0.25">
      <c r="A129" s="3">
        <v>45710.239675925928</v>
      </c>
      <c r="B129" t="s">
        <v>27</v>
      </c>
      <c r="C129" s="3">
        <v>45710.247094907405</v>
      </c>
      <c r="D129" t="s">
        <v>27</v>
      </c>
      <c r="E129" s="4">
        <v>1.6E-2</v>
      </c>
      <c r="F129" s="4">
        <v>514880.32299999997</v>
      </c>
      <c r="G129" s="4">
        <v>514880.33899999998</v>
      </c>
      <c r="H129" s="5">
        <f>559 / 86400</f>
        <v>6.4699074074074077E-3</v>
      </c>
      <c r="I129" t="s">
        <v>75</v>
      </c>
      <c r="J129" t="s">
        <v>77</v>
      </c>
      <c r="K129" s="5">
        <f>640 / 86400</f>
        <v>7.4074074074074077E-3</v>
      </c>
      <c r="L129" s="5">
        <f>20953 / 86400</f>
        <v>0.24251157407407409</v>
      </c>
    </row>
    <row r="130" spans="1:12" x14ac:dyDescent="0.25">
      <c r="A130" s="3">
        <v>45710.249930555554</v>
      </c>
      <c r="B130" t="s">
        <v>27</v>
      </c>
      <c r="C130" s="3">
        <v>45710.304155092592</v>
      </c>
      <c r="D130" t="s">
        <v>133</v>
      </c>
      <c r="E130" s="4">
        <v>33.823</v>
      </c>
      <c r="F130" s="4">
        <v>514880.33899999998</v>
      </c>
      <c r="G130" s="4">
        <v>514914.16200000001</v>
      </c>
      <c r="H130" s="5">
        <f>880 / 86400</f>
        <v>1.0185185185185186E-2</v>
      </c>
      <c r="I130" t="s">
        <v>25</v>
      </c>
      <c r="J130" t="s">
        <v>158</v>
      </c>
      <c r="K130" s="5">
        <f>4685 / 86400</f>
        <v>5.4224537037037036E-2</v>
      </c>
      <c r="L130" s="5">
        <f>2996 / 86400</f>
        <v>3.4675925925925923E-2</v>
      </c>
    </row>
    <row r="131" spans="1:12" x14ac:dyDescent="0.25">
      <c r="A131" s="3">
        <v>45710.338831018518</v>
      </c>
      <c r="B131" t="s">
        <v>133</v>
      </c>
      <c r="C131" s="3">
        <v>45710.343935185185</v>
      </c>
      <c r="D131" t="s">
        <v>128</v>
      </c>
      <c r="E131" s="4">
        <v>0.871</v>
      </c>
      <c r="F131" s="4">
        <v>514914.16200000001</v>
      </c>
      <c r="G131" s="4">
        <v>514915.033</v>
      </c>
      <c r="H131" s="5">
        <f>140 / 86400</f>
        <v>1.6203703703703703E-3</v>
      </c>
      <c r="I131" t="s">
        <v>129</v>
      </c>
      <c r="J131" t="s">
        <v>140</v>
      </c>
      <c r="K131" s="5">
        <f>441 / 86400</f>
        <v>5.1041666666666666E-3</v>
      </c>
      <c r="L131" s="5">
        <f>1338 / 86400</f>
        <v>1.5486111111111112E-2</v>
      </c>
    </row>
    <row r="132" spans="1:12" x14ac:dyDescent="0.25">
      <c r="A132" s="3">
        <v>45710.359421296293</v>
      </c>
      <c r="B132" t="s">
        <v>128</v>
      </c>
      <c r="C132" s="3">
        <v>45710.480057870373</v>
      </c>
      <c r="D132" t="s">
        <v>159</v>
      </c>
      <c r="E132" s="4">
        <v>51.139000000000003</v>
      </c>
      <c r="F132" s="4">
        <v>514915.033</v>
      </c>
      <c r="G132" s="4">
        <v>514966.17200000002</v>
      </c>
      <c r="H132" s="5">
        <f>3018 / 86400</f>
        <v>3.4930555555555555E-2</v>
      </c>
      <c r="I132" t="s">
        <v>28</v>
      </c>
      <c r="J132" t="s">
        <v>20</v>
      </c>
      <c r="K132" s="5">
        <f>10423 / 86400</f>
        <v>0.12063657407407408</v>
      </c>
      <c r="L132" s="5">
        <f>1077 / 86400</f>
        <v>1.2465277777777778E-2</v>
      </c>
    </row>
    <row r="133" spans="1:12" x14ac:dyDescent="0.25">
      <c r="A133" s="3">
        <v>45710.492523148147</v>
      </c>
      <c r="B133" t="s">
        <v>160</v>
      </c>
      <c r="C133" s="3">
        <v>45710.622442129628</v>
      </c>
      <c r="D133" t="s">
        <v>133</v>
      </c>
      <c r="E133" s="4">
        <v>51.488</v>
      </c>
      <c r="F133" s="4">
        <v>514966.17200000002</v>
      </c>
      <c r="G133" s="4">
        <v>515017.66</v>
      </c>
      <c r="H133" s="5">
        <f>3360 / 86400</f>
        <v>3.888888888888889E-2</v>
      </c>
      <c r="I133" t="s">
        <v>149</v>
      </c>
      <c r="J133" t="s">
        <v>29</v>
      </c>
      <c r="K133" s="5">
        <f>11224 / 86400</f>
        <v>0.12990740740740742</v>
      </c>
      <c r="L133" s="5">
        <f>3281 / 86400</f>
        <v>3.7974537037037036E-2</v>
      </c>
    </row>
    <row r="134" spans="1:12" x14ac:dyDescent="0.25">
      <c r="A134" s="3">
        <v>45710.660416666666</v>
      </c>
      <c r="B134" t="s">
        <v>133</v>
      </c>
      <c r="C134" s="3">
        <v>45710.665925925925</v>
      </c>
      <c r="D134" t="s">
        <v>81</v>
      </c>
      <c r="E134" s="4">
        <v>0.91500000000000004</v>
      </c>
      <c r="F134" s="4">
        <v>515017.66</v>
      </c>
      <c r="G134" s="4">
        <v>515018.57500000001</v>
      </c>
      <c r="H134" s="5">
        <f>180 / 86400</f>
        <v>2.0833333333333333E-3</v>
      </c>
      <c r="I134" t="s">
        <v>37</v>
      </c>
      <c r="J134" t="s">
        <v>140</v>
      </c>
      <c r="K134" s="5">
        <f>475 / 86400</f>
        <v>5.4976851851851853E-3</v>
      </c>
      <c r="L134" s="5">
        <f>406 / 86400</f>
        <v>4.6990740740740743E-3</v>
      </c>
    </row>
    <row r="135" spans="1:12" x14ac:dyDescent="0.25">
      <c r="A135" s="3">
        <v>45710.670624999999</v>
      </c>
      <c r="B135" t="s">
        <v>81</v>
      </c>
      <c r="C135" s="3">
        <v>45710.671018518522</v>
      </c>
      <c r="D135" t="s">
        <v>81</v>
      </c>
      <c r="E135" s="4">
        <v>0.04</v>
      </c>
      <c r="F135" s="4">
        <v>515018.57500000001</v>
      </c>
      <c r="G135" s="4">
        <v>515018.61499999999</v>
      </c>
      <c r="H135" s="5">
        <f>0 / 86400</f>
        <v>0</v>
      </c>
      <c r="I135" t="s">
        <v>150</v>
      </c>
      <c r="J135" t="s">
        <v>75</v>
      </c>
      <c r="K135" s="5">
        <f>33 / 86400</f>
        <v>3.8194444444444446E-4</v>
      </c>
      <c r="L135" s="5">
        <f>274 / 86400</f>
        <v>3.1712962962962962E-3</v>
      </c>
    </row>
    <row r="136" spans="1:12" x14ac:dyDescent="0.25">
      <c r="A136" s="3">
        <v>45710.674189814818</v>
      </c>
      <c r="B136" t="s">
        <v>81</v>
      </c>
      <c r="C136" s="3">
        <v>45710.777233796296</v>
      </c>
      <c r="D136" t="s">
        <v>161</v>
      </c>
      <c r="E136" s="4">
        <v>46.191000000000003</v>
      </c>
      <c r="F136" s="4">
        <v>515018.61499999999</v>
      </c>
      <c r="G136" s="4">
        <v>515064.80599999998</v>
      </c>
      <c r="H136" s="5">
        <f>2718 / 86400</f>
        <v>3.1458333333333331E-2</v>
      </c>
      <c r="I136" t="s">
        <v>41</v>
      </c>
      <c r="J136" t="s">
        <v>80</v>
      </c>
      <c r="K136" s="5">
        <f>8902 / 86400</f>
        <v>0.10303240740740741</v>
      </c>
      <c r="L136" s="5">
        <f>131 / 86400</f>
        <v>1.5162037037037036E-3</v>
      </c>
    </row>
    <row r="137" spans="1:12" x14ac:dyDescent="0.25">
      <c r="A137" s="3">
        <v>45710.778749999998</v>
      </c>
      <c r="B137" t="s">
        <v>161</v>
      </c>
      <c r="C137" s="3">
        <v>45710.885624999995</v>
      </c>
      <c r="D137" t="s">
        <v>38</v>
      </c>
      <c r="E137" s="4">
        <v>31.164000000000001</v>
      </c>
      <c r="F137" s="4">
        <v>515064.80599999998</v>
      </c>
      <c r="G137" s="4">
        <v>515095.97</v>
      </c>
      <c r="H137" s="5">
        <f>3680 / 86400</f>
        <v>4.2592592592592592E-2</v>
      </c>
      <c r="I137" t="s">
        <v>149</v>
      </c>
      <c r="J137" t="s">
        <v>139</v>
      </c>
      <c r="K137" s="5">
        <f>9233 / 86400</f>
        <v>0.10686342592592593</v>
      </c>
      <c r="L137" s="5">
        <f>993 / 86400</f>
        <v>1.1493055555555555E-2</v>
      </c>
    </row>
    <row r="138" spans="1:12" x14ac:dyDescent="0.25">
      <c r="A138" s="3">
        <v>45710.897118055553</v>
      </c>
      <c r="B138" t="s">
        <v>38</v>
      </c>
      <c r="C138" s="3">
        <v>45710.91777777778</v>
      </c>
      <c r="D138" t="s">
        <v>27</v>
      </c>
      <c r="E138" s="4">
        <v>10.375999999999999</v>
      </c>
      <c r="F138" s="4">
        <v>515095.97</v>
      </c>
      <c r="G138" s="4">
        <v>515106.34600000002</v>
      </c>
      <c r="H138" s="5">
        <f>521 / 86400</f>
        <v>6.030092592592593E-3</v>
      </c>
      <c r="I138" t="s">
        <v>162</v>
      </c>
      <c r="J138" t="s">
        <v>135</v>
      </c>
      <c r="K138" s="5">
        <f>1785 / 86400</f>
        <v>2.0659722222222222E-2</v>
      </c>
      <c r="L138" s="5">
        <f>324 / 86400</f>
        <v>3.7499999999999999E-3</v>
      </c>
    </row>
    <row r="139" spans="1:12" x14ac:dyDescent="0.25">
      <c r="A139" s="3">
        <v>45710.921527777777</v>
      </c>
      <c r="B139" t="s">
        <v>27</v>
      </c>
      <c r="C139" s="3">
        <v>45710.92460648148</v>
      </c>
      <c r="D139" t="s">
        <v>27</v>
      </c>
      <c r="E139" s="4">
        <v>1.2999999999999999E-2</v>
      </c>
      <c r="F139" s="4">
        <v>515106.34600000002</v>
      </c>
      <c r="G139" s="4">
        <v>515106.359</v>
      </c>
      <c r="H139" s="5">
        <f>259 / 86400</f>
        <v>2.9976851851851853E-3</v>
      </c>
      <c r="I139" t="s">
        <v>77</v>
      </c>
      <c r="J139" t="s">
        <v>77</v>
      </c>
      <c r="K139" s="5">
        <f>266 / 86400</f>
        <v>3.0787037037037037E-3</v>
      </c>
      <c r="L139" s="5">
        <f>6513 / 86400</f>
        <v>7.5381944444444446E-2</v>
      </c>
    </row>
    <row r="140" spans="1:12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2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2" s="10" customFormat="1" ht="20.100000000000001" customHeight="1" x14ac:dyDescent="0.35">
      <c r="A142" s="15" t="s">
        <v>425</v>
      </c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2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1:12" ht="30" x14ac:dyDescent="0.25">
      <c r="A144" s="2" t="s">
        <v>6</v>
      </c>
      <c r="B144" s="2" t="s">
        <v>7</v>
      </c>
      <c r="C144" s="2" t="s">
        <v>8</v>
      </c>
      <c r="D144" s="2" t="s">
        <v>9</v>
      </c>
      <c r="E144" s="2" t="s">
        <v>10</v>
      </c>
      <c r="F144" s="2" t="s">
        <v>11</v>
      </c>
      <c r="G144" s="2" t="s">
        <v>12</v>
      </c>
      <c r="H144" s="2" t="s">
        <v>13</v>
      </c>
      <c r="I144" s="2" t="s">
        <v>14</v>
      </c>
      <c r="J144" s="2" t="s">
        <v>15</v>
      </c>
      <c r="K144" s="2" t="s">
        <v>16</v>
      </c>
      <c r="L144" s="2" t="s">
        <v>17</v>
      </c>
    </row>
    <row r="145" spans="1:12" x14ac:dyDescent="0.25">
      <c r="A145" s="3">
        <v>45710.335243055553</v>
      </c>
      <c r="B145" t="s">
        <v>24</v>
      </c>
      <c r="C145" s="3">
        <v>45710.347094907411</v>
      </c>
      <c r="D145" t="s">
        <v>111</v>
      </c>
      <c r="E145" s="4">
        <v>1.5820000000000001</v>
      </c>
      <c r="F145" s="4">
        <v>93376.160999999993</v>
      </c>
      <c r="G145" s="4">
        <v>93377.743000000002</v>
      </c>
      <c r="H145" s="5">
        <f>659 / 86400</f>
        <v>7.6273148148148151E-3</v>
      </c>
      <c r="I145" t="s">
        <v>30</v>
      </c>
      <c r="J145" t="s">
        <v>31</v>
      </c>
      <c r="K145" s="5">
        <f>1024 / 86400</f>
        <v>1.1851851851851851E-2</v>
      </c>
      <c r="L145" s="5">
        <f>29220 / 86400</f>
        <v>0.33819444444444446</v>
      </c>
    </row>
    <row r="146" spans="1:12" x14ac:dyDescent="0.25">
      <c r="A146" s="3">
        <v>45710.350046296298</v>
      </c>
      <c r="B146" t="s">
        <v>111</v>
      </c>
      <c r="C146" s="3">
        <v>45710.351307870369</v>
      </c>
      <c r="D146" t="s">
        <v>111</v>
      </c>
      <c r="E146" s="4">
        <v>2.3E-2</v>
      </c>
      <c r="F146" s="4">
        <v>93377.743000000002</v>
      </c>
      <c r="G146" s="4">
        <v>93377.766000000003</v>
      </c>
      <c r="H146" s="5">
        <f>80 / 86400</f>
        <v>9.2592592592592596E-4</v>
      </c>
      <c r="I146" t="s">
        <v>75</v>
      </c>
      <c r="J146" t="s">
        <v>124</v>
      </c>
      <c r="K146" s="5">
        <f>108 / 86400</f>
        <v>1.25E-3</v>
      </c>
      <c r="L146" s="5">
        <f>24543 / 86400</f>
        <v>0.2840625</v>
      </c>
    </row>
    <row r="147" spans="1:12" x14ac:dyDescent="0.25">
      <c r="A147" s="3">
        <v>45710.635370370372</v>
      </c>
      <c r="B147" t="s">
        <v>111</v>
      </c>
      <c r="C147" s="3">
        <v>45710.637997685189</v>
      </c>
      <c r="D147" t="s">
        <v>111</v>
      </c>
      <c r="E147" s="4">
        <v>6.0999999999999999E-2</v>
      </c>
      <c r="F147" s="4">
        <v>93377.766000000003</v>
      </c>
      <c r="G147" s="4">
        <v>93377.827000000005</v>
      </c>
      <c r="H147" s="5">
        <f>160 / 86400</f>
        <v>1.8518518518518519E-3</v>
      </c>
      <c r="I147" t="s">
        <v>156</v>
      </c>
      <c r="J147" t="s">
        <v>124</v>
      </c>
      <c r="K147" s="5">
        <f>227 / 86400</f>
        <v>2.627314814814815E-3</v>
      </c>
      <c r="L147" s="5">
        <f>13340 / 86400</f>
        <v>0.15439814814814815</v>
      </c>
    </row>
    <row r="148" spans="1:12" x14ac:dyDescent="0.25">
      <c r="A148" s="3">
        <v>45710.792395833334</v>
      </c>
      <c r="B148" t="s">
        <v>111</v>
      </c>
      <c r="C148" s="3">
        <v>45710.797743055555</v>
      </c>
      <c r="D148" t="s">
        <v>24</v>
      </c>
      <c r="E148" s="4">
        <v>1.1970000000000001</v>
      </c>
      <c r="F148" s="4">
        <v>93377.827000000005</v>
      </c>
      <c r="G148" s="4">
        <v>93379.024000000005</v>
      </c>
      <c r="H148" s="5">
        <f>119 / 86400</f>
        <v>1.3773148148148147E-3</v>
      </c>
      <c r="I148" t="s">
        <v>30</v>
      </c>
      <c r="J148" t="s">
        <v>132</v>
      </c>
      <c r="K148" s="5">
        <f>461 / 86400</f>
        <v>5.3356481481481484E-3</v>
      </c>
      <c r="L148" s="5">
        <f>17474 / 86400</f>
        <v>0.20224537037037038</v>
      </c>
    </row>
    <row r="149" spans="1:1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2" s="10" customFormat="1" ht="20.100000000000001" customHeight="1" x14ac:dyDescent="0.35">
      <c r="A151" s="15" t="s">
        <v>426</v>
      </c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2" ht="30" x14ac:dyDescent="0.25">
      <c r="A153" s="2" t="s">
        <v>6</v>
      </c>
      <c r="B153" s="2" t="s">
        <v>7</v>
      </c>
      <c r="C153" s="2" t="s">
        <v>8</v>
      </c>
      <c r="D153" s="2" t="s">
        <v>9</v>
      </c>
      <c r="E153" s="2" t="s">
        <v>10</v>
      </c>
      <c r="F153" s="2" t="s">
        <v>11</v>
      </c>
      <c r="G153" s="2" t="s">
        <v>12</v>
      </c>
      <c r="H153" s="2" t="s">
        <v>13</v>
      </c>
      <c r="I153" s="2" t="s">
        <v>14</v>
      </c>
      <c r="J153" s="2" t="s">
        <v>15</v>
      </c>
      <c r="K153" s="2" t="s">
        <v>16</v>
      </c>
      <c r="L153" s="2" t="s">
        <v>17</v>
      </c>
    </row>
    <row r="154" spans="1:12" x14ac:dyDescent="0.25">
      <c r="A154" s="3">
        <v>45710.231909722221</v>
      </c>
      <c r="B154" t="s">
        <v>18</v>
      </c>
      <c r="C154" s="3">
        <v>45710.239479166667</v>
      </c>
      <c r="D154" t="s">
        <v>18</v>
      </c>
      <c r="E154" s="4">
        <v>2.8000000000000001E-2</v>
      </c>
      <c r="F154" s="4">
        <v>139899.84099999999</v>
      </c>
      <c r="G154" s="4">
        <v>139899.86900000001</v>
      </c>
      <c r="H154" s="5">
        <f>599 / 86400</f>
        <v>6.9328703703703705E-3</v>
      </c>
      <c r="I154" t="s">
        <v>113</v>
      </c>
      <c r="J154" t="s">
        <v>77</v>
      </c>
      <c r="K154" s="5">
        <f>654 / 86400</f>
        <v>7.5694444444444446E-3</v>
      </c>
      <c r="L154" s="5">
        <f>20319 / 86400</f>
        <v>0.23517361111111112</v>
      </c>
    </row>
    <row r="155" spans="1:12" x14ac:dyDescent="0.25">
      <c r="A155" s="3">
        <v>45710.242743055554</v>
      </c>
      <c r="B155" t="s">
        <v>18</v>
      </c>
      <c r="C155" s="3">
        <v>45710.242812500001</v>
      </c>
      <c r="D155" t="s">
        <v>18</v>
      </c>
      <c r="E155" s="4">
        <v>0</v>
      </c>
      <c r="F155" s="4">
        <v>139899.86900000001</v>
      </c>
      <c r="G155" s="4">
        <v>139899.86900000001</v>
      </c>
      <c r="H155" s="5">
        <f>0 / 86400</f>
        <v>0</v>
      </c>
      <c r="I155" t="s">
        <v>77</v>
      </c>
      <c r="J155" t="s">
        <v>77</v>
      </c>
      <c r="K155" s="5">
        <f>6 / 86400</f>
        <v>6.9444444444444444E-5</v>
      </c>
      <c r="L155" s="5">
        <f>79 / 86400</f>
        <v>9.1435185185185185E-4</v>
      </c>
    </row>
    <row r="156" spans="1:12" x14ac:dyDescent="0.25">
      <c r="A156" s="3">
        <v>45710.243726851855</v>
      </c>
      <c r="B156" t="s">
        <v>18</v>
      </c>
      <c r="C156" s="3">
        <v>45710.25335648148</v>
      </c>
      <c r="D156" t="s">
        <v>163</v>
      </c>
      <c r="E156" s="4">
        <v>2.9980000000000002</v>
      </c>
      <c r="F156" s="4">
        <v>139899.86900000001</v>
      </c>
      <c r="G156" s="4">
        <v>139902.867</v>
      </c>
      <c r="H156" s="5">
        <f>80 / 86400</f>
        <v>9.2592592592592596E-4</v>
      </c>
      <c r="I156" t="s">
        <v>123</v>
      </c>
      <c r="J156" t="s">
        <v>45</v>
      </c>
      <c r="K156" s="5">
        <f>832 / 86400</f>
        <v>9.6296296296296303E-3</v>
      </c>
      <c r="L156" s="5">
        <f>1497 / 86400</f>
        <v>1.7326388888888888E-2</v>
      </c>
    </row>
    <row r="157" spans="1:12" x14ac:dyDescent="0.25">
      <c r="A157" s="3">
        <v>45710.270682870367</v>
      </c>
      <c r="B157" t="s">
        <v>164</v>
      </c>
      <c r="C157" s="3">
        <v>45710.359861111108</v>
      </c>
      <c r="D157" t="s">
        <v>165</v>
      </c>
      <c r="E157" s="4">
        <v>41.863999999999997</v>
      </c>
      <c r="F157" s="4">
        <v>139902.867</v>
      </c>
      <c r="G157" s="4">
        <v>139944.731</v>
      </c>
      <c r="H157" s="5">
        <f>2020 / 86400</f>
        <v>2.3379629629629629E-2</v>
      </c>
      <c r="I157" t="s">
        <v>152</v>
      </c>
      <c r="J157" t="s">
        <v>64</v>
      </c>
      <c r="K157" s="5">
        <f>7705 / 86400</f>
        <v>8.9178240740740738E-2</v>
      </c>
      <c r="L157" s="5">
        <f>1324 / 86400</f>
        <v>1.5324074074074073E-2</v>
      </c>
    </row>
    <row r="158" spans="1:12" x14ac:dyDescent="0.25">
      <c r="A158" s="3">
        <v>45710.375185185185</v>
      </c>
      <c r="B158" t="s">
        <v>165</v>
      </c>
      <c r="C158" s="3">
        <v>45710.380925925929</v>
      </c>
      <c r="D158" t="s">
        <v>166</v>
      </c>
      <c r="E158" s="4">
        <v>1.016</v>
      </c>
      <c r="F158" s="4">
        <v>139944.731</v>
      </c>
      <c r="G158" s="4">
        <v>139945.747</v>
      </c>
      <c r="H158" s="5">
        <f>219 / 86400</f>
        <v>2.5347222222222221E-3</v>
      </c>
      <c r="I158" t="s">
        <v>167</v>
      </c>
      <c r="J158" t="s">
        <v>140</v>
      </c>
      <c r="K158" s="5">
        <f>495 / 86400</f>
        <v>5.7291666666666663E-3</v>
      </c>
      <c r="L158" s="5">
        <f>3125 / 86400</f>
        <v>3.6168981481481483E-2</v>
      </c>
    </row>
    <row r="159" spans="1:12" x14ac:dyDescent="0.25">
      <c r="A159" s="3">
        <v>45710.417094907403</v>
      </c>
      <c r="B159" t="s">
        <v>166</v>
      </c>
      <c r="C159" s="3">
        <v>45710.417349537034</v>
      </c>
      <c r="D159" t="s">
        <v>128</v>
      </c>
      <c r="E159" s="4">
        <v>3.5999999999999997E-2</v>
      </c>
      <c r="F159" s="4">
        <v>139945.747</v>
      </c>
      <c r="G159" s="4">
        <v>139945.783</v>
      </c>
      <c r="H159" s="5">
        <f>0 / 86400</f>
        <v>0</v>
      </c>
      <c r="I159" t="s">
        <v>168</v>
      </c>
      <c r="J159" t="s">
        <v>31</v>
      </c>
      <c r="K159" s="5">
        <f>22 / 86400</f>
        <v>2.5462962962962961E-4</v>
      </c>
      <c r="L159" s="5">
        <f>240 / 86400</f>
        <v>2.7777777777777779E-3</v>
      </c>
    </row>
    <row r="160" spans="1:12" x14ac:dyDescent="0.25">
      <c r="A160" s="3">
        <v>45710.420127314814</v>
      </c>
      <c r="B160" t="s">
        <v>128</v>
      </c>
      <c r="C160" s="3">
        <v>45710.658067129625</v>
      </c>
      <c r="D160" t="s">
        <v>95</v>
      </c>
      <c r="E160" s="4">
        <v>71.885000000000005</v>
      </c>
      <c r="F160" s="4">
        <v>139945.783</v>
      </c>
      <c r="G160" s="4">
        <v>140017.66800000001</v>
      </c>
      <c r="H160" s="5">
        <f>9157 / 86400</f>
        <v>0.1059837962962963</v>
      </c>
      <c r="I160" t="s">
        <v>41</v>
      </c>
      <c r="J160" t="s">
        <v>45</v>
      </c>
      <c r="K160" s="5">
        <f>20557 / 86400</f>
        <v>0.23792824074074073</v>
      </c>
      <c r="L160" s="5">
        <f>42 / 86400</f>
        <v>4.861111111111111E-4</v>
      </c>
    </row>
    <row r="161" spans="1:12" x14ac:dyDescent="0.25">
      <c r="A161" s="3">
        <v>45710.658553240741</v>
      </c>
      <c r="B161" t="s">
        <v>95</v>
      </c>
      <c r="C161" s="3">
        <v>45710.718784722223</v>
      </c>
      <c r="D161" t="s">
        <v>81</v>
      </c>
      <c r="E161" s="4">
        <v>30.603000000000002</v>
      </c>
      <c r="F161" s="4">
        <v>140017.66800000001</v>
      </c>
      <c r="G161" s="4">
        <v>140048.27100000001</v>
      </c>
      <c r="H161" s="5">
        <f>1339 / 86400</f>
        <v>1.5497685185185186E-2</v>
      </c>
      <c r="I161" t="s">
        <v>97</v>
      </c>
      <c r="J161" t="s">
        <v>135</v>
      </c>
      <c r="K161" s="5">
        <f>5203 / 86400</f>
        <v>6.0219907407407409E-2</v>
      </c>
      <c r="L161" s="5">
        <f>213 / 86400</f>
        <v>2.4652777777777776E-3</v>
      </c>
    </row>
    <row r="162" spans="1:12" x14ac:dyDescent="0.25">
      <c r="A162" s="3">
        <v>45710.721250000002</v>
      </c>
      <c r="B162" t="s">
        <v>81</v>
      </c>
      <c r="C162" s="3">
        <v>45710.862777777773</v>
      </c>
      <c r="D162" t="s">
        <v>142</v>
      </c>
      <c r="E162" s="4">
        <v>62.195</v>
      </c>
      <c r="F162" s="4">
        <v>140048.27100000001</v>
      </c>
      <c r="G162" s="4">
        <v>140110.46599999999</v>
      </c>
      <c r="H162" s="5">
        <f>3739 / 86400</f>
        <v>4.327546296296296E-2</v>
      </c>
      <c r="I162" t="s">
        <v>32</v>
      </c>
      <c r="J162" t="s">
        <v>20</v>
      </c>
      <c r="K162" s="5">
        <f>12227 / 86400</f>
        <v>0.14151620370370371</v>
      </c>
      <c r="L162" s="5">
        <f>478 / 86400</f>
        <v>5.5324074074074078E-3</v>
      </c>
    </row>
    <row r="163" spans="1:12" x14ac:dyDescent="0.25">
      <c r="A163" s="3">
        <v>45710.868310185186</v>
      </c>
      <c r="B163" t="s">
        <v>142</v>
      </c>
      <c r="C163" s="3">
        <v>45710.870081018518</v>
      </c>
      <c r="D163" t="s">
        <v>18</v>
      </c>
      <c r="E163" s="4">
        <v>0.442</v>
      </c>
      <c r="F163" s="4">
        <v>140110.46599999999</v>
      </c>
      <c r="G163" s="4">
        <v>140110.908</v>
      </c>
      <c r="H163" s="5">
        <f>20 / 86400</f>
        <v>2.3148148148148149E-4</v>
      </c>
      <c r="I163" t="s">
        <v>158</v>
      </c>
      <c r="J163" t="s">
        <v>168</v>
      </c>
      <c r="K163" s="5">
        <f>153 / 86400</f>
        <v>1.7708333333333332E-3</v>
      </c>
      <c r="L163" s="5">
        <f>113 / 86400</f>
        <v>1.3078703703703703E-3</v>
      </c>
    </row>
    <row r="164" spans="1:12" x14ac:dyDescent="0.25">
      <c r="A164" s="3">
        <v>45710.871388888889</v>
      </c>
      <c r="B164" t="s">
        <v>18</v>
      </c>
      <c r="C164" s="3">
        <v>45710.876469907409</v>
      </c>
      <c r="D164" t="s">
        <v>18</v>
      </c>
      <c r="E164" s="4">
        <v>0.186</v>
      </c>
      <c r="F164" s="4">
        <v>140110.908</v>
      </c>
      <c r="G164" s="4">
        <v>140111.09400000001</v>
      </c>
      <c r="H164" s="5">
        <f>320 / 86400</f>
        <v>3.7037037037037038E-3</v>
      </c>
      <c r="I164" t="s">
        <v>42</v>
      </c>
      <c r="J164" t="s">
        <v>113</v>
      </c>
      <c r="K164" s="5">
        <f>439 / 86400</f>
        <v>5.0810185185185186E-3</v>
      </c>
      <c r="L164" s="5">
        <f>10672 / 86400</f>
        <v>0.12351851851851851</v>
      </c>
    </row>
    <row r="165" spans="1:12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1:1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2" s="10" customFormat="1" ht="20.100000000000001" customHeight="1" x14ac:dyDescent="0.35">
      <c r="A167" s="15" t="s">
        <v>427</v>
      </c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2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1:12" ht="30" x14ac:dyDescent="0.25">
      <c r="A169" s="2" t="s">
        <v>6</v>
      </c>
      <c r="B169" s="2" t="s">
        <v>7</v>
      </c>
      <c r="C169" s="2" t="s">
        <v>8</v>
      </c>
      <c r="D169" s="2" t="s">
        <v>9</v>
      </c>
      <c r="E169" s="2" t="s">
        <v>10</v>
      </c>
      <c r="F169" s="2" t="s">
        <v>11</v>
      </c>
      <c r="G169" s="2" t="s">
        <v>12</v>
      </c>
      <c r="H169" s="2" t="s">
        <v>13</v>
      </c>
      <c r="I169" s="2" t="s">
        <v>14</v>
      </c>
      <c r="J169" s="2" t="s">
        <v>15</v>
      </c>
      <c r="K169" s="2" t="s">
        <v>16</v>
      </c>
      <c r="L169" s="2" t="s">
        <v>17</v>
      </c>
    </row>
    <row r="170" spans="1:12" x14ac:dyDescent="0.25">
      <c r="A170" s="3">
        <v>45710.319965277777</v>
      </c>
      <c r="B170" t="s">
        <v>34</v>
      </c>
      <c r="C170" s="3">
        <v>45710.320844907408</v>
      </c>
      <c r="D170" t="s">
        <v>169</v>
      </c>
      <c r="E170" s="4">
        <v>2.3195932209491728E-2</v>
      </c>
      <c r="F170" s="4">
        <v>349769.01542083401</v>
      </c>
      <c r="G170" s="4">
        <v>349769.03861676622</v>
      </c>
      <c r="H170" s="5">
        <f t="shared" ref="H170:H233" si="0">0 / 86400</f>
        <v>0</v>
      </c>
      <c r="I170" t="s">
        <v>140</v>
      </c>
      <c r="J170" t="s">
        <v>124</v>
      </c>
      <c r="K170" s="5">
        <f>76 / 86400</f>
        <v>8.7962962962962962E-4</v>
      </c>
      <c r="L170" s="5">
        <f>27670 / 86400</f>
        <v>0.32025462962962964</v>
      </c>
    </row>
    <row r="171" spans="1:12" x14ac:dyDescent="0.25">
      <c r="A171" s="3">
        <v>45710.321134259255</v>
      </c>
      <c r="B171" t="s">
        <v>169</v>
      </c>
      <c r="C171" s="3">
        <v>45710.321724537032</v>
      </c>
      <c r="D171" t="s">
        <v>169</v>
      </c>
      <c r="E171" s="4">
        <v>1.9634135842323302E-2</v>
      </c>
      <c r="F171" s="4">
        <v>349769.06074343831</v>
      </c>
      <c r="G171" s="4">
        <v>349769.08037757414</v>
      </c>
      <c r="H171" s="5">
        <f t="shared" si="0"/>
        <v>0</v>
      </c>
      <c r="I171" t="s">
        <v>140</v>
      </c>
      <c r="J171" t="s">
        <v>124</v>
      </c>
      <c r="K171" s="5">
        <f>51 / 86400</f>
        <v>5.9027777777777778E-4</v>
      </c>
      <c r="L171" s="5">
        <f>20 / 86400</f>
        <v>2.3148148148148149E-4</v>
      </c>
    </row>
    <row r="172" spans="1:12" x14ac:dyDescent="0.25">
      <c r="A172" s="3">
        <v>45710.321956018517</v>
      </c>
      <c r="B172" t="s">
        <v>169</v>
      </c>
      <c r="C172" s="3">
        <v>45710.322847222225</v>
      </c>
      <c r="D172" t="s">
        <v>170</v>
      </c>
      <c r="E172" s="4">
        <v>0.2077380167245865</v>
      </c>
      <c r="F172" s="4">
        <v>349769.08749159041</v>
      </c>
      <c r="G172" s="4">
        <v>349769.29522960715</v>
      </c>
      <c r="H172" s="5">
        <f t="shared" si="0"/>
        <v>0</v>
      </c>
      <c r="I172" t="s">
        <v>45</v>
      </c>
      <c r="J172" t="s">
        <v>168</v>
      </c>
      <c r="K172" s="5">
        <f>77 / 86400</f>
        <v>8.9120370370370373E-4</v>
      </c>
      <c r="L172" s="5">
        <f>3103 / 86400</f>
        <v>3.591435185185185E-2</v>
      </c>
    </row>
    <row r="173" spans="1:12" x14ac:dyDescent="0.25">
      <c r="A173" s="3">
        <v>45710.358761574069</v>
      </c>
      <c r="B173" t="s">
        <v>170</v>
      </c>
      <c r="C173" s="3">
        <v>45710.360335648147</v>
      </c>
      <c r="D173" t="s">
        <v>24</v>
      </c>
      <c r="E173" s="4">
        <v>0.4234332802295685</v>
      </c>
      <c r="F173" s="4">
        <v>349769.32101837225</v>
      </c>
      <c r="G173" s="4">
        <v>349769.74445165246</v>
      </c>
      <c r="H173" s="5">
        <f t="shared" si="0"/>
        <v>0</v>
      </c>
      <c r="I173" t="s">
        <v>64</v>
      </c>
      <c r="J173" t="s">
        <v>61</v>
      </c>
      <c r="K173" s="5">
        <f>136 / 86400</f>
        <v>1.5740740740740741E-3</v>
      </c>
      <c r="L173" s="5">
        <f>691 / 86400</f>
        <v>7.9976851851851858E-3</v>
      </c>
    </row>
    <row r="174" spans="1:12" x14ac:dyDescent="0.25">
      <c r="A174" s="3">
        <v>45710.368333333332</v>
      </c>
      <c r="B174" t="s">
        <v>24</v>
      </c>
      <c r="C174" s="3">
        <v>45710.369756944448</v>
      </c>
      <c r="D174" t="s">
        <v>24</v>
      </c>
      <c r="E174" s="4">
        <v>0.20390095400810243</v>
      </c>
      <c r="F174" s="4">
        <v>349769.76218146062</v>
      </c>
      <c r="G174" s="4">
        <v>349769.96608241461</v>
      </c>
      <c r="H174" s="5">
        <f t="shared" si="0"/>
        <v>0</v>
      </c>
      <c r="I174" t="s">
        <v>61</v>
      </c>
      <c r="J174" t="s">
        <v>31</v>
      </c>
      <c r="K174" s="5">
        <f>123 / 86400</f>
        <v>1.4236111111111112E-3</v>
      </c>
      <c r="L174" s="5">
        <f>15 / 86400</f>
        <v>1.7361111111111112E-4</v>
      </c>
    </row>
    <row r="175" spans="1:12" x14ac:dyDescent="0.25">
      <c r="A175" s="3">
        <v>45710.369930555556</v>
      </c>
      <c r="B175" t="s">
        <v>24</v>
      </c>
      <c r="C175" s="3">
        <v>45710.371712962966</v>
      </c>
      <c r="D175" t="s">
        <v>24</v>
      </c>
      <c r="E175" s="4">
        <v>0.50607149058580403</v>
      </c>
      <c r="F175" s="4">
        <v>349769.99271573161</v>
      </c>
      <c r="G175" s="4">
        <v>349770.4987872222</v>
      </c>
      <c r="H175" s="5">
        <f t="shared" si="0"/>
        <v>0</v>
      </c>
      <c r="I175" t="s">
        <v>20</v>
      </c>
      <c r="J175" t="s">
        <v>139</v>
      </c>
      <c r="K175" s="5">
        <f>154 / 86400</f>
        <v>1.7824074074074075E-3</v>
      </c>
      <c r="L175" s="5">
        <f>242 / 86400</f>
        <v>2.8009259259259259E-3</v>
      </c>
    </row>
    <row r="176" spans="1:12" x14ac:dyDescent="0.25">
      <c r="A176" s="3">
        <v>45710.374513888892</v>
      </c>
      <c r="B176" t="s">
        <v>24</v>
      </c>
      <c r="C176" s="3">
        <v>45710.376342592594</v>
      </c>
      <c r="D176" t="s">
        <v>62</v>
      </c>
      <c r="E176" s="4">
        <v>0.38599275505542757</v>
      </c>
      <c r="F176" s="4">
        <v>349770.54965822166</v>
      </c>
      <c r="G176" s="4">
        <v>349770.93565097672</v>
      </c>
      <c r="H176" s="5">
        <f t="shared" si="0"/>
        <v>0</v>
      </c>
      <c r="I176" t="s">
        <v>139</v>
      </c>
      <c r="J176" t="s">
        <v>132</v>
      </c>
      <c r="K176" s="5">
        <f>158 / 86400</f>
        <v>1.8287037037037037E-3</v>
      </c>
      <c r="L176" s="5">
        <f>75 / 86400</f>
        <v>8.6805555555555551E-4</v>
      </c>
    </row>
    <row r="177" spans="1:12" x14ac:dyDescent="0.25">
      <c r="A177" s="3">
        <v>45710.377210648148</v>
      </c>
      <c r="B177" t="s">
        <v>62</v>
      </c>
      <c r="C177" s="3">
        <v>45710.38071759259</v>
      </c>
      <c r="D177" t="s">
        <v>169</v>
      </c>
      <c r="E177" s="4">
        <v>0.27901861441135406</v>
      </c>
      <c r="F177" s="4">
        <v>349770.94626894622</v>
      </c>
      <c r="G177" s="4">
        <v>349771.22528756066</v>
      </c>
      <c r="H177" s="5">
        <f t="shared" si="0"/>
        <v>0</v>
      </c>
      <c r="I177" t="s">
        <v>139</v>
      </c>
      <c r="J177" t="s">
        <v>143</v>
      </c>
      <c r="K177" s="5">
        <f>303 / 86400</f>
        <v>3.5069444444444445E-3</v>
      </c>
      <c r="L177" s="5">
        <f>5 / 86400</f>
        <v>5.7870370370370373E-5</v>
      </c>
    </row>
    <row r="178" spans="1:12" x14ac:dyDescent="0.25">
      <c r="A178" s="3">
        <v>45710.380775462967</v>
      </c>
      <c r="B178" t="s">
        <v>169</v>
      </c>
      <c r="C178" s="3">
        <v>45710.383136574077</v>
      </c>
      <c r="D178" t="s">
        <v>171</v>
      </c>
      <c r="E178" s="4">
        <v>0.58359175258874896</v>
      </c>
      <c r="F178" s="4">
        <v>349771.22872711584</v>
      </c>
      <c r="G178" s="4">
        <v>349771.81231886847</v>
      </c>
      <c r="H178" s="5">
        <f t="shared" si="0"/>
        <v>0</v>
      </c>
      <c r="I178" t="s">
        <v>29</v>
      </c>
      <c r="J178" t="s">
        <v>168</v>
      </c>
      <c r="K178" s="5">
        <f>204 / 86400</f>
        <v>2.3611111111111111E-3</v>
      </c>
      <c r="L178" s="5">
        <f>20 / 86400</f>
        <v>2.3148148148148149E-4</v>
      </c>
    </row>
    <row r="179" spans="1:12" x14ac:dyDescent="0.25">
      <c r="A179" s="3">
        <v>45710.383368055554</v>
      </c>
      <c r="B179" t="s">
        <v>171</v>
      </c>
      <c r="C179" s="3">
        <v>45710.383634259255</v>
      </c>
      <c r="D179" t="s">
        <v>171</v>
      </c>
      <c r="E179" s="4">
        <v>1.7719975590705872E-2</v>
      </c>
      <c r="F179" s="4">
        <v>349771.81486707</v>
      </c>
      <c r="G179" s="4">
        <v>349771.83258704562</v>
      </c>
      <c r="H179" s="5">
        <f t="shared" si="0"/>
        <v>0</v>
      </c>
      <c r="I179" t="s">
        <v>140</v>
      </c>
      <c r="J179" t="s">
        <v>143</v>
      </c>
      <c r="K179" s="5">
        <f>23 / 86400</f>
        <v>2.6620370370370372E-4</v>
      </c>
      <c r="L179" s="5">
        <f>199 / 86400</f>
        <v>2.3032407407407407E-3</v>
      </c>
    </row>
    <row r="180" spans="1:12" x14ac:dyDescent="0.25">
      <c r="A180" s="3">
        <v>45710.385937500003</v>
      </c>
      <c r="B180" t="s">
        <v>171</v>
      </c>
      <c r="C180" s="3">
        <v>45710.386944444443</v>
      </c>
      <c r="D180" t="s">
        <v>24</v>
      </c>
      <c r="E180" s="4">
        <v>0.20857360523939134</v>
      </c>
      <c r="F180" s="4">
        <v>349771.85919362359</v>
      </c>
      <c r="G180" s="4">
        <v>349772.06776722881</v>
      </c>
      <c r="H180" s="5">
        <f t="shared" si="0"/>
        <v>0</v>
      </c>
      <c r="I180" t="s">
        <v>139</v>
      </c>
      <c r="J180" t="s">
        <v>132</v>
      </c>
      <c r="K180" s="5">
        <f>87 / 86400</f>
        <v>1.0069444444444444E-3</v>
      </c>
      <c r="L180" s="5">
        <f>1310 / 86400</f>
        <v>1.5162037037037036E-2</v>
      </c>
    </row>
    <row r="181" spans="1:12" x14ac:dyDescent="0.25">
      <c r="A181" s="3">
        <v>45710.402106481481</v>
      </c>
      <c r="B181" t="s">
        <v>24</v>
      </c>
      <c r="C181" s="3">
        <v>45710.405486111107</v>
      </c>
      <c r="D181" t="s">
        <v>171</v>
      </c>
      <c r="E181" s="4">
        <v>0.80002028077840803</v>
      </c>
      <c r="F181" s="4">
        <v>349772.0825907354</v>
      </c>
      <c r="G181" s="4">
        <v>349772.88261101616</v>
      </c>
      <c r="H181" s="5">
        <f t="shared" si="0"/>
        <v>0</v>
      </c>
      <c r="I181" t="s">
        <v>158</v>
      </c>
      <c r="J181" t="s">
        <v>168</v>
      </c>
      <c r="K181" s="5">
        <f>292 / 86400</f>
        <v>3.3796296296296296E-3</v>
      </c>
      <c r="L181" s="5">
        <f>49 / 86400</f>
        <v>5.6712962962962967E-4</v>
      </c>
    </row>
    <row r="182" spans="1:12" x14ac:dyDescent="0.25">
      <c r="A182" s="3">
        <v>45710.406053240746</v>
      </c>
      <c r="B182" t="s">
        <v>171</v>
      </c>
      <c r="C182" s="3">
        <v>45710.407789351855</v>
      </c>
      <c r="D182" t="s">
        <v>172</v>
      </c>
      <c r="E182" s="4">
        <v>1.0074497682452201</v>
      </c>
      <c r="F182" s="4">
        <v>349772.90799098782</v>
      </c>
      <c r="G182" s="4">
        <v>349773.91544075607</v>
      </c>
      <c r="H182" s="5">
        <f t="shared" si="0"/>
        <v>0</v>
      </c>
      <c r="I182" t="s">
        <v>173</v>
      </c>
      <c r="J182" t="s">
        <v>137</v>
      </c>
      <c r="K182" s="5">
        <f>150 / 86400</f>
        <v>1.736111111111111E-3</v>
      </c>
      <c r="L182" s="5">
        <f>120 / 86400</f>
        <v>1.3888888888888889E-3</v>
      </c>
    </row>
    <row r="183" spans="1:12" x14ac:dyDescent="0.25">
      <c r="A183" s="3">
        <v>45710.409178240741</v>
      </c>
      <c r="B183" t="s">
        <v>174</v>
      </c>
      <c r="C183" s="3">
        <v>45710.409641203703</v>
      </c>
      <c r="D183" t="s">
        <v>175</v>
      </c>
      <c r="E183" s="4">
        <v>1.4368212640285491E-2</v>
      </c>
      <c r="F183" s="4">
        <v>349773.95357886353</v>
      </c>
      <c r="G183" s="4">
        <v>349773.96794707613</v>
      </c>
      <c r="H183" s="5">
        <f t="shared" si="0"/>
        <v>0</v>
      </c>
      <c r="I183" t="s">
        <v>29</v>
      </c>
      <c r="J183" t="s">
        <v>124</v>
      </c>
      <c r="K183" s="5">
        <f>40 / 86400</f>
        <v>4.6296296296296298E-4</v>
      </c>
      <c r="L183" s="5">
        <f>40 / 86400</f>
        <v>4.6296296296296298E-4</v>
      </c>
    </row>
    <row r="184" spans="1:12" x14ac:dyDescent="0.25">
      <c r="A184" s="3">
        <v>45710.410104166665</v>
      </c>
      <c r="B184" t="s">
        <v>175</v>
      </c>
      <c r="C184" s="3">
        <v>45710.410798611112</v>
      </c>
      <c r="D184" t="s">
        <v>84</v>
      </c>
      <c r="E184" s="4">
        <v>0.73670443183183665</v>
      </c>
      <c r="F184" s="4">
        <v>349773.97073044488</v>
      </c>
      <c r="G184" s="4">
        <v>349774.70743487676</v>
      </c>
      <c r="H184" s="5">
        <f t="shared" si="0"/>
        <v>0</v>
      </c>
      <c r="I184" t="s">
        <v>176</v>
      </c>
      <c r="J184" t="s">
        <v>177</v>
      </c>
      <c r="K184" s="5">
        <f>60 / 86400</f>
        <v>6.9444444444444447E-4</v>
      </c>
      <c r="L184" s="5">
        <f>184 / 86400</f>
        <v>2.1296296296296298E-3</v>
      </c>
    </row>
    <row r="185" spans="1:12" x14ac:dyDescent="0.25">
      <c r="A185" s="3">
        <v>45710.412928240738</v>
      </c>
      <c r="B185" t="s">
        <v>178</v>
      </c>
      <c r="C185" s="3">
        <v>45710.413182870368</v>
      </c>
      <c r="D185" t="s">
        <v>178</v>
      </c>
      <c r="E185" s="4">
        <v>8.7035551667213433E-3</v>
      </c>
      <c r="F185" s="4">
        <v>349774.73426009191</v>
      </c>
      <c r="G185" s="4">
        <v>349774.74296364706</v>
      </c>
      <c r="H185" s="5">
        <f t="shared" si="0"/>
        <v>0</v>
      </c>
      <c r="I185" t="s">
        <v>31</v>
      </c>
      <c r="J185" t="s">
        <v>124</v>
      </c>
      <c r="K185" s="5">
        <f>22 / 86400</f>
        <v>2.5462962962962961E-4</v>
      </c>
      <c r="L185" s="5">
        <f>68 / 86400</f>
        <v>7.8703703703703705E-4</v>
      </c>
    </row>
    <row r="186" spans="1:12" x14ac:dyDescent="0.25">
      <c r="A186" s="3">
        <v>45710.413969907408</v>
      </c>
      <c r="B186" t="s">
        <v>179</v>
      </c>
      <c r="C186" s="3">
        <v>45710.41443287037</v>
      </c>
      <c r="D186" t="s">
        <v>179</v>
      </c>
      <c r="E186" s="4">
        <v>4.4830371439456937E-2</v>
      </c>
      <c r="F186" s="4">
        <v>349774.76652925945</v>
      </c>
      <c r="G186" s="4">
        <v>349774.8113596309</v>
      </c>
      <c r="H186" s="5">
        <f t="shared" si="0"/>
        <v>0</v>
      </c>
      <c r="I186" t="s">
        <v>168</v>
      </c>
      <c r="J186" t="s">
        <v>75</v>
      </c>
      <c r="K186" s="5">
        <f>40 / 86400</f>
        <v>4.6296296296296298E-4</v>
      </c>
      <c r="L186" s="5">
        <f>20 / 86400</f>
        <v>2.3148148148148149E-4</v>
      </c>
    </row>
    <row r="187" spans="1:12" x14ac:dyDescent="0.25">
      <c r="A187" s="3">
        <v>45710.414664351847</v>
      </c>
      <c r="B187" t="s">
        <v>178</v>
      </c>
      <c r="C187" s="3">
        <v>45710.417210648149</v>
      </c>
      <c r="D187" t="s">
        <v>180</v>
      </c>
      <c r="E187" s="4">
        <v>2.0416865531206132</v>
      </c>
      <c r="F187" s="4">
        <v>349774.81764522661</v>
      </c>
      <c r="G187" s="4">
        <v>349776.85933177971</v>
      </c>
      <c r="H187" s="5">
        <f t="shared" si="0"/>
        <v>0</v>
      </c>
      <c r="I187" t="s">
        <v>181</v>
      </c>
      <c r="J187" t="s">
        <v>182</v>
      </c>
      <c r="K187" s="5">
        <f>220 / 86400</f>
        <v>2.5462962962962965E-3</v>
      </c>
      <c r="L187" s="5">
        <f>20 / 86400</f>
        <v>2.3148148148148149E-4</v>
      </c>
    </row>
    <row r="188" spans="1:12" x14ac:dyDescent="0.25">
      <c r="A188" s="3">
        <v>45710.417442129634</v>
      </c>
      <c r="B188" t="s">
        <v>183</v>
      </c>
      <c r="C188" s="3">
        <v>45710.417685185181</v>
      </c>
      <c r="D188" t="s">
        <v>180</v>
      </c>
      <c r="E188" s="4">
        <v>9.1446160018444064E-2</v>
      </c>
      <c r="F188" s="4">
        <v>349777.02628051396</v>
      </c>
      <c r="G188" s="4">
        <v>349777.11772667395</v>
      </c>
      <c r="H188" s="5">
        <f t="shared" si="0"/>
        <v>0</v>
      </c>
      <c r="I188" t="s">
        <v>184</v>
      </c>
      <c r="J188" t="s">
        <v>33</v>
      </c>
      <c r="K188" s="5">
        <f>21 / 86400</f>
        <v>2.4305555555555555E-4</v>
      </c>
      <c r="L188" s="5">
        <f>20 / 86400</f>
        <v>2.3148148148148149E-4</v>
      </c>
    </row>
    <row r="189" spans="1:12" x14ac:dyDescent="0.25">
      <c r="A189" s="3">
        <v>45710.417916666665</v>
      </c>
      <c r="B189" t="s">
        <v>183</v>
      </c>
      <c r="C189" s="3">
        <v>45710.41814814815</v>
      </c>
      <c r="D189" t="s">
        <v>183</v>
      </c>
      <c r="E189" s="4">
        <v>2.6643863558769226E-2</v>
      </c>
      <c r="F189" s="4">
        <v>349777.16841751151</v>
      </c>
      <c r="G189" s="4">
        <v>349777.1950613751</v>
      </c>
      <c r="H189" s="5">
        <f t="shared" si="0"/>
        <v>0</v>
      </c>
      <c r="I189" t="s">
        <v>45</v>
      </c>
      <c r="J189" t="s">
        <v>156</v>
      </c>
      <c r="K189" s="5">
        <f>20 / 86400</f>
        <v>2.3148148148148149E-4</v>
      </c>
      <c r="L189" s="5">
        <f>39 / 86400</f>
        <v>4.5138888888888887E-4</v>
      </c>
    </row>
    <row r="190" spans="1:12" x14ac:dyDescent="0.25">
      <c r="A190" s="3">
        <v>45710.418599537035</v>
      </c>
      <c r="B190" t="s">
        <v>183</v>
      </c>
      <c r="C190" s="3">
        <v>45710.419062500005</v>
      </c>
      <c r="D190" t="s">
        <v>94</v>
      </c>
      <c r="E190" s="4">
        <v>7.2618741452693938E-2</v>
      </c>
      <c r="F190" s="4">
        <v>349777.21998393768</v>
      </c>
      <c r="G190" s="4">
        <v>349777.29260267911</v>
      </c>
      <c r="H190" s="5">
        <f t="shared" si="0"/>
        <v>0</v>
      </c>
      <c r="I190" t="s">
        <v>132</v>
      </c>
      <c r="J190" t="s">
        <v>140</v>
      </c>
      <c r="K190" s="5">
        <f>40 / 86400</f>
        <v>4.6296296296296298E-4</v>
      </c>
      <c r="L190" s="5">
        <f>100 / 86400</f>
        <v>1.1574074074074073E-3</v>
      </c>
    </row>
    <row r="191" spans="1:12" x14ac:dyDescent="0.25">
      <c r="A191" s="3">
        <v>45710.420219907406</v>
      </c>
      <c r="B191" t="s">
        <v>185</v>
      </c>
      <c r="C191" s="3">
        <v>45710.422303240739</v>
      </c>
      <c r="D191" t="s">
        <v>38</v>
      </c>
      <c r="E191" s="4">
        <v>2.2558190640807152</v>
      </c>
      <c r="F191" s="4">
        <v>349777.47850108467</v>
      </c>
      <c r="G191" s="4">
        <v>349779.73432014877</v>
      </c>
      <c r="H191" s="5">
        <f t="shared" si="0"/>
        <v>0</v>
      </c>
      <c r="I191" t="s">
        <v>83</v>
      </c>
      <c r="J191" t="s">
        <v>186</v>
      </c>
      <c r="K191" s="5">
        <f>180 / 86400</f>
        <v>2.0833333333333333E-3</v>
      </c>
      <c r="L191" s="5">
        <f>20 / 86400</f>
        <v>2.3148148148148149E-4</v>
      </c>
    </row>
    <row r="192" spans="1:12" x14ac:dyDescent="0.25">
      <c r="A192" s="3">
        <v>45710.422534722224</v>
      </c>
      <c r="B192" t="s">
        <v>38</v>
      </c>
      <c r="C192" s="3">
        <v>45710.426238425927</v>
      </c>
      <c r="D192" t="s">
        <v>187</v>
      </c>
      <c r="E192" s="4">
        <v>2.6717923043966292</v>
      </c>
      <c r="F192" s="4">
        <v>349779.78428927681</v>
      </c>
      <c r="G192" s="4">
        <v>349782.45608158124</v>
      </c>
      <c r="H192" s="5">
        <f t="shared" si="0"/>
        <v>0</v>
      </c>
      <c r="I192" t="s">
        <v>152</v>
      </c>
      <c r="J192" t="s">
        <v>188</v>
      </c>
      <c r="K192" s="5">
        <f>320 / 86400</f>
        <v>3.7037037037037038E-3</v>
      </c>
      <c r="L192" s="5">
        <f>26 / 86400</f>
        <v>3.0092592592592595E-4</v>
      </c>
    </row>
    <row r="193" spans="1:12" x14ac:dyDescent="0.25">
      <c r="A193" s="3">
        <v>45710.426539351851</v>
      </c>
      <c r="B193" t="s">
        <v>187</v>
      </c>
      <c r="C193" s="3">
        <v>45710.431793981479</v>
      </c>
      <c r="D193" t="s">
        <v>189</v>
      </c>
      <c r="E193" s="4">
        <v>4.8123549337983134</v>
      </c>
      <c r="F193" s="4">
        <v>349782.48567835294</v>
      </c>
      <c r="G193" s="4">
        <v>349787.29803328676</v>
      </c>
      <c r="H193" s="5">
        <f t="shared" si="0"/>
        <v>0</v>
      </c>
      <c r="I193" t="s">
        <v>149</v>
      </c>
      <c r="J193" t="s">
        <v>190</v>
      </c>
      <c r="K193" s="5">
        <f>454 / 86400</f>
        <v>5.2546296296296299E-3</v>
      </c>
      <c r="L193" s="5">
        <f>13 / 86400</f>
        <v>1.5046296296296297E-4</v>
      </c>
    </row>
    <row r="194" spans="1:12" x14ac:dyDescent="0.25">
      <c r="A194" s="3">
        <v>45710.431944444441</v>
      </c>
      <c r="B194" t="s">
        <v>189</v>
      </c>
      <c r="C194" s="3">
        <v>45710.432870370365</v>
      </c>
      <c r="D194" t="s">
        <v>191</v>
      </c>
      <c r="E194" s="4">
        <v>0.69446921926736827</v>
      </c>
      <c r="F194" s="4">
        <v>349787.30115527083</v>
      </c>
      <c r="G194" s="4">
        <v>349787.99562449008</v>
      </c>
      <c r="H194" s="5">
        <f t="shared" si="0"/>
        <v>0</v>
      </c>
      <c r="I194" t="s">
        <v>186</v>
      </c>
      <c r="J194" t="s">
        <v>192</v>
      </c>
      <c r="K194" s="5">
        <f>80 / 86400</f>
        <v>9.2592592592592596E-4</v>
      </c>
      <c r="L194" s="5">
        <f>13 / 86400</f>
        <v>1.5046296296296297E-4</v>
      </c>
    </row>
    <row r="195" spans="1:12" x14ac:dyDescent="0.25">
      <c r="A195" s="3">
        <v>45710.433020833334</v>
      </c>
      <c r="B195" t="s">
        <v>191</v>
      </c>
      <c r="C195" s="3">
        <v>45710.434178240743</v>
      </c>
      <c r="D195" t="s">
        <v>193</v>
      </c>
      <c r="E195" s="4">
        <v>0.9814626418352127</v>
      </c>
      <c r="F195" s="4">
        <v>349787.99741855927</v>
      </c>
      <c r="G195" s="4">
        <v>349788.97888120107</v>
      </c>
      <c r="H195" s="5">
        <f t="shared" si="0"/>
        <v>0</v>
      </c>
      <c r="I195" t="s">
        <v>194</v>
      </c>
      <c r="J195" t="s">
        <v>195</v>
      </c>
      <c r="K195" s="5">
        <f>100 / 86400</f>
        <v>1.1574074074074073E-3</v>
      </c>
      <c r="L195" s="5">
        <f>20 / 86400</f>
        <v>2.3148148148148149E-4</v>
      </c>
    </row>
    <row r="196" spans="1:12" x14ac:dyDescent="0.25">
      <c r="A196" s="3">
        <v>45710.43440972222</v>
      </c>
      <c r="B196" t="s">
        <v>193</v>
      </c>
      <c r="C196" s="3">
        <v>45710.435636574075</v>
      </c>
      <c r="D196" t="s">
        <v>66</v>
      </c>
      <c r="E196" s="4">
        <v>1.4126578181982041</v>
      </c>
      <c r="F196" s="4">
        <v>349789.08617587597</v>
      </c>
      <c r="G196" s="4">
        <v>349790.49883369415</v>
      </c>
      <c r="H196" s="5">
        <f t="shared" si="0"/>
        <v>0</v>
      </c>
      <c r="I196" t="s">
        <v>74</v>
      </c>
      <c r="J196" t="s">
        <v>196</v>
      </c>
      <c r="K196" s="5">
        <f>106 / 86400</f>
        <v>1.2268518518518518E-3</v>
      </c>
      <c r="L196" s="5">
        <f>113 / 86400</f>
        <v>1.3078703703703703E-3</v>
      </c>
    </row>
    <row r="197" spans="1:12" x14ac:dyDescent="0.25">
      <c r="A197" s="3">
        <v>45710.436944444446</v>
      </c>
      <c r="B197" t="s">
        <v>66</v>
      </c>
      <c r="C197" s="3">
        <v>45710.437824074077</v>
      </c>
      <c r="D197" t="s">
        <v>197</v>
      </c>
      <c r="E197" s="4">
        <v>0.63897354096174241</v>
      </c>
      <c r="F197" s="4">
        <v>349790.51334750932</v>
      </c>
      <c r="G197" s="4">
        <v>349791.15232105029</v>
      </c>
      <c r="H197" s="5">
        <f t="shared" si="0"/>
        <v>0</v>
      </c>
      <c r="I197" t="s">
        <v>99</v>
      </c>
      <c r="J197" t="s">
        <v>188</v>
      </c>
      <c r="K197" s="5">
        <f>76 / 86400</f>
        <v>8.7962962962962962E-4</v>
      </c>
      <c r="L197" s="5">
        <f>9 / 86400</f>
        <v>1.0416666666666667E-4</v>
      </c>
    </row>
    <row r="198" spans="1:12" x14ac:dyDescent="0.25">
      <c r="A198" s="3">
        <v>45710.437928240739</v>
      </c>
      <c r="B198" t="s">
        <v>197</v>
      </c>
      <c r="C198" s="3">
        <v>45710.438391203701</v>
      </c>
      <c r="D198" t="s">
        <v>198</v>
      </c>
      <c r="E198" s="4">
        <v>0.25286447882652285</v>
      </c>
      <c r="F198" s="4">
        <v>349791.1556643332</v>
      </c>
      <c r="G198" s="4">
        <v>349791.40852881206</v>
      </c>
      <c r="H198" s="5">
        <f t="shared" si="0"/>
        <v>0</v>
      </c>
      <c r="I198" t="s">
        <v>199</v>
      </c>
      <c r="J198" t="s">
        <v>129</v>
      </c>
      <c r="K198" s="5">
        <f>40 / 86400</f>
        <v>4.6296296296296298E-4</v>
      </c>
      <c r="L198" s="5">
        <f>20 / 86400</f>
        <v>2.3148148148148149E-4</v>
      </c>
    </row>
    <row r="199" spans="1:12" x14ac:dyDescent="0.25">
      <c r="A199" s="3">
        <v>45710.438622685186</v>
      </c>
      <c r="B199" t="s">
        <v>66</v>
      </c>
      <c r="C199" s="3">
        <v>45710.440532407403</v>
      </c>
      <c r="D199" t="s">
        <v>200</v>
      </c>
      <c r="E199" s="4">
        <v>0.94286292344331746</v>
      </c>
      <c r="F199" s="4">
        <v>349791.47799912136</v>
      </c>
      <c r="G199" s="4">
        <v>349792.42086204479</v>
      </c>
      <c r="H199" s="5">
        <f t="shared" si="0"/>
        <v>0</v>
      </c>
      <c r="I199" t="s">
        <v>154</v>
      </c>
      <c r="J199" t="s">
        <v>135</v>
      </c>
      <c r="K199" s="5">
        <f>165 / 86400</f>
        <v>1.9097222222222222E-3</v>
      </c>
      <c r="L199" s="5">
        <f>20 / 86400</f>
        <v>2.3148148148148149E-4</v>
      </c>
    </row>
    <row r="200" spans="1:12" x14ac:dyDescent="0.25">
      <c r="A200" s="3">
        <v>45710.440763888888</v>
      </c>
      <c r="B200" t="s">
        <v>201</v>
      </c>
      <c r="C200" s="3">
        <v>45710.444212962961</v>
      </c>
      <c r="D200" t="s">
        <v>202</v>
      </c>
      <c r="E200" s="4">
        <v>1.2549993944764137</v>
      </c>
      <c r="F200" s="4">
        <v>349792.48171359109</v>
      </c>
      <c r="G200" s="4">
        <v>349793.73671298556</v>
      </c>
      <c r="H200" s="5">
        <f t="shared" si="0"/>
        <v>0</v>
      </c>
      <c r="I200" t="s">
        <v>112</v>
      </c>
      <c r="J200" t="s">
        <v>42</v>
      </c>
      <c r="K200" s="5">
        <f>298 / 86400</f>
        <v>3.449074074074074E-3</v>
      </c>
      <c r="L200" s="5">
        <f>20 / 86400</f>
        <v>2.3148148148148149E-4</v>
      </c>
    </row>
    <row r="201" spans="1:12" x14ac:dyDescent="0.25">
      <c r="A201" s="3">
        <v>45710.444444444445</v>
      </c>
      <c r="B201" t="s">
        <v>202</v>
      </c>
      <c r="C201" s="3">
        <v>45710.448113425926</v>
      </c>
      <c r="D201" t="s">
        <v>203</v>
      </c>
      <c r="E201" s="4">
        <v>2.2433046733140944</v>
      </c>
      <c r="F201" s="4">
        <v>349793.7706094145</v>
      </c>
      <c r="G201" s="4">
        <v>349796.01391408785</v>
      </c>
      <c r="H201" s="5">
        <f t="shared" si="0"/>
        <v>0</v>
      </c>
      <c r="I201" t="s">
        <v>177</v>
      </c>
      <c r="J201" t="s">
        <v>131</v>
      </c>
      <c r="K201" s="5">
        <f>317 / 86400</f>
        <v>3.6689814814814814E-3</v>
      </c>
      <c r="L201" s="5">
        <f>12 / 86400</f>
        <v>1.3888888888888889E-4</v>
      </c>
    </row>
    <row r="202" spans="1:12" x14ac:dyDescent="0.25">
      <c r="A202" s="3">
        <v>45710.448252314818</v>
      </c>
      <c r="B202" t="s">
        <v>203</v>
      </c>
      <c r="C202" s="3">
        <v>45710.450949074075</v>
      </c>
      <c r="D202" t="s">
        <v>165</v>
      </c>
      <c r="E202" s="4">
        <v>1.4888986443877221</v>
      </c>
      <c r="F202" s="4">
        <v>349796.01702928304</v>
      </c>
      <c r="G202" s="4">
        <v>349797.50592792744</v>
      </c>
      <c r="H202" s="5">
        <f t="shared" si="0"/>
        <v>0</v>
      </c>
      <c r="I202" t="s">
        <v>154</v>
      </c>
      <c r="J202" t="s">
        <v>129</v>
      </c>
      <c r="K202" s="5">
        <f>233 / 86400</f>
        <v>2.6967592592592594E-3</v>
      </c>
      <c r="L202" s="5">
        <f>64 / 86400</f>
        <v>7.407407407407407E-4</v>
      </c>
    </row>
    <row r="203" spans="1:12" x14ac:dyDescent="0.25">
      <c r="A203" s="3">
        <v>45710.451689814814</v>
      </c>
      <c r="B203" t="s">
        <v>165</v>
      </c>
      <c r="C203" s="3">
        <v>45710.453032407408</v>
      </c>
      <c r="D203" t="s">
        <v>122</v>
      </c>
      <c r="E203" s="4">
        <v>0.52412472039461133</v>
      </c>
      <c r="F203" s="4">
        <v>349797.51610401069</v>
      </c>
      <c r="G203" s="4">
        <v>349798.04022873112</v>
      </c>
      <c r="H203" s="5">
        <f t="shared" si="0"/>
        <v>0</v>
      </c>
      <c r="I203" t="s">
        <v>154</v>
      </c>
      <c r="J203" t="s">
        <v>33</v>
      </c>
      <c r="K203" s="5">
        <f>116 / 86400</f>
        <v>1.3425925925925925E-3</v>
      </c>
      <c r="L203" s="5">
        <f>2240 / 86400</f>
        <v>2.5925925925925925E-2</v>
      </c>
    </row>
    <row r="204" spans="1:12" x14ac:dyDescent="0.25">
      <c r="A204" s="3">
        <v>45710.478958333333</v>
      </c>
      <c r="B204" t="s">
        <v>122</v>
      </c>
      <c r="C204" s="3">
        <v>45710.47956018518</v>
      </c>
      <c r="D204" t="s">
        <v>122</v>
      </c>
      <c r="E204" s="4">
        <v>0.10566969865560531</v>
      </c>
      <c r="F204" s="4">
        <v>349798.05811481399</v>
      </c>
      <c r="G204" s="4">
        <v>349798.16378451267</v>
      </c>
      <c r="H204" s="5">
        <f t="shared" si="0"/>
        <v>0</v>
      </c>
      <c r="I204" t="s">
        <v>150</v>
      </c>
      <c r="J204" t="s">
        <v>140</v>
      </c>
      <c r="K204" s="5">
        <f>52 / 86400</f>
        <v>6.018518518518519E-4</v>
      </c>
      <c r="L204" s="5">
        <f>1289 / 86400</f>
        <v>1.4918981481481481E-2</v>
      </c>
    </row>
    <row r="205" spans="1:12" x14ac:dyDescent="0.25">
      <c r="A205" s="3">
        <v>45710.494479166664</v>
      </c>
      <c r="B205" t="s">
        <v>122</v>
      </c>
      <c r="C205" s="3">
        <v>45710.496585648143</v>
      </c>
      <c r="D205" t="s">
        <v>146</v>
      </c>
      <c r="E205" s="4">
        <v>0.59906622022390366</v>
      </c>
      <c r="F205" s="4">
        <v>349798.17689608387</v>
      </c>
      <c r="G205" s="4">
        <v>349798.77596230409</v>
      </c>
      <c r="H205" s="5">
        <f t="shared" si="0"/>
        <v>0</v>
      </c>
      <c r="I205" t="s">
        <v>190</v>
      </c>
      <c r="J205" t="s">
        <v>139</v>
      </c>
      <c r="K205" s="5">
        <f>182 / 86400</f>
        <v>2.1064814814814813E-3</v>
      </c>
      <c r="L205" s="5">
        <f>20 / 86400</f>
        <v>2.3148148148148149E-4</v>
      </c>
    </row>
    <row r="206" spans="1:12" x14ac:dyDescent="0.25">
      <c r="A206" s="3">
        <v>45710.496817129635</v>
      </c>
      <c r="B206" t="s">
        <v>146</v>
      </c>
      <c r="C206" s="3">
        <v>45710.497453703705</v>
      </c>
      <c r="D206" t="s">
        <v>72</v>
      </c>
      <c r="E206" s="4">
        <v>0.14388062500953674</v>
      </c>
      <c r="F206" s="4">
        <v>349798.79177440697</v>
      </c>
      <c r="G206" s="4">
        <v>349798.93565503199</v>
      </c>
      <c r="H206" s="5">
        <f t="shared" si="0"/>
        <v>0</v>
      </c>
      <c r="I206" t="s">
        <v>139</v>
      </c>
      <c r="J206" t="s">
        <v>132</v>
      </c>
      <c r="K206" s="5">
        <f>55 / 86400</f>
        <v>6.3657407407407413E-4</v>
      </c>
      <c r="L206" s="5">
        <f>652 / 86400</f>
        <v>7.5462962962962966E-3</v>
      </c>
    </row>
    <row r="207" spans="1:12" x14ac:dyDescent="0.25">
      <c r="A207" s="3">
        <v>45710.505000000005</v>
      </c>
      <c r="B207" t="s">
        <v>72</v>
      </c>
      <c r="C207" s="3">
        <v>45710.508043981477</v>
      </c>
      <c r="D207" t="s">
        <v>204</v>
      </c>
      <c r="E207" s="4">
        <v>1.0571514286994934</v>
      </c>
      <c r="F207" s="4">
        <v>349798.94283957663</v>
      </c>
      <c r="G207" s="4">
        <v>349799.99999100529</v>
      </c>
      <c r="H207" s="5">
        <f t="shared" si="0"/>
        <v>0</v>
      </c>
      <c r="I207" t="s">
        <v>123</v>
      </c>
      <c r="J207" t="s">
        <v>26</v>
      </c>
      <c r="K207" s="5">
        <f>263 / 86400</f>
        <v>3.0439814814814813E-3</v>
      </c>
      <c r="L207" s="5">
        <f>29 / 86400</f>
        <v>3.3564814814814812E-4</v>
      </c>
    </row>
    <row r="208" spans="1:12" x14ac:dyDescent="0.25">
      <c r="A208" s="3">
        <v>45710.508379629631</v>
      </c>
      <c r="B208" t="s">
        <v>130</v>
      </c>
      <c r="C208" s="3">
        <v>45710.508657407408</v>
      </c>
      <c r="D208" t="s">
        <v>130</v>
      </c>
      <c r="E208" s="4">
        <v>1.3662469625473022E-2</v>
      </c>
      <c r="F208" s="4">
        <v>349800.00887368136</v>
      </c>
      <c r="G208" s="4">
        <v>349800.02253615099</v>
      </c>
      <c r="H208" s="5">
        <f t="shared" si="0"/>
        <v>0</v>
      </c>
      <c r="I208" t="s">
        <v>140</v>
      </c>
      <c r="J208" t="s">
        <v>113</v>
      </c>
      <c r="K208" s="5">
        <f>24 / 86400</f>
        <v>2.7777777777777778E-4</v>
      </c>
      <c r="L208" s="5">
        <f>32 / 86400</f>
        <v>3.7037037037037035E-4</v>
      </c>
    </row>
    <row r="209" spans="1:12" x14ac:dyDescent="0.25">
      <c r="A209" s="3">
        <v>45710.509027777778</v>
      </c>
      <c r="B209" t="s">
        <v>130</v>
      </c>
      <c r="C209" s="3">
        <v>45710.509259259255</v>
      </c>
      <c r="D209" t="s">
        <v>130</v>
      </c>
      <c r="E209" s="4">
        <v>2.4434176087379457E-3</v>
      </c>
      <c r="F209" s="4">
        <v>349800.02864457341</v>
      </c>
      <c r="G209" s="4">
        <v>349800.03108799102</v>
      </c>
      <c r="H209" s="5">
        <f t="shared" si="0"/>
        <v>0</v>
      </c>
      <c r="I209" t="s">
        <v>156</v>
      </c>
      <c r="J209" t="s">
        <v>77</v>
      </c>
      <c r="K209" s="5">
        <f>20 / 86400</f>
        <v>2.3148148148148149E-4</v>
      </c>
      <c r="L209" s="5">
        <f>140 / 86400</f>
        <v>1.6203703703703703E-3</v>
      </c>
    </row>
    <row r="210" spans="1:12" x14ac:dyDescent="0.25">
      <c r="A210" s="3">
        <v>45710.510879629626</v>
      </c>
      <c r="B210" t="s">
        <v>130</v>
      </c>
      <c r="C210" s="3">
        <v>45710.512488425928</v>
      </c>
      <c r="D210" t="s">
        <v>205</v>
      </c>
      <c r="E210" s="4">
        <v>0.78289834344387055</v>
      </c>
      <c r="F210" s="4">
        <v>349800.04300567089</v>
      </c>
      <c r="G210" s="4">
        <v>349800.82590401435</v>
      </c>
      <c r="H210" s="5">
        <f t="shared" si="0"/>
        <v>0</v>
      </c>
      <c r="I210" t="s">
        <v>182</v>
      </c>
      <c r="J210" t="s">
        <v>64</v>
      </c>
      <c r="K210" s="5">
        <f>139 / 86400</f>
        <v>1.6087962962962963E-3</v>
      </c>
      <c r="L210" s="5">
        <f>60 / 86400</f>
        <v>6.9444444444444447E-4</v>
      </c>
    </row>
    <row r="211" spans="1:12" x14ac:dyDescent="0.25">
      <c r="A211" s="3">
        <v>45710.513182870374</v>
      </c>
      <c r="B211" t="s">
        <v>205</v>
      </c>
      <c r="C211" s="3">
        <v>45710.513645833329</v>
      </c>
      <c r="D211" t="s">
        <v>203</v>
      </c>
      <c r="E211" s="4">
        <v>0.13274605506658554</v>
      </c>
      <c r="F211" s="4">
        <v>349800.84678460832</v>
      </c>
      <c r="G211" s="4">
        <v>349800.97953066335</v>
      </c>
      <c r="H211" s="5">
        <f t="shared" si="0"/>
        <v>0</v>
      </c>
      <c r="I211" t="s">
        <v>29</v>
      </c>
      <c r="J211" t="s">
        <v>139</v>
      </c>
      <c r="K211" s="5">
        <f>40 / 86400</f>
        <v>4.6296296296296298E-4</v>
      </c>
      <c r="L211" s="5">
        <f>20 / 86400</f>
        <v>2.3148148148148149E-4</v>
      </c>
    </row>
    <row r="212" spans="1:12" x14ac:dyDescent="0.25">
      <c r="A212" s="3">
        <v>45710.513877314814</v>
      </c>
      <c r="B212" t="s">
        <v>203</v>
      </c>
      <c r="C212" s="3">
        <v>45710.514340277776</v>
      </c>
      <c r="D212" t="s">
        <v>202</v>
      </c>
      <c r="E212" s="4">
        <v>0.29143213218450548</v>
      </c>
      <c r="F212" s="4">
        <v>349801.05298665824</v>
      </c>
      <c r="G212" s="4">
        <v>349801.34441879042</v>
      </c>
      <c r="H212" s="5">
        <f t="shared" si="0"/>
        <v>0</v>
      </c>
      <c r="I212" t="s">
        <v>182</v>
      </c>
      <c r="J212" t="s">
        <v>158</v>
      </c>
      <c r="K212" s="5">
        <f>40 / 86400</f>
        <v>4.6296296296296298E-4</v>
      </c>
      <c r="L212" s="5">
        <f>7 / 86400</f>
        <v>8.1018518518518516E-5</v>
      </c>
    </row>
    <row r="213" spans="1:12" x14ac:dyDescent="0.25">
      <c r="A213" s="3">
        <v>45710.514421296291</v>
      </c>
      <c r="B213" t="s">
        <v>202</v>
      </c>
      <c r="C213" s="3">
        <v>45710.516087962962</v>
      </c>
      <c r="D213" t="s">
        <v>206</v>
      </c>
      <c r="E213" s="4">
        <v>0.71656963908672333</v>
      </c>
      <c r="F213" s="4">
        <v>349801.34767358773</v>
      </c>
      <c r="G213" s="4">
        <v>349802.06424322684</v>
      </c>
      <c r="H213" s="5">
        <f t="shared" si="0"/>
        <v>0</v>
      </c>
      <c r="I213" t="s">
        <v>182</v>
      </c>
      <c r="J213" t="s">
        <v>20</v>
      </c>
      <c r="K213" s="5">
        <f>144 / 86400</f>
        <v>1.6666666666666668E-3</v>
      </c>
      <c r="L213" s="5">
        <f>37 / 86400</f>
        <v>4.2824074074074075E-4</v>
      </c>
    </row>
    <row r="214" spans="1:12" x14ac:dyDescent="0.25">
      <c r="A214" s="3">
        <v>45710.516516203701</v>
      </c>
      <c r="B214" t="s">
        <v>206</v>
      </c>
      <c r="C214" s="3">
        <v>45710.517210648148</v>
      </c>
      <c r="D214" t="s">
        <v>202</v>
      </c>
      <c r="E214" s="4">
        <v>0.25054242908954621</v>
      </c>
      <c r="F214" s="4">
        <v>349802.07080611255</v>
      </c>
      <c r="G214" s="4">
        <v>349802.32134854159</v>
      </c>
      <c r="H214" s="5">
        <f t="shared" si="0"/>
        <v>0</v>
      </c>
      <c r="I214" t="s">
        <v>158</v>
      </c>
      <c r="J214" t="s">
        <v>42</v>
      </c>
      <c r="K214" s="5">
        <f>60 / 86400</f>
        <v>6.9444444444444447E-4</v>
      </c>
      <c r="L214" s="5">
        <f>15 / 86400</f>
        <v>1.7361111111111112E-4</v>
      </c>
    </row>
    <row r="215" spans="1:12" x14ac:dyDescent="0.25">
      <c r="A215" s="3">
        <v>45710.517384259263</v>
      </c>
      <c r="B215" t="s">
        <v>202</v>
      </c>
      <c r="C215" s="3">
        <v>45710.517847222218</v>
      </c>
      <c r="D215" t="s">
        <v>202</v>
      </c>
      <c r="E215" s="4">
        <v>0.21365065973997116</v>
      </c>
      <c r="F215" s="4">
        <v>349802.32498088607</v>
      </c>
      <c r="G215" s="4">
        <v>349802.53863154579</v>
      </c>
      <c r="H215" s="5">
        <f t="shared" si="0"/>
        <v>0</v>
      </c>
      <c r="I215" t="s">
        <v>56</v>
      </c>
      <c r="J215" t="s">
        <v>80</v>
      </c>
      <c r="K215" s="5">
        <f>40 / 86400</f>
        <v>4.6296296296296298E-4</v>
      </c>
      <c r="L215" s="5">
        <f>20 / 86400</f>
        <v>2.3148148148148149E-4</v>
      </c>
    </row>
    <row r="216" spans="1:12" x14ac:dyDescent="0.25">
      <c r="A216" s="3">
        <v>45710.518078703702</v>
      </c>
      <c r="B216" t="s">
        <v>202</v>
      </c>
      <c r="C216" s="3">
        <v>45710.518310185187</v>
      </c>
      <c r="D216" t="s">
        <v>202</v>
      </c>
      <c r="E216" s="4">
        <v>2.8370415866374968E-2</v>
      </c>
      <c r="F216" s="4">
        <v>349802.54444914783</v>
      </c>
      <c r="G216" s="4">
        <v>349802.57281956368</v>
      </c>
      <c r="H216" s="5">
        <f t="shared" si="0"/>
        <v>0</v>
      </c>
      <c r="I216" t="s">
        <v>139</v>
      </c>
      <c r="J216" t="s">
        <v>156</v>
      </c>
      <c r="K216" s="5">
        <f>20 / 86400</f>
        <v>2.3148148148148149E-4</v>
      </c>
      <c r="L216" s="5">
        <f>20 / 86400</f>
        <v>2.3148148148148149E-4</v>
      </c>
    </row>
    <row r="217" spans="1:12" x14ac:dyDescent="0.25">
      <c r="A217" s="3">
        <v>45710.518541666665</v>
      </c>
      <c r="B217" t="s">
        <v>202</v>
      </c>
      <c r="C217" s="3">
        <v>45710.519236111111</v>
      </c>
      <c r="D217" t="s">
        <v>202</v>
      </c>
      <c r="E217" s="4">
        <v>8.91851401925087E-2</v>
      </c>
      <c r="F217" s="4">
        <v>349802.59184764564</v>
      </c>
      <c r="G217" s="4">
        <v>349802.68103278585</v>
      </c>
      <c r="H217" s="5">
        <f t="shared" si="0"/>
        <v>0</v>
      </c>
      <c r="I217" t="s">
        <v>140</v>
      </c>
      <c r="J217" t="s">
        <v>156</v>
      </c>
      <c r="K217" s="5">
        <f>60 / 86400</f>
        <v>6.9444444444444447E-4</v>
      </c>
      <c r="L217" s="5">
        <f>20 / 86400</f>
        <v>2.3148148148148149E-4</v>
      </c>
    </row>
    <row r="218" spans="1:12" x14ac:dyDescent="0.25">
      <c r="A218" s="3">
        <v>45710.519467592589</v>
      </c>
      <c r="B218" t="s">
        <v>202</v>
      </c>
      <c r="C218" s="3">
        <v>45710.522013888884</v>
      </c>
      <c r="D218" t="s">
        <v>202</v>
      </c>
      <c r="E218" s="4">
        <v>0.46914986073970794</v>
      </c>
      <c r="F218" s="4">
        <v>349802.7406185611</v>
      </c>
      <c r="G218" s="4">
        <v>349803.20976842183</v>
      </c>
      <c r="H218" s="5">
        <f t="shared" si="0"/>
        <v>0</v>
      </c>
      <c r="I218" t="s">
        <v>29</v>
      </c>
      <c r="J218" t="s">
        <v>150</v>
      </c>
      <c r="K218" s="5">
        <f>220 / 86400</f>
        <v>2.5462962962962965E-3</v>
      </c>
      <c r="L218" s="5">
        <f>40 / 86400</f>
        <v>4.6296296296296298E-4</v>
      </c>
    </row>
    <row r="219" spans="1:12" x14ac:dyDescent="0.25">
      <c r="A219" s="3">
        <v>45710.522476851853</v>
      </c>
      <c r="B219" t="s">
        <v>202</v>
      </c>
      <c r="C219" s="3">
        <v>45710.524328703701</v>
      </c>
      <c r="D219" t="s">
        <v>202</v>
      </c>
      <c r="E219" s="4">
        <v>0.39591953945159913</v>
      </c>
      <c r="F219" s="4">
        <v>349803.31149601139</v>
      </c>
      <c r="G219" s="4">
        <v>349803.70741555083</v>
      </c>
      <c r="H219" s="5">
        <f t="shared" si="0"/>
        <v>0</v>
      </c>
      <c r="I219" t="s">
        <v>64</v>
      </c>
      <c r="J219" t="s">
        <v>132</v>
      </c>
      <c r="K219" s="5">
        <f>160 / 86400</f>
        <v>1.8518518518518519E-3</v>
      </c>
      <c r="L219" s="5">
        <f>7 / 86400</f>
        <v>8.1018518518518516E-5</v>
      </c>
    </row>
    <row r="220" spans="1:12" x14ac:dyDescent="0.25">
      <c r="A220" s="3">
        <v>45710.524409722224</v>
      </c>
      <c r="B220" t="s">
        <v>202</v>
      </c>
      <c r="C220" s="3">
        <v>45710.524641203709</v>
      </c>
      <c r="D220" t="s">
        <v>202</v>
      </c>
      <c r="E220" s="4">
        <v>5.7919313549995424E-2</v>
      </c>
      <c r="F220" s="4">
        <v>349803.71065320168</v>
      </c>
      <c r="G220" s="4">
        <v>349803.76857251523</v>
      </c>
      <c r="H220" s="5">
        <f t="shared" si="0"/>
        <v>0</v>
      </c>
      <c r="I220" t="s">
        <v>156</v>
      </c>
      <c r="J220" t="s">
        <v>168</v>
      </c>
      <c r="K220" s="5">
        <f>20 / 86400</f>
        <v>2.3148148148148149E-4</v>
      </c>
      <c r="L220" s="5">
        <f>20 / 86400</f>
        <v>2.3148148148148149E-4</v>
      </c>
    </row>
    <row r="221" spans="1:12" x14ac:dyDescent="0.25">
      <c r="A221" s="3">
        <v>45710.524872685186</v>
      </c>
      <c r="B221" t="s">
        <v>202</v>
      </c>
      <c r="C221" s="3">
        <v>45710.526388888888</v>
      </c>
      <c r="D221" t="s">
        <v>207</v>
      </c>
      <c r="E221" s="4">
        <v>0.18460612392425538</v>
      </c>
      <c r="F221" s="4">
        <v>349803.77696072636</v>
      </c>
      <c r="G221" s="4">
        <v>349803.96156685031</v>
      </c>
      <c r="H221" s="5">
        <f t="shared" si="0"/>
        <v>0</v>
      </c>
      <c r="I221" t="s">
        <v>132</v>
      </c>
      <c r="J221" t="s">
        <v>156</v>
      </c>
      <c r="K221" s="5">
        <f>131 / 86400</f>
        <v>1.5162037037037036E-3</v>
      </c>
      <c r="L221" s="5">
        <f>20 / 86400</f>
        <v>2.3148148148148149E-4</v>
      </c>
    </row>
    <row r="222" spans="1:12" x14ac:dyDescent="0.25">
      <c r="A222" s="3">
        <v>45710.526620370365</v>
      </c>
      <c r="B222" t="s">
        <v>207</v>
      </c>
      <c r="C222" s="3">
        <v>45710.52789351852</v>
      </c>
      <c r="D222" t="s">
        <v>208</v>
      </c>
      <c r="E222" s="4">
        <v>0.16600506854057312</v>
      </c>
      <c r="F222" s="4">
        <v>349803.9878897657</v>
      </c>
      <c r="G222" s="4">
        <v>349804.15389483422</v>
      </c>
      <c r="H222" s="5">
        <f t="shared" si="0"/>
        <v>0</v>
      </c>
      <c r="I222" t="s">
        <v>61</v>
      </c>
      <c r="J222" t="s">
        <v>156</v>
      </c>
      <c r="K222" s="5">
        <f>110 / 86400</f>
        <v>1.2731481481481483E-3</v>
      </c>
      <c r="L222" s="5">
        <f>2 / 86400</f>
        <v>2.3148148148148147E-5</v>
      </c>
    </row>
    <row r="223" spans="1:12" x14ac:dyDescent="0.25">
      <c r="A223" s="3">
        <v>45710.527916666666</v>
      </c>
      <c r="B223" t="s">
        <v>208</v>
      </c>
      <c r="C223" s="3">
        <v>45710.528148148151</v>
      </c>
      <c r="D223" t="s">
        <v>208</v>
      </c>
      <c r="E223" s="4">
        <v>3.2723338365554806E-2</v>
      </c>
      <c r="F223" s="4">
        <v>349804.15764849831</v>
      </c>
      <c r="G223" s="4">
        <v>349804.19037183665</v>
      </c>
      <c r="H223" s="5">
        <f t="shared" si="0"/>
        <v>0</v>
      </c>
      <c r="I223" t="s">
        <v>156</v>
      </c>
      <c r="J223" t="s">
        <v>31</v>
      </c>
      <c r="K223" s="5">
        <f>20 / 86400</f>
        <v>2.3148148148148149E-4</v>
      </c>
      <c r="L223" s="5">
        <f>8 / 86400</f>
        <v>9.2592592592592588E-5</v>
      </c>
    </row>
    <row r="224" spans="1:12" x14ac:dyDescent="0.25">
      <c r="A224" s="3">
        <v>45710.528240740736</v>
      </c>
      <c r="B224" t="s">
        <v>208</v>
      </c>
      <c r="C224" s="3">
        <v>45710.52920138889</v>
      </c>
      <c r="D224" t="s">
        <v>209</v>
      </c>
      <c r="E224" s="4">
        <v>0.15884122872352599</v>
      </c>
      <c r="F224" s="4">
        <v>349804.19610226742</v>
      </c>
      <c r="G224" s="4">
        <v>349804.35494349618</v>
      </c>
      <c r="H224" s="5">
        <f t="shared" si="0"/>
        <v>0</v>
      </c>
      <c r="I224" t="s">
        <v>26</v>
      </c>
      <c r="J224" t="s">
        <v>140</v>
      </c>
      <c r="K224" s="5">
        <f>83 / 86400</f>
        <v>9.6064814814814819E-4</v>
      </c>
      <c r="L224" s="5">
        <f>20 / 86400</f>
        <v>2.3148148148148149E-4</v>
      </c>
    </row>
    <row r="225" spans="1:12" x14ac:dyDescent="0.25">
      <c r="A225" s="3">
        <v>45710.529432870375</v>
      </c>
      <c r="B225" t="s">
        <v>209</v>
      </c>
      <c r="C225" s="3">
        <v>45710.529664351852</v>
      </c>
      <c r="D225" t="s">
        <v>210</v>
      </c>
      <c r="E225" s="4">
        <v>8.5365547358989713E-2</v>
      </c>
      <c r="F225" s="4">
        <v>349804.37357357272</v>
      </c>
      <c r="G225" s="4">
        <v>349804.45893912006</v>
      </c>
      <c r="H225" s="5">
        <f t="shared" si="0"/>
        <v>0</v>
      </c>
      <c r="I225" t="s">
        <v>132</v>
      </c>
      <c r="J225" t="s">
        <v>42</v>
      </c>
      <c r="K225" s="5">
        <f>20 / 86400</f>
        <v>2.3148148148148149E-4</v>
      </c>
      <c r="L225" s="5">
        <f>20 / 86400</f>
        <v>2.3148148148148149E-4</v>
      </c>
    </row>
    <row r="226" spans="1:12" x14ac:dyDescent="0.25">
      <c r="A226" s="3">
        <v>45710.52989583333</v>
      </c>
      <c r="B226" t="s">
        <v>210</v>
      </c>
      <c r="C226" s="3">
        <v>45710.532372685186</v>
      </c>
      <c r="D226" t="s">
        <v>198</v>
      </c>
      <c r="E226" s="4">
        <v>1.103358951985836</v>
      </c>
      <c r="F226" s="4">
        <v>349804.50667977094</v>
      </c>
      <c r="G226" s="4">
        <v>349805.61003872292</v>
      </c>
      <c r="H226" s="5">
        <f t="shared" si="0"/>
        <v>0</v>
      </c>
      <c r="I226" t="s">
        <v>211</v>
      </c>
      <c r="J226" t="s">
        <v>80</v>
      </c>
      <c r="K226" s="5">
        <f>214 / 86400</f>
        <v>2.476851851851852E-3</v>
      </c>
      <c r="L226" s="5">
        <f>35 / 86400</f>
        <v>4.0509259259259258E-4</v>
      </c>
    </row>
    <row r="227" spans="1:12" x14ac:dyDescent="0.25">
      <c r="A227" s="3">
        <v>45710.532777777778</v>
      </c>
      <c r="B227" t="s">
        <v>198</v>
      </c>
      <c r="C227" s="3">
        <v>45710.533472222218</v>
      </c>
      <c r="D227" t="s">
        <v>212</v>
      </c>
      <c r="E227" s="4">
        <v>0.24498846513032912</v>
      </c>
      <c r="F227" s="4">
        <v>349805.61411891948</v>
      </c>
      <c r="G227" s="4">
        <v>349805.85910738463</v>
      </c>
      <c r="H227" s="5">
        <f t="shared" si="0"/>
        <v>0</v>
      </c>
      <c r="I227" t="s">
        <v>135</v>
      </c>
      <c r="J227" t="s">
        <v>42</v>
      </c>
      <c r="K227" s="5">
        <f>60 / 86400</f>
        <v>6.9444444444444447E-4</v>
      </c>
      <c r="L227" s="5">
        <f>20 / 86400</f>
        <v>2.3148148148148149E-4</v>
      </c>
    </row>
    <row r="228" spans="1:12" x14ac:dyDescent="0.25">
      <c r="A228" s="3">
        <v>45710.533703703702</v>
      </c>
      <c r="B228" t="s">
        <v>213</v>
      </c>
      <c r="C228" s="3">
        <v>45710.536840277782</v>
      </c>
      <c r="D228" t="s">
        <v>191</v>
      </c>
      <c r="E228" s="4">
        <v>3.0339231476783755</v>
      </c>
      <c r="F228" s="4">
        <v>349805.95140848291</v>
      </c>
      <c r="G228" s="4">
        <v>349808.98533163057</v>
      </c>
      <c r="H228" s="5">
        <f t="shared" si="0"/>
        <v>0</v>
      </c>
      <c r="I228" t="s">
        <v>121</v>
      </c>
      <c r="J228" t="s">
        <v>184</v>
      </c>
      <c r="K228" s="5">
        <f>271 / 86400</f>
        <v>3.1365740740740742E-3</v>
      </c>
      <c r="L228" s="5">
        <f>20 / 86400</f>
        <v>2.3148148148148149E-4</v>
      </c>
    </row>
    <row r="229" spans="1:12" x14ac:dyDescent="0.25">
      <c r="A229" s="3">
        <v>45710.53707175926</v>
      </c>
      <c r="B229" t="s">
        <v>191</v>
      </c>
      <c r="C229" s="3">
        <v>45710.539386574077</v>
      </c>
      <c r="D229" t="s">
        <v>214</v>
      </c>
      <c r="E229" s="4">
        <v>2.2939466283917427</v>
      </c>
      <c r="F229" s="4">
        <v>349809.16165649059</v>
      </c>
      <c r="G229" s="4">
        <v>349811.45560311893</v>
      </c>
      <c r="H229" s="5">
        <f t="shared" si="0"/>
        <v>0</v>
      </c>
      <c r="I229" t="s">
        <v>28</v>
      </c>
      <c r="J229" t="s">
        <v>215</v>
      </c>
      <c r="K229" s="5">
        <f>200 / 86400</f>
        <v>2.3148148148148147E-3</v>
      </c>
      <c r="L229" s="5">
        <f>16 / 86400</f>
        <v>1.8518518518518518E-4</v>
      </c>
    </row>
    <row r="230" spans="1:12" x14ac:dyDescent="0.25">
      <c r="A230" s="3">
        <v>45710.539571759262</v>
      </c>
      <c r="B230" t="s">
        <v>216</v>
      </c>
      <c r="C230" s="3">
        <v>45710.539803240739</v>
      </c>
      <c r="D230" t="s">
        <v>216</v>
      </c>
      <c r="E230" s="4">
        <v>1.4961388111114502E-2</v>
      </c>
      <c r="F230" s="4">
        <v>349811.48913839972</v>
      </c>
      <c r="G230" s="4">
        <v>349811.50409978785</v>
      </c>
      <c r="H230" s="5">
        <f t="shared" si="0"/>
        <v>0</v>
      </c>
      <c r="I230" t="s">
        <v>168</v>
      </c>
      <c r="J230" t="s">
        <v>143</v>
      </c>
      <c r="K230" s="5">
        <f>20 / 86400</f>
        <v>2.3148148148148149E-4</v>
      </c>
      <c r="L230" s="5">
        <f>20 / 86400</f>
        <v>2.3148148148148149E-4</v>
      </c>
    </row>
    <row r="231" spans="1:12" x14ac:dyDescent="0.25">
      <c r="A231" s="3">
        <v>45710.540034722224</v>
      </c>
      <c r="B231" t="s">
        <v>216</v>
      </c>
      <c r="C231" s="3">
        <v>45710.540960648148</v>
      </c>
      <c r="D231" t="s">
        <v>216</v>
      </c>
      <c r="E231" s="4">
        <v>0.53894665616750714</v>
      </c>
      <c r="F231" s="4">
        <v>349811.52921809728</v>
      </c>
      <c r="G231" s="4">
        <v>349812.06816475344</v>
      </c>
      <c r="H231" s="5">
        <f t="shared" si="0"/>
        <v>0</v>
      </c>
      <c r="I231" t="s">
        <v>154</v>
      </c>
      <c r="J231" t="s">
        <v>137</v>
      </c>
      <c r="K231" s="5">
        <f>80 / 86400</f>
        <v>9.2592592592592596E-4</v>
      </c>
      <c r="L231" s="5">
        <f>20 / 86400</f>
        <v>2.3148148148148149E-4</v>
      </c>
    </row>
    <row r="232" spans="1:12" x14ac:dyDescent="0.25">
      <c r="A232" s="3">
        <v>45710.541192129633</v>
      </c>
      <c r="B232" t="s">
        <v>216</v>
      </c>
      <c r="C232" s="3">
        <v>45710.54142361111</v>
      </c>
      <c r="D232" t="s">
        <v>216</v>
      </c>
      <c r="E232" s="4">
        <v>8.4993117988109587E-2</v>
      </c>
      <c r="F232" s="4">
        <v>349812.16545097367</v>
      </c>
      <c r="G232" s="4">
        <v>349812.25044409168</v>
      </c>
      <c r="H232" s="5">
        <f t="shared" si="0"/>
        <v>0</v>
      </c>
      <c r="I232" t="s">
        <v>195</v>
      </c>
      <c r="J232" t="s">
        <v>42</v>
      </c>
      <c r="K232" s="5">
        <f>20 / 86400</f>
        <v>2.3148148148148149E-4</v>
      </c>
      <c r="L232" s="5">
        <f>20 / 86400</f>
        <v>2.3148148148148149E-4</v>
      </c>
    </row>
    <row r="233" spans="1:12" x14ac:dyDescent="0.25">
      <c r="A233" s="3">
        <v>45710.541655092587</v>
      </c>
      <c r="B233" t="s">
        <v>217</v>
      </c>
      <c r="C233" s="3">
        <v>45710.543495370366</v>
      </c>
      <c r="D233" t="s">
        <v>35</v>
      </c>
      <c r="E233" s="4">
        <v>1.5885971497297287</v>
      </c>
      <c r="F233" s="4">
        <v>349812.33507083362</v>
      </c>
      <c r="G233" s="4">
        <v>349813.92366798333</v>
      </c>
      <c r="H233" s="5">
        <f t="shared" si="0"/>
        <v>0</v>
      </c>
      <c r="I233" t="s">
        <v>87</v>
      </c>
      <c r="J233" t="s">
        <v>218</v>
      </c>
      <c r="K233" s="5">
        <f>159 / 86400</f>
        <v>1.8402777777777777E-3</v>
      </c>
      <c r="L233" s="5">
        <f>20 / 86400</f>
        <v>2.3148148148148149E-4</v>
      </c>
    </row>
    <row r="234" spans="1:12" x14ac:dyDescent="0.25">
      <c r="A234" s="3">
        <v>45710.543726851851</v>
      </c>
      <c r="B234" t="s">
        <v>35</v>
      </c>
      <c r="C234" s="3">
        <v>45710.544421296298</v>
      </c>
      <c r="D234" t="s">
        <v>35</v>
      </c>
      <c r="E234" s="4">
        <v>0.43499703097343445</v>
      </c>
      <c r="F234" s="4">
        <v>349814.08282532741</v>
      </c>
      <c r="G234" s="4">
        <v>349814.51782235835</v>
      </c>
      <c r="H234" s="5">
        <f t="shared" ref="H234:H297" si="1">0 / 86400</f>
        <v>0</v>
      </c>
      <c r="I234" t="s">
        <v>219</v>
      </c>
      <c r="J234" t="s">
        <v>158</v>
      </c>
      <c r="K234" s="5">
        <f>60 / 86400</f>
        <v>6.9444444444444447E-4</v>
      </c>
      <c r="L234" s="5">
        <f>60 / 86400</f>
        <v>6.9444444444444447E-4</v>
      </c>
    </row>
    <row r="235" spans="1:12" x14ac:dyDescent="0.25">
      <c r="A235" s="3">
        <v>45710.545115740737</v>
      </c>
      <c r="B235" t="s">
        <v>35</v>
      </c>
      <c r="C235" s="3">
        <v>45710.545347222222</v>
      </c>
      <c r="D235" t="s">
        <v>35</v>
      </c>
      <c r="E235" s="4">
        <v>0.14139290368556975</v>
      </c>
      <c r="F235" s="4">
        <v>349814.53041651711</v>
      </c>
      <c r="G235" s="4">
        <v>349814.6718094208</v>
      </c>
      <c r="H235" s="5">
        <f t="shared" si="1"/>
        <v>0</v>
      </c>
      <c r="I235" t="s">
        <v>132</v>
      </c>
      <c r="J235" t="s">
        <v>131</v>
      </c>
      <c r="K235" s="5">
        <f>20 / 86400</f>
        <v>2.3148148148148149E-4</v>
      </c>
      <c r="L235" s="5">
        <f>20 / 86400</f>
        <v>2.3148148148148149E-4</v>
      </c>
    </row>
    <row r="236" spans="1:12" x14ac:dyDescent="0.25">
      <c r="A236" s="3">
        <v>45710.545578703706</v>
      </c>
      <c r="B236" t="s">
        <v>35</v>
      </c>
      <c r="C236" s="3">
        <v>45710.546736111108</v>
      </c>
      <c r="D236" t="s">
        <v>185</v>
      </c>
      <c r="E236" s="4">
        <v>1.020924350142479</v>
      </c>
      <c r="F236" s="4">
        <v>349814.80716997397</v>
      </c>
      <c r="G236" s="4">
        <v>349815.8280943241</v>
      </c>
      <c r="H236" s="5">
        <f t="shared" si="1"/>
        <v>0</v>
      </c>
      <c r="I236" t="s">
        <v>220</v>
      </c>
      <c r="J236" t="s">
        <v>112</v>
      </c>
      <c r="K236" s="5">
        <f>100 / 86400</f>
        <v>1.1574074074074073E-3</v>
      </c>
      <c r="L236" s="5">
        <f>20 / 86400</f>
        <v>2.3148148148148149E-4</v>
      </c>
    </row>
    <row r="237" spans="1:12" x14ac:dyDescent="0.25">
      <c r="A237" s="3">
        <v>45710.546967592592</v>
      </c>
      <c r="B237" t="s">
        <v>185</v>
      </c>
      <c r="C237" s="3">
        <v>45710.547893518524</v>
      </c>
      <c r="D237" t="s">
        <v>185</v>
      </c>
      <c r="E237" s="4">
        <v>1.2121113113164901</v>
      </c>
      <c r="F237" s="4">
        <v>349815.95871042099</v>
      </c>
      <c r="G237" s="4">
        <v>349817.17082173226</v>
      </c>
      <c r="H237" s="5">
        <f t="shared" si="1"/>
        <v>0</v>
      </c>
      <c r="I237" t="s">
        <v>221</v>
      </c>
      <c r="J237" t="s">
        <v>162</v>
      </c>
      <c r="K237" s="5">
        <f>80 / 86400</f>
        <v>9.2592592592592596E-4</v>
      </c>
      <c r="L237" s="5">
        <f>20 / 86400</f>
        <v>2.3148148148148149E-4</v>
      </c>
    </row>
    <row r="238" spans="1:12" x14ac:dyDescent="0.25">
      <c r="A238" s="3">
        <v>45710.548125000001</v>
      </c>
      <c r="B238" t="s">
        <v>222</v>
      </c>
      <c r="C238" s="3">
        <v>45710.550208333334</v>
      </c>
      <c r="D238" t="s">
        <v>185</v>
      </c>
      <c r="E238" s="4">
        <v>2.2004628201127052</v>
      </c>
      <c r="F238" s="4">
        <v>349817.29362293624</v>
      </c>
      <c r="G238" s="4">
        <v>349819.49408575636</v>
      </c>
      <c r="H238" s="5">
        <f t="shared" si="1"/>
        <v>0</v>
      </c>
      <c r="I238" t="s">
        <v>44</v>
      </c>
      <c r="J238" t="s">
        <v>177</v>
      </c>
      <c r="K238" s="5">
        <f>180 / 86400</f>
        <v>2.0833333333333333E-3</v>
      </c>
      <c r="L238" s="5">
        <f>80 / 86400</f>
        <v>9.2592592592592596E-4</v>
      </c>
    </row>
    <row r="239" spans="1:12" x14ac:dyDescent="0.25">
      <c r="A239" s="3">
        <v>45710.551134259258</v>
      </c>
      <c r="B239" t="s">
        <v>185</v>
      </c>
      <c r="C239" s="3">
        <v>45710.55159722222</v>
      </c>
      <c r="D239" t="s">
        <v>185</v>
      </c>
      <c r="E239" s="4">
        <v>5.2617068648338317E-2</v>
      </c>
      <c r="F239" s="4">
        <v>349819.49958970858</v>
      </c>
      <c r="G239" s="4">
        <v>349819.55220677721</v>
      </c>
      <c r="H239" s="5">
        <f t="shared" si="1"/>
        <v>0</v>
      </c>
      <c r="I239" t="s">
        <v>150</v>
      </c>
      <c r="J239" t="s">
        <v>156</v>
      </c>
      <c r="K239" s="5">
        <f>40 / 86400</f>
        <v>4.6296296296296298E-4</v>
      </c>
      <c r="L239" s="5">
        <f>100 / 86400</f>
        <v>1.1574074074074073E-3</v>
      </c>
    </row>
    <row r="240" spans="1:12" x14ac:dyDescent="0.25">
      <c r="A240" s="3">
        <v>45710.552754629629</v>
      </c>
      <c r="B240" t="s">
        <v>185</v>
      </c>
      <c r="C240" s="3">
        <v>45710.553217592591</v>
      </c>
      <c r="D240" t="s">
        <v>185</v>
      </c>
      <c r="E240" s="4">
        <v>4.5676774263381958E-2</v>
      </c>
      <c r="F240" s="4">
        <v>349819.59995741962</v>
      </c>
      <c r="G240" s="4">
        <v>349819.6456341939</v>
      </c>
      <c r="H240" s="5">
        <f t="shared" si="1"/>
        <v>0</v>
      </c>
      <c r="I240" t="s">
        <v>132</v>
      </c>
      <c r="J240" t="s">
        <v>75</v>
      </c>
      <c r="K240" s="5">
        <f>40 / 86400</f>
        <v>4.6296296296296298E-4</v>
      </c>
      <c r="L240" s="5">
        <f>60 / 86400</f>
        <v>6.9444444444444447E-4</v>
      </c>
    </row>
    <row r="241" spans="1:12" x14ac:dyDescent="0.25">
      <c r="A241" s="3">
        <v>45710.553912037038</v>
      </c>
      <c r="B241" t="s">
        <v>185</v>
      </c>
      <c r="C241" s="3">
        <v>45710.555069444439</v>
      </c>
      <c r="D241" t="s">
        <v>94</v>
      </c>
      <c r="E241" s="4">
        <v>9.7125805020332343E-2</v>
      </c>
      <c r="F241" s="4">
        <v>349819.64754685969</v>
      </c>
      <c r="G241" s="4">
        <v>349819.74467266467</v>
      </c>
      <c r="H241" s="5">
        <f t="shared" si="1"/>
        <v>0</v>
      </c>
      <c r="I241" t="s">
        <v>140</v>
      </c>
      <c r="J241" t="s">
        <v>143</v>
      </c>
      <c r="K241" s="5">
        <f>100 / 86400</f>
        <v>1.1574074074074073E-3</v>
      </c>
      <c r="L241" s="5">
        <f>20 / 86400</f>
        <v>2.3148148148148149E-4</v>
      </c>
    </row>
    <row r="242" spans="1:12" x14ac:dyDescent="0.25">
      <c r="A242" s="3">
        <v>45710.555300925931</v>
      </c>
      <c r="B242" t="s">
        <v>94</v>
      </c>
      <c r="C242" s="3">
        <v>45710.55877314815</v>
      </c>
      <c r="D242" t="s">
        <v>223</v>
      </c>
      <c r="E242" s="4">
        <v>3.2023249088525771</v>
      </c>
      <c r="F242" s="4">
        <v>349819.77052642556</v>
      </c>
      <c r="G242" s="4">
        <v>349822.97285133437</v>
      </c>
      <c r="H242" s="5">
        <f t="shared" si="1"/>
        <v>0</v>
      </c>
      <c r="I242" t="s">
        <v>87</v>
      </c>
      <c r="J242" t="s">
        <v>190</v>
      </c>
      <c r="K242" s="5">
        <f>300 / 86400</f>
        <v>3.472222222222222E-3</v>
      </c>
      <c r="L242" s="5">
        <f>60 / 86400</f>
        <v>6.9444444444444447E-4</v>
      </c>
    </row>
    <row r="243" spans="1:12" x14ac:dyDescent="0.25">
      <c r="A243" s="3">
        <v>45710.559467592597</v>
      </c>
      <c r="B243" t="s">
        <v>223</v>
      </c>
      <c r="C243" s="3">
        <v>45710.559930555552</v>
      </c>
      <c r="D243" t="s">
        <v>223</v>
      </c>
      <c r="E243" s="4">
        <v>3.6280299782752989E-2</v>
      </c>
      <c r="F243" s="4">
        <v>349823.02446895017</v>
      </c>
      <c r="G243" s="4">
        <v>349823.06074924994</v>
      </c>
      <c r="H243" s="5">
        <f t="shared" si="1"/>
        <v>0</v>
      </c>
      <c r="I243" t="s">
        <v>150</v>
      </c>
      <c r="J243" t="s">
        <v>143</v>
      </c>
      <c r="K243" s="5">
        <f>40 / 86400</f>
        <v>4.6296296296296298E-4</v>
      </c>
      <c r="L243" s="5">
        <f>60 / 86400</f>
        <v>6.9444444444444447E-4</v>
      </c>
    </row>
    <row r="244" spans="1:12" x14ac:dyDescent="0.25">
      <c r="A244" s="3">
        <v>45710.560624999998</v>
      </c>
      <c r="B244" t="s">
        <v>223</v>
      </c>
      <c r="C244" s="3">
        <v>45710.560856481483</v>
      </c>
      <c r="D244" t="s">
        <v>223</v>
      </c>
      <c r="E244" s="4">
        <v>5.9185161590576173E-3</v>
      </c>
      <c r="F244" s="4">
        <v>349823.08930804679</v>
      </c>
      <c r="G244" s="4">
        <v>349823.09522656299</v>
      </c>
      <c r="H244" s="5">
        <f t="shared" si="1"/>
        <v>0</v>
      </c>
      <c r="I244" t="s">
        <v>75</v>
      </c>
      <c r="J244" t="s">
        <v>124</v>
      </c>
      <c r="K244" s="5">
        <f>20 / 86400</f>
        <v>2.3148148148148149E-4</v>
      </c>
      <c r="L244" s="5">
        <f>52 / 86400</f>
        <v>6.018518518518519E-4</v>
      </c>
    </row>
    <row r="245" spans="1:12" x14ac:dyDescent="0.25">
      <c r="A245" s="3">
        <v>45710.561458333337</v>
      </c>
      <c r="B245" t="s">
        <v>223</v>
      </c>
      <c r="C245" s="3">
        <v>45710.564930555556</v>
      </c>
      <c r="D245" t="s">
        <v>101</v>
      </c>
      <c r="E245" s="4">
        <v>3.6243122042417526</v>
      </c>
      <c r="F245" s="4">
        <v>349823.10097811068</v>
      </c>
      <c r="G245" s="4">
        <v>349826.72529031493</v>
      </c>
      <c r="H245" s="5">
        <f t="shared" si="1"/>
        <v>0</v>
      </c>
      <c r="I245" t="s">
        <v>59</v>
      </c>
      <c r="J245" t="s">
        <v>224</v>
      </c>
      <c r="K245" s="5">
        <f>300 / 86400</f>
        <v>3.472222222222222E-3</v>
      </c>
      <c r="L245" s="5">
        <f>40 / 86400</f>
        <v>4.6296296296296298E-4</v>
      </c>
    </row>
    <row r="246" spans="1:12" x14ac:dyDescent="0.25">
      <c r="A246" s="3">
        <v>45710.565393518518</v>
      </c>
      <c r="B246" t="s">
        <v>101</v>
      </c>
      <c r="C246" s="3">
        <v>45710.56585648148</v>
      </c>
      <c r="D246" t="s">
        <v>101</v>
      </c>
      <c r="E246" s="4">
        <v>0.43487488442659378</v>
      </c>
      <c r="F246" s="4">
        <v>349826.73155137739</v>
      </c>
      <c r="G246" s="4">
        <v>349827.16642626183</v>
      </c>
      <c r="H246" s="5">
        <f t="shared" si="1"/>
        <v>0</v>
      </c>
      <c r="I246" t="s">
        <v>149</v>
      </c>
      <c r="J246" t="s">
        <v>173</v>
      </c>
      <c r="K246" s="5">
        <f>40 / 86400</f>
        <v>4.6296296296296298E-4</v>
      </c>
      <c r="L246" s="5">
        <f>21 / 86400</f>
        <v>2.4305555555555555E-4</v>
      </c>
    </row>
    <row r="247" spans="1:12" x14ac:dyDescent="0.25">
      <c r="A247" s="3">
        <v>45710.566099537042</v>
      </c>
      <c r="B247" t="s">
        <v>101</v>
      </c>
      <c r="C247" s="3">
        <v>45710.566782407404</v>
      </c>
      <c r="D247" t="s">
        <v>225</v>
      </c>
      <c r="E247" s="4">
        <v>0.3925634729862213</v>
      </c>
      <c r="F247" s="4">
        <v>349827.24754136434</v>
      </c>
      <c r="G247" s="4">
        <v>349827.64010483731</v>
      </c>
      <c r="H247" s="5">
        <f t="shared" si="1"/>
        <v>0</v>
      </c>
      <c r="I247" t="s">
        <v>153</v>
      </c>
      <c r="J247" t="s">
        <v>137</v>
      </c>
      <c r="K247" s="5">
        <f>59 / 86400</f>
        <v>6.8287037037037036E-4</v>
      </c>
      <c r="L247" s="5">
        <f>40 / 86400</f>
        <v>4.6296296296296298E-4</v>
      </c>
    </row>
    <row r="248" spans="1:12" x14ac:dyDescent="0.25">
      <c r="A248" s="3">
        <v>45710.567245370374</v>
      </c>
      <c r="B248" t="s">
        <v>225</v>
      </c>
      <c r="C248" s="3">
        <v>45710.567939814813</v>
      </c>
      <c r="D248" t="s">
        <v>101</v>
      </c>
      <c r="E248" s="4">
        <v>0.50669708102941513</v>
      </c>
      <c r="F248" s="4">
        <v>349827.64461624727</v>
      </c>
      <c r="G248" s="4">
        <v>349828.1513133283</v>
      </c>
      <c r="H248" s="5">
        <f t="shared" si="1"/>
        <v>0</v>
      </c>
      <c r="I248" t="s">
        <v>226</v>
      </c>
      <c r="J248" t="s">
        <v>188</v>
      </c>
      <c r="K248" s="5">
        <f>60 / 86400</f>
        <v>6.9444444444444447E-4</v>
      </c>
      <c r="L248" s="5">
        <f>10 / 86400</f>
        <v>1.1574074074074075E-4</v>
      </c>
    </row>
    <row r="249" spans="1:12" x14ac:dyDescent="0.25">
      <c r="A249" s="3">
        <v>45710.568055555559</v>
      </c>
      <c r="B249" t="s">
        <v>101</v>
      </c>
      <c r="C249" s="3">
        <v>45710.568287037036</v>
      </c>
      <c r="D249" t="s">
        <v>101</v>
      </c>
      <c r="E249" s="4">
        <v>4.8409329891204833E-2</v>
      </c>
      <c r="F249" s="4">
        <v>349828.15416923887</v>
      </c>
      <c r="G249" s="4">
        <v>349828.20257856877</v>
      </c>
      <c r="H249" s="5">
        <f t="shared" si="1"/>
        <v>0</v>
      </c>
      <c r="I249" t="s">
        <v>156</v>
      </c>
      <c r="J249" t="s">
        <v>132</v>
      </c>
      <c r="K249" s="5">
        <f>20 / 86400</f>
        <v>2.3148148148148149E-4</v>
      </c>
      <c r="L249" s="5">
        <f>2 / 86400</f>
        <v>2.3148148148148147E-5</v>
      </c>
    </row>
    <row r="250" spans="1:12" x14ac:dyDescent="0.25">
      <c r="A250" s="3">
        <v>45710.56831018519</v>
      </c>
      <c r="B250" t="s">
        <v>101</v>
      </c>
      <c r="C250" s="3">
        <v>45710.569004629629</v>
      </c>
      <c r="D250" t="s">
        <v>101</v>
      </c>
      <c r="E250" s="4">
        <v>0.4772027072906494</v>
      </c>
      <c r="F250" s="4">
        <v>349828.20585286169</v>
      </c>
      <c r="G250" s="4">
        <v>349828.68305556901</v>
      </c>
      <c r="H250" s="5">
        <f t="shared" si="1"/>
        <v>0</v>
      </c>
      <c r="I250" t="s">
        <v>162</v>
      </c>
      <c r="J250" t="s">
        <v>167</v>
      </c>
      <c r="K250" s="5">
        <f>60 / 86400</f>
        <v>6.9444444444444447E-4</v>
      </c>
      <c r="L250" s="5">
        <f>14 / 86400</f>
        <v>1.6203703703703703E-4</v>
      </c>
    </row>
    <row r="251" spans="1:12" x14ac:dyDescent="0.25">
      <c r="A251" s="3">
        <v>45710.569166666668</v>
      </c>
      <c r="B251" t="s">
        <v>101</v>
      </c>
      <c r="C251" s="3">
        <v>45710.571689814809</v>
      </c>
      <c r="D251" t="s">
        <v>95</v>
      </c>
      <c r="E251" s="4">
        <v>2.2118776676654814</v>
      </c>
      <c r="F251" s="4">
        <v>349828.68371732428</v>
      </c>
      <c r="G251" s="4">
        <v>349830.89559499192</v>
      </c>
      <c r="H251" s="5">
        <f t="shared" si="1"/>
        <v>0</v>
      </c>
      <c r="I251" t="s">
        <v>194</v>
      </c>
      <c r="J251" t="s">
        <v>112</v>
      </c>
      <c r="K251" s="5">
        <f>218 / 86400</f>
        <v>2.5231481481481481E-3</v>
      </c>
      <c r="L251" s="5">
        <f>20 / 86400</f>
        <v>2.3148148148148149E-4</v>
      </c>
    </row>
    <row r="252" spans="1:12" x14ac:dyDescent="0.25">
      <c r="A252" s="3">
        <v>45710.571921296301</v>
      </c>
      <c r="B252" t="s">
        <v>227</v>
      </c>
      <c r="C252" s="3">
        <v>45710.572152777779</v>
      </c>
      <c r="D252" t="s">
        <v>228</v>
      </c>
      <c r="E252" s="4">
        <v>7.4905652165412909E-2</v>
      </c>
      <c r="F252" s="4">
        <v>349831.01649486611</v>
      </c>
      <c r="G252" s="4">
        <v>349831.09140051831</v>
      </c>
      <c r="H252" s="5">
        <f t="shared" si="1"/>
        <v>0</v>
      </c>
      <c r="I252" t="s">
        <v>224</v>
      </c>
      <c r="J252" t="s">
        <v>45</v>
      </c>
      <c r="K252" s="5">
        <f>20 / 86400</f>
        <v>2.3148148148148149E-4</v>
      </c>
      <c r="L252" s="5">
        <f>20 / 86400</f>
        <v>2.3148148148148149E-4</v>
      </c>
    </row>
    <row r="253" spans="1:12" x14ac:dyDescent="0.25">
      <c r="A253" s="3">
        <v>45710.572384259256</v>
      </c>
      <c r="B253" t="s">
        <v>228</v>
      </c>
      <c r="C253" s="3">
        <v>45710.573078703703</v>
      </c>
      <c r="D253" t="s">
        <v>115</v>
      </c>
      <c r="E253" s="4">
        <v>0.40458310729265212</v>
      </c>
      <c r="F253" s="4">
        <v>349831.13521194516</v>
      </c>
      <c r="G253" s="4">
        <v>349831.53979505249</v>
      </c>
      <c r="H253" s="5">
        <f t="shared" si="1"/>
        <v>0</v>
      </c>
      <c r="I253" t="s">
        <v>218</v>
      </c>
      <c r="J253" t="s">
        <v>137</v>
      </c>
      <c r="K253" s="5">
        <f>60 / 86400</f>
        <v>6.9444444444444447E-4</v>
      </c>
      <c r="L253" s="5">
        <f>20 / 86400</f>
        <v>2.3148148148148149E-4</v>
      </c>
    </row>
    <row r="254" spans="1:12" x14ac:dyDescent="0.25">
      <c r="A254" s="3">
        <v>45710.57331018518</v>
      </c>
      <c r="B254" t="s">
        <v>229</v>
      </c>
      <c r="C254" s="3">
        <v>45710.573773148149</v>
      </c>
      <c r="D254" t="s">
        <v>230</v>
      </c>
      <c r="E254" s="4">
        <v>0.19202696532011032</v>
      </c>
      <c r="F254" s="4">
        <v>349831.63409149577</v>
      </c>
      <c r="G254" s="4">
        <v>349831.82611846109</v>
      </c>
      <c r="H254" s="5">
        <f t="shared" si="1"/>
        <v>0</v>
      </c>
      <c r="I254" t="s">
        <v>192</v>
      </c>
      <c r="J254" t="s">
        <v>29</v>
      </c>
      <c r="K254" s="5">
        <f>40 / 86400</f>
        <v>4.6296296296296298E-4</v>
      </c>
      <c r="L254" s="5">
        <f>14 / 86400</f>
        <v>1.6203703703703703E-4</v>
      </c>
    </row>
    <row r="255" spans="1:12" x14ac:dyDescent="0.25">
      <c r="A255" s="3">
        <v>45710.573935185181</v>
      </c>
      <c r="B255" t="s">
        <v>230</v>
      </c>
      <c r="C255" s="3">
        <v>45710.575856481482</v>
      </c>
      <c r="D255" t="s">
        <v>79</v>
      </c>
      <c r="E255" s="4">
        <v>0.75490180498361592</v>
      </c>
      <c r="F255" s="4">
        <v>349831.83584756416</v>
      </c>
      <c r="G255" s="4">
        <v>349832.59074936912</v>
      </c>
      <c r="H255" s="5">
        <f t="shared" si="1"/>
        <v>0</v>
      </c>
      <c r="I255" t="s">
        <v>167</v>
      </c>
      <c r="J255" t="s">
        <v>33</v>
      </c>
      <c r="K255" s="5">
        <f>166 / 86400</f>
        <v>1.9212962962962964E-3</v>
      </c>
      <c r="L255" s="5">
        <f>60 / 86400</f>
        <v>6.9444444444444447E-4</v>
      </c>
    </row>
    <row r="256" spans="1:12" x14ac:dyDescent="0.25">
      <c r="A256" s="3">
        <v>45710.576550925922</v>
      </c>
      <c r="B256" t="s">
        <v>102</v>
      </c>
      <c r="C256" s="3">
        <v>45710.576782407406</v>
      </c>
      <c r="D256" t="s">
        <v>102</v>
      </c>
      <c r="E256" s="4">
        <v>1.0914254963397979E-2</v>
      </c>
      <c r="F256" s="4">
        <v>349832.64847876615</v>
      </c>
      <c r="G256" s="4">
        <v>349832.65939302108</v>
      </c>
      <c r="H256" s="5">
        <f t="shared" si="1"/>
        <v>0</v>
      </c>
      <c r="I256" t="s">
        <v>132</v>
      </c>
      <c r="J256" t="s">
        <v>113</v>
      </c>
      <c r="K256" s="5">
        <f>20 / 86400</f>
        <v>2.3148148148148149E-4</v>
      </c>
      <c r="L256" s="5">
        <f>40 / 86400</f>
        <v>4.6296296296296298E-4</v>
      </c>
    </row>
    <row r="257" spans="1:12" x14ac:dyDescent="0.25">
      <c r="A257" s="3">
        <v>45710.577245370368</v>
      </c>
      <c r="B257" t="s">
        <v>102</v>
      </c>
      <c r="C257" s="3">
        <v>45710.577476851853</v>
      </c>
      <c r="D257" t="s">
        <v>102</v>
      </c>
      <c r="E257" s="4">
        <v>8.4160179495811459E-3</v>
      </c>
      <c r="F257" s="4">
        <v>349832.6691892423</v>
      </c>
      <c r="G257" s="4">
        <v>349832.67760526028</v>
      </c>
      <c r="H257" s="5">
        <f t="shared" si="1"/>
        <v>0</v>
      </c>
      <c r="I257" t="s">
        <v>140</v>
      </c>
      <c r="J257" t="s">
        <v>113</v>
      </c>
      <c r="K257" s="5">
        <f>20 / 86400</f>
        <v>2.3148148148148149E-4</v>
      </c>
      <c r="L257" s="5">
        <f>20 / 86400</f>
        <v>2.3148148148148149E-4</v>
      </c>
    </row>
    <row r="258" spans="1:12" x14ac:dyDescent="0.25">
      <c r="A258" s="3">
        <v>45710.577708333338</v>
      </c>
      <c r="B258" t="s">
        <v>163</v>
      </c>
      <c r="C258" s="3">
        <v>45710.579097222224</v>
      </c>
      <c r="D258" t="s">
        <v>163</v>
      </c>
      <c r="E258" s="4">
        <v>1.1060257525444031</v>
      </c>
      <c r="F258" s="4">
        <v>349832.74322358053</v>
      </c>
      <c r="G258" s="4">
        <v>349833.84924933309</v>
      </c>
      <c r="H258" s="5">
        <f t="shared" si="1"/>
        <v>0</v>
      </c>
      <c r="I258" t="s">
        <v>162</v>
      </c>
      <c r="J258" t="s">
        <v>182</v>
      </c>
      <c r="K258" s="5">
        <f>120 / 86400</f>
        <v>1.3888888888888889E-3</v>
      </c>
      <c r="L258" s="5">
        <f>20 / 86400</f>
        <v>2.3148148148148149E-4</v>
      </c>
    </row>
    <row r="259" spans="1:12" x14ac:dyDescent="0.25">
      <c r="A259" s="3">
        <v>45710.579328703709</v>
      </c>
      <c r="B259" t="s">
        <v>163</v>
      </c>
      <c r="C259" s="3">
        <v>45710.58048611111</v>
      </c>
      <c r="D259" t="s">
        <v>78</v>
      </c>
      <c r="E259" s="4">
        <v>1.2052386677265168</v>
      </c>
      <c r="F259" s="4">
        <v>349833.85068472783</v>
      </c>
      <c r="G259" s="4">
        <v>349835.05592339556</v>
      </c>
      <c r="H259" s="5">
        <f t="shared" si="1"/>
        <v>0</v>
      </c>
      <c r="I259" t="s">
        <v>121</v>
      </c>
      <c r="J259" t="s">
        <v>224</v>
      </c>
      <c r="K259" s="5">
        <f>100 / 86400</f>
        <v>1.1574074074074073E-3</v>
      </c>
      <c r="L259" s="5">
        <f>20 / 86400</f>
        <v>2.3148148148148149E-4</v>
      </c>
    </row>
    <row r="260" spans="1:12" x14ac:dyDescent="0.25">
      <c r="A260" s="3">
        <v>45710.580717592587</v>
      </c>
      <c r="B260" t="s">
        <v>231</v>
      </c>
      <c r="C260" s="3">
        <v>45710.582106481481</v>
      </c>
      <c r="D260" t="s">
        <v>231</v>
      </c>
      <c r="E260" s="4">
        <v>0.56798506522178649</v>
      </c>
      <c r="F260" s="4">
        <v>349835.08748367138</v>
      </c>
      <c r="G260" s="4">
        <v>349835.6554687366</v>
      </c>
      <c r="H260" s="5">
        <f t="shared" si="1"/>
        <v>0</v>
      </c>
      <c r="I260" t="s">
        <v>192</v>
      </c>
      <c r="J260" t="s">
        <v>29</v>
      </c>
      <c r="K260" s="5">
        <f>120 / 86400</f>
        <v>1.3888888888888889E-3</v>
      </c>
      <c r="L260" s="5">
        <f>20 / 86400</f>
        <v>2.3148148148148149E-4</v>
      </c>
    </row>
    <row r="261" spans="1:12" x14ac:dyDescent="0.25">
      <c r="A261" s="3">
        <v>45710.582337962958</v>
      </c>
      <c r="B261" t="s">
        <v>232</v>
      </c>
      <c r="C261" s="3">
        <v>45710.584780092591</v>
      </c>
      <c r="D261" t="s">
        <v>233</v>
      </c>
      <c r="E261" s="4">
        <v>1.236198882818222</v>
      </c>
      <c r="F261" s="4">
        <v>349835.6860263428</v>
      </c>
      <c r="G261" s="4">
        <v>349836.9222252256</v>
      </c>
      <c r="H261" s="5">
        <f t="shared" si="1"/>
        <v>0</v>
      </c>
      <c r="I261" t="s">
        <v>234</v>
      </c>
      <c r="J261" t="s">
        <v>135</v>
      </c>
      <c r="K261" s="5">
        <f>211 / 86400</f>
        <v>2.4421296296296296E-3</v>
      </c>
      <c r="L261" s="5">
        <f>20 / 86400</f>
        <v>2.3148148148148149E-4</v>
      </c>
    </row>
    <row r="262" spans="1:12" x14ac:dyDescent="0.25">
      <c r="A262" s="3">
        <v>45710.585011574076</v>
      </c>
      <c r="B262" t="s">
        <v>233</v>
      </c>
      <c r="C262" s="3">
        <v>45710.5859375</v>
      </c>
      <c r="D262" t="s">
        <v>235</v>
      </c>
      <c r="E262" s="4">
        <v>0.53779089558124538</v>
      </c>
      <c r="F262" s="4">
        <v>349836.96093863866</v>
      </c>
      <c r="G262" s="4">
        <v>349837.49872953427</v>
      </c>
      <c r="H262" s="5">
        <f t="shared" si="1"/>
        <v>0</v>
      </c>
      <c r="I262" t="s">
        <v>234</v>
      </c>
      <c r="J262" t="s">
        <v>137</v>
      </c>
      <c r="K262" s="5">
        <f>80 / 86400</f>
        <v>9.2592592592592596E-4</v>
      </c>
      <c r="L262" s="5">
        <f>52 / 86400</f>
        <v>6.018518518518519E-4</v>
      </c>
    </row>
    <row r="263" spans="1:12" x14ac:dyDescent="0.25">
      <c r="A263" s="3">
        <v>45710.586539351847</v>
      </c>
      <c r="B263" t="s">
        <v>235</v>
      </c>
      <c r="C263" s="3">
        <v>45710.588043981479</v>
      </c>
      <c r="D263" t="s">
        <v>236</v>
      </c>
      <c r="E263" s="4">
        <v>0.45523781913518907</v>
      </c>
      <c r="F263" s="4">
        <v>349837.52555008774</v>
      </c>
      <c r="G263" s="4">
        <v>349837.98078790691</v>
      </c>
      <c r="H263" s="5">
        <f t="shared" si="1"/>
        <v>0</v>
      </c>
      <c r="I263" t="s">
        <v>123</v>
      </c>
      <c r="J263" t="s">
        <v>45</v>
      </c>
      <c r="K263" s="5">
        <f>130 / 86400</f>
        <v>1.5046296296296296E-3</v>
      </c>
      <c r="L263" s="5">
        <f>20 / 86400</f>
        <v>2.3148148148148149E-4</v>
      </c>
    </row>
    <row r="264" spans="1:12" x14ac:dyDescent="0.25">
      <c r="A264" s="3">
        <v>45710.588275462964</v>
      </c>
      <c r="B264" t="s">
        <v>236</v>
      </c>
      <c r="C264" s="3">
        <v>45710.589131944449</v>
      </c>
      <c r="D264" t="s">
        <v>237</v>
      </c>
      <c r="E264" s="4">
        <v>0.440418887257576</v>
      </c>
      <c r="F264" s="4">
        <v>349837.99833795096</v>
      </c>
      <c r="G264" s="4">
        <v>349838.43875683821</v>
      </c>
      <c r="H264" s="5">
        <f t="shared" si="1"/>
        <v>0</v>
      </c>
      <c r="I264" t="s">
        <v>195</v>
      </c>
      <c r="J264" t="s">
        <v>135</v>
      </c>
      <c r="K264" s="5">
        <f>74 / 86400</f>
        <v>8.564814814814815E-4</v>
      </c>
      <c r="L264" s="5">
        <f>20 / 86400</f>
        <v>2.3148148148148149E-4</v>
      </c>
    </row>
    <row r="265" spans="1:12" x14ac:dyDescent="0.25">
      <c r="A265" s="3">
        <v>45710.589363425926</v>
      </c>
      <c r="B265" t="s">
        <v>238</v>
      </c>
      <c r="C265" s="3">
        <v>45710.592291666668</v>
      </c>
      <c r="D265" t="s">
        <v>239</v>
      </c>
      <c r="E265" s="4">
        <v>1.2553506742119789</v>
      </c>
      <c r="F265" s="4">
        <v>349838.49061204935</v>
      </c>
      <c r="G265" s="4">
        <v>349839.74596272357</v>
      </c>
      <c r="H265" s="5">
        <f t="shared" si="1"/>
        <v>0</v>
      </c>
      <c r="I265" t="s">
        <v>177</v>
      </c>
      <c r="J265" t="s">
        <v>20</v>
      </c>
      <c r="K265" s="5">
        <f>253 / 86400</f>
        <v>2.9282407407407408E-3</v>
      </c>
      <c r="L265" s="5">
        <f>20 / 86400</f>
        <v>2.3148148148148149E-4</v>
      </c>
    </row>
    <row r="266" spans="1:12" x14ac:dyDescent="0.25">
      <c r="A266" s="3">
        <v>45710.592523148152</v>
      </c>
      <c r="B266" t="s">
        <v>240</v>
      </c>
      <c r="C266" s="3">
        <v>45710.592881944445</v>
      </c>
      <c r="D266" t="s">
        <v>240</v>
      </c>
      <c r="E266" s="4">
        <v>1.9143646955490111E-2</v>
      </c>
      <c r="F266" s="4">
        <v>349839.75382733007</v>
      </c>
      <c r="G266" s="4">
        <v>349839.77297097701</v>
      </c>
      <c r="H266" s="5">
        <f t="shared" si="1"/>
        <v>0</v>
      </c>
      <c r="I266" t="s">
        <v>156</v>
      </c>
      <c r="J266" t="s">
        <v>113</v>
      </c>
      <c r="K266" s="5">
        <f>31 / 86400</f>
        <v>3.5879629629629629E-4</v>
      </c>
      <c r="L266" s="5">
        <f>90 / 86400</f>
        <v>1.0416666666666667E-3</v>
      </c>
    </row>
    <row r="267" spans="1:12" x14ac:dyDescent="0.25">
      <c r="A267" s="3">
        <v>45710.593923611115</v>
      </c>
      <c r="B267" t="s">
        <v>241</v>
      </c>
      <c r="C267" s="3">
        <v>45710.594849537039</v>
      </c>
      <c r="D267" t="s">
        <v>242</v>
      </c>
      <c r="E267" s="4">
        <v>0.25445210582017896</v>
      </c>
      <c r="F267" s="4">
        <v>349839.82686411234</v>
      </c>
      <c r="G267" s="4">
        <v>349840.08131621813</v>
      </c>
      <c r="H267" s="5">
        <f t="shared" si="1"/>
        <v>0</v>
      </c>
      <c r="I267" t="s">
        <v>131</v>
      </c>
      <c r="J267" t="s">
        <v>61</v>
      </c>
      <c r="K267" s="5">
        <f>80 / 86400</f>
        <v>9.2592592592592596E-4</v>
      </c>
      <c r="L267" s="5">
        <f>40 / 86400</f>
        <v>4.6296296296296298E-4</v>
      </c>
    </row>
    <row r="268" spans="1:12" x14ac:dyDescent="0.25">
      <c r="A268" s="3">
        <v>45710.595312500001</v>
      </c>
      <c r="B268" t="s">
        <v>242</v>
      </c>
      <c r="C268" s="3">
        <v>45710.595543981486</v>
      </c>
      <c r="D268" t="s">
        <v>242</v>
      </c>
      <c r="E268" s="4">
        <v>3.7428583502769472E-3</v>
      </c>
      <c r="F268" s="4">
        <v>349840.09272648534</v>
      </c>
      <c r="G268" s="4">
        <v>349840.09646934364</v>
      </c>
      <c r="H268" s="5">
        <f t="shared" si="1"/>
        <v>0</v>
      </c>
      <c r="I268" t="s">
        <v>124</v>
      </c>
      <c r="J268" t="s">
        <v>124</v>
      </c>
      <c r="K268" s="5">
        <f>20 / 86400</f>
        <v>2.3148148148148149E-4</v>
      </c>
      <c r="L268" s="5">
        <f>20 / 86400</f>
        <v>2.3148148148148149E-4</v>
      </c>
    </row>
    <row r="269" spans="1:12" x14ac:dyDescent="0.25">
      <c r="A269" s="3">
        <v>45710.595775462964</v>
      </c>
      <c r="B269" t="s">
        <v>242</v>
      </c>
      <c r="C269" s="3">
        <v>45710.598090277781</v>
      </c>
      <c r="D269" t="s">
        <v>243</v>
      </c>
      <c r="E269" s="4">
        <v>1.538140815615654</v>
      </c>
      <c r="F269" s="4">
        <v>349840.10254539247</v>
      </c>
      <c r="G269" s="4">
        <v>349841.64068620809</v>
      </c>
      <c r="H269" s="5">
        <f t="shared" si="1"/>
        <v>0</v>
      </c>
      <c r="I269" t="s">
        <v>244</v>
      </c>
      <c r="J269" t="s">
        <v>56</v>
      </c>
      <c r="K269" s="5">
        <f>200 / 86400</f>
        <v>2.3148148148148147E-3</v>
      </c>
      <c r="L269" s="5">
        <f>20 / 86400</f>
        <v>2.3148148148148149E-4</v>
      </c>
    </row>
    <row r="270" spans="1:12" x14ac:dyDescent="0.25">
      <c r="A270" s="3">
        <v>45710.598321759258</v>
      </c>
      <c r="B270" t="s">
        <v>243</v>
      </c>
      <c r="C270" s="3">
        <v>45710.600324074076</v>
      </c>
      <c r="D270" t="s">
        <v>245</v>
      </c>
      <c r="E270" s="4">
        <v>1.017187511384487</v>
      </c>
      <c r="F270" s="4">
        <v>349841.76900329621</v>
      </c>
      <c r="G270" s="4">
        <v>349842.78619080759</v>
      </c>
      <c r="H270" s="5">
        <f t="shared" si="1"/>
        <v>0</v>
      </c>
      <c r="I270" t="s">
        <v>211</v>
      </c>
      <c r="J270" t="s">
        <v>135</v>
      </c>
      <c r="K270" s="5">
        <f>173 / 86400</f>
        <v>2.0023148148148148E-3</v>
      </c>
      <c r="L270" s="5">
        <f>60 / 86400</f>
        <v>6.9444444444444447E-4</v>
      </c>
    </row>
    <row r="271" spans="1:12" x14ac:dyDescent="0.25">
      <c r="A271" s="3">
        <v>45710.601018518515</v>
      </c>
      <c r="B271" t="s">
        <v>245</v>
      </c>
      <c r="C271" s="3">
        <v>45710.603020833332</v>
      </c>
      <c r="D271" t="s">
        <v>246</v>
      </c>
      <c r="E271" s="4">
        <v>0.61782104617357259</v>
      </c>
      <c r="F271" s="4">
        <v>349842.83360280335</v>
      </c>
      <c r="G271" s="4">
        <v>349843.4514238495</v>
      </c>
      <c r="H271" s="5">
        <f t="shared" si="1"/>
        <v>0</v>
      </c>
      <c r="I271" t="s">
        <v>184</v>
      </c>
      <c r="J271" t="s">
        <v>45</v>
      </c>
      <c r="K271" s="5">
        <f>173 / 86400</f>
        <v>2.0023148148148148E-3</v>
      </c>
      <c r="L271" s="5">
        <f>20 / 86400</f>
        <v>2.3148148148148149E-4</v>
      </c>
    </row>
    <row r="272" spans="1:12" x14ac:dyDescent="0.25">
      <c r="A272" s="3">
        <v>45710.603252314817</v>
      </c>
      <c r="B272" t="s">
        <v>247</v>
      </c>
      <c r="C272" s="3">
        <v>45710.603483796294</v>
      </c>
      <c r="D272" t="s">
        <v>247</v>
      </c>
      <c r="E272" s="4">
        <v>3.9197720885276793E-3</v>
      </c>
      <c r="F272" s="4">
        <v>349843.46247264539</v>
      </c>
      <c r="G272" s="4">
        <v>349843.4663924175</v>
      </c>
      <c r="H272" s="5">
        <f t="shared" si="1"/>
        <v>0</v>
      </c>
      <c r="I272" t="s">
        <v>124</v>
      </c>
      <c r="J272" t="s">
        <v>124</v>
      </c>
      <c r="K272" s="5">
        <f>20 / 86400</f>
        <v>2.3148148148148149E-4</v>
      </c>
      <c r="L272" s="5">
        <f>40 / 86400</f>
        <v>4.6296296296296298E-4</v>
      </c>
    </row>
    <row r="273" spans="1:12" x14ac:dyDescent="0.25">
      <c r="A273" s="3">
        <v>45710.603946759264</v>
      </c>
      <c r="B273" t="s">
        <v>247</v>
      </c>
      <c r="C273" s="3">
        <v>45710.604178240741</v>
      </c>
      <c r="D273" t="s">
        <v>247</v>
      </c>
      <c r="E273" s="4">
        <v>9.6052372455596932E-3</v>
      </c>
      <c r="F273" s="4">
        <v>349843.47348101274</v>
      </c>
      <c r="G273" s="4">
        <v>349843.48308625002</v>
      </c>
      <c r="H273" s="5">
        <f t="shared" si="1"/>
        <v>0</v>
      </c>
      <c r="I273" t="s">
        <v>124</v>
      </c>
      <c r="J273" t="s">
        <v>113</v>
      </c>
      <c r="K273" s="5">
        <f>20 / 86400</f>
        <v>2.3148148148148149E-4</v>
      </c>
      <c r="L273" s="5">
        <f>20 / 86400</f>
        <v>2.3148148148148149E-4</v>
      </c>
    </row>
    <row r="274" spans="1:12" x14ac:dyDescent="0.25">
      <c r="A274" s="3">
        <v>45710.604409722218</v>
      </c>
      <c r="B274" t="s">
        <v>247</v>
      </c>
      <c r="C274" s="3">
        <v>45710.604814814811</v>
      </c>
      <c r="D274" t="s">
        <v>248</v>
      </c>
      <c r="E274" s="4">
        <v>1.9794365644454956E-2</v>
      </c>
      <c r="F274" s="4">
        <v>349843.49404107576</v>
      </c>
      <c r="G274" s="4">
        <v>349843.51383544144</v>
      </c>
      <c r="H274" s="5">
        <f t="shared" si="1"/>
        <v>0</v>
      </c>
      <c r="I274" t="s">
        <v>140</v>
      </c>
      <c r="J274" t="s">
        <v>113</v>
      </c>
      <c r="K274" s="5">
        <f>35 / 86400</f>
        <v>4.0509259259259258E-4</v>
      </c>
      <c r="L274" s="5">
        <f>20 / 86400</f>
        <v>2.3148148148148149E-4</v>
      </c>
    </row>
    <row r="275" spans="1:12" x14ac:dyDescent="0.25">
      <c r="A275" s="3">
        <v>45710.605046296296</v>
      </c>
      <c r="B275" t="s">
        <v>248</v>
      </c>
      <c r="C275" s="3">
        <v>45710.60527777778</v>
      </c>
      <c r="D275" t="s">
        <v>248</v>
      </c>
      <c r="E275" s="4">
        <v>6.4911629557609556E-3</v>
      </c>
      <c r="F275" s="4">
        <v>349843.52285341895</v>
      </c>
      <c r="G275" s="4">
        <v>349843.52934458188</v>
      </c>
      <c r="H275" s="5">
        <f t="shared" si="1"/>
        <v>0</v>
      </c>
      <c r="I275" t="s">
        <v>113</v>
      </c>
      <c r="J275" t="s">
        <v>124</v>
      </c>
      <c r="K275" s="5">
        <f>20 / 86400</f>
        <v>2.3148148148148149E-4</v>
      </c>
      <c r="L275" s="5">
        <f>20 / 86400</f>
        <v>2.3148148148148149E-4</v>
      </c>
    </row>
    <row r="276" spans="1:12" x14ac:dyDescent="0.25">
      <c r="A276" s="3">
        <v>45710.605509259258</v>
      </c>
      <c r="B276" t="s">
        <v>248</v>
      </c>
      <c r="C276" s="3">
        <v>45710.60601851852</v>
      </c>
      <c r="D276" t="s">
        <v>249</v>
      </c>
      <c r="E276" s="4">
        <v>4.6294760525226596E-2</v>
      </c>
      <c r="F276" s="4">
        <v>349843.54434862063</v>
      </c>
      <c r="G276" s="4">
        <v>349843.59064338118</v>
      </c>
      <c r="H276" s="5">
        <f t="shared" si="1"/>
        <v>0</v>
      </c>
      <c r="I276" t="s">
        <v>31</v>
      </c>
      <c r="J276" t="s">
        <v>75</v>
      </c>
      <c r="K276" s="5">
        <f>44 / 86400</f>
        <v>5.0925925925925921E-4</v>
      </c>
      <c r="L276" s="5">
        <f>20 / 86400</f>
        <v>2.3148148148148149E-4</v>
      </c>
    </row>
    <row r="277" spans="1:12" x14ac:dyDescent="0.25">
      <c r="A277" s="3">
        <v>45710.606249999997</v>
      </c>
      <c r="B277" t="s">
        <v>249</v>
      </c>
      <c r="C277" s="3">
        <v>45710.606481481482</v>
      </c>
      <c r="D277" t="s">
        <v>249</v>
      </c>
      <c r="E277" s="4">
        <v>9.4278247356414796E-3</v>
      </c>
      <c r="F277" s="4">
        <v>349843.59801175783</v>
      </c>
      <c r="G277" s="4">
        <v>349843.60743958259</v>
      </c>
      <c r="H277" s="5">
        <f t="shared" si="1"/>
        <v>0</v>
      </c>
      <c r="I277" t="s">
        <v>113</v>
      </c>
      <c r="J277" t="s">
        <v>113</v>
      </c>
      <c r="K277" s="5">
        <f>20 / 86400</f>
        <v>2.3148148148148149E-4</v>
      </c>
      <c r="L277" s="5">
        <f>80 / 86400</f>
        <v>9.2592592592592596E-4</v>
      </c>
    </row>
    <row r="278" spans="1:12" x14ac:dyDescent="0.25">
      <c r="A278" s="3">
        <v>45710.607407407406</v>
      </c>
      <c r="B278" t="s">
        <v>249</v>
      </c>
      <c r="C278" s="3">
        <v>45710.609027777777</v>
      </c>
      <c r="D278" t="s">
        <v>250</v>
      </c>
      <c r="E278" s="4">
        <v>0.16656168538331986</v>
      </c>
      <c r="F278" s="4">
        <v>349843.64381318708</v>
      </c>
      <c r="G278" s="4">
        <v>349843.81037487247</v>
      </c>
      <c r="H278" s="5">
        <f t="shared" si="1"/>
        <v>0</v>
      </c>
      <c r="I278" t="s">
        <v>31</v>
      </c>
      <c r="J278" t="s">
        <v>75</v>
      </c>
      <c r="K278" s="5">
        <f>140 / 86400</f>
        <v>1.6203703703703703E-3</v>
      </c>
      <c r="L278" s="5">
        <f>60 / 86400</f>
        <v>6.9444444444444447E-4</v>
      </c>
    </row>
    <row r="279" spans="1:12" x14ac:dyDescent="0.25">
      <c r="A279" s="3">
        <v>45710.609722222223</v>
      </c>
      <c r="B279" t="s">
        <v>250</v>
      </c>
      <c r="C279" s="3">
        <v>45710.609953703708</v>
      </c>
      <c r="D279" t="s">
        <v>250</v>
      </c>
      <c r="E279" s="4">
        <v>1.5510949075222016E-2</v>
      </c>
      <c r="F279" s="4">
        <v>349843.836759058</v>
      </c>
      <c r="G279" s="4">
        <v>349843.85227000708</v>
      </c>
      <c r="H279" s="5">
        <f t="shared" si="1"/>
        <v>0</v>
      </c>
      <c r="I279" t="s">
        <v>31</v>
      </c>
      <c r="J279" t="s">
        <v>143</v>
      </c>
      <c r="K279" s="5">
        <f>20 / 86400</f>
        <v>2.3148148148148149E-4</v>
      </c>
      <c r="L279" s="5">
        <f>100 / 86400</f>
        <v>1.1574074074074073E-3</v>
      </c>
    </row>
    <row r="280" spans="1:12" x14ac:dyDescent="0.25">
      <c r="A280" s="3">
        <v>45710.611111111109</v>
      </c>
      <c r="B280" t="s">
        <v>250</v>
      </c>
      <c r="C280" s="3">
        <v>45710.611574074079</v>
      </c>
      <c r="D280" t="s">
        <v>250</v>
      </c>
      <c r="E280" s="4">
        <v>4.6354352951049803E-2</v>
      </c>
      <c r="F280" s="4">
        <v>349843.88217563753</v>
      </c>
      <c r="G280" s="4">
        <v>349843.92852999049</v>
      </c>
      <c r="H280" s="5">
        <f t="shared" si="1"/>
        <v>0</v>
      </c>
      <c r="I280" t="s">
        <v>124</v>
      </c>
      <c r="J280" t="s">
        <v>75</v>
      </c>
      <c r="K280" s="5">
        <f>40 / 86400</f>
        <v>4.6296296296296298E-4</v>
      </c>
      <c r="L280" s="5">
        <f>52 / 86400</f>
        <v>6.018518518518519E-4</v>
      </c>
    </row>
    <row r="281" spans="1:12" x14ac:dyDescent="0.25">
      <c r="A281" s="3">
        <v>45710.612175925926</v>
      </c>
      <c r="B281" t="s">
        <v>251</v>
      </c>
      <c r="C281" s="3">
        <v>45710.612627314811</v>
      </c>
      <c r="D281" t="s">
        <v>252</v>
      </c>
      <c r="E281" s="4">
        <v>6.8748456716537482E-2</v>
      </c>
      <c r="F281" s="4">
        <v>349843.94676836918</v>
      </c>
      <c r="G281" s="4">
        <v>349844.01551682589</v>
      </c>
      <c r="H281" s="5">
        <f t="shared" si="1"/>
        <v>0</v>
      </c>
      <c r="I281" t="s">
        <v>150</v>
      </c>
      <c r="J281" t="s">
        <v>31</v>
      </c>
      <c r="K281" s="5">
        <f>39 / 86400</f>
        <v>4.5138888888888887E-4</v>
      </c>
      <c r="L281" s="5">
        <f>40 / 86400</f>
        <v>4.6296296296296298E-4</v>
      </c>
    </row>
    <row r="282" spans="1:12" x14ac:dyDescent="0.25">
      <c r="A282" s="3">
        <v>45710.61309027778</v>
      </c>
      <c r="B282" t="s">
        <v>252</v>
      </c>
      <c r="C282" s="3">
        <v>45710.613553240742</v>
      </c>
      <c r="D282" t="s">
        <v>251</v>
      </c>
      <c r="E282" s="4">
        <v>3.9434141039848325E-2</v>
      </c>
      <c r="F282" s="4">
        <v>349844.0379510757</v>
      </c>
      <c r="G282" s="4">
        <v>349844.07738521678</v>
      </c>
      <c r="H282" s="5">
        <f t="shared" si="1"/>
        <v>0</v>
      </c>
      <c r="I282" t="s">
        <v>31</v>
      </c>
      <c r="J282" t="s">
        <v>75</v>
      </c>
      <c r="K282" s="5">
        <f>40 / 86400</f>
        <v>4.6296296296296298E-4</v>
      </c>
      <c r="L282" s="5">
        <f>67 / 86400</f>
        <v>7.7546296296296293E-4</v>
      </c>
    </row>
    <row r="283" spans="1:12" x14ac:dyDescent="0.25">
      <c r="A283" s="3">
        <v>45710.614328703705</v>
      </c>
      <c r="B283" t="s">
        <v>251</v>
      </c>
      <c r="C283" s="3">
        <v>45710.615023148144</v>
      </c>
      <c r="D283" t="s">
        <v>250</v>
      </c>
      <c r="E283" s="4">
        <v>7.471171778440476E-2</v>
      </c>
      <c r="F283" s="4">
        <v>349844.09182376519</v>
      </c>
      <c r="G283" s="4">
        <v>349844.16653548297</v>
      </c>
      <c r="H283" s="5">
        <f t="shared" si="1"/>
        <v>0</v>
      </c>
      <c r="I283" t="s">
        <v>31</v>
      </c>
      <c r="J283" t="s">
        <v>75</v>
      </c>
      <c r="K283" s="5">
        <f>60 / 86400</f>
        <v>6.9444444444444447E-4</v>
      </c>
      <c r="L283" s="5">
        <f>33 / 86400</f>
        <v>3.8194444444444446E-4</v>
      </c>
    </row>
    <row r="284" spans="1:12" x14ac:dyDescent="0.25">
      <c r="A284" s="3">
        <v>45710.615405092598</v>
      </c>
      <c r="B284" t="s">
        <v>250</v>
      </c>
      <c r="C284" s="3">
        <v>45710.615636574075</v>
      </c>
      <c r="D284" t="s">
        <v>250</v>
      </c>
      <c r="E284" s="4">
        <v>1.7492330312728881E-2</v>
      </c>
      <c r="F284" s="4">
        <v>349844.17514657998</v>
      </c>
      <c r="G284" s="4">
        <v>349844.19263891032</v>
      </c>
      <c r="H284" s="5">
        <f t="shared" si="1"/>
        <v>0</v>
      </c>
      <c r="I284" t="s">
        <v>31</v>
      </c>
      <c r="J284" t="s">
        <v>143</v>
      </c>
      <c r="K284" s="5">
        <f>20 / 86400</f>
        <v>2.3148148148148149E-4</v>
      </c>
      <c r="L284" s="5">
        <f>20 / 86400</f>
        <v>2.3148148148148149E-4</v>
      </c>
    </row>
    <row r="285" spans="1:12" x14ac:dyDescent="0.25">
      <c r="A285" s="3">
        <v>45710.615868055553</v>
      </c>
      <c r="B285" t="s">
        <v>250</v>
      </c>
      <c r="C285" s="3">
        <v>45710.616226851853</v>
      </c>
      <c r="D285" t="s">
        <v>251</v>
      </c>
      <c r="E285" s="4">
        <v>7.0427504539489746E-2</v>
      </c>
      <c r="F285" s="4">
        <v>349844.20656551229</v>
      </c>
      <c r="G285" s="4">
        <v>349844.27699301683</v>
      </c>
      <c r="H285" s="5">
        <f t="shared" si="1"/>
        <v>0</v>
      </c>
      <c r="I285" t="s">
        <v>132</v>
      </c>
      <c r="J285" t="s">
        <v>150</v>
      </c>
      <c r="K285" s="5">
        <f>31 / 86400</f>
        <v>3.5879629629629629E-4</v>
      </c>
      <c r="L285" s="5">
        <f>20 / 86400</f>
        <v>2.3148148148148149E-4</v>
      </c>
    </row>
    <row r="286" spans="1:12" x14ac:dyDescent="0.25">
      <c r="A286" s="3">
        <v>45710.61645833333</v>
      </c>
      <c r="B286" t="s">
        <v>251</v>
      </c>
      <c r="C286" s="3">
        <v>45710.617615740739</v>
      </c>
      <c r="D286" t="s">
        <v>253</v>
      </c>
      <c r="E286" s="4">
        <v>0.20200063478946687</v>
      </c>
      <c r="F286" s="4">
        <v>349844.29250727402</v>
      </c>
      <c r="G286" s="4">
        <v>349844.49450790882</v>
      </c>
      <c r="H286" s="5">
        <f t="shared" si="1"/>
        <v>0</v>
      </c>
      <c r="I286" t="s">
        <v>42</v>
      </c>
      <c r="J286" t="s">
        <v>140</v>
      </c>
      <c r="K286" s="5">
        <f>100 / 86400</f>
        <v>1.1574074074074073E-3</v>
      </c>
      <c r="L286" s="5">
        <f>80 / 86400</f>
        <v>9.2592592592592596E-4</v>
      </c>
    </row>
    <row r="287" spans="1:12" x14ac:dyDescent="0.25">
      <c r="A287" s="3">
        <v>45710.61854166667</v>
      </c>
      <c r="B287" t="s">
        <v>253</v>
      </c>
      <c r="C287" s="3">
        <v>45710.618773148148</v>
      </c>
      <c r="D287" t="s">
        <v>253</v>
      </c>
      <c r="E287" s="4">
        <v>2.9381775259971618E-3</v>
      </c>
      <c r="F287" s="4">
        <v>349844.5095476507</v>
      </c>
      <c r="G287" s="4">
        <v>349844.51248582819</v>
      </c>
      <c r="H287" s="5">
        <f t="shared" si="1"/>
        <v>0</v>
      </c>
      <c r="I287" t="s">
        <v>124</v>
      </c>
      <c r="J287" t="s">
        <v>124</v>
      </c>
      <c r="K287" s="5">
        <f>20 / 86400</f>
        <v>2.3148148148148149E-4</v>
      </c>
      <c r="L287" s="5">
        <f>280 / 86400</f>
        <v>3.2407407407407406E-3</v>
      </c>
    </row>
    <row r="288" spans="1:12" x14ac:dyDescent="0.25">
      <c r="A288" s="3">
        <v>45710.622013888889</v>
      </c>
      <c r="B288" t="s">
        <v>254</v>
      </c>
      <c r="C288" s="3">
        <v>45710.622245370367</v>
      </c>
      <c r="D288" t="s">
        <v>254</v>
      </c>
      <c r="E288" s="4">
        <v>4.1860077381134031E-3</v>
      </c>
      <c r="F288" s="4">
        <v>349844.58049005963</v>
      </c>
      <c r="G288" s="4">
        <v>349844.58467606734</v>
      </c>
      <c r="H288" s="5">
        <f t="shared" si="1"/>
        <v>0</v>
      </c>
      <c r="I288" t="s">
        <v>124</v>
      </c>
      <c r="J288" t="s">
        <v>124</v>
      </c>
      <c r="K288" s="5">
        <f>20 / 86400</f>
        <v>2.3148148148148149E-4</v>
      </c>
      <c r="L288" s="5">
        <f>20 / 86400</f>
        <v>2.3148148148148149E-4</v>
      </c>
    </row>
    <row r="289" spans="1:12" x14ac:dyDescent="0.25">
      <c r="A289" s="3">
        <v>45710.622476851851</v>
      </c>
      <c r="B289" t="s">
        <v>255</v>
      </c>
      <c r="C289" s="3">
        <v>45710.622939814813</v>
      </c>
      <c r="D289" t="s">
        <v>255</v>
      </c>
      <c r="E289" s="4">
        <v>1.0025667965412139E-2</v>
      </c>
      <c r="F289" s="4">
        <v>349844.59107764234</v>
      </c>
      <c r="G289" s="4">
        <v>349844.6011033103</v>
      </c>
      <c r="H289" s="5">
        <f t="shared" si="1"/>
        <v>0</v>
      </c>
      <c r="I289" t="s">
        <v>113</v>
      </c>
      <c r="J289" t="s">
        <v>124</v>
      </c>
      <c r="K289" s="5">
        <f>40 / 86400</f>
        <v>4.6296296296296298E-4</v>
      </c>
      <c r="L289" s="5">
        <f>80 / 86400</f>
        <v>9.2592592592592596E-4</v>
      </c>
    </row>
    <row r="290" spans="1:12" x14ac:dyDescent="0.25">
      <c r="A290" s="3">
        <v>45710.623865740738</v>
      </c>
      <c r="B290" t="s">
        <v>255</v>
      </c>
      <c r="C290" s="3">
        <v>45710.624097222222</v>
      </c>
      <c r="D290" t="s">
        <v>256</v>
      </c>
      <c r="E290" s="4">
        <v>1.0877051234245301E-2</v>
      </c>
      <c r="F290" s="4">
        <v>349844.61729466752</v>
      </c>
      <c r="G290" s="4">
        <v>349844.6281717188</v>
      </c>
      <c r="H290" s="5">
        <f t="shared" si="1"/>
        <v>0</v>
      </c>
      <c r="I290" t="s">
        <v>113</v>
      </c>
      <c r="J290" t="s">
        <v>113</v>
      </c>
      <c r="K290" s="5">
        <f>20 / 86400</f>
        <v>2.3148148148148149E-4</v>
      </c>
      <c r="L290" s="5">
        <f>60 / 86400</f>
        <v>6.9444444444444447E-4</v>
      </c>
    </row>
    <row r="291" spans="1:12" x14ac:dyDescent="0.25">
      <c r="A291" s="3">
        <v>45710.624791666662</v>
      </c>
      <c r="B291" t="s">
        <v>256</v>
      </c>
      <c r="C291" s="3">
        <v>45710.626192129625</v>
      </c>
      <c r="D291" t="s">
        <v>257</v>
      </c>
      <c r="E291" s="4">
        <v>0.48391587102413175</v>
      </c>
      <c r="F291" s="4">
        <v>349844.6682754815</v>
      </c>
      <c r="G291" s="4">
        <v>349845.15219135256</v>
      </c>
      <c r="H291" s="5">
        <f t="shared" si="1"/>
        <v>0</v>
      </c>
      <c r="I291" t="s">
        <v>199</v>
      </c>
      <c r="J291" t="s">
        <v>26</v>
      </c>
      <c r="K291" s="5">
        <f>121 / 86400</f>
        <v>1.4004629629629629E-3</v>
      </c>
      <c r="L291" s="5">
        <f>14 / 86400</f>
        <v>1.6203703703703703E-4</v>
      </c>
    </row>
    <row r="292" spans="1:12" x14ac:dyDescent="0.25">
      <c r="A292" s="3">
        <v>45710.62635416667</v>
      </c>
      <c r="B292" t="s">
        <v>257</v>
      </c>
      <c r="C292" s="3">
        <v>45710.627685185187</v>
      </c>
      <c r="D292" t="s">
        <v>256</v>
      </c>
      <c r="E292" s="4">
        <v>7.2641717612743378E-2</v>
      </c>
      <c r="F292" s="4">
        <v>349845.16266725224</v>
      </c>
      <c r="G292" s="4">
        <v>349845.23530896986</v>
      </c>
      <c r="H292" s="5">
        <f t="shared" si="1"/>
        <v>0</v>
      </c>
      <c r="I292" t="s">
        <v>156</v>
      </c>
      <c r="J292" t="s">
        <v>113</v>
      </c>
      <c r="K292" s="5">
        <f>115 / 86400</f>
        <v>1.3310185185185185E-3</v>
      </c>
      <c r="L292" s="5">
        <f>40 / 86400</f>
        <v>4.6296296296296298E-4</v>
      </c>
    </row>
    <row r="293" spans="1:12" x14ac:dyDescent="0.25">
      <c r="A293" s="3">
        <v>45710.628148148149</v>
      </c>
      <c r="B293" t="s">
        <v>256</v>
      </c>
      <c r="C293" s="3">
        <v>45710.628379629634</v>
      </c>
      <c r="D293" t="s">
        <v>256</v>
      </c>
      <c r="E293" s="4">
        <v>4.1278551220893861E-3</v>
      </c>
      <c r="F293" s="4">
        <v>349845.25508988003</v>
      </c>
      <c r="G293" s="4">
        <v>349845.25921773515</v>
      </c>
      <c r="H293" s="5">
        <f t="shared" si="1"/>
        <v>0</v>
      </c>
      <c r="I293" t="s">
        <v>143</v>
      </c>
      <c r="J293" t="s">
        <v>124</v>
      </c>
      <c r="K293" s="5">
        <f>20 / 86400</f>
        <v>2.3148148148148149E-4</v>
      </c>
      <c r="L293" s="5">
        <f>14 / 86400</f>
        <v>1.6203703703703703E-4</v>
      </c>
    </row>
    <row r="294" spans="1:12" x14ac:dyDescent="0.25">
      <c r="A294" s="3">
        <v>45710.628541666665</v>
      </c>
      <c r="B294" t="s">
        <v>258</v>
      </c>
      <c r="C294" s="3">
        <v>45710.629004629634</v>
      </c>
      <c r="D294" t="s">
        <v>258</v>
      </c>
      <c r="E294" s="4">
        <v>2.9377213656902313E-2</v>
      </c>
      <c r="F294" s="4">
        <v>349845.28644301411</v>
      </c>
      <c r="G294" s="4">
        <v>349845.31582022773</v>
      </c>
      <c r="H294" s="5">
        <f t="shared" si="1"/>
        <v>0</v>
      </c>
      <c r="I294" t="s">
        <v>156</v>
      </c>
      <c r="J294" t="s">
        <v>143</v>
      </c>
      <c r="K294" s="5">
        <f>40 / 86400</f>
        <v>4.6296296296296298E-4</v>
      </c>
      <c r="L294" s="5">
        <f>80 / 86400</f>
        <v>9.2592592592592596E-4</v>
      </c>
    </row>
    <row r="295" spans="1:12" x14ac:dyDescent="0.25">
      <c r="A295" s="3">
        <v>45710.629930555559</v>
      </c>
      <c r="B295" t="s">
        <v>258</v>
      </c>
      <c r="C295" s="3">
        <v>45710.630162037036</v>
      </c>
      <c r="D295" t="s">
        <v>258</v>
      </c>
      <c r="E295" s="4">
        <v>1.2962101459503174E-2</v>
      </c>
      <c r="F295" s="4">
        <v>349845.33308869152</v>
      </c>
      <c r="G295" s="4">
        <v>349845.34605079301</v>
      </c>
      <c r="H295" s="5">
        <f t="shared" si="1"/>
        <v>0</v>
      </c>
      <c r="I295" t="s">
        <v>113</v>
      </c>
      <c r="J295" t="s">
        <v>113</v>
      </c>
      <c r="K295" s="5">
        <f>20 / 86400</f>
        <v>2.3148148148148149E-4</v>
      </c>
      <c r="L295" s="5">
        <f>20 / 86400</f>
        <v>2.3148148148148149E-4</v>
      </c>
    </row>
    <row r="296" spans="1:12" x14ac:dyDescent="0.25">
      <c r="A296" s="3">
        <v>45710.630393518513</v>
      </c>
      <c r="B296" t="s">
        <v>258</v>
      </c>
      <c r="C296" s="3">
        <v>45710.631018518514</v>
      </c>
      <c r="D296" t="s">
        <v>258</v>
      </c>
      <c r="E296" s="4">
        <v>6.9213636219501495E-2</v>
      </c>
      <c r="F296" s="4">
        <v>349845.35806133959</v>
      </c>
      <c r="G296" s="4">
        <v>349845.42727497581</v>
      </c>
      <c r="H296" s="5">
        <f t="shared" si="1"/>
        <v>0</v>
      </c>
      <c r="I296" t="s">
        <v>156</v>
      </c>
      <c r="J296" t="s">
        <v>156</v>
      </c>
      <c r="K296" s="5">
        <f>54 / 86400</f>
        <v>6.2500000000000001E-4</v>
      </c>
      <c r="L296" s="5">
        <f>140 / 86400</f>
        <v>1.6203703703703703E-3</v>
      </c>
    </row>
    <row r="297" spans="1:12" x14ac:dyDescent="0.25">
      <c r="A297" s="3">
        <v>45710.632638888885</v>
      </c>
      <c r="B297" t="s">
        <v>258</v>
      </c>
      <c r="C297" s="3">
        <v>45710.632870370369</v>
      </c>
      <c r="D297" t="s">
        <v>258</v>
      </c>
      <c r="E297" s="4">
        <v>1.533342695236206E-2</v>
      </c>
      <c r="F297" s="4">
        <v>349845.50655234401</v>
      </c>
      <c r="G297" s="4">
        <v>349845.52188577096</v>
      </c>
      <c r="H297" s="5">
        <f t="shared" si="1"/>
        <v>0</v>
      </c>
      <c r="I297" t="s">
        <v>124</v>
      </c>
      <c r="J297" t="s">
        <v>143</v>
      </c>
      <c r="K297" s="5">
        <f>20 / 86400</f>
        <v>2.3148148148148149E-4</v>
      </c>
      <c r="L297" s="5">
        <f>80 / 86400</f>
        <v>9.2592592592592596E-4</v>
      </c>
    </row>
    <row r="298" spans="1:12" x14ac:dyDescent="0.25">
      <c r="A298" s="3">
        <v>45710.633796296301</v>
      </c>
      <c r="B298" t="s">
        <v>258</v>
      </c>
      <c r="C298" s="3">
        <v>45710.634027777778</v>
      </c>
      <c r="D298" t="s">
        <v>258</v>
      </c>
      <c r="E298" s="4">
        <v>2.7474295973777769E-2</v>
      </c>
      <c r="F298" s="4">
        <v>349845.54328332335</v>
      </c>
      <c r="G298" s="4">
        <v>349845.57075761934</v>
      </c>
      <c r="H298" s="5">
        <f t="shared" ref="H298:H361" si="2">0 / 86400</f>
        <v>0</v>
      </c>
      <c r="I298" t="s">
        <v>113</v>
      </c>
      <c r="J298" t="s">
        <v>156</v>
      </c>
      <c r="K298" s="5">
        <f>20 / 86400</f>
        <v>2.3148148148148149E-4</v>
      </c>
      <c r="L298" s="5">
        <f>20 / 86400</f>
        <v>2.3148148148148149E-4</v>
      </c>
    </row>
    <row r="299" spans="1:12" x14ac:dyDescent="0.25">
      <c r="A299" s="3">
        <v>45710.634259259255</v>
      </c>
      <c r="B299" t="s">
        <v>258</v>
      </c>
      <c r="C299" s="3">
        <v>45710.63449074074</v>
      </c>
      <c r="D299" t="s">
        <v>258</v>
      </c>
      <c r="E299" s="4">
        <v>2.1348608136177063E-3</v>
      </c>
      <c r="F299" s="4">
        <v>349845.58494581463</v>
      </c>
      <c r="G299" s="4">
        <v>349845.58708067541</v>
      </c>
      <c r="H299" s="5">
        <f t="shared" si="2"/>
        <v>0</v>
      </c>
      <c r="I299" t="s">
        <v>124</v>
      </c>
      <c r="J299" t="s">
        <v>77</v>
      </c>
      <c r="K299" s="5">
        <f>20 / 86400</f>
        <v>2.3148148148148149E-4</v>
      </c>
      <c r="L299" s="5">
        <f>20 / 86400</f>
        <v>2.3148148148148149E-4</v>
      </c>
    </row>
    <row r="300" spans="1:12" x14ac:dyDescent="0.25">
      <c r="A300" s="3">
        <v>45710.634722222225</v>
      </c>
      <c r="B300" t="s">
        <v>258</v>
      </c>
      <c r="C300" s="3">
        <v>45710.635520833333</v>
      </c>
      <c r="D300" t="s">
        <v>259</v>
      </c>
      <c r="E300" s="4">
        <v>0.52882755666971204</v>
      </c>
      <c r="F300" s="4">
        <v>349845.59632773441</v>
      </c>
      <c r="G300" s="4">
        <v>349846.12515529105</v>
      </c>
      <c r="H300" s="5">
        <f t="shared" si="2"/>
        <v>0</v>
      </c>
      <c r="I300" t="s">
        <v>260</v>
      </c>
      <c r="J300" t="s">
        <v>56</v>
      </c>
      <c r="K300" s="5">
        <f>69 / 86400</f>
        <v>7.9861111111111116E-4</v>
      </c>
      <c r="L300" s="5">
        <f>57 / 86400</f>
        <v>6.5972222222222224E-4</v>
      </c>
    </row>
    <row r="301" spans="1:12" x14ac:dyDescent="0.25">
      <c r="A301" s="3">
        <v>45710.636180555557</v>
      </c>
      <c r="B301" t="s">
        <v>259</v>
      </c>
      <c r="C301" s="3">
        <v>45710.636874999997</v>
      </c>
      <c r="D301" t="s">
        <v>261</v>
      </c>
      <c r="E301" s="4">
        <v>0.60861282444000242</v>
      </c>
      <c r="F301" s="4">
        <v>349846.14444483316</v>
      </c>
      <c r="G301" s="4">
        <v>349846.75305765762</v>
      </c>
      <c r="H301" s="5">
        <f t="shared" si="2"/>
        <v>0</v>
      </c>
      <c r="I301" t="s">
        <v>244</v>
      </c>
      <c r="J301" t="s">
        <v>112</v>
      </c>
      <c r="K301" s="5">
        <f>60 / 86400</f>
        <v>6.9444444444444447E-4</v>
      </c>
      <c r="L301" s="5">
        <f>20 / 86400</f>
        <v>2.3148148148148149E-4</v>
      </c>
    </row>
    <row r="302" spans="1:12" x14ac:dyDescent="0.25">
      <c r="A302" s="3">
        <v>45710.637106481481</v>
      </c>
      <c r="B302" t="s">
        <v>262</v>
      </c>
      <c r="C302" s="3">
        <v>45710.637337962966</v>
      </c>
      <c r="D302" t="s">
        <v>263</v>
      </c>
      <c r="E302" s="4">
        <v>0.22566527193784713</v>
      </c>
      <c r="F302" s="4">
        <v>349846.9218473247</v>
      </c>
      <c r="G302" s="4">
        <v>349847.14751259668</v>
      </c>
      <c r="H302" s="5">
        <f t="shared" si="2"/>
        <v>0</v>
      </c>
      <c r="I302" t="s">
        <v>153</v>
      </c>
      <c r="J302" t="s">
        <v>215</v>
      </c>
      <c r="K302" s="5">
        <f>20 / 86400</f>
        <v>2.3148148148148149E-4</v>
      </c>
      <c r="L302" s="5">
        <f>10 / 86400</f>
        <v>1.1574074074074075E-4</v>
      </c>
    </row>
    <row r="303" spans="1:12" x14ac:dyDescent="0.25">
      <c r="A303" s="3">
        <v>45710.637453703705</v>
      </c>
      <c r="B303" t="s">
        <v>264</v>
      </c>
      <c r="C303" s="3">
        <v>45710.638969907406</v>
      </c>
      <c r="D303" t="s">
        <v>265</v>
      </c>
      <c r="E303" s="4">
        <v>1.1147223711013794</v>
      </c>
      <c r="F303" s="4">
        <v>349847.18454096548</v>
      </c>
      <c r="G303" s="4">
        <v>349848.29926333658</v>
      </c>
      <c r="H303" s="5">
        <f t="shared" si="2"/>
        <v>0</v>
      </c>
      <c r="I303" t="s">
        <v>226</v>
      </c>
      <c r="J303" t="s">
        <v>192</v>
      </c>
      <c r="K303" s="5">
        <f>131 / 86400</f>
        <v>1.5162037037037036E-3</v>
      </c>
      <c r="L303" s="5">
        <f>100 / 86400</f>
        <v>1.1574074074074073E-3</v>
      </c>
    </row>
    <row r="304" spans="1:12" x14ac:dyDescent="0.25">
      <c r="A304" s="3">
        <v>45710.640127314815</v>
      </c>
      <c r="B304" t="s">
        <v>266</v>
      </c>
      <c r="C304" s="3">
        <v>45710.6403587963</v>
      </c>
      <c r="D304" t="s">
        <v>266</v>
      </c>
      <c r="E304" s="4">
        <v>3.1305084824562071E-3</v>
      </c>
      <c r="F304" s="4">
        <v>349848.31769501005</v>
      </c>
      <c r="G304" s="4">
        <v>349848.32082551857</v>
      </c>
      <c r="H304" s="5">
        <f t="shared" si="2"/>
        <v>0</v>
      </c>
      <c r="I304" t="s">
        <v>113</v>
      </c>
      <c r="J304" t="s">
        <v>124</v>
      </c>
      <c r="K304" s="5">
        <f>20 / 86400</f>
        <v>2.3148148148148149E-4</v>
      </c>
      <c r="L304" s="5">
        <f>95 / 86400</f>
        <v>1.0995370370370371E-3</v>
      </c>
    </row>
    <row r="305" spans="1:12" x14ac:dyDescent="0.25">
      <c r="A305" s="3">
        <v>45710.641458333332</v>
      </c>
      <c r="B305" t="s">
        <v>265</v>
      </c>
      <c r="C305" s="3">
        <v>45710.641921296294</v>
      </c>
      <c r="D305" t="s">
        <v>266</v>
      </c>
      <c r="E305" s="4">
        <v>6.5587873101234442E-2</v>
      </c>
      <c r="F305" s="4">
        <v>349848.33704382123</v>
      </c>
      <c r="G305" s="4">
        <v>349848.40263169433</v>
      </c>
      <c r="H305" s="5">
        <f t="shared" si="2"/>
        <v>0</v>
      </c>
      <c r="I305" t="s">
        <v>156</v>
      </c>
      <c r="J305" t="s">
        <v>31</v>
      </c>
      <c r="K305" s="5">
        <f>40 / 86400</f>
        <v>4.6296296296296298E-4</v>
      </c>
      <c r="L305" s="5">
        <f>38 / 86400</f>
        <v>4.3981481481481481E-4</v>
      </c>
    </row>
    <row r="306" spans="1:12" x14ac:dyDescent="0.25">
      <c r="A306" s="3">
        <v>45710.642361111109</v>
      </c>
      <c r="B306" t="s">
        <v>266</v>
      </c>
      <c r="C306" s="3">
        <v>45710.643194444448</v>
      </c>
      <c r="D306" t="s">
        <v>267</v>
      </c>
      <c r="E306" s="4">
        <v>0.14019164472818374</v>
      </c>
      <c r="F306" s="4">
        <v>349848.40749805176</v>
      </c>
      <c r="G306" s="4">
        <v>349848.54768969648</v>
      </c>
      <c r="H306" s="5">
        <f t="shared" si="2"/>
        <v>0</v>
      </c>
      <c r="I306" t="s">
        <v>150</v>
      </c>
      <c r="J306" t="s">
        <v>140</v>
      </c>
      <c r="K306" s="5">
        <f>72 / 86400</f>
        <v>8.3333333333333339E-4</v>
      </c>
      <c r="L306" s="5">
        <f>8 / 86400</f>
        <v>9.2592592592592588E-5</v>
      </c>
    </row>
    <row r="307" spans="1:12" x14ac:dyDescent="0.25">
      <c r="A307" s="3">
        <v>45710.643287037034</v>
      </c>
      <c r="B307" t="s">
        <v>268</v>
      </c>
      <c r="C307" s="3">
        <v>45710.643750000003</v>
      </c>
      <c r="D307" t="s">
        <v>267</v>
      </c>
      <c r="E307" s="4">
        <v>1.9130914330482484E-2</v>
      </c>
      <c r="F307" s="4">
        <v>349848.5587268353</v>
      </c>
      <c r="G307" s="4">
        <v>349848.57785774965</v>
      </c>
      <c r="H307" s="5">
        <f t="shared" si="2"/>
        <v>0</v>
      </c>
      <c r="I307" t="s">
        <v>31</v>
      </c>
      <c r="J307" t="s">
        <v>113</v>
      </c>
      <c r="K307" s="5">
        <f>40 / 86400</f>
        <v>4.6296296296296298E-4</v>
      </c>
      <c r="L307" s="5">
        <f>33 / 86400</f>
        <v>3.8194444444444446E-4</v>
      </c>
    </row>
    <row r="308" spans="1:12" x14ac:dyDescent="0.25">
      <c r="A308" s="3">
        <v>45710.644131944442</v>
      </c>
      <c r="B308" t="s">
        <v>268</v>
      </c>
      <c r="C308" s="3">
        <v>45710.644363425927</v>
      </c>
      <c r="D308" t="s">
        <v>268</v>
      </c>
      <c r="E308" s="4">
        <v>4.9115959405899049E-3</v>
      </c>
      <c r="F308" s="4">
        <v>349848.60005129332</v>
      </c>
      <c r="G308" s="4">
        <v>349848.60496288928</v>
      </c>
      <c r="H308" s="5">
        <f t="shared" si="2"/>
        <v>0</v>
      </c>
      <c r="I308" t="s">
        <v>156</v>
      </c>
      <c r="J308" t="s">
        <v>124</v>
      </c>
      <c r="K308" s="5">
        <f>20 / 86400</f>
        <v>2.3148148148148149E-4</v>
      </c>
      <c r="L308" s="5">
        <f>16 / 86400</f>
        <v>1.8518518518518518E-4</v>
      </c>
    </row>
    <row r="309" spans="1:12" x14ac:dyDescent="0.25">
      <c r="A309" s="3">
        <v>45710.644548611112</v>
      </c>
      <c r="B309" t="s">
        <v>268</v>
      </c>
      <c r="C309" s="3">
        <v>45710.646053240736</v>
      </c>
      <c r="D309" t="s">
        <v>269</v>
      </c>
      <c r="E309" s="4">
        <v>1.0391321930885316</v>
      </c>
      <c r="F309" s="4">
        <v>349848.62120426598</v>
      </c>
      <c r="G309" s="4">
        <v>349849.66033645906</v>
      </c>
      <c r="H309" s="5">
        <f t="shared" si="2"/>
        <v>0</v>
      </c>
      <c r="I309" t="s">
        <v>220</v>
      </c>
      <c r="J309" t="s">
        <v>167</v>
      </c>
      <c r="K309" s="5">
        <f>130 / 86400</f>
        <v>1.5046296296296296E-3</v>
      </c>
      <c r="L309" s="5">
        <f>40 / 86400</f>
        <v>4.6296296296296298E-4</v>
      </c>
    </row>
    <row r="310" spans="1:12" x14ac:dyDescent="0.25">
      <c r="A310" s="3">
        <v>45710.646516203706</v>
      </c>
      <c r="B310" t="s">
        <v>269</v>
      </c>
      <c r="C310" s="3">
        <v>45710.647905092592</v>
      </c>
      <c r="D310" t="s">
        <v>270</v>
      </c>
      <c r="E310" s="4">
        <v>0.75616613787412645</v>
      </c>
      <c r="F310" s="4">
        <v>349849.72123057808</v>
      </c>
      <c r="G310" s="4">
        <v>349850.47739671596</v>
      </c>
      <c r="H310" s="5">
        <f t="shared" si="2"/>
        <v>0</v>
      </c>
      <c r="I310" t="s">
        <v>215</v>
      </c>
      <c r="J310" t="s">
        <v>129</v>
      </c>
      <c r="K310" s="5">
        <f>120 / 86400</f>
        <v>1.3888888888888889E-3</v>
      </c>
      <c r="L310" s="5">
        <f>20 / 86400</f>
        <v>2.3148148148148149E-4</v>
      </c>
    </row>
    <row r="311" spans="1:12" x14ac:dyDescent="0.25">
      <c r="A311" s="3">
        <v>45710.648136574076</v>
      </c>
      <c r="B311" t="s">
        <v>271</v>
      </c>
      <c r="C311" s="3">
        <v>45710.648831018523</v>
      </c>
      <c r="D311" t="s">
        <v>262</v>
      </c>
      <c r="E311" s="4">
        <v>0.35287086021900177</v>
      </c>
      <c r="F311" s="4">
        <v>349850.58429623843</v>
      </c>
      <c r="G311" s="4">
        <v>349850.93716709863</v>
      </c>
      <c r="H311" s="5">
        <f t="shared" si="2"/>
        <v>0</v>
      </c>
      <c r="I311" t="s">
        <v>190</v>
      </c>
      <c r="J311" t="s">
        <v>135</v>
      </c>
      <c r="K311" s="5">
        <f>60 / 86400</f>
        <v>6.9444444444444447E-4</v>
      </c>
      <c r="L311" s="5">
        <f>20 / 86400</f>
        <v>2.3148148148148149E-4</v>
      </c>
    </row>
    <row r="312" spans="1:12" x14ac:dyDescent="0.25">
      <c r="A312" s="3">
        <v>45710.649062500001</v>
      </c>
      <c r="B312" t="s">
        <v>262</v>
      </c>
      <c r="C312" s="3">
        <v>45710.649293981478</v>
      </c>
      <c r="D312" t="s">
        <v>262</v>
      </c>
      <c r="E312" s="4">
        <v>3.7907010316848757E-3</v>
      </c>
      <c r="F312" s="4">
        <v>349850.94573509129</v>
      </c>
      <c r="G312" s="4">
        <v>349850.94952579233</v>
      </c>
      <c r="H312" s="5">
        <f t="shared" si="2"/>
        <v>0</v>
      </c>
      <c r="I312" t="s">
        <v>124</v>
      </c>
      <c r="J312" t="s">
        <v>124</v>
      </c>
      <c r="K312" s="5">
        <f>20 / 86400</f>
        <v>2.3148148148148149E-4</v>
      </c>
      <c r="L312" s="5">
        <f>20 / 86400</f>
        <v>2.3148148148148149E-4</v>
      </c>
    </row>
    <row r="313" spans="1:12" x14ac:dyDescent="0.25">
      <c r="A313" s="3">
        <v>45710.649525462963</v>
      </c>
      <c r="B313" t="s">
        <v>272</v>
      </c>
      <c r="C313" s="3">
        <v>45710.649756944447</v>
      </c>
      <c r="D313" t="s">
        <v>272</v>
      </c>
      <c r="E313" s="4">
        <v>5.3551456928253175E-3</v>
      </c>
      <c r="F313" s="4">
        <v>349850.97082396812</v>
      </c>
      <c r="G313" s="4">
        <v>349850.97617911379</v>
      </c>
      <c r="H313" s="5">
        <f t="shared" si="2"/>
        <v>0</v>
      </c>
      <c r="I313" t="s">
        <v>113</v>
      </c>
      <c r="J313" t="s">
        <v>124</v>
      </c>
      <c r="K313" s="5">
        <f>20 / 86400</f>
        <v>2.3148148148148149E-4</v>
      </c>
      <c r="L313" s="5">
        <f>21 / 86400</f>
        <v>2.4305555555555555E-4</v>
      </c>
    </row>
    <row r="314" spans="1:12" x14ac:dyDescent="0.25">
      <c r="A314" s="3">
        <v>45710.65</v>
      </c>
      <c r="B314" t="s">
        <v>262</v>
      </c>
      <c r="C314" s="3">
        <v>45710.650578703702</v>
      </c>
      <c r="D314" t="s">
        <v>273</v>
      </c>
      <c r="E314" s="4">
        <v>0.19017348045110702</v>
      </c>
      <c r="F314" s="4">
        <v>349850.99051803735</v>
      </c>
      <c r="G314" s="4">
        <v>349851.18069151777</v>
      </c>
      <c r="H314" s="5">
        <f t="shared" si="2"/>
        <v>0</v>
      </c>
      <c r="I314" t="s">
        <v>30</v>
      </c>
      <c r="J314" t="s">
        <v>26</v>
      </c>
      <c r="K314" s="5">
        <f>50 / 86400</f>
        <v>5.7870370370370367E-4</v>
      </c>
      <c r="L314" s="5">
        <f>31 / 86400</f>
        <v>3.5879629629629629E-4</v>
      </c>
    </row>
    <row r="315" spans="1:12" x14ac:dyDescent="0.25">
      <c r="A315" s="3">
        <v>45710.650937500002</v>
      </c>
      <c r="B315" t="s">
        <v>273</v>
      </c>
      <c r="C315" s="3">
        <v>45710.651400462964</v>
      </c>
      <c r="D315" t="s">
        <v>274</v>
      </c>
      <c r="E315" s="4">
        <v>4.6817863225936888E-2</v>
      </c>
      <c r="F315" s="4">
        <v>349851.19920267921</v>
      </c>
      <c r="G315" s="4">
        <v>349851.24602054246</v>
      </c>
      <c r="H315" s="5">
        <f t="shared" si="2"/>
        <v>0</v>
      </c>
      <c r="I315" t="s">
        <v>156</v>
      </c>
      <c r="J315" t="s">
        <v>75</v>
      </c>
      <c r="K315" s="5">
        <f>40 / 86400</f>
        <v>4.6296296296296298E-4</v>
      </c>
      <c r="L315" s="5">
        <f>60 / 86400</f>
        <v>6.9444444444444447E-4</v>
      </c>
    </row>
    <row r="316" spans="1:12" x14ac:dyDescent="0.25">
      <c r="A316" s="3">
        <v>45710.652094907404</v>
      </c>
      <c r="B316" t="s">
        <v>274</v>
      </c>
      <c r="C316" s="3">
        <v>45710.652557870373</v>
      </c>
      <c r="D316" t="s">
        <v>274</v>
      </c>
      <c r="E316" s="4">
        <v>0.10607290434837341</v>
      </c>
      <c r="F316" s="4">
        <v>349851.28947987477</v>
      </c>
      <c r="G316" s="4">
        <v>349851.39555277914</v>
      </c>
      <c r="H316" s="5">
        <f t="shared" si="2"/>
        <v>0</v>
      </c>
      <c r="I316" t="s">
        <v>31</v>
      </c>
      <c r="J316" t="s">
        <v>168</v>
      </c>
      <c r="K316" s="5">
        <f>40 / 86400</f>
        <v>4.6296296296296298E-4</v>
      </c>
      <c r="L316" s="5">
        <f>40 / 86400</f>
        <v>4.6296296296296298E-4</v>
      </c>
    </row>
    <row r="317" spans="1:12" x14ac:dyDescent="0.25">
      <c r="A317" s="3">
        <v>45710.653020833328</v>
      </c>
      <c r="B317" t="s">
        <v>274</v>
      </c>
      <c r="C317" s="3">
        <v>45710.655104166668</v>
      </c>
      <c r="D317" t="s">
        <v>255</v>
      </c>
      <c r="E317" s="4">
        <v>0.52621147817373271</v>
      </c>
      <c r="F317" s="4">
        <v>349851.42512984714</v>
      </c>
      <c r="G317" s="4">
        <v>349851.9513413253</v>
      </c>
      <c r="H317" s="5">
        <f t="shared" si="2"/>
        <v>0</v>
      </c>
      <c r="I317" t="s">
        <v>234</v>
      </c>
      <c r="J317" t="s">
        <v>61</v>
      </c>
      <c r="K317" s="5">
        <f>180 / 86400</f>
        <v>2.0833333333333333E-3</v>
      </c>
      <c r="L317" s="5">
        <f>160 / 86400</f>
        <v>1.8518518518518519E-3</v>
      </c>
    </row>
    <row r="318" spans="1:12" x14ac:dyDescent="0.25">
      <c r="A318" s="3">
        <v>45710.656956018516</v>
      </c>
      <c r="B318" t="s">
        <v>256</v>
      </c>
      <c r="C318" s="3">
        <v>45710.657187500001</v>
      </c>
      <c r="D318" t="s">
        <v>256</v>
      </c>
      <c r="E318" s="4">
        <v>4.4287797808647156E-3</v>
      </c>
      <c r="F318" s="4">
        <v>349851.99326546572</v>
      </c>
      <c r="G318" s="4">
        <v>349851.99769424554</v>
      </c>
      <c r="H318" s="5">
        <f t="shared" si="2"/>
        <v>0</v>
      </c>
      <c r="I318" t="s">
        <v>143</v>
      </c>
      <c r="J318" t="s">
        <v>124</v>
      </c>
      <c r="K318" s="5">
        <f>20 / 86400</f>
        <v>2.3148148148148149E-4</v>
      </c>
      <c r="L318" s="5">
        <f>20 / 86400</f>
        <v>2.3148148148148149E-4</v>
      </c>
    </row>
    <row r="319" spans="1:12" x14ac:dyDescent="0.25">
      <c r="A319" s="3">
        <v>45710.657418981486</v>
      </c>
      <c r="B319" t="s">
        <v>256</v>
      </c>
      <c r="C319" s="3">
        <v>45710.657650462963</v>
      </c>
      <c r="D319" t="s">
        <v>256</v>
      </c>
      <c r="E319" s="4">
        <v>1.4314093589782714E-3</v>
      </c>
      <c r="F319" s="4">
        <v>349852.00056690519</v>
      </c>
      <c r="G319" s="4">
        <v>349852.00199831458</v>
      </c>
      <c r="H319" s="5">
        <f t="shared" si="2"/>
        <v>0</v>
      </c>
      <c r="I319" t="s">
        <v>124</v>
      </c>
      <c r="J319" t="s">
        <v>77</v>
      </c>
      <c r="K319" s="5">
        <f>20 / 86400</f>
        <v>2.3148148148148149E-4</v>
      </c>
      <c r="L319" s="5">
        <f>80 / 86400</f>
        <v>9.2592592592592596E-4</v>
      </c>
    </row>
    <row r="320" spans="1:12" x14ac:dyDescent="0.25">
      <c r="A320" s="3">
        <v>45710.658576388887</v>
      </c>
      <c r="B320" t="s">
        <v>256</v>
      </c>
      <c r="C320" s="3">
        <v>45710.658831018518</v>
      </c>
      <c r="D320" t="s">
        <v>256</v>
      </c>
      <c r="E320" s="4">
        <v>1.3158164381980897E-2</v>
      </c>
      <c r="F320" s="4">
        <v>349852.01734595059</v>
      </c>
      <c r="G320" s="4">
        <v>349852.03050411498</v>
      </c>
      <c r="H320" s="5">
        <f t="shared" si="2"/>
        <v>0</v>
      </c>
      <c r="I320" t="s">
        <v>31</v>
      </c>
      <c r="J320" t="s">
        <v>113</v>
      </c>
      <c r="K320" s="5">
        <f>22 / 86400</f>
        <v>2.5462962962962961E-4</v>
      </c>
      <c r="L320" s="5">
        <f>50 / 86400</f>
        <v>5.7870370370370367E-4</v>
      </c>
    </row>
    <row r="321" spans="1:12" x14ac:dyDescent="0.25">
      <c r="A321" s="3">
        <v>45710.659409722226</v>
      </c>
      <c r="B321" t="s">
        <v>255</v>
      </c>
      <c r="C321" s="3">
        <v>45710.660011574073</v>
      </c>
      <c r="D321" t="s">
        <v>253</v>
      </c>
      <c r="E321" s="4">
        <v>9.156996411085129E-2</v>
      </c>
      <c r="F321" s="4">
        <v>349852.06775131956</v>
      </c>
      <c r="G321" s="4">
        <v>349852.15932128363</v>
      </c>
      <c r="H321" s="5">
        <f t="shared" si="2"/>
        <v>0</v>
      </c>
      <c r="I321" t="s">
        <v>45</v>
      </c>
      <c r="J321" t="s">
        <v>31</v>
      </c>
      <c r="K321" s="5">
        <f>52 / 86400</f>
        <v>6.018518518518519E-4</v>
      </c>
      <c r="L321" s="5">
        <f>36 / 86400</f>
        <v>4.1666666666666669E-4</v>
      </c>
    </row>
    <row r="322" spans="1:12" x14ac:dyDescent="0.25">
      <c r="A322" s="3">
        <v>45710.660428240742</v>
      </c>
      <c r="B322" t="s">
        <v>250</v>
      </c>
      <c r="C322" s="3">
        <v>45710.661192129628</v>
      </c>
      <c r="D322" t="s">
        <v>251</v>
      </c>
      <c r="E322" s="4">
        <v>0.1299649333357811</v>
      </c>
      <c r="F322" s="4">
        <v>349852.18522271555</v>
      </c>
      <c r="G322" s="4">
        <v>349852.31518764887</v>
      </c>
      <c r="H322" s="5">
        <f t="shared" si="2"/>
        <v>0</v>
      </c>
      <c r="I322" t="s">
        <v>132</v>
      </c>
      <c r="J322" t="s">
        <v>140</v>
      </c>
      <c r="K322" s="5">
        <f>66 / 86400</f>
        <v>7.6388888888888893E-4</v>
      </c>
      <c r="L322" s="5">
        <f>20 / 86400</f>
        <v>2.3148148148148149E-4</v>
      </c>
    </row>
    <row r="323" spans="1:12" x14ac:dyDescent="0.25">
      <c r="A323" s="3">
        <v>45710.661423611113</v>
      </c>
      <c r="B323" t="s">
        <v>275</v>
      </c>
      <c r="C323" s="3">
        <v>45710.661655092597</v>
      </c>
      <c r="D323" t="s">
        <v>275</v>
      </c>
      <c r="E323" s="4">
        <v>2.844746059179306E-2</v>
      </c>
      <c r="F323" s="4">
        <v>349852.33565131802</v>
      </c>
      <c r="G323" s="4">
        <v>349852.36409877858</v>
      </c>
      <c r="H323" s="5">
        <f t="shared" si="2"/>
        <v>0</v>
      </c>
      <c r="I323" t="s">
        <v>150</v>
      </c>
      <c r="J323" t="s">
        <v>156</v>
      </c>
      <c r="K323" s="5">
        <f>20 / 86400</f>
        <v>2.3148148148148149E-4</v>
      </c>
      <c r="L323" s="5">
        <f>20 / 86400</f>
        <v>2.3148148148148149E-4</v>
      </c>
    </row>
    <row r="324" spans="1:12" x14ac:dyDescent="0.25">
      <c r="A324" s="3">
        <v>45710.661886574075</v>
      </c>
      <c r="B324" t="s">
        <v>275</v>
      </c>
      <c r="C324" s="3">
        <v>45710.664976851855</v>
      </c>
      <c r="D324" t="s">
        <v>247</v>
      </c>
      <c r="E324" s="4">
        <v>0.86960192310810092</v>
      </c>
      <c r="F324" s="4">
        <v>349852.36871947959</v>
      </c>
      <c r="G324" s="4">
        <v>349853.23832140275</v>
      </c>
      <c r="H324" s="5">
        <f t="shared" si="2"/>
        <v>0</v>
      </c>
      <c r="I324" t="s">
        <v>192</v>
      </c>
      <c r="J324" t="s">
        <v>139</v>
      </c>
      <c r="K324" s="5">
        <f>267 / 86400</f>
        <v>3.0902777777777777E-3</v>
      </c>
      <c r="L324" s="5">
        <f>40 / 86400</f>
        <v>4.6296296296296298E-4</v>
      </c>
    </row>
    <row r="325" spans="1:12" x14ac:dyDescent="0.25">
      <c r="A325" s="3">
        <v>45710.665439814809</v>
      </c>
      <c r="B325" t="s">
        <v>247</v>
      </c>
      <c r="C325" s="3">
        <v>45710.66678240741</v>
      </c>
      <c r="D325" t="s">
        <v>276</v>
      </c>
      <c r="E325" s="4">
        <v>0.53124178677797318</v>
      </c>
      <c r="F325" s="4">
        <v>349853.24688997277</v>
      </c>
      <c r="G325" s="4">
        <v>349853.77813175955</v>
      </c>
      <c r="H325" s="5">
        <f t="shared" si="2"/>
        <v>0</v>
      </c>
      <c r="I325" t="s">
        <v>56</v>
      </c>
      <c r="J325" t="s">
        <v>33</v>
      </c>
      <c r="K325" s="5">
        <f>116 / 86400</f>
        <v>1.3425925925925925E-3</v>
      </c>
      <c r="L325" s="5">
        <f>11 / 86400</f>
        <v>1.273148148148148E-4</v>
      </c>
    </row>
    <row r="326" spans="1:12" x14ac:dyDescent="0.25">
      <c r="A326" s="3">
        <v>45710.666909722218</v>
      </c>
      <c r="B326" t="s">
        <v>276</v>
      </c>
      <c r="C326" s="3">
        <v>45710.670694444445</v>
      </c>
      <c r="D326" t="s">
        <v>277</v>
      </c>
      <c r="E326" s="4">
        <v>2.4977490056157112</v>
      </c>
      <c r="F326" s="4">
        <v>349853.78265019588</v>
      </c>
      <c r="G326" s="4">
        <v>349856.2803992015</v>
      </c>
      <c r="H326" s="5">
        <f t="shared" si="2"/>
        <v>0</v>
      </c>
      <c r="I326" t="s">
        <v>157</v>
      </c>
      <c r="J326" t="s">
        <v>30</v>
      </c>
      <c r="K326" s="5">
        <f>327 / 86400</f>
        <v>3.7847222222222223E-3</v>
      </c>
      <c r="L326" s="5">
        <f>20 / 86400</f>
        <v>2.3148148148148149E-4</v>
      </c>
    </row>
    <row r="327" spans="1:12" x14ac:dyDescent="0.25">
      <c r="A327" s="3">
        <v>45710.670925925922</v>
      </c>
      <c r="B327" t="s">
        <v>278</v>
      </c>
      <c r="C327" s="3">
        <v>45710.671851851846</v>
      </c>
      <c r="D327" t="s">
        <v>279</v>
      </c>
      <c r="E327" s="4">
        <v>0.59642674744129176</v>
      </c>
      <c r="F327" s="4">
        <v>349856.31868365291</v>
      </c>
      <c r="G327" s="4">
        <v>349856.9151104003</v>
      </c>
      <c r="H327" s="5">
        <f t="shared" si="2"/>
        <v>0</v>
      </c>
      <c r="I327" t="s">
        <v>196</v>
      </c>
      <c r="J327" t="s">
        <v>30</v>
      </c>
      <c r="K327" s="5">
        <f>80 / 86400</f>
        <v>9.2592592592592596E-4</v>
      </c>
      <c r="L327" s="5">
        <f>60 / 86400</f>
        <v>6.9444444444444447E-4</v>
      </c>
    </row>
    <row r="328" spans="1:12" x14ac:dyDescent="0.25">
      <c r="A328" s="3">
        <v>45710.672546296293</v>
      </c>
      <c r="B328" t="s">
        <v>280</v>
      </c>
      <c r="C328" s="3">
        <v>45710.672777777778</v>
      </c>
      <c r="D328" t="s">
        <v>280</v>
      </c>
      <c r="E328" s="4">
        <v>2.9313025474548338E-3</v>
      </c>
      <c r="F328" s="4">
        <v>349857.01379536599</v>
      </c>
      <c r="G328" s="4">
        <v>349857.01672666852</v>
      </c>
      <c r="H328" s="5">
        <f t="shared" si="2"/>
        <v>0</v>
      </c>
      <c r="I328" t="s">
        <v>113</v>
      </c>
      <c r="J328" t="s">
        <v>124</v>
      </c>
      <c r="K328" s="5">
        <f>20 / 86400</f>
        <v>2.3148148148148149E-4</v>
      </c>
      <c r="L328" s="5">
        <f>34 / 86400</f>
        <v>3.9351851851851852E-4</v>
      </c>
    </row>
    <row r="329" spans="1:12" x14ac:dyDescent="0.25">
      <c r="A329" s="3">
        <v>45710.673171296294</v>
      </c>
      <c r="B329" t="s">
        <v>279</v>
      </c>
      <c r="C329" s="3">
        <v>45710.67386574074</v>
      </c>
      <c r="D329" t="s">
        <v>117</v>
      </c>
      <c r="E329" s="4">
        <v>0.13674894678592681</v>
      </c>
      <c r="F329" s="4">
        <v>349857.02542868437</v>
      </c>
      <c r="G329" s="4">
        <v>349857.16217763117</v>
      </c>
      <c r="H329" s="5">
        <f t="shared" si="2"/>
        <v>0</v>
      </c>
      <c r="I329" t="s">
        <v>30</v>
      </c>
      <c r="J329" t="s">
        <v>150</v>
      </c>
      <c r="K329" s="5">
        <f>60 / 86400</f>
        <v>6.9444444444444447E-4</v>
      </c>
      <c r="L329" s="5">
        <f>40 / 86400</f>
        <v>4.6296296296296298E-4</v>
      </c>
    </row>
    <row r="330" spans="1:12" x14ac:dyDescent="0.25">
      <c r="A330" s="3">
        <v>45710.674328703702</v>
      </c>
      <c r="B330" t="s">
        <v>117</v>
      </c>
      <c r="C330" s="3">
        <v>45710.677511574075</v>
      </c>
      <c r="D330" t="s">
        <v>281</v>
      </c>
      <c r="E330" s="4">
        <v>1.4799944688677789</v>
      </c>
      <c r="F330" s="4">
        <v>349857.18280548236</v>
      </c>
      <c r="G330" s="4">
        <v>349858.66279995121</v>
      </c>
      <c r="H330" s="5">
        <f t="shared" si="2"/>
        <v>0</v>
      </c>
      <c r="I330" t="s">
        <v>244</v>
      </c>
      <c r="J330" t="s">
        <v>80</v>
      </c>
      <c r="K330" s="5">
        <f>275 / 86400</f>
        <v>3.1828703703703702E-3</v>
      </c>
      <c r="L330" s="5">
        <f>2 / 86400</f>
        <v>2.3148148148148147E-5</v>
      </c>
    </row>
    <row r="331" spans="1:12" x14ac:dyDescent="0.25">
      <c r="A331" s="3">
        <v>45710.677534722221</v>
      </c>
      <c r="B331" t="s">
        <v>281</v>
      </c>
      <c r="C331" s="3">
        <v>45710.680381944447</v>
      </c>
      <c r="D331" t="s">
        <v>282</v>
      </c>
      <c r="E331" s="4">
        <v>1.0336069166064263</v>
      </c>
      <c r="F331" s="4">
        <v>349858.66601178568</v>
      </c>
      <c r="G331" s="4">
        <v>349859.69961870229</v>
      </c>
      <c r="H331" s="5">
        <f t="shared" si="2"/>
        <v>0</v>
      </c>
      <c r="I331" t="s">
        <v>188</v>
      </c>
      <c r="J331" t="s">
        <v>42</v>
      </c>
      <c r="K331" s="5">
        <f>246 / 86400</f>
        <v>2.8472222222222223E-3</v>
      </c>
      <c r="L331" s="5">
        <f>40 / 86400</f>
        <v>4.6296296296296298E-4</v>
      </c>
    </row>
    <row r="332" spans="1:12" x14ac:dyDescent="0.25">
      <c r="A332" s="3">
        <v>45710.680844907409</v>
      </c>
      <c r="B332" t="s">
        <v>282</v>
      </c>
      <c r="C332" s="3">
        <v>45710.681863425925</v>
      </c>
      <c r="D332" t="s">
        <v>283</v>
      </c>
      <c r="E332" s="4">
        <v>0.57774505811929699</v>
      </c>
      <c r="F332" s="4">
        <v>349859.70804361469</v>
      </c>
      <c r="G332" s="4">
        <v>349860.2857886728</v>
      </c>
      <c r="H332" s="5">
        <f t="shared" si="2"/>
        <v>0</v>
      </c>
      <c r="I332" t="s">
        <v>234</v>
      </c>
      <c r="J332" t="s">
        <v>137</v>
      </c>
      <c r="K332" s="5">
        <f>88 / 86400</f>
        <v>1.0185185185185184E-3</v>
      </c>
      <c r="L332" s="5">
        <f>14 / 86400</f>
        <v>1.6203703703703703E-4</v>
      </c>
    </row>
    <row r="333" spans="1:12" x14ac:dyDescent="0.25">
      <c r="A333" s="3">
        <v>45710.682025462964</v>
      </c>
      <c r="B333" t="s">
        <v>283</v>
      </c>
      <c r="C333" s="3">
        <v>45710.682488425926</v>
      </c>
      <c r="D333" t="s">
        <v>233</v>
      </c>
      <c r="E333" s="4">
        <v>0.25257157617807391</v>
      </c>
      <c r="F333" s="4">
        <v>349860.29197672982</v>
      </c>
      <c r="G333" s="4">
        <v>349860.54454830597</v>
      </c>
      <c r="H333" s="5">
        <f t="shared" si="2"/>
        <v>0</v>
      </c>
      <c r="I333" t="s">
        <v>186</v>
      </c>
      <c r="J333" t="s">
        <v>129</v>
      </c>
      <c r="K333" s="5">
        <f>40 / 86400</f>
        <v>4.6296296296296298E-4</v>
      </c>
      <c r="L333" s="5">
        <f>20 / 86400</f>
        <v>2.3148148148148149E-4</v>
      </c>
    </row>
    <row r="334" spans="1:12" x14ac:dyDescent="0.25">
      <c r="A334" s="3">
        <v>45710.682719907403</v>
      </c>
      <c r="B334" t="s">
        <v>233</v>
      </c>
      <c r="C334" s="3">
        <v>45710.684629629628</v>
      </c>
      <c r="D334" t="s">
        <v>78</v>
      </c>
      <c r="E334" s="4">
        <v>0.93274374824762341</v>
      </c>
      <c r="F334" s="4">
        <v>349860.66696272459</v>
      </c>
      <c r="G334" s="4">
        <v>349861.59970647283</v>
      </c>
      <c r="H334" s="5">
        <f t="shared" si="2"/>
        <v>0</v>
      </c>
      <c r="I334" t="s">
        <v>184</v>
      </c>
      <c r="J334" t="s">
        <v>64</v>
      </c>
      <c r="K334" s="5">
        <f>165 / 86400</f>
        <v>1.9097222222222222E-3</v>
      </c>
      <c r="L334" s="5">
        <f>20 / 86400</f>
        <v>2.3148148148148149E-4</v>
      </c>
    </row>
    <row r="335" spans="1:12" x14ac:dyDescent="0.25">
      <c r="A335" s="3">
        <v>45710.684861111113</v>
      </c>
      <c r="B335" t="s">
        <v>284</v>
      </c>
      <c r="C335" s="3">
        <v>45710.686249999999</v>
      </c>
      <c r="D335" t="s">
        <v>285</v>
      </c>
      <c r="E335" s="4">
        <v>0.77504518860578542</v>
      </c>
      <c r="F335" s="4">
        <v>349861.64668161754</v>
      </c>
      <c r="G335" s="4">
        <v>349862.42172680615</v>
      </c>
      <c r="H335" s="5">
        <f t="shared" si="2"/>
        <v>0</v>
      </c>
      <c r="I335" t="s">
        <v>215</v>
      </c>
      <c r="J335" t="s">
        <v>129</v>
      </c>
      <c r="K335" s="5">
        <f>120 / 86400</f>
        <v>1.3888888888888889E-3</v>
      </c>
      <c r="L335" s="5">
        <f>20 / 86400</f>
        <v>2.3148148148148149E-4</v>
      </c>
    </row>
    <row r="336" spans="1:12" x14ac:dyDescent="0.25">
      <c r="A336" s="3">
        <v>45710.686481481476</v>
      </c>
      <c r="B336" t="s">
        <v>285</v>
      </c>
      <c r="C336" s="3">
        <v>45710.687175925923</v>
      </c>
      <c r="D336" t="s">
        <v>163</v>
      </c>
      <c r="E336" s="4">
        <v>0.49899243032932283</v>
      </c>
      <c r="F336" s="4">
        <v>349862.53801710159</v>
      </c>
      <c r="G336" s="4">
        <v>349863.03700953192</v>
      </c>
      <c r="H336" s="5">
        <f t="shared" si="2"/>
        <v>0</v>
      </c>
      <c r="I336" t="s">
        <v>286</v>
      </c>
      <c r="J336" t="s">
        <v>188</v>
      </c>
      <c r="K336" s="5">
        <f>60 / 86400</f>
        <v>6.9444444444444447E-4</v>
      </c>
      <c r="L336" s="5">
        <f>20 / 86400</f>
        <v>2.3148148148148149E-4</v>
      </c>
    </row>
    <row r="337" spans="1:12" x14ac:dyDescent="0.25">
      <c r="A337" s="3">
        <v>45710.687407407408</v>
      </c>
      <c r="B337" t="s">
        <v>163</v>
      </c>
      <c r="C337" s="3">
        <v>45710.68787037037</v>
      </c>
      <c r="D337" t="s">
        <v>163</v>
      </c>
      <c r="E337" s="4">
        <v>0.27786220908164977</v>
      </c>
      <c r="F337" s="4">
        <v>349863.11883273965</v>
      </c>
      <c r="G337" s="4">
        <v>349863.39669494872</v>
      </c>
      <c r="H337" s="5">
        <f t="shared" si="2"/>
        <v>0</v>
      </c>
      <c r="I337" t="s">
        <v>186</v>
      </c>
      <c r="J337" t="s">
        <v>131</v>
      </c>
      <c r="K337" s="5">
        <f>40 / 86400</f>
        <v>4.6296296296296298E-4</v>
      </c>
      <c r="L337" s="5">
        <f>40 / 86400</f>
        <v>4.6296296296296298E-4</v>
      </c>
    </row>
    <row r="338" spans="1:12" x14ac:dyDescent="0.25">
      <c r="A338" s="3">
        <v>45710.688333333332</v>
      </c>
      <c r="B338" t="s">
        <v>163</v>
      </c>
      <c r="C338" s="3">
        <v>45710.688564814816</v>
      </c>
      <c r="D338" t="s">
        <v>163</v>
      </c>
      <c r="E338" s="4">
        <v>6.9057314336299899E-2</v>
      </c>
      <c r="F338" s="4">
        <v>349863.54590808583</v>
      </c>
      <c r="G338" s="4">
        <v>349863.61496540013</v>
      </c>
      <c r="H338" s="5">
        <f t="shared" si="2"/>
        <v>0</v>
      </c>
      <c r="I338" t="s">
        <v>177</v>
      </c>
      <c r="J338" t="s">
        <v>139</v>
      </c>
      <c r="K338" s="5">
        <f>20 / 86400</f>
        <v>2.3148148148148149E-4</v>
      </c>
      <c r="L338" s="5">
        <f>15 / 86400</f>
        <v>1.7361111111111112E-4</v>
      </c>
    </row>
    <row r="339" spans="1:12" x14ac:dyDescent="0.25">
      <c r="A339" s="3">
        <v>45710.688738425924</v>
      </c>
      <c r="B339" t="s">
        <v>163</v>
      </c>
      <c r="C339" s="3">
        <v>45710.691284722227</v>
      </c>
      <c r="D339" t="s">
        <v>163</v>
      </c>
      <c r="E339" s="4">
        <v>1.0064468337297439</v>
      </c>
      <c r="F339" s="4">
        <v>349863.62078012223</v>
      </c>
      <c r="G339" s="4">
        <v>349864.62722695596</v>
      </c>
      <c r="H339" s="5">
        <f t="shared" si="2"/>
        <v>0</v>
      </c>
      <c r="I339" t="s">
        <v>234</v>
      </c>
      <c r="J339" t="s">
        <v>33</v>
      </c>
      <c r="K339" s="5">
        <f>220 / 86400</f>
        <v>2.5462962962962965E-3</v>
      </c>
      <c r="L339" s="5">
        <f>20 / 86400</f>
        <v>2.3148148148148149E-4</v>
      </c>
    </row>
    <row r="340" spans="1:12" x14ac:dyDescent="0.25">
      <c r="A340" s="3">
        <v>45710.691516203704</v>
      </c>
      <c r="B340" t="s">
        <v>164</v>
      </c>
      <c r="C340" s="3">
        <v>45710.693379629629</v>
      </c>
      <c r="D340" t="s">
        <v>287</v>
      </c>
      <c r="E340" s="4">
        <v>0.4705023658871651</v>
      </c>
      <c r="F340" s="4">
        <v>349864.63221148064</v>
      </c>
      <c r="G340" s="4">
        <v>349865.10271384649</v>
      </c>
      <c r="H340" s="5">
        <f t="shared" si="2"/>
        <v>0</v>
      </c>
      <c r="I340" t="s">
        <v>30</v>
      </c>
      <c r="J340" t="s">
        <v>61</v>
      </c>
      <c r="K340" s="5">
        <f>161 / 86400</f>
        <v>1.8634259259259259E-3</v>
      </c>
      <c r="L340" s="5">
        <f>29 / 86400</f>
        <v>3.3564814814814812E-4</v>
      </c>
    </row>
    <row r="341" spans="1:12" x14ac:dyDescent="0.25">
      <c r="A341" s="3">
        <v>45710.693715277783</v>
      </c>
      <c r="B341" t="s">
        <v>287</v>
      </c>
      <c r="C341" s="3">
        <v>45710.694733796292</v>
      </c>
      <c r="D341" t="s">
        <v>227</v>
      </c>
      <c r="E341" s="4">
        <v>0.26288363802433012</v>
      </c>
      <c r="F341" s="4">
        <v>349865.11214419513</v>
      </c>
      <c r="G341" s="4">
        <v>349865.37502783316</v>
      </c>
      <c r="H341" s="5">
        <f t="shared" si="2"/>
        <v>0</v>
      </c>
      <c r="I341" t="s">
        <v>37</v>
      </c>
      <c r="J341" t="s">
        <v>61</v>
      </c>
      <c r="K341" s="5">
        <f>88 / 86400</f>
        <v>1.0185185185185184E-3</v>
      </c>
      <c r="L341" s="5">
        <f>2 / 86400</f>
        <v>2.3148148148148147E-5</v>
      </c>
    </row>
    <row r="342" spans="1:12" x14ac:dyDescent="0.25">
      <c r="A342" s="3">
        <v>45710.694756944446</v>
      </c>
      <c r="B342" t="s">
        <v>227</v>
      </c>
      <c r="C342" s="3">
        <v>45710.694988425923</v>
      </c>
      <c r="D342" t="s">
        <v>227</v>
      </c>
      <c r="E342" s="4">
        <v>1.4909378826618195E-2</v>
      </c>
      <c r="F342" s="4">
        <v>349865.37906225031</v>
      </c>
      <c r="G342" s="4">
        <v>349865.39397162915</v>
      </c>
      <c r="H342" s="5">
        <f t="shared" si="2"/>
        <v>0</v>
      </c>
      <c r="I342" t="s">
        <v>156</v>
      </c>
      <c r="J342" t="s">
        <v>143</v>
      </c>
      <c r="K342" s="5">
        <f>20 / 86400</f>
        <v>2.3148148148148149E-4</v>
      </c>
      <c r="L342" s="5">
        <f>20 / 86400</f>
        <v>2.3148148148148149E-4</v>
      </c>
    </row>
    <row r="343" spans="1:12" x14ac:dyDescent="0.25">
      <c r="A343" s="3">
        <v>45710.695219907408</v>
      </c>
      <c r="B343" t="s">
        <v>227</v>
      </c>
      <c r="C343" s="3">
        <v>45710.695451388892</v>
      </c>
      <c r="D343" t="s">
        <v>288</v>
      </c>
      <c r="E343" s="4">
        <v>1.2785224497318268E-2</v>
      </c>
      <c r="F343" s="4">
        <v>349865.40846372559</v>
      </c>
      <c r="G343" s="4">
        <v>349865.42124895006</v>
      </c>
      <c r="H343" s="5">
        <f t="shared" si="2"/>
        <v>0</v>
      </c>
      <c r="I343" t="s">
        <v>124</v>
      </c>
      <c r="J343" t="s">
        <v>113</v>
      </c>
      <c r="K343" s="5">
        <f>20 / 86400</f>
        <v>2.3148148148148149E-4</v>
      </c>
      <c r="L343" s="5">
        <f>20 / 86400</f>
        <v>2.3148148148148149E-4</v>
      </c>
    </row>
    <row r="344" spans="1:12" x14ac:dyDescent="0.25">
      <c r="A344" s="3">
        <v>45710.69568287037</v>
      </c>
      <c r="B344" t="s">
        <v>288</v>
      </c>
      <c r="C344" s="3">
        <v>45710.69604166667</v>
      </c>
      <c r="D344" t="s">
        <v>289</v>
      </c>
      <c r="E344" s="4">
        <v>2.488119661808014E-2</v>
      </c>
      <c r="F344" s="4">
        <v>349865.42480377253</v>
      </c>
      <c r="G344" s="4">
        <v>349865.44968496915</v>
      </c>
      <c r="H344" s="5">
        <f t="shared" si="2"/>
        <v>0</v>
      </c>
      <c r="I344" t="s">
        <v>156</v>
      </c>
      <c r="J344" t="s">
        <v>143</v>
      </c>
      <c r="K344" s="5">
        <f>31 / 86400</f>
        <v>3.5879629629629629E-4</v>
      </c>
      <c r="L344" s="5">
        <f>20 / 86400</f>
        <v>2.3148148148148149E-4</v>
      </c>
    </row>
    <row r="345" spans="1:12" x14ac:dyDescent="0.25">
      <c r="A345" s="3">
        <v>45710.696273148147</v>
      </c>
      <c r="B345" t="s">
        <v>289</v>
      </c>
      <c r="C345" s="3">
        <v>45710.696504629625</v>
      </c>
      <c r="D345" t="s">
        <v>290</v>
      </c>
      <c r="E345" s="4">
        <v>4.8034145236015317E-3</v>
      </c>
      <c r="F345" s="4">
        <v>349865.45401329931</v>
      </c>
      <c r="G345" s="4">
        <v>349865.45881671383</v>
      </c>
      <c r="H345" s="5">
        <f t="shared" si="2"/>
        <v>0</v>
      </c>
      <c r="I345" t="s">
        <v>156</v>
      </c>
      <c r="J345" t="s">
        <v>124</v>
      </c>
      <c r="K345" s="5">
        <f>20 / 86400</f>
        <v>2.3148148148148149E-4</v>
      </c>
      <c r="L345" s="5">
        <f>20 / 86400</f>
        <v>2.3148148148148149E-4</v>
      </c>
    </row>
    <row r="346" spans="1:12" x14ac:dyDescent="0.25">
      <c r="A346" s="3">
        <v>45710.696736111116</v>
      </c>
      <c r="B346" t="s">
        <v>289</v>
      </c>
      <c r="C346" s="3">
        <v>45710.69798611111</v>
      </c>
      <c r="D346" t="s">
        <v>291</v>
      </c>
      <c r="E346" s="4">
        <v>0.17599729305505751</v>
      </c>
      <c r="F346" s="4">
        <v>349865.47688907752</v>
      </c>
      <c r="G346" s="4">
        <v>349865.6528863706</v>
      </c>
      <c r="H346" s="5">
        <f t="shared" si="2"/>
        <v>0</v>
      </c>
      <c r="I346" t="s">
        <v>132</v>
      </c>
      <c r="J346" t="s">
        <v>31</v>
      </c>
      <c r="K346" s="5">
        <f>108 / 86400</f>
        <v>1.25E-3</v>
      </c>
      <c r="L346" s="5">
        <f>40 / 86400</f>
        <v>4.6296296296296298E-4</v>
      </c>
    </row>
    <row r="347" spans="1:12" x14ac:dyDescent="0.25">
      <c r="A347" s="3">
        <v>45710.698449074072</v>
      </c>
      <c r="B347" t="s">
        <v>115</v>
      </c>
      <c r="C347" s="3">
        <v>45710.698912037042</v>
      </c>
      <c r="D347" t="s">
        <v>148</v>
      </c>
      <c r="E347" s="4">
        <v>0.13458150368928909</v>
      </c>
      <c r="F347" s="4">
        <v>349865.79403759522</v>
      </c>
      <c r="G347" s="4">
        <v>349865.92861909891</v>
      </c>
      <c r="H347" s="5">
        <f t="shared" si="2"/>
        <v>0</v>
      </c>
      <c r="I347" t="s">
        <v>131</v>
      </c>
      <c r="J347" t="s">
        <v>139</v>
      </c>
      <c r="K347" s="5">
        <f>40 / 86400</f>
        <v>4.6296296296296298E-4</v>
      </c>
      <c r="L347" s="5">
        <f>120 / 86400</f>
        <v>1.3888888888888889E-3</v>
      </c>
    </row>
    <row r="348" spans="1:12" x14ac:dyDescent="0.25">
      <c r="A348" s="3">
        <v>45710.700300925921</v>
      </c>
      <c r="B348" t="s">
        <v>148</v>
      </c>
      <c r="C348" s="3">
        <v>45710.700752314813</v>
      </c>
      <c r="D348" t="s">
        <v>292</v>
      </c>
      <c r="E348" s="4">
        <v>5.1889065325260164E-2</v>
      </c>
      <c r="F348" s="4">
        <v>349865.94776831043</v>
      </c>
      <c r="G348" s="4">
        <v>349865.99965737574</v>
      </c>
      <c r="H348" s="5">
        <f t="shared" si="2"/>
        <v>0</v>
      </c>
      <c r="I348" t="s">
        <v>156</v>
      </c>
      <c r="J348" t="s">
        <v>156</v>
      </c>
      <c r="K348" s="5">
        <f>39 / 86400</f>
        <v>4.5138888888888887E-4</v>
      </c>
      <c r="L348" s="5">
        <f>120 / 86400</f>
        <v>1.3888888888888889E-3</v>
      </c>
    </row>
    <row r="349" spans="1:12" x14ac:dyDescent="0.25">
      <c r="A349" s="3">
        <v>45710.702141203699</v>
      </c>
      <c r="B349" t="s">
        <v>292</v>
      </c>
      <c r="C349" s="3">
        <v>45710.702372685184</v>
      </c>
      <c r="D349" t="s">
        <v>292</v>
      </c>
      <c r="E349" s="4">
        <v>9.3455094099044803E-4</v>
      </c>
      <c r="F349" s="4">
        <v>349866.02181842912</v>
      </c>
      <c r="G349" s="4">
        <v>349866.02275298006</v>
      </c>
      <c r="H349" s="5">
        <f t="shared" si="2"/>
        <v>0</v>
      </c>
      <c r="I349" t="s">
        <v>124</v>
      </c>
      <c r="J349" t="s">
        <v>77</v>
      </c>
      <c r="K349" s="5">
        <f>20 / 86400</f>
        <v>2.3148148148148149E-4</v>
      </c>
      <c r="L349" s="5">
        <f>260 / 86400</f>
        <v>3.0092592592592593E-3</v>
      </c>
    </row>
    <row r="350" spans="1:12" x14ac:dyDescent="0.25">
      <c r="A350" s="3">
        <v>45710.705381944441</v>
      </c>
      <c r="B350" t="s">
        <v>292</v>
      </c>
      <c r="C350" s="3">
        <v>45710.705613425926</v>
      </c>
      <c r="D350" t="s">
        <v>292</v>
      </c>
      <c r="E350" s="4">
        <v>1.6461665630340575E-2</v>
      </c>
      <c r="F350" s="4">
        <v>349866.10647332435</v>
      </c>
      <c r="G350" s="4">
        <v>349866.12293498998</v>
      </c>
      <c r="H350" s="5">
        <f t="shared" si="2"/>
        <v>0</v>
      </c>
      <c r="I350" t="s">
        <v>124</v>
      </c>
      <c r="J350" t="s">
        <v>143</v>
      </c>
      <c r="K350" s="5">
        <f>20 / 86400</f>
        <v>2.3148148148148149E-4</v>
      </c>
      <c r="L350" s="5">
        <f>10 / 86400</f>
        <v>1.1574074074074075E-4</v>
      </c>
    </row>
    <row r="351" spans="1:12" x14ac:dyDescent="0.25">
      <c r="A351" s="3">
        <v>45710.705729166672</v>
      </c>
      <c r="B351" t="s">
        <v>292</v>
      </c>
      <c r="C351" s="3">
        <v>45710.706192129626</v>
      </c>
      <c r="D351" t="s">
        <v>293</v>
      </c>
      <c r="E351" s="4">
        <v>0.16998856830596923</v>
      </c>
      <c r="F351" s="4">
        <v>349866.13043546746</v>
      </c>
      <c r="G351" s="4">
        <v>349866.30042403581</v>
      </c>
      <c r="H351" s="5">
        <f t="shared" si="2"/>
        <v>0</v>
      </c>
      <c r="I351" t="s">
        <v>123</v>
      </c>
      <c r="J351" t="s">
        <v>42</v>
      </c>
      <c r="K351" s="5">
        <f>40 / 86400</f>
        <v>4.6296296296296298E-4</v>
      </c>
      <c r="L351" s="5">
        <f>17 / 86400</f>
        <v>1.9675925925925926E-4</v>
      </c>
    </row>
    <row r="352" spans="1:12" x14ac:dyDescent="0.25">
      <c r="A352" s="3">
        <v>45710.706388888888</v>
      </c>
      <c r="B352" t="s">
        <v>293</v>
      </c>
      <c r="C352" s="3">
        <v>45710.707314814819</v>
      </c>
      <c r="D352" t="s">
        <v>294</v>
      </c>
      <c r="E352" s="4">
        <v>0.2971054548025131</v>
      </c>
      <c r="F352" s="4">
        <v>349866.30778582522</v>
      </c>
      <c r="G352" s="4">
        <v>349866.60489128</v>
      </c>
      <c r="H352" s="5">
        <f t="shared" si="2"/>
        <v>0</v>
      </c>
      <c r="I352" t="s">
        <v>80</v>
      </c>
      <c r="J352" t="s">
        <v>45</v>
      </c>
      <c r="K352" s="5">
        <f>80 / 86400</f>
        <v>9.2592592592592596E-4</v>
      </c>
      <c r="L352" s="5">
        <f>40 / 86400</f>
        <v>4.6296296296296298E-4</v>
      </c>
    </row>
    <row r="353" spans="1:12" x14ac:dyDescent="0.25">
      <c r="A353" s="3">
        <v>45710.707777777774</v>
      </c>
      <c r="B353" t="s">
        <v>294</v>
      </c>
      <c r="C353" s="3">
        <v>45710.709479166668</v>
      </c>
      <c r="D353" t="s">
        <v>295</v>
      </c>
      <c r="E353" s="4">
        <v>0.1308733213543892</v>
      </c>
      <c r="F353" s="4">
        <v>349866.61041115678</v>
      </c>
      <c r="G353" s="4">
        <v>349866.74128447811</v>
      </c>
      <c r="H353" s="5">
        <f t="shared" si="2"/>
        <v>0</v>
      </c>
      <c r="I353" t="s">
        <v>140</v>
      </c>
      <c r="J353" t="s">
        <v>143</v>
      </c>
      <c r="K353" s="5">
        <f>147 / 86400</f>
        <v>1.7013888888888888E-3</v>
      </c>
      <c r="L353" s="5">
        <f>48 / 86400</f>
        <v>5.5555555555555556E-4</v>
      </c>
    </row>
    <row r="354" spans="1:12" x14ac:dyDescent="0.25">
      <c r="A354" s="3">
        <v>45710.710034722222</v>
      </c>
      <c r="B354" t="s">
        <v>295</v>
      </c>
      <c r="C354" s="3">
        <v>45710.710266203707</v>
      </c>
      <c r="D354" t="s">
        <v>295</v>
      </c>
      <c r="E354" s="4">
        <v>1.6760154902935028E-2</v>
      </c>
      <c r="F354" s="4">
        <v>349866.75968824048</v>
      </c>
      <c r="G354" s="4">
        <v>349866.77644839539</v>
      </c>
      <c r="H354" s="5">
        <f t="shared" si="2"/>
        <v>0</v>
      </c>
      <c r="I354" t="s">
        <v>156</v>
      </c>
      <c r="J354" t="s">
        <v>143</v>
      </c>
      <c r="K354" s="5">
        <f>20 / 86400</f>
        <v>2.3148148148148149E-4</v>
      </c>
      <c r="L354" s="5">
        <f>60 / 86400</f>
        <v>6.9444444444444447E-4</v>
      </c>
    </row>
    <row r="355" spans="1:12" x14ac:dyDescent="0.25">
      <c r="A355" s="3">
        <v>45710.710960648154</v>
      </c>
      <c r="B355" t="s">
        <v>54</v>
      </c>
      <c r="C355" s="3">
        <v>45710.711192129631</v>
      </c>
      <c r="D355" t="s">
        <v>295</v>
      </c>
      <c r="E355" s="4">
        <v>3.7760203301906589E-2</v>
      </c>
      <c r="F355" s="4">
        <v>349866.80990390939</v>
      </c>
      <c r="G355" s="4">
        <v>349866.84766411269</v>
      </c>
      <c r="H355" s="5">
        <f t="shared" si="2"/>
        <v>0</v>
      </c>
      <c r="I355" t="s">
        <v>61</v>
      </c>
      <c r="J355" t="s">
        <v>140</v>
      </c>
      <c r="K355" s="5">
        <f>20 / 86400</f>
        <v>2.3148148148148149E-4</v>
      </c>
      <c r="L355" s="5">
        <f>20 / 86400</f>
        <v>2.3148148148148149E-4</v>
      </c>
    </row>
    <row r="356" spans="1:12" x14ac:dyDescent="0.25">
      <c r="A356" s="3">
        <v>45710.711423611108</v>
      </c>
      <c r="B356" t="s">
        <v>295</v>
      </c>
      <c r="C356" s="3">
        <v>45710.712118055555</v>
      </c>
      <c r="D356" t="s">
        <v>295</v>
      </c>
      <c r="E356" s="4">
        <v>3.0403992474079131E-2</v>
      </c>
      <c r="F356" s="4">
        <v>349866.85366999911</v>
      </c>
      <c r="G356" s="4">
        <v>349866.88407399162</v>
      </c>
      <c r="H356" s="5">
        <f t="shared" si="2"/>
        <v>0</v>
      </c>
      <c r="I356" t="s">
        <v>75</v>
      </c>
      <c r="J356" t="s">
        <v>113</v>
      </c>
      <c r="K356" s="5">
        <f>60 / 86400</f>
        <v>6.9444444444444447E-4</v>
      </c>
      <c r="L356" s="5">
        <f>320 / 86400</f>
        <v>3.7037037037037038E-3</v>
      </c>
    </row>
    <row r="357" spans="1:12" x14ac:dyDescent="0.25">
      <c r="A357" s="3">
        <v>45710.715821759259</v>
      </c>
      <c r="B357" t="s">
        <v>295</v>
      </c>
      <c r="C357" s="3">
        <v>45710.716053240743</v>
      </c>
      <c r="D357" t="s">
        <v>296</v>
      </c>
      <c r="E357" s="4">
        <v>2.049932646751404E-2</v>
      </c>
      <c r="F357" s="4">
        <v>349866.9702403688</v>
      </c>
      <c r="G357" s="4">
        <v>349866.99073969526</v>
      </c>
      <c r="H357" s="5">
        <f t="shared" si="2"/>
        <v>0</v>
      </c>
      <c r="I357" t="s">
        <v>75</v>
      </c>
      <c r="J357" t="s">
        <v>75</v>
      </c>
      <c r="K357" s="5">
        <f>20 / 86400</f>
        <v>2.3148148148148149E-4</v>
      </c>
      <c r="L357" s="5">
        <f>100 / 86400</f>
        <v>1.1574074074074073E-3</v>
      </c>
    </row>
    <row r="358" spans="1:12" x14ac:dyDescent="0.25">
      <c r="A358" s="3">
        <v>45710.717210648145</v>
      </c>
      <c r="B358" t="s">
        <v>295</v>
      </c>
      <c r="C358" s="3">
        <v>45710.718136574069</v>
      </c>
      <c r="D358" t="s">
        <v>296</v>
      </c>
      <c r="E358" s="4">
        <v>5.5350923418998721E-2</v>
      </c>
      <c r="F358" s="4">
        <v>349867.02451646823</v>
      </c>
      <c r="G358" s="4">
        <v>349867.07986739167</v>
      </c>
      <c r="H358" s="5">
        <f t="shared" si="2"/>
        <v>0</v>
      </c>
      <c r="I358" t="s">
        <v>156</v>
      </c>
      <c r="J358" t="s">
        <v>113</v>
      </c>
      <c r="K358" s="5">
        <f>80 / 86400</f>
        <v>9.2592592592592596E-4</v>
      </c>
      <c r="L358" s="5">
        <f>20 / 86400</f>
        <v>2.3148148148148149E-4</v>
      </c>
    </row>
    <row r="359" spans="1:12" x14ac:dyDescent="0.25">
      <c r="A359" s="3">
        <v>45710.718368055561</v>
      </c>
      <c r="B359" t="s">
        <v>295</v>
      </c>
      <c r="C359" s="3">
        <v>45710.718599537038</v>
      </c>
      <c r="D359" t="s">
        <v>296</v>
      </c>
      <c r="E359" s="4">
        <v>1.6093698859214783E-2</v>
      </c>
      <c r="F359" s="4">
        <v>349867.08603826299</v>
      </c>
      <c r="G359" s="4">
        <v>349867.10213196184</v>
      </c>
      <c r="H359" s="5">
        <f t="shared" si="2"/>
        <v>0</v>
      </c>
      <c r="I359" t="s">
        <v>124</v>
      </c>
      <c r="J359" t="s">
        <v>143</v>
      </c>
      <c r="K359" s="5">
        <f>20 / 86400</f>
        <v>2.3148148148148149E-4</v>
      </c>
      <c r="L359" s="5">
        <f>40 / 86400</f>
        <v>4.6296296296296298E-4</v>
      </c>
    </row>
    <row r="360" spans="1:12" x14ac:dyDescent="0.25">
      <c r="A360" s="3">
        <v>45710.7190625</v>
      </c>
      <c r="B360" t="s">
        <v>296</v>
      </c>
      <c r="C360" s="3">
        <v>45710.719293981485</v>
      </c>
      <c r="D360" t="s">
        <v>296</v>
      </c>
      <c r="E360" s="4">
        <v>1.5438797414302825E-2</v>
      </c>
      <c r="F360" s="4">
        <v>349867.11172175396</v>
      </c>
      <c r="G360" s="4">
        <v>349867.12716055138</v>
      </c>
      <c r="H360" s="5">
        <f t="shared" si="2"/>
        <v>0</v>
      </c>
      <c r="I360" t="s">
        <v>124</v>
      </c>
      <c r="J360" t="s">
        <v>143</v>
      </c>
      <c r="K360" s="5">
        <f>20 / 86400</f>
        <v>2.3148148148148149E-4</v>
      </c>
      <c r="L360" s="5">
        <f>100 / 86400</f>
        <v>1.1574074074074073E-3</v>
      </c>
    </row>
    <row r="361" spans="1:12" x14ac:dyDescent="0.25">
      <c r="A361" s="3">
        <v>45710.720451388886</v>
      </c>
      <c r="B361" t="s">
        <v>296</v>
      </c>
      <c r="C361" s="3">
        <v>45710.720682870371</v>
      </c>
      <c r="D361" t="s">
        <v>296</v>
      </c>
      <c r="E361" s="4">
        <v>3.5975950241088864E-2</v>
      </c>
      <c r="F361" s="4">
        <v>349867.20146671619</v>
      </c>
      <c r="G361" s="4">
        <v>349867.23744266643</v>
      </c>
      <c r="H361" s="5">
        <f t="shared" si="2"/>
        <v>0</v>
      </c>
      <c r="I361" t="s">
        <v>140</v>
      </c>
      <c r="J361" t="s">
        <v>31</v>
      </c>
      <c r="K361" s="5">
        <f>20 / 86400</f>
        <v>2.3148148148148149E-4</v>
      </c>
      <c r="L361" s="5">
        <f>40 / 86400</f>
        <v>4.6296296296296298E-4</v>
      </c>
    </row>
    <row r="362" spans="1:12" x14ac:dyDescent="0.25">
      <c r="A362" s="3">
        <v>45710.721145833333</v>
      </c>
      <c r="B362" t="s">
        <v>295</v>
      </c>
      <c r="C362" s="3">
        <v>45710.721608796295</v>
      </c>
      <c r="D362" t="s">
        <v>296</v>
      </c>
      <c r="E362" s="4">
        <v>3.1163289070129396E-2</v>
      </c>
      <c r="F362" s="4">
        <v>349867.26901351148</v>
      </c>
      <c r="G362" s="4">
        <v>349867.30017680058</v>
      </c>
      <c r="H362" s="5">
        <f t="shared" ref="H362:H425" si="3">0 / 86400</f>
        <v>0</v>
      </c>
      <c r="I362" t="s">
        <v>75</v>
      </c>
      <c r="J362" t="s">
        <v>143</v>
      </c>
      <c r="K362" s="5">
        <f>40 / 86400</f>
        <v>4.6296296296296298E-4</v>
      </c>
      <c r="L362" s="5">
        <f>27 / 86400</f>
        <v>3.1250000000000001E-4</v>
      </c>
    </row>
    <row r="363" spans="1:12" x14ac:dyDescent="0.25">
      <c r="A363" s="3">
        <v>45710.721921296295</v>
      </c>
      <c r="B363" t="s">
        <v>297</v>
      </c>
      <c r="C363" s="3">
        <v>45710.722152777773</v>
      </c>
      <c r="D363" t="s">
        <v>297</v>
      </c>
      <c r="E363" s="4">
        <v>1.0159392893314361E-2</v>
      </c>
      <c r="F363" s="4">
        <v>349867.33475945925</v>
      </c>
      <c r="G363" s="4">
        <v>349867.34491885215</v>
      </c>
      <c r="H363" s="5">
        <f t="shared" si="3"/>
        <v>0</v>
      </c>
      <c r="I363" t="s">
        <v>31</v>
      </c>
      <c r="J363" t="s">
        <v>113</v>
      </c>
      <c r="K363" s="5">
        <f>20 / 86400</f>
        <v>2.3148148148148149E-4</v>
      </c>
      <c r="L363" s="5">
        <f>100 / 86400</f>
        <v>1.1574074074074073E-3</v>
      </c>
    </row>
    <row r="364" spans="1:12" x14ac:dyDescent="0.25">
      <c r="A364" s="3">
        <v>45710.723310185189</v>
      </c>
      <c r="B364" t="s">
        <v>296</v>
      </c>
      <c r="C364" s="3">
        <v>45710.72384259259</v>
      </c>
      <c r="D364" t="s">
        <v>54</v>
      </c>
      <c r="E364" s="4">
        <v>2.3669337213039397E-2</v>
      </c>
      <c r="F364" s="4">
        <v>349867.38446548849</v>
      </c>
      <c r="G364" s="4">
        <v>349867.4081348257</v>
      </c>
      <c r="H364" s="5">
        <f t="shared" si="3"/>
        <v>0</v>
      </c>
      <c r="I364" t="s">
        <v>156</v>
      </c>
      <c r="J364" t="s">
        <v>113</v>
      </c>
      <c r="K364" s="5">
        <f>46 / 86400</f>
        <v>5.3240740740740744E-4</v>
      </c>
      <c r="L364" s="5">
        <f>20 / 86400</f>
        <v>2.3148148148148149E-4</v>
      </c>
    </row>
    <row r="365" spans="1:12" x14ac:dyDescent="0.25">
      <c r="A365" s="3">
        <v>45710.724074074074</v>
      </c>
      <c r="B365" t="s">
        <v>54</v>
      </c>
      <c r="C365" s="3">
        <v>45710.724305555559</v>
      </c>
      <c r="D365" t="s">
        <v>297</v>
      </c>
      <c r="E365" s="4">
        <v>1.3320711731910706E-2</v>
      </c>
      <c r="F365" s="4">
        <v>349867.41605539637</v>
      </c>
      <c r="G365" s="4">
        <v>349867.42937610811</v>
      </c>
      <c r="H365" s="5">
        <f t="shared" si="3"/>
        <v>0</v>
      </c>
      <c r="I365" t="s">
        <v>124</v>
      </c>
      <c r="J365" t="s">
        <v>113</v>
      </c>
      <c r="K365" s="5">
        <f>20 / 86400</f>
        <v>2.3148148148148149E-4</v>
      </c>
      <c r="L365" s="5">
        <f>20 / 86400</f>
        <v>2.3148148148148149E-4</v>
      </c>
    </row>
    <row r="366" spans="1:12" x14ac:dyDescent="0.25">
      <c r="A366" s="3">
        <v>45710.724537037036</v>
      </c>
      <c r="B366" t="s">
        <v>54</v>
      </c>
      <c r="C366" s="3">
        <v>45710.725868055553</v>
      </c>
      <c r="D366" t="s">
        <v>298</v>
      </c>
      <c r="E366" s="4">
        <v>9.8129703581333161E-2</v>
      </c>
      <c r="F366" s="4">
        <v>349867.44589639903</v>
      </c>
      <c r="G366" s="4">
        <v>349867.54402610258</v>
      </c>
      <c r="H366" s="5">
        <f t="shared" si="3"/>
        <v>0</v>
      </c>
      <c r="I366" t="s">
        <v>140</v>
      </c>
      <c r="J366" t="s">
        <v>143</v>
      </c>
      <c r="K366" s="5">
        <f>115 / 86400</f>
        <v>1.3310185185185185E-3</v>
      </c>
      <c r="L366" s="5">
        <f>40 / 86400</f>
        <v>4.6296296296296298E-4</v>
      </c>
    </row>
    <row r="367" spans="1:12" x14ac:dyDescent="0.25">
      <c r="A367" s="3">
        <v>45710.726331018523</v>
      </c>
      <c r="B367" t="s">
        <v>54</v>
      </c>
      <c r="C367" s="3">
        <v>45710.726793981477</v>
      </c>
      <c r="D367" t="s">
        <v>54</v>
      </c>
      <c r="E367" s="4">
        <v>4.793187552690506E-2</v>
      </c>
      <c r="F367" s="4">
        <v>349867.58488191263</v>
      </c>
      <c r="G367" s="4">
        <v>349867.63281378819</v>
      </c>
      <c r="H367" s="5">
        <f t="shared" si="3"/>
        <v>0</v>
      </c>
      <c r="I367" t="s">
        <v>156</v>
      </c>
      <c r="J367" t="s">
        <v>75</v>
      </c>
      <c r="K367" s="5">
        <f>40 / 86400</f>
        <v>4.6296296296296298E-4</v>
      </c>
      <c r="L367" s="5">
        <f>20 / 86400</f>
        <v>2.3148148148148149E-4</v>
      </c>
    </row>
    <row r="368" spans="1:12" x14ac:dyDescent="0.25">
      <c r="A368" s="3">
        <v>45710.727025462962</v>
      </c>
      <c r="B368" t="s">
        <v>54</v>
      </c>
      <c r="C368" s="3">
        <v>45710.728125000001</v>
      </c>
      <c r="D368" t="s">
        <v>54</v>
      </c>
      <c r="E368" s="4">
        <v>3.5823797821998599E-2</v>
      </c>
      <c r="F368" s="4">
        <v>349867.63831490115</v>
      </c>
      <c r="G368" s="4">
        <v>349867.67413869902</v>
      </c>
      <c r="H368" s="5">
        <f t="shared" si="3"/>
        <v>0</v>
      </c>
      <c r="I368" t="s">
        <v>156</v>
      </c>
      <c r="J368" t="s">
        <v>124</v>
      </c>
      <c r="K368" s="5">
        <f>95 / 86400</f>
        <v>1.0995370370370371E-3</v>
      </c>
      <c r="L368" s="5">
        <f>29 / 86400</f>
        <v>3.3564814814814812E-4</v>
      </c>
    </row>
    <row r="369" spans="1:12" x14ac:dyDescent="0.25">
      <c r="A369" s="3">
        <v>45710.728460648148</v>
      </c>
      <c r="B369" t="s">
        <v>54</v>
      </c>
      <c r="C369" s="3">
        <v>45710.729155092587</v>
      </c>
      <c r="D369" t="s">
        <v>54</v>
      </c>
      <c r="E369" s="4">
        <v>0.19916200917959212</v>
      </c>
      <c r="F369" s="4">
        <v>349867.68153914786</v>
      </c>
      <c r="G369" s="4">
        <v>349867.88070115703</v>
      </c>
      <c r="H369" s="5">
        <f t="shared" si="3"/>
        <v>0</v>
      </c>
      <c r="I369" t="s">
        <v>64</v>
      </c>
      <c r="J369" t="s">
        <v>139</v>
      </c>
      <c r="K369" s="5">
        <f>60 / 86400</f>
        <v>6.9444444444444447E-4</v>
      </c>
      <c r="L369" s="5">
        <f>20 / 86400</f>
        <v>2.3148148148148149E-4</v>
      </c>
    </row>
    <row r="370" spans="1:12" x14ac:dyDescent="0.25">
      <c r="A370" s="3">
        <v>45710.729386574079</v>
      </c>
      <c r="B370" t="s">
        <v>54</v>
      </c>
      <c r="C370" s="3">
        <v>45710.729618055557</v>
      </c>
      <c r="D370" t="s">
        <v>54</v>
      </c>
      <c r="E370" s="4">
        <v>9.1394639015197759E-3</v>
      </c>
      <c r="F370" s="4">
        <v>349867.9101229356</v>
      </c>
      <c r="G370" s="4">
        <v>349867.91926239949</v>
      </c>
      <c r="H370" s="5">
        <f t="shared" si="3"/>
        <v>0</v>
      </c>
      <c r="I370" t="s">
        <v>75</v>
      </c>
      <c r="J370" t="s">
        <v>113</v>
      </c>
      <c r="K370" s="5">
        <f>20 / 86400</f>
        <v>2.3148148148148149E-4</v>
      </c>
      <c r="L370" s="5">
        <f>20 / 86400</f>
        <v>2.3148148148148149E-4</v>
      </c>
    </row>
    <row r="371" spans="1:12" x14ac:dyDescent="0.25">
      <c r="A371" s="3">
        <v>45710.729849537034</v>
      </c>
      <c r="B371" t="s">
        <v>54</v>
      </c>
      <c r="C371" s="3">
        <v>45710.731307870374</v>
      </c>
      <c r="D371" t="s">
        <v>299</v>
      </c>
      <c r="E371" s="4">
        <v>0.50121980249881748</v>
      </c>
      <c r="F371" s="4">
        <v>349867.96376348427</v>
      </c>
      <c r="G371" s="4">
        <v>349868.46498328674</v>
      </c>
      <c r="H371" s="5">
        <f t="shared" si="3"/>
        <v>0</v>
      </c>
      <c r="I371" t="s">
        <v>167</v>
      </c>
      <c r="J371" t="s">
        <v>26</v>
      </c>
      <c r="K371" s="5">
        <f>126 / 86400</f>
        <v>1.4583333333333334E-3</v>
      </c>
      <c r="L371" s="5">
        <f>60 / 86400</f>
        <v>6.9444444444444447E-4</v>
      </c>
    </row>
    <row r="372" spans="1:12" x14ac:dyDescent="0.25">
      <c r="A372" s="3">
        <v>45710.732002314813</v>
      </c>
      <c r="B372" t="s">
        <v>95</v>
      </c>
      <c r="C372" s="3">
        <v>45710.733391203699</v>
      </c>
      <c r="D372" t="s">
        <v>95</v>
      </c>
      <c r="E372" s="4">
        <v>0.18876159971952439</v>
      </c>
      <c r="F372" s="4">
        <v>349868.50362793112</v>
      </c>
      <c r="G372" s="4">
        <v>349868.69238953083</v>
      </c>
      <c r="H372" s="5">
        <f t="shared" si="3"/>
        <v>0</v>
      </c>
      <c r="I372" t="s">
        <v>140</v>
      </c>
      <c r="J372" t="s">
        <v>31</v>
      </c>
      <c r="K372" s="5">
        <f>120 / 86400</f>
        <v>1.3888888888888889E-3</v>
      </c>
      <c r="L372" s="5">
        <f>25 / 86400</f>
        <v>2.8935185185185184E-4</v>
      </c>
    </row>
    <row r="373" spans="1:12" x14ac:dyDescent="0.25">
      <c r="A373" s="3">
        <v>45710.733680555553</v>
      </c>
      <c r="B373" t="s">
        <v>95</v>
      </c>
      <c r="C373" s="3">
        <v>45710.734375</v>
      </c>
      <c r="D373" t="s">
        <v>95</v>
      </c>
      <c r="E373" s="4">
        <v>0.14055602943897247</v>
      </c>
      <c r="F373" s="4">
        <v>349868.70053652086</v>
      </c>
      <c r="G373" s="4">
        <v>349868.84109255025</v>
      </c>
      <c r="H373" s="5">
        <f t="shared" si="3"/>
        <v>0</v>
      </c>
      <c r="I373" t="s">
        <v>132</v>
      </c>
      <c r="J373" t="s">
        <v>150</v>
      </c>
      <c r="K373" s="5">
        <f>60 / 86400</f>
        <v>6.9444444444444447E-4</v>
      </c>
      <c r="L373" s="5">
        <f>20 / 86400</f>
        <v>2.3148148148148149E-4</v>
      </c>
    </row>
    <row r="374" spans="1:12" x14ac:dyDescent="0.25">
      <c r="A374" s="3">
        <v>45710.734606481477</v>
      </c>
      <c r="B374" t="s">
        <v>95</v>
      </c>
      <c r="C374" s="3">
        <v>45710.734837962962</v>
      </c>
      <c r="D374" t="s">
        <v>95</v>
      </c>
      <c r="E374" s="4">
        <v>2.750370305776596E-2</v>
      </c>
      <c r="F374" s="4">
        <v>349868.86438175075</v>
      </c>
      <c r="G374" s="4">
        <v>349868.89188545384</v>
      </c>
      <c r="H374" s="5">
        <f t="shared" si="3"/>
        <v>0</v>
      </c>
      <c r="I374" t="s">
        <v>168</v>
      </c>
      <c r="J374" t="s">
        <v>156</v>
      </c>
      <c r="K374" s="5">
        <f>20 / 86400</f>
        <v>2.3148148148148149E-4</v>
      </c>
      <c r="L374" s="5">
        <f>20 / 86400</f>
        <v>2.3148148148148149E-4</v>
      </c>
    </row>
    <row r="375" spans="1:12" x14ac:dyDescent="0.25">
      <c r="A375" s="3">
        <v>45710.735069444447</v>
      </c>
      <c r="B375" t="s">
        <v>95</v>
      </c>
      <c r="C375" s="3">
        <v>45710.735763888893</v>
      </c>
      <c r="D375" t="s">
        <v>95</v>
      </c>
      <c r="E375" s="4">
        <v>0.17036919903755188</v>
      </c>
      <c r="F375" s="4">
        <v>349868.89752517897</v>
      </c>
      <c r="G375" s="4">
        <v>349869.06789437798</v>
      </c>
      <c r="H375" s="5">
        <f t="shared" si="3"/>
        <v>0</v>
      </c>
      <c r="I375" t="s">
        <v>150</v>
      </c>
      <c r="J375" t="s">
        <v>168</v>
      </c>
      <c r="K375" s="5">
        <f>60 / 86400</f>
        <v>6.9444444444444447E-4</v>
      </c>
      <c r="L375" s="5">
        <f>20 / 86400</f>
        <v>2.3148148148148149E-4</v>
      </c>
    </row>
    <row r="376" spans="1:12" x14ac:dyDescent="0.25">
      <c r="A376" s="3">
        <v>45710.735995370371</v>
      </c>
      <c r="B376" t="s">
        <v>95</v>
      </c>
      <c r="C376" s="3">
        <v>45710.736226851848</v>
      </c>
      <c r="D376" t="s">
        <v>95</v>
      </c>
      <c r="E376" s="4">
        <v>6.1647869944572451E-3</v>
      </c>
      <c r="F376" s="4">
        <v>349869.09180589556</v>
      </c>
      <c r="G376" s="4">
        <v>349869.09797068255</v>
      </c>
      <c r="H376" s="5">
        <f t="shared" si="3"/>
        <v>0</v>
      </c>
      <c r="I376" t="s">
        <v>132</v>
      </c>
      <c r="J376" t="s">
        <v>124</v>
      </c>
      <c r="K376" s="5">
        <f>20 / 86400</f>
        <v>2.3148148148148149E-4</v>
      </c>
      <c r="L376" s="5">
        <f>23 / 86400</f>
        <v>2.6620370370370372E-4</v>
      </c>
    </row>
    <row r="377" spans="1:12" x14ac:dyDescent="0.25">
      <c r="A377" s="3">
        <v>45710.736493055556</v>
      </c>
      <c r="B377" t="s">
        <v>95</v>
      </c>
      <c r="C377" s="3">
        <v>45710.737187499995</v>
      </c>
      <c r="D377" t="s">
        <v>95</v>
      </c>
      <c r="E377" s="4">
        <v>0.18479532778263091</v>
      </c>
      <c r="F377" s="4">
        <v>349869.10903020378</v>
      </c>
      <c r="G377" s="4">
        <v>349869.29382553155</v>
      </c>
      <c r="H377" s="5">
        <f t="shared" si="3"/>
        <v>0</v>
      </c>
      <c r="I377" t="s">
        <v>132</v>
      </c>
      <c r="J377" t="s">
        <v>61</v>
      </c>
      <c r="K377" s="5">
        <f>60 / 86400</f>
        <v>6.9444444444444447E-4</v>
      </c>
      <c r="L377" s="5">
        <f>60 / 86400</f>
        <v>6.9444444444444447E-4</v>
      </c>
    </row>
    <row r="378" spans="1:12" x14ac:dyDescent="0.25">
      <c r="A378" s="3">
        <v>45710.737881944442</v>
      </c>
      <c r="B378" t="s">
        <v>95</v>
      </c>
      <c r="C378" s="3">
        <v>45710.738344907411</v>
      </c>
      <c r="D378" t="s">
        <v>95</v>
      </c>
      <c r="E378" s="4">
        <v>0.15632008135318756</v>
      </c>
      <c r="F378" s="4">
        <v>349869.31636574084</v>
      </c>
      <c r="G378" s="4">
        <v>349869.47268582217</v>
      </c>
      <c r="H378" s="5">
        <f t="shared" si="3"/>
        <v>0</v>
      </c>
      <c r="I378" t="s">
        <v>64</v>
      </c>
      <c r="J378" t="s">
        <v>26</v>
      </c>
      <c r="K378" s="5">
        <f>40 / 86400</f>
        <v>4.6296296296296298E-4</v>
      </c>
      <c r="L378" s="5">
        <f>40 / 86400</f>
        <v>4.6296296296296298E-4</v>
      </c>
    </row>
    <row r="379" spans="1:12" x14ac:dyDescent="0.25">
      <c r="A379" s="3">
        <v>45710.738807870366</v>
      </c>
      <c r="B379" t="s">
        <v>95</v>
      </c>
      <c r="C379" s="3">
        <v>45710.739178240736</v>
      </c>
      <c r="D379" t="s">
        <v>95</v>
      </c>
      <c r="E379" s="4">
        <v>1.4634671568870545E-2</v>
      </c>
      <c r="F379" s="4">
        <v>349869.48363357055</v>
      </c>
      <c r="G379" s="4">
        <v>349869.49826824211</v>
      </c>
      <c r="H379" s="5">
        <f t="shared" si="3"/>
        <v>0</v>
      </c>
      <c r="I379" t="s">
        <v>31</v>
      </c>
      <c r="J379" t="s">
        <v>113</v>
      </c>
      <c r="K379" s="5">
        <f>32 / 86400</f>
        <v>3.7037037037037035E-4</v>
      </c>
      <c r="L379" s="5">
        <f>10 / 86400</f>
        <v>1.1574074074074075E-4</v>
      </c>
    </row>
    <row r="380" spans="1:12" x14ac:dyDescent="0.25">
      <c r="A380" s="3">
        <v>45710.739293981482</v>
      </c>
      <c r="B380" t="s">
        <v>95</v>
      </c>
      <c r="C380" s="3">
        <v>45710.739988425921</v>
      </c>
      <c r="D380" t="s">
        <v>101</v>
      </c>
      <c r="E380" s="4">
        <v>0.18288851594924926</v>
      </c>
      <c r="F380" s="4">
        <v>349869.50329183496</v>
      </c>
      <c r="G380" s="4">
        <v>349869.68618035089</v>
      </c>
      <c r="H380" s="5">
        <f t="shared" si="3"/>
        <v>0</v>
      </c>
      <c r="I380" t="s">
        <v>26</v>
      </c>
      <c r="J380" t="s">
        <v>61</v>
      </c>
      <c r="K380" s="5">
        <f>60 / 86400</f>
        <v>6.9444444444444447E-4</v>
      </c>
      <c r="L380" s="5">
        <f>28 / 86400</f>
        <v>3.2407407407407406E-4</v>
      </c>
    </row>
    <row r="381" spans="1:12" x14ac:dyDescent="0.25">
      <c r="A381" s="3">
        <v>45710.740312499998</v>
      </c>
      <c r="B381" t="s">
        <v>101</v>
      </c>
      <c r="C381" s="3">
        <v>45710.741238425922</v>
      </c>
      <c r="D381" t="s">
        <v>101</v>
      </c>
      <c r="E381" s="4">
        <v>0.6577455405592918</v>
      </c>
      <c r="F381" s="4">
        <v>349869.72018699202</v>
      </c>
      <c r="G381" s="4">
        <v>349870.37793253263</v>
      </c>
      <c r="H381" s="5">
        <f t="shared" si="3"/>
        <v>0</v>
      </c>
      <c r="I381" t="s">
        <v>176</v>
      </c>
      <c r="J381" t="s">
        <v>188</v>
      </c>
      <c r="K381" s="5">
        <f>80 / 86400</f>
        <v>9.2592592592592596E-4</v>
      </c>
      <c r="L381" s="5">
        <f>20 / 86400</f>
        <v>2.3148148148148149E-4</v>
      </c>
    </row>
    <row r="382" spans="1:12" x14ac:dyDescent="0.25">
      <c r="A382" s="3">
        <v>45710.741469907407</v>
      </c>
      <c r="B382" t="s">
        <v>101</v>
      </c>
      <c r="C382" s="3">
        <v>45710.741932870369</v>
      </c>
      <c r="D382" t="s">
        <v>101</v>
      </c>
      <c r="E382" s="4">
        <v>0.27394185703992846</v>
      </c>
      <c r="F382" s="4">
        <v>349870.4182493136</v>
      </c>
      <c r="G382" s="4">
        <v>349870.69219117064</v>
      </c>
      <c r="H382" s="5">
        <f t="shared" si="3"/>
        <v>0</v>
      </c>
      <c r="I382" t="s">
        <v>182</v>
      </c>
      <c r="J382" t="s">
        <v>131</v>
      </c>
      <c r="K382" s="5">
        <f>40 / 86400</f>
        <v>4.6296296296296298E-4</v>
      </c>
      <c r="L382" s="5">
        <f>20 / 86400</f>
        <v>2.3148148148148149E-4</v>
      </c>
    </row>
    <row r="383" spans="1:12" x14ac:dyDescent="0.25">
      <c r="A383" s="3">
        <v>45710.742164351846</v>
      </c>
      <c r="B383" t="s">
        <v>101</v>
      </c>
      <c r="C383" s="3">
        <v>45710.743101851855</v>
      </c>
      <c r="D383" t="s">
        <v>101</v>
      </c>
      <c r="E383" s="4">
        <v>0.1370069261789322</v>
      </c>
      <c r="F383" s="4">
        <v>349870.73135526216</v>
      </c>
      <c r="G383" s="4">
        <v>349870.86836218834</v>
      </c>
      <c r="H383" s="5">
        <f t="shared" si="3"/>
        <v>0</v>
      </c>
      <c r="I383" t="s">
        <v>168</v>
      </c>
      <c r="J383" t="s">
        <v>31</v>
      </c>
      <c r="K383" s="5">
        <f>81 / 86400</f>
        <v>9.3749999999999997E-4</v>
      </c>
      <c r="L383" s="5">
        <f>20 / 86400</f>
        <v>2.3148148148148149E-4</v>
      </c>
    </row>
    <row r="384" spans="1:12" x14ac:dyDescent="0.25">
      <c r="A384" s="3">
        <v>45710.743333333332</v>
      </c>
      <c r="B384" t="s">
        <v>101</v>
      </c>
      <c r="C384" s="3">
        <v>45710.744942129633</v>
      </c>
      <c r="D384" t="s">
        <v>101</v>
      </c>
      <c r="E384" s="4">
        <v>0.91893753027915959</v>
      </c>
      <c r="F384" s="4">
        <v>349870.87584626279</v>
      </c>
      <c r="G384" s="4">
        <v>349871.7947837931</v>
      </c>
      <c r="H384" s="5">
        <f t="shared" si="3"/>
        <v>0</v>
      </c>
      <c r="I384" t="s">
        <v>173</v>
      </c>
      <c r="J384" t="s">
        <v>137</v>
      </c>
      <c r="K384" s="5">
        <f>139 / 86400</f>
        <v>1.6087962962962963E-3</v>
      </c>
      <c r="L384" s="5">
        <f>29 / 86400</f>
        <v>3.3564814814814812E-4</v>
      </c>
    </row>
    <row r="385" spans="1:12" x14ac:dyDescent="0.25">
      <c r="A385" s="3">
        <v>45710.74527777778</v>
      </c>
      <c r="B385" t="s">
        <v>101</v>
      </c>
      <c r="C385" s="3">
        <v>45710.746203703704</v>
      </c>
      <c r="D385" t="s">
        <v>300</v>
      </c>
      <c r="E385" s="4">
        <v>0.83142777353525166</v>
      </c>
      <c r="F385" s="4">
        <v>349871.79980839009</v>
      </c>
      <c r="G385" s="4">
        <v>349872.63123616361</v>
      </c>
      <c r="H385" s="5">
        <f t="shared" si="3"/>
        <v>0</v>
      </c>
      <c r="I385" t="s">
        <v>194</v>
      </c>
      <c r="J385" t="s">
        <v>112</v>
      </c>
      <c r="K385" s="5">
        <f>80 / 86400</f>
        <v>9.2592592592592596E-4</v>
      </c>
      <c r="L385" s="5">
        <f>4 / 86400</f>
        <v>4.6296296296296294E-5</v>
      </c>
    </row>
    <row r="386" spans="1:12" x14ac:dyDescent="0.25">
      <c r="A386" s="3">
        <v>45710.746249999997</v>
      </c>
      <c r="B386" t="s">
        <v>300</v>
      </c>
      <c r="C386" s="3">
        <v>45710.747175925921</v>
      </c>
      <c r="D386" t="s">
        <v>101</v>
      </c>
      <c r="E386" s="4">
        <v>0.61363347882032393</v>
      </c>
      <c r="F386" s="4">
        <v>349872.63687208976</v>
      </c>
      <c r="G386" s="4">
        <v>349873.25050556858</v>
      </c>
      <c r="H386" s="5">
        <f t="shared" si="3"/>
        <v>0</v>
      </c>
      <c r="I386" t="s">
        <v>186</v>
      </c>
      <c r="J386" t="s">
        <v>56</v>
      </c>
      <c r="K386" s="5">
        <f>80 / 86400</f>
        <v>9.2592592592592596E-4</v>
      </c>
      <c r="L386" s="5">
        <f>4 / 86400</f>
        <v>4.6296296296296294E-5</v>
      </c>
    </row>
    <row r="387" spans="1:12" x14ac:dyDescent="0.25">
      <c r="A387" s="3">
        <v>45710.74722222222</v>
      </c>
      <c r="B387" t="s">
        <v>101</v>
      </c>
      <c r="C387" s="3">
        <v>45710.749618055561</v>
      </c>
      <c r="D387" t="s">
        <v>101</v>
      </c>
      <c r="E387" s="4">
        <v>1.0546421803832053</v>
      </c>
      <c r="F387" s="4">
        <v>349873.25325240911</v>
      </c>
      <c r="G387" s="4">
        <v>349874.3078945895</v>
      </c>
      <c r="H387" s="5">
        <f t="shared" si="3"/>
        <v>0</v>
      </c>
      <c r="I387" t="s">
        <v>234</v>
      </c>
      <c r="J387" t="s">
        <v>20</v>
      </c>
      <c r="K387" s="5">
        <f>207 / 86400</f>
        <v>2.3958333333333331E-3</v>
      </c>
      <c r="L387" s="5">
        <f>40 / 86400</f>
        <v>4.6296296296296298E-4</v>
      </c>
    </row>
    <row r="388" spans="1:12" x14ac:dyDescent="0.25">
      <c r="A388" s="3">
        <v>45710.750081018516</v>
      </c>
      <c r="B388" t="s">
        <v>101</v>
      </c>
      <c r="C388" s="3">
        <v>45710.7503125</v>
      </c>
      <c r="D388" t="s">
        <v>101</v>
      </c>
      <c r="E388" s="4">
        <v>3.0586181640625001E-2</v>
      </c>
      <c r="F388" s="4">
        <v>349874.35840363835</v>
      </c>
      <c r="G388" s="4">
        <v>349874.38898982003</v>
      </c>
      <c r="H388" s="5">
        <f t="shared" si="3"/>
        <v>0</v>
      </c>
      <c r="I388" t="s">
        <v>33</v>
      </c>
      <c r="J388" t="s">
        <v>31</v>
      </c>
      <c r="K388" s="5">
        <f>20 / 86400</f>
        <v>2.3148148148148149E-4</v>
      </c>
      <c r="L388" s="5">
        <f>40 / 86400</f>
        <v>4.6296296296296298E-4</v>
      </c>
    </row>
    <row r="389" spans="1:12" x14ac:dyDescent="0.25">
      <c r="A389" s="3">
        <v>45710.750775462962</v>
      </c>
      <c r="B389" t="s">
        <v>101</v>
      </c>
      <c r="C389" s="3">
        <v>45710.752627314811</v>
      </c>
      <c r="D389" t="s">
        <v>223</v>
      </c>
      <c r="E389" s="4">
        <v>0.97683954322338107</v>
      </c>
      <c r="F389" s="4">
        <v>349874.43668140797</v>
      </c>
      <c r="G389" s="4">
        <v>349875.41352095123</v>
      </c>
      <c r="H389" s="5">
        <f t="shared" si="3"/>
        <v>0</v>
      </c>
      <c r="I389" t="s">
        <v>301</v>
      </c>
      <c r="J389" t="s">
        <v>37</v>
      </c>
      <c r="K389" s="5">
        <f>160 / 86400</f>
        <v>1.8518518518518519E-3</v>
      </c>
      <c r="L389" s="5">
        <f>20 / 86400</f>
        <v>2.3148148148148149E-4</v>
      </c>
    </row>
    <row r="390" spans="1:12" x14ac:dyDescent="0.25">
      <c r="A390" s="3">
        <v>45710.752858796295</v>
      </c>
      <c r="B390" t="s">
        <v>302</v>
      </c>
      <c r="C390" s="3">
        <v>45710.753425925926</v>
      </c>
      <c r="D390" t="s">
        <v>172</v>
      </c>
      <c r="E390" s="4">
        <v>5.9236796259880063E-2</v>
      </c>
      <c r="F390" s="4">
        <v>349875.42891454359</v>
      </c>
      <c r="G390" s="4">
        <v>349875.48815133981</v>
      </c>
      <c r="H390" s="5">
        <f t="shared" si="3"/>
        <v>0</v>
      </c>
      <c r="I390" t="s">
        <v>31</v>
      </c>
      <c r="J390" t="s">
        <v>75</v>
      </c>
      <c r="K390" s="5">
        <f>49 / 86400</f>
        <v>5.6712962962962967E-4</v>
      </c>
      <c r="L390" s="5">
        <f>40 / 86400</f>
        <v>4.6296296296296298E-4</v>
      </c>
    </row>
    <row r="391" spans="1:12" x14ac:dyDescent="0.25">
      <c r="A391" s="3">
        <v>45710.753888888888</v>
      </c>
      <c r="B391" t="s">
        <v>223</v>
      </c>
      <c r="C391" s="3">
        <v>45710.754583333328</v>
      </c>
      <c r="D391" t="s">
        <v>84</v>
      </c>
      <c r="E391" s="4">
        <v>0.58622731310129161</v>
      </c>
      <c r="F391" s="4">
        <v>349875.67603150068</v>
      </c>
      <c r="G391" s="4">
        <v>349876.26225881377</v>
      </c>
      <c r="H391" s="5">
        <f t="shared" si="3"/>
        <v>0</v>
      </c>
      <c r="I391" t="s">
        <v>176</v>
      </c>
      <c r="J391" t="s">
        <v>195</v>
      </c>
      <c r="K391" s="5">
        <f>60 / 86400</f>
        <v>6.9444444444444447E-4</v>
      </c>
      <c r="L391" s="5">
        <f>40 / 86400</f>
        <v>4.6296296296296298E-4</v>
      </c>
    </row>
    <row r="392" spans="1:12" x14ac:dyDescent="0.25">
      <c r="A392" s="3">
        <v>45710.755046296297</v>
      </c>
      <c r="B392" t="s">
        <v>178</v>
      </c>
      <c r="C392" s="3">
        <v>45710.757361111115</v>
      </c>
      <c r="D392" t="s">
        <v>183</v>
      </c>
      <c r="E392" s="4">
        <v>2.3383595409393312</v>
      </c>
      <c r="F392" s="4">
        <v>349876.27018454438</v>
      </c>
      <c r="G392" s="4">
        <v>349878.60854408535</v>
      </c>
      <c r="H392" s="5">
        <f t="shared" si="3"/>
        <v>0</v>
      </c>
      <c r="I392" t="s">
        <v>63</v>
      </c>
      <c r="J392" t="s">
        <v>154</v>
      </c>
      <c r="K392" s="5">
        <f>200 / 86400</f>
        <v>2.3148148148148147E-3</v>
      </c>
      <c r="L392" s="5">
        <f>6 / 86400</f>
        <v>6.9444444444444444E-5</v>
      </c>
    </row>
    <row r="393" spans="1:12" x14ac:dyDescent="0.25">
      <c r="A393" s="3">
        <v>45710.757430555561</v>
      </c>
      <c r="B393" t="s">
        <v>183</v>
      </c>
      <c r="C393" s="3">
        <v>45710.758356481485</v>
      </c>
      <c r="D393" t="s">
        <v>183</v>
      </c>
      <c r="E393" s="4">
        <v>0.10623032981157303</v>
      </c>
      <c r="F393" s="4">
        <v>349878.61004839907</v>
      </c>
      <c r="G393" s="4">
        <v>349878.71627872891</v>
      </c>
      <c r="H393" s="5">
        <f t="shared" si="3"/>
        <v>0</v>
      </c>
      <c r="I393" t="s">
        <v>139</v>
      </c>
      <c r="J393" t="s">
        <v>156</v>
      </c>
      <c r="K393" s="5">
        <f>80 / 86400</f>
        <v>9.2592592592592596E-4</v>
      </c>
      <c r="L393" s="5">
        <f>31 / 86400</f>
        <v>3.5879629629629629E-4</v>
      </c>
    </row>
    <row r="394" spans="1:12" x14ac:dyDescent="0.25">
      <c r="A394" s="3">
        <v>45710.758715277778</v>
      </c>
      <c r="B394" t="s">
        <v>183</v>
      </c>
      <c r="C394" s="3">
        <v>45710.75917824074</v>
      </c>
      <c r="D394" t="s">
        <v>94</v>
      </c>
      <c r="E394" s="4">
        <v>8.7974893271923066E-2</v>
      </c>
      <c r="F394" s="4">
        <v>349878.72199049947</v>
      </c>
      <c r="G394" s="4">
        <v>349878.80996539275</v>
      </c>
      <c r="H394" s="5">
        <f t="shared" si="3"/>
        <v>0</v>
      </c>
      <c r="I394" t="s">
        <v>168</v>
      </c>
      <c r="J394" t="s">
        <v>150</v>
      </c>
      <c r="K394" s="5">
        <f>40 / 86400</f>
        <v>4.6296296296296298E-4</v>
      </c>
      <c r="L394" s="5">
        <f>20 / 86400</f>
        <v>2.3148148148148149E-4</v>
      </c>
    </row>
    <row r="395" spans="1:12" x14ac:dyDescent="0.25">
      <c r="A395" s="3">
        <v>45710.759409722217</v>
      </c>
      <c r="B395" t="s">
        <v>94</v>
      </c>
      <c r="C395" s="3">
        <v>45710.759699074071</v>
      </c>
      <c r="D395" t="s">
        <v>94</v>
      </c>
      <c r="E395" s="4">
        <v>1.4540490925312042E-2</v>
      </c>
      <c r="F395" s="4">
        <v>349878.81189136539</v>
      </c>
      <c r="G395" s="4">
        <v>349878.82643185632</v>
      </c>
      <c r="H395" s="5">
        <f t="shared" si="3"/>
        <v>0</v>
      </c>
      <c r="I395" t="s">
        <v>156</v>
      </c>
      <c r="J395" t="s">
        <v>113</v>
      </c>
      <c r="K395" s="5">
        <f>25 / 86400</f>
        <v>2.8935185185185184E-4</v>
      </c>
      <c r="L395" s="5">
        <f>40 / 86400</f>
        <v>4.6296296296296298E-4</v>
      </c>
    </row>
    <row r="396" spans="1:12" x14ac:dyDescent="0.25">
      <c r="A396" s="3">
        <v>45710.760162037041</v>
      </c>
      <c r="B396" t="s">
        <v>183</v>
      </c>
      <c r="C396" s="3">
        <v>45710.763865740737</v>
      </c>
      <c r="D396" t="s">
        <v>38</v>
      </c>
      <c r="E396" s="4">
        <v>3.8072795969843862</v>
      </c>
      <c r="F396" s="4">
        <v>349878.92695819557</v>
      </c>
      <c r="G396" s="4">
        <v>349882.73423779255</v>
      </c>
      <c r="H396" s="5">
        <f t="shared" si="3"/>
        <v>0</v>
      </c>
      <c r="I396" t="s">
        <v>70</v>
      </c>
      <c r="J396" t="s">
        <v>224</v>
      </c>
      <c r="K396" s="5">
        <f>320 / 86400</f>
        <v>3.7037037037037038E-3</v>
      </c>
      <c r="L396" s="5">
        <f>20 / 86400</f>
        <v>2.3148148148148149E-4</v>
      </c>
    </row>
    <row r="397" spans="1:12" x14ac:dyDescent="0.25">
      <c r="A397" s="3">
        <v>45710.764097222222</v>
      </c>
      <c r="B397" t="s">
        <v>303</v>
      </c>
      <c r="C397" s="3">
        <v>45710.764328703706</v>
      </c>
      <c r="D397" t="s">
        <v>38</v>
      </c>
      <c r="E397" s="4">
        <v>0.12684542948007585</v>
      </c>
      <c r="F397" s="4">
        <v>349882.87762728718</v>
      </c>
      <c r="G397" s="4">
        <v>349883.00447271665</v>
      </c>
      <c r="H397" s="5">
        <f t="shared" si="3"/>
        <v>0</v>
      </c>
      <c r="I397" t="s">
        <v>211</v>
      </c>
      <c r="J397" t="s">
        <v>129</v>
      </c>
      <c r="K397" s="5">
        <f>20 / 86400</f>
        <v>2.3148148148148149E-4</v>
      </c>
      <c r="L397" s="5">
        <f>20 / 86400</f>
        <v>2.3148148148148149E-4</v>
      </c>
    </row>
    <row r="398" spans="1:12" x14ac:dyDescent="0.25">
      <c r="A398" s="3">
        <v>45710.764560185184</v>
      </c>
      <c r="B398" t="s">
        <v>216</v>
      </c>
      <c r="C398" s="3">
        <v>45710.765949074077</v>
      </c>
      <c r="D398" t="s">
        <v>187</v>
      </c>
      <c r="E398" s="4">
        <v>0.86339354425668713</v>
      </c>
      <c r="F398" s="4">
        <v>349883.15853827854</v>
      </c>
      <c r="G398" s="4">
        <v>349884.02193182276</v>
      </c>
      <c r="H398" s="5">
        <f t="shared" si="3"/>
        <v>0</v>
      </c>
      <c r="I398" t="s">
        <v>153</v>
      </c>
      <c r="J398" t="s">
        <v>158</v>
      </c>
      <c r="K398" s="5">
        <f>120 / 86400</f>
        <v>1.3888888888888889E-3</v>
      </c>
      <c r="L398" s="5">
        <f>40 / 86400</f>
        <v>4.6296296296296298E-4</v>
      </c>
    </row>
    <row r="399" spans="1:12" x14ac:dyDescent="0.25">
      <c r="A399" s="3">
        <v>45710.766412037032</v>
      </c>
      <c r="B399" t="s">
        <v>304</v>
      </c>
      <c r="C399" s="3">
        <v>45710.767106481479</v>
      </c>
      <c r="D399" t="s">
        <v>216</v>
      </c>
      <c r="E399" s="4">
        <v>0.25988025349378585</v>
      </c>
      <c r="F399" s="4">
        <v>349884.05237912817</v>
      </c>
      <c r="G399" s="4">
        <v>349884.31225938164</v>
      </c>
      <c r="H399" s="5">
        <f t="shared" si="3"/>
        <v>0</v>
      </c>
      <c r="I399" t="s">
        <v>135</v>
      </c>
      <c r="J399" t="s">
        <v>33</v>
      </c>
      <c r="K399" s="5">
        <f>60 / 86400</f>
        <v>6.9444444444444447E-4</v>
      </c>
      <c r="L399" s="5">
        <f>20 / 86400</f>
        <v>2.3148148148148149E-4</v>
      </c>
    </row>
    <row r="400" spans="1:12" x14ac:dyDescent="0.25">
      <c r="A400" s="3">
        <v>45710.767337962963</v>
      </c>
      <c r="B400" t="s">
        <v>305</v>
      </c>
      <c r="C400" s="3">
        <v>45710.768726851849</v>
      </c>
      <c r="D400" t="s">
        <v>216</v>
      </c>
      <c r="E400" s="4">
        <v>0.9973194536566734</v>
      </c>
      <c r="F400" s="4">
        <v>349884.38751696999</v>
      </c>
      <c r="G400" s="4">
        <v>349885.38483642362</v>
      </c>
      <c r="H400" s="5">
        <f t="shared" si="3"/>
        <v>0</v>
      </c>
      <c r="I400" t="s">
        <v>220</v>
      </c>
      <c r="J400" t="s">
        <v>188</v>
      </c>
      <c r="K400" s="5">
        <f>120 / 86400</f>
        <v>1.3888888888888889E-3</v>
      </c>
      <c r="L400" s="5">
        <f>20 / 86400</f>
        <v>2.3148148148148149E-4</v>
      </c>
    </row>
    <row r="401" spans="1:12" x14ac:dyDescent="0.25">
      <c r="A401" s="3">
        <v>45710.768958333334</v>
      </c>
      <c r="B401" t="s">
        <v>216</v>
      </c>
      <c r="C401" s="3">
        <v>45710.769884259258</v>
      </c>
      <c r="D401" t="s">
        <v>216</v>
      </c>
      <c r="E401" s="4">
        <v>0.80071029669046401</v>
      </c>
      <c r="F401" s="4">
        <v>349885.49184357177</v>
      </c>
      <c r="G401" s="4">
        <v>349886.29255386849</v>
      </c>
      <c r="H401" s="5">
        <f t="shared" si="3"/>
        <v>0</v>
      </c>
      <c r="I401" t="s">
        <v>286</v>
      </c>
      <c r="J401" t="s">
        <v>218</v>
      </c>
      <c r="K401" s="5">
        <f>80 / 86400</f>
        <v>9.2592592592592596E-4</v>
      </c>
      <c r="L401" s="5">
        <f>20 / 86400</f>
        <v>2.3148148148148149E-4</v>
      </c>
    </row>
    <row r="402" spans="1:12" x14ac:dyDescent="0.25">
      <c r="A402" s="3">
        <v>45710.770115740743</v>
      </c>
      <c r="B402" t="s">
        <v>217</v>
      </c>
      <c r="C402" s="3">
        <v>45710.774189814816</v>
      </c>
      <c r="D402" t="s">
        <v>306</v>
      </c>
      <c r="E402" s="4">
        <v>4.1597237929701807</v>
      </c>
      <c r="F402" s="4">
        <v>349886.36585642368</v>
      </c>
      <c r="G402" s="4">
        <v>349890.52558021666</v>
      </c>
      <c r="H402" s="5">
        <f t="shared" si="3"/>
        <v>0</v>
      </c>
      <c r="I402" t="s">
        <v>149</v>
      </c>
      <c r="J402" t="s">
        <v>224</v>
      </c>
      <c r="K402" s="5">
        <f>352 / 86400</f>
        <v>4.0740740740740737E-3</v>
      </c>
      <c r="L402" s="5">
        <f>40 / 86400</f>
        <v>4.6296296296296298E-4</v>
      </c>
    </row>
    <row r="403" spans="1:12" x14ac:dyDescent="0.25">
      <c r="A403" s="3">
        <v>45710.774652777778</v>
      </c>
      <c r="B403" t="s">
        <v>193</v>
      </c>
      <c r="C403" s="3">
        <v>45710.775891203702</v>
      </c>
      <c r="D403" t="s">
        <v>66</v>
      </c>
      <c r="E403" s="4">
        <v>1.32309108710289</v>
      </c>
      <c r="F403" s="4">
        <v>349890.70015452558</v>
      </c>
      <c r="G403" s="4">
        <v>349892.02324561268</v>
      </c>
      <c r="H403" s="5">
        <f t="shared" si="3"/>
        <v>0</v>
      </c>
      <c r="I403" t="s">
        <v>220</v>
      </c>
      <c r="J403" t="s">
        <v>186</v>
      </c>
      <c r="K403" s="5">
        <f>107 / 86400</f>
        <v>1.238425925925926E-3</v>
      </c>
      <c r="L403" s="5">
        <f>40 / 86400</f>
        <v>4.6296296296296298E-4</v>
      </c>
    </row>
    <row r="404" spans="1:12" x14ac:dyDescent="0.25">
      <c r="A404" s="3">
        <v>45710.776354166665</v>
      </c>
      <c r="B404" t="s">
        <v>66</v>
      </c>
      <c r="C404" s="3">
        <v>45710.77924768519</v>
      </c>
      <c r="D404" t="s">
        <v>307</v>
      </c>
      <c r="E404" s="4">
        <v>1.6617714554667473</v>
      </c>
      <c r="F404" s="4">
        <v>349892.14770724124</v>
      </c>
      <c r="G404" s="4">
        <v>349893.80947869673</v>
      </c>
      <c r="H404" s="5">
        <f t="shared" si="3"/>
        <v>0</v>
      </c>
      <c r="I404" t="s">
        <v>153</v>
      </c>
      <c r="J404" t="s">
        <v>137</v>
      </c>
      <c r="K404" s="5">
        <f>250 / 86400</f>
        <v>2.8935185185185184E-3</v>
      </c>
      <c r="L404" s="5">
        <f>20 / 86400</f>
        <v>2.3148148148148149E-4</v>
      </c>
    </row>
    <row r="405" spans="1:12" x14ac:dyDescent="0.25">
      <c r="A405" s="3">
        <v>45710.779479166667</v>
      </c>
      <c r="B405" t="s">
        <v>307</v>
      </c>
      <c r="C405" s="3">
        <v>45710.780173611114</v>
      </c>
      <c r="D405" t="s">
        <v>307</v>
      </c>
      <c r="E405" s="4">
        <v>0.12972530841827393</v>
      </c>
      <c r="F405" s="4">
        <v>349893.82435788203</v>
      </c>
      <c r="G405" s="4">
        <v>349893.95408319042</v>
      </c>
      <c r="H405" s="5">
        <f t="shared" si="3"/>
        <v>0</v>
      </c>
      <c r="I405" t="s">
        <v>45</v>
      </c>
      <c r="J405" t="s">
        <v>150</v>
      </c>
      <c r="K405" s="5">
        <f>60 / 86400</f>
        <v>6.9444444444444447E-4</v>
      </c>
      <c r="L405" s="5">
        <f>5 / 86400</f>
        <v>5.7870370370370373E-5</v>
      </c>
    </row>
    <row r="406" spans="1:12" x14ac:dyDescent="0.25">
      <c r="A406" s="3">
        <v>45710.780231481476</v>
      </c>
      <c r="B406" t="s">
        <v>307</v>
      </c>
      <c r="C406" s="3">
        <v>45710.781388888892</v>
      </c>
      <c r="D406" t="s">
        <v>209</v>
      </c>
      <c r="E406" s="4">
        <v>0.26488974153995515</v>
      </c>
      <c r="F406" s="4">
        <v>349893.95687328232</v>
      </c>
      <c r="G406" s="4">
        <v>349894.22176302387</v>
      </c>
      <c r="H406" s="5">
        <f t="shared" si="3"/>
        <v>0</v>
      </c>
      <c r="I406" t="s">
        <v>29</v>
      </c>
      <c r="J406" t="s">
        <v>168</v>
      </c>
      <c r="K406" s="5">
        <f>100 / 86400</f>
        <v>1.1574074074074073E-3</v>
      </c>
      <c r="L406" s="5">
        <f>20 / 86400</f>
        <v>2.3148148148148149E-4</v>
      </c>
    </row>
    <row r="407" spans="1:12" x14ac:dyDescent="0.25">
      <c r="A407" s="3">
        <v>45710.78162037037</v>
      </c>
      <c r="B407" t="s">
        <v>209</v>
      </c>
      <c r="C407" s="3">
        <v>45710.782025462962</v>
      </c>
      <c r="D407" t="s">
        <v>308</v>
      </c>
      <c r="E407" s="4">
        <v>9.9970629215240484E-2</v>
      </c>
      <c r="F407" s="4">
        <v>349894.26770421152</v>
      </c>
      <c r="G407" s="4">
        <v>349894.36767484073</v>
      </c>
      <c r="H407" s="5">
        <f t="shared" si="3"/>
        <v>0</v>
      </c>
      <c r="I407" t="s">
        <v>135</v>
      </c>
      <c r="J407" t="s">
        <v>168</v>
      </c>
      <c r="K407" s="5">
        <f>35 / 86400</f>
        <v>4.0509259259259258E-4</v>
      </c>
      <c r="L407" s="5">
        <f>11 / 86400</f>
        <v>1.273148148148148E-4</v>
      </c>
    </row>
    <row r="408" spans="1:12" x14ac:dyDescent="0.25">
      <c r="A408" s="3">
        <v>45710.782152777778</v>
      </c>
      <c r="B408" t="s">
        <v>209</v>
      </c>
      <c r="C408" s="3">
        <v>45710.785578703704</v>
      </c>
      <c r="D408" t="s">
        <v>86</v>
      </c>
      <c r="E408" s="4">
        <v>1.1242960121631622</v>
      </c>
      <c r="F408" s="4">
        <v>349894.37233421981</v>
      </c>
      <c r="G408" s="4">
        <v>349895.49663023197</v>
      </c>
      <c r="H408" s="5">
        <f t="shared" si="3"/>
        <v>0</v>
      </c>
      <c r="I408" t="s">
        <v>56</v>
      </c>
      <c r="J408" t="s">
        <v>26</v>
      </c>
      <c r="K408" s="5">
        <f>296 / 86400</f>
        <v>3.425925925925926E-3</v>
      </c>
      <c r="L408" s="5">
        <f>467 / 86400</f>
        <v>5.4050925925925924E-3</v>
      </c>
    </row>
    <row r="409" spans="1:12" x14ac:dyDescent="0.25">
      <c r="A409" s="3">
        <v>45710.790983796294</v>
      </c>
      <c r="B409" t="s">
        <v>309</v>
      </c>
      <c r="C409" s="3">
        <v>45710.791215277779</v>
      </c>
      <c r="D409" t="s">
        <v>86</v>
      </c>
      <c r="E409" s="4">
        <v>2.0712681651115419E-2</v>
      </c>
      <c r="F409" s="4">
        <v>349895.51510540367</v>
      </c>
      <c r="G409" s="4">
        <v>349895.53581808531</v>
      </c>
      <c r="H409" s="5">
        <f t="shared" si="3"/>
        <v>0</v>
      </c>
      <c r="I409" t="s">
        <v>156</v>
      </c>
      <c r="J409" t="s">
        <v>75</v>
      </c>
      <c r="K409" s="5">
        <f>20 / 86400</f>
        <v>2.3148148148148149E-4</v>
      </c>
      <c r="L409" s="5">
        <f>20 / 86400</f>
        <v>2.3148148148148149E-4</v>
      </c>
    </row>
    <row r="410" spans="1:12" x14ac:dyDescent="0.25">
      <c r="A410" s="3">
        <v>45710.791446759264</v>
      </c>
      <c r="B410" t="s">
        <v>86</v>
      </c>
      <c r="C410" s="3">
        <v>45710.791770833333</v>
      </c>
      <c r="D410" t="s">
        <v>310</v>
      </c>
      <c r="E410" s="4">
        <v>9.174805796146393E-2</v>
      </c>
      <c r="F410" s="4">
        <v>349895.5411131719</v>
      </c>
      <c r="G410" s="4">
        <v>349895.63286122982</v>
      </c>
      <c r="H410" s="5">
        <f t="shared" si="3"/>
        <v>0</v>
      </c>
      <c r="I410" t="s">
        <v>140</v>
      </c>
      <c r="J410" t="s">
        <v>139</v>
      </c>
      <c r="K410" s="5">
        <f>28 / 86400</f>
        <v>3.2407407407407406E-4</v>
      </c>
      <c r="L410" s="5">
        <f>20 / 86400</f>
        <v>2.3148148148148149E-4</v>
      </c>
    </row>
    <row r="411" spans="1:12" x14ac:dyDescent="0.25">
      <c r="A411" s="3">
        <v>45710.792002314818</v>
      </c>
      <c r="B411" t="s">
        <v>310</v>
      </c>
      <c r="C411" s="3">
        <v>45710.793310185181</v>
      </c>
      <c r="D411" t="s">
        <v>311</v>
      </c>
      <c r="E411" s="4">
        <v>0.37183492839336396</v>
      </c>
      <c r="F411" s="4">
        <v>349895.65456275857</v>
      </c>
      <c r="G411" s="4">
        <v>349896.02639768698</v>
      </c>
      <c r="H411" s="5">
        <f t="shared" si="3"/>
        <v>0</v>
      </c>
      <c r="I411" t="s">
        <v>64</v>
      </c>
      <c r="J411" t="s">
        <v>139</v>
      </c>
      <c r="K411" s="5">
        <f>113 / 86400</f>
        <v>1.3078703703703703E-3</v>
      </c>
      <c r="L411" s="5">
        <f>20 / 86400</f>
        <v>2.3148148148148149E-4</v>
      </c>
    </row>
    <row r="412" spans="1:12" x14ac:dyDescent="0.25">
      <c r="A412" s="3">
        <v>45710.793541666666</v>
      </c>
      <c r="B412" t="s">
        <v>311</v>
      </c>
      <c r="C412" s="3">
        <v>45710.793773148151</v>
      </c>
      <c r="D412" t="s">
        <v>311</v>
      </c>
      <c r="E412" s="4">
        <v>2.985293447971344E-3</v>
      </c>
      <c r="F412" s="4">
        <v>349896.04025712737</v>
      </c>
      <c r="G412" s="4">
        <v>349896.04324242077</v>
      </c>
      <c r="H412" s="5">
        <f t="shared" si="3"/>
        <v>0</v>
      </c>
      <c r="I412" t="s">
        <v>156</v>
      </c>
      <c r="J412" t="s">
        <v>124</v>
      </c>
      <c r="K412" s="5">
        <f>20 / 86400</f>
        <v>2.3148148148148149E-4</v>
      </c>
      <c r="L412" s="5">
        <f>121 / 86400</f>
        <v>1.4004629629629629E-3</v>
      </c>
    </row>
    <row r="413" spans="1:12" x14ac:dyDescent="0.25">
      <c r="A413" s="3">
        <v>45710.795173611114</v>
      </c>
      <c r="B413" t="s">
        <v>311</v>
      </c>
      <c r="C413" s="3">
        <v>45710.795405092591</v>
      </c>
      <c r="D413" t="s">
        <v>311</v>
      </c>
      <c r="E413" s="4">
        <v>9.3667002320289607E-3</v>
      </c>
      <c r="F413" s="4">
        <v>349896.07548636518</v>
      </c>
      <c r="G413" s="4">
        <v>349896.08485306543</v>
      </c>
      <c r="H413" s="5">
        <f t="shared" si="3"/>
        <v>0</v>
      </c>
      <c r="I413" t="s">
        <v>113</v>
      </c>
      <c r="J413" t="s">
        <v>113</v>
      </c>
      <c r="K413" s="5">
        <f>20 / 86400</f>
        <v>2.3148148148148149E-4</v>
      </c>
      <c r="L413" s="5">
        <f>79 / 86400</f>
        <v>9.1435185185185185E-4</v>
      </c>
    </row>
    <row r="414" spans="1:12" x14ac:dyDescent="0.25">
      <c r="A414" s="3">
        <v>45710.796319444446</v>
      </c>
      <c r="B414" t="s">
        <v>311</v>
      </c>
      <c r="C414" s="3">
        <v>45710.796574074076</v>
      </c>
      <c r="D414" t="s">
        <v>311</v>
      </c>
      <c r="E414" s="4">
        <v>6.5120100975036618E-3</v>
      </c>
      <c r="F414" s="4">
        <v>349896.09388562141</v>
      </c>
      <c r="G414" s="4">
        <v>349896.10039763153</v>
      </c>
      <c r="H414" s="5">
        <f t="shared" si="3"/>
        <v>0</v>
      </c>
      <c r="I414" t="s">
        <v>156</v>
      </c>
      <c r="J414" t="s">
        <v>124</v>
      </c>
      <c r="K414" s="5">
        <f>22 / 86400</f>
        <v>2.5462962962962961E-4</v>
      </c>
      <c r="L414" s="5">
        <f>200 / 86400</f>
        <v>2.3148148148148147E-3</v>
      </c>
    </row>
    <row r="415" spans="1:12" x14ac:dyDescent="0.25">
      <c r="A415" s="3">
        <v>45710.798888888894</v>
      </c>
      <c r="B415" t="s">
        <v>312</v>
      </c>
      <c r="C415" s="3">
        <v>45710.799120370371</v>
      </c>
      <c r="D415" t="s">
        <v>311</v>
      </c>
      <c r="E415" s="4">
        <v>1.1198630332946778E-3</v>
      </c>
      <c r="F415" s="4">
        <v>349896.12583703565</v>
      </c>
      <c r="G415" s="4">
        <v>349896.12695689866</v>
      </c>
      <c r="H415" s="5">
        <f t="shared" si="3"/>
        <v>0</v>
      </c>
      <c r="I415" t="s">
        <v>124</v>
      </c>
      <c r="J415" t="s">
        <v>77</v>
      </c>
      <c r="K415" s="5">
        <f>20 / 86400</f>
        <v>2.3148148148148149E-4</v>
      </c>
      <c r="L415" s="5">
        <f>264 / 86400</f>
        <v>3.0555555555555557E-3</v>
      </c>
    </row>
    <row r="416" spans="1:12" x14ac:dyDescent="0.25">
      <c r="A416" s="3">
        <v>45710.802175925928</v>
      </c>
      <c r="B416" t="s">
        <v>312</v>
      </c>
      <c r="C416" s="3">
        <v>45710.802569444444</v>
      </c>
      <c r="D416" t="s">
        <v>313</v>
      </c>
      <c r="E416" s="4">
        <v>0.11533739179372787</v>
      </c>
      <c r="F416" s="4">
        <v>349896.15675928543</v>
      </c>
      <c r="G416" s="4">
        <v>349896.27209667722</v>
      </c>
      <c r="H416" s="5">
        <f t="shared" si="3"/>
        <v>0</v>
      </c>
      <c r="I416" t="s">
        <v>150</v>
      </c>
      <c r="J416" t="s">
        <v>139</v>
      </c>
      <c r="K416" s="5">
        <f>34 / 86400</f>
        <v>3.9351851851851852E-4</v>
      </c>
      <c r="L416" s="5">
        <f t="shared" ref="L416:L423" si="4">20 / 86400</f>
        <v>2.3148148148148149E-4</v>
      </c>
    </row>
    <row r="417" spans="1:12" x14ac:dyDescent="0.25">
      <c r="A417" s="3">
        <v>45710.802800925929</v>
      </c>
      <c r="B417" t="s">
        <v>313</v>
      </c>
      <c r="C417" s="3">
        <v>45710.803032407406</v>
      </c>
      <c r="D417" t="s">
        <v>313</v>
      </c>
      <c r="E417" s="4">
        <v>8.0263763070106513E-3</v>
      </c>
      <c r="F417" s="4">
        <v>349896.38434566307</v>
      </c>
      <c r="G417" s="4">
        <v>349896.39237203938</v>
      </c>
      <c r="H417" s="5">
        <f t="shared" si="3"/>
        <v>0</v>
      </c>
      <c r="I417" t="s">
        <v>29</v>
      </c>
      <c r="J417" t="s">
        <v>124</v>
      </c>
      <c r="K417" s="5">
        <f>20 / 86400</f>
        <v>2.3148148148148149E-4</v>
      </c>
      <c r="L417" s="5">
        <f t="shared" si="4"/>
        <v>2.3148148148148149E-4</v>
      </c>
    </row>
    <row r="418" spans="1:12" x14ac:dyDescent="0.25">
      <c r="A418" s="3">
        <v>45710.803263888884</v>
      </c>
      <c r="B418" t="s">
        <v>310</v>
      </c>
      <c r="C418" s="3">
        <v>45710.807430555556</v>
      </c>
      <c r="D418" t="s">
        <v>306</v>
      </c>
      <c r="E418" s="4">
        <v>2.8231751357913017</v>
      </c>
      <c r="F418" s="4">
        <v>349896.404053515</v>
      </c>
      <c r="G418" s="4">
        <v>349899.22722865082</v>
      </c>
      <c r="H418" s="5">
        <f t="shared" si="3"/>
        <v>0</v>
      </c>
      <c r="I418" t="s">
        <v>301</v>
      </c>
      <c r="J418" t="s">
        <v>56</v>
      </c>
      <c r="K418" s="5">
        <f>360 / 86400</f>
        <v>4.1666666666666666E-3</v>
      </c>
      <c r="L418" s="5">
        <f t="shared" si="4"/>
        <v>2.3148148148148149E-4</v>
      </c>
    </row>
    <row r="419" spans="1:12" x14ac:dyDescent="0.25">
      <c r="A419" s="3">
        <v>45710.807662037041</v>
      </c>
      <c r="B419" t="s">
        <v>193</v>
      </c>
      <c r="C419" s="3">
        <v>45710.809282407412</v>
      </c>
      <c r="D419" t="s">
        <v>191</v>
      </c>
      <c r="E419" s="4">
        <v>1.5061549341082574</v>
      </c>
      <c r="F419" s="4">
        <v>349899.34986117436</v>
      </c>
      <c r="G419" s="4">
        <v>349900.85601610848</v>
      </c>
      <c r="H419" s="5">
        <f t="shared" si="3"/>
        <v>0</v>
      </c>
      <c r="I419" t="s">
        <v>194</v>
      </c>
      <c r="J419" t="s">
        <v>173</v>
      </c>
      <c r="K419" s="5">
        <f>140 / 86400</f>
        <v>1.6203703703703703E-3</v>
      </c>
      <c r="L419" s="5">
        <f t="shared" si="4"/>
        <v>2.3148148148148149E-4</v>
      </c>
    </row>
    <row r="420" spans="1:12" x14ac:dyDescent="0.25">
      <c r="A420" s="3">
        <v>45710.809513888889</v>
      </c>
      <c r="B420" t="s">
        <v>314</v>
      </c>
      <c r="C420" s="3">
        <v>45710.810439814813</v>
      </c>
      <c r="D420" t="s">
        <v>315</v>
      </c>
      <c r="E420" s="4">
        <v>1.0553825743198395</v>
      </c>
      <c r="F420" s="4">
        <v>349900.88475877047</v>
      </c>
      <c r="G420" s="4">
        <v>349901.94014134479</v>
      </c>
      <c r="H420" s="5">
        <f t="shared" si="3"/>
        <v>0</v>
      </c>
      <c r="I420" t="s">
        <v>176</v>
      </c>
      <c r="J420" t="s">
        <v>211</v>
      </c>
      <c r="K420" s="5">
        <f>80 / 86400</f>
        <v>9.2592592592592596E-4</v>
      </c>
      <c r="L420" s="5">
        <f t="shared" si="4"/>
        <v>2.3148148148148149E-4</v>
      </c>
    </row>
    <row r="421" spans="1:12" x14ac:dyDescent="0.25">
      <c r="A421" s="3">
        <v>45710.810671296298</v>
      </c>
      <c r="B421" t="s">
        <v>316</v>
      </c>
      <c r="C421" s="3">
        <v>45710.812708333338</v>
      </c>
      <c r="D421" t="s">
        <v>216</v>
      </c>
      <c r="E421" s="4">
        <v>1.4797291882634163</v>
      </c>
      <c r="F421" s="4">
        <v>349901.97751924675</v>
      </c>
      <c r="G421" s="4">
        <v>349903.45724843501</v>
      </c>
      <c r="H421" s="5">
        <f t="shared" si="3"/>
        <v>0</v>
      </c>
      <c r="I421" t="s">
        <v>286</v>
      </c>
      <c r="J421" t="s">
        <v>188</v>
      </c>
      <c r="K421" s="5">
        <f>176 / 86400</f>
        <v>2.0370370370370369E-3</v>
      </c>
      <c r="L421" s="5">
        <f t="shared" si="4"/>
        <v>2.3148148148148149E-4</v>
      </c>
    </row>
    <row r="422" spans="1:12" x14ac:dyDescent="0.25">
      <c r="A422" s="3">
        <v>45710.812939814816</v>
      </c>
      <c r="B422" t="s">
        <v>317</v>
      </c>
      <c r="C422" s="3">
        <v>45710.815636574072</v>
      </c>
      <c r="D422" t="s">
        <v>35</v>
      </c>
      <c r="E422" s="4">
        <v>2.1257985569238662</v>
      </c>
      <c r="F422" s="4">
        <v>349903.61162628891</v>
      </c>
      <c r="G422" s="4">
        <v>349905.73742484581</v>
      </c>
      <c r="H422" s="5">
        <f t="shared" si="3"/>
        <v>0</v>
      </c>
      <c r="I422" t="s">
        <v>157</v>
      </c>
      <c r="J422" t="s">
        <v>182</v>
      </c>
      <c r="K422" s="5">
        <f>233 / 86400</f>
        <v>2.6967592592592594E-3</v>
      </c>
      <c r="L422" s="5">
        <f t="shared" si="4"/>
        <v>2.3148148148148149E-4</v>
      </c>
    </row>
    <row r="423" spans="1:12" x14ac:dyDescent="0.25">
      <c r="A423" s="3">
        <v>45710.815868055557</v>
      </c>
      <c r="B423" t="s">
        <v>35</v>
      </c>
      <c r="C423" s="3">
        <v>45710.820266203707</v>
      </c>
      <c r="D423" t="s">
        <v>185</v>
      </c>
      <c r="E423" s="4">
        <v>4.9812845687270162</v>
      </c>
      <c r="F423" s="4">
        <v>349905.83464834152</v>
      </c>
      <c r="G423" s="4">
        <v>349910.81593291025</v>
      </c>
      <c r="H423" s="5">
        <f t="shared" si="3"/>
        <v>0</v>
      </c>
      <c r="I423" t="s">
        <v>36</v>
      </c>
      <c r="J423" t="s">
        <v>211</v>
      </c>
      <c r="K423" s="5">
        <f>380 / 86400</f>
        <v>4.3981481481481484E-3</v>
      </c>
      <c r="L423" s="5">
        <f t="shared" si="4"/>
        <v>2.3148148148148149E-4</v>
      </c>
    </row>
    <row r="424" spans="1:12" x14ac:dyDescent="0.25">
      <c r="A424" s="3">
        <v>45710.820497685185</v>
      </c>
      <c r="B424" t="s">
        <v>185</v>
      </c>
      <c r="C424" s="3">
        <v>45710.821053240739</v>
      </c>
      <c r="D424" t="s">
        <v>183</v>
      </c>
      <c r="E424" s="4">
        <v>7.5928689360618598E-2</v>
      </c>
      <c r="F424" s="4">
        <v>349910.84741653095</v>
      </c>
      <c r="G424" s="4">
        <v>349910.92334522033</v>
      </c>
      <c r="H424" s="5">
        <f t="shared" si="3"/>
        <v>0</v>
      </c>
      <c r="I424" t="s">
        <v>42</v>
      </c>
      <c r="J424" t="s">
        <v>31</v>
      </c>
      <c r="K424" s="5">
        <f>48 / 86400</f>
        <v>5.5555555555555556E-4</v>
      </c>
      <c r="L424" s="5">
        <f>60 / 86400</f>
        <v>6.9444444444444447E-4</v>
      </c>
    </row>
    <row r="425" spans="1:12" x14ac:dyDescent="0.25">
      <c r="A425" s="3">
        <v>45710.821747685186</v>
      </c>
      <c r="B425" t="s">
        <v>94</v>
      </c>
      <c r="C425" s="3">
        <v>45710.821979166663</v>
      </c>
      <c r="D425" t="s">
        <v>94</v>
      </c>
      <c r="E425" s="4">
        <v>3.6253631114959717E-3</v>
      </c>
      <c r="F425" s="4">
        <v>349910.95827885531</v>
      </c>
      <c r="G425" s="4">
        <v>349910.96190421842</v>
      </c>
      <c r="H425" s="5">
        <f t="shared" si="3"/>
        <v>0</v>
      </c>
      <c r="I425" t="s">
        <v>156</v>
      </c>
      <c r="J425" t="s">
        <v>124</v>
      </c>
      <c r="K425" s="5">
        <f>20 / 86400</f>
        <v>2.3148148148148149E-4</v>
      </c>
      <c r="L425" s="5">
        <f>120 / 86400</f>
        <v>1.3888888888888889E-3</v>
      </c>
    </row>
    <row r="426" spans="1:12" x14ac:dyDescent="0.25">
      <c r="A426" s="3">
        <v>45710.823368055557</v>
      </c>
      <c r="B426" t="s">
        <v>94</v>
      </c>
      <c r="C426" s="3">
        <v>45710.824525462958</v>
      </c>
      <c r="D426" t="s">
        <v>183</v>
      </c>
      <c r="E426" s="4">
        <v>1.0970416392683984</v>
      </c>
      <c r="F426" s="4">
        <v>349911.00514136459</v>
      </c>
      <c r="G426" s="4">
        <v>349912.10218300385</v>
      </c>
      <c r="H426" s="5">
        <f t="shared" ref="H426:H489" si="5">0 / 86400</f>
        <v>0</v>
      </c>
      <c r="I426" t="s">
        <v>260</v>
      </c>
      <c r="J426" t="s">
        <v>173</v>
      </c>
      <c r="K426" s="5">
        <f>100 / 86400</f>
        <v>1.1574074074074073E-3</v>
      </c>
      <c r="L426" s="5">
        <f>20 / 86400</f>
        <v>2.3148148148148149E-4</v>
      </c>
    </row>
    <row r="427" spans="1:12" x14ac:dyDescent="0.25">
      <c r="A427" s="3">
        <v>45710.824756944443</v>
      </c>
      <c r="B427" t="s">
        <v>183</v>
      </c>
      <c r="C427" s="3">
        <v>45710.82545138889</v>
      </c>
      <c r="D427" t="s">
        <v>223</v>
      </c>
      <c r="E427" s="4">
        <v>0.83154013353586198</v>
      </c>
      <c r="F427" s="4">
        <v>349912.11391221179</v>
      </c>
      <c r="G427" s="4">
        <v>349912.9454523453</v>
      </c>
      <c r="H427" s="5">
        <f t="shared" si="5"/>
        <v>0</v>
      </c>
      <c r="I427" t="s">
        <v>110</v>
      </c>
      <c r="J427" t="s">
        <v>153</v>
      </c>
      <c r="K427" s="5">
        <f>60 / 86400</f>
        <v>6.9444444444444447E-4</v>
      </c>
      <c r="L427" s="5">
        <f>20 / 86400</f>
        <v>2.3148148148148149E-4</v>
      </c>
    </row>
    <row r="428" spans="1:12" x14ac:dyDescent="0.25">
      <c r="A428" s="3">
        <v>45710.825682870374</v>
      </c>
      <c r="B428" t="s">
        <v>223</v>
      </c>
      <c r="C428" s="3">
        <v>45710.826377314814</v>
      </c>
      <c r="D428" t="s">
        <v>318</v>
      </c>
      <c r="E428" s="4">
        <v>0.51955118036270143</v>
      </c>
      <c r="F428" s="4">
        <v>349912.9514070421</v>
      </c>
      <c r="G428" s="4">
        <v>349913.47095822246</v>
      </c>
      <c r="H428" s="5">
        <f t="shared" si="5"/>
        <v>0</v>
      </c>
      <c r="I428" t="s">
        <v>74</v>
      </c>
      <c r="J428" t="s">
        <v>192</v>
      </c>
      <c r="K428" s="5">
        <f>60 / 86400</f>
        <v>6.9444444444444447E-4</v>
      </c>
      <c r="L428" s="5">
        <f>40 / 86400</f>
        <v>4.6296296296296298E-4</v>
      </c>
    </row>
    <row r="429" spans="1:12" x14ac:dyDescent="0.25">
      <c r="A429" s="3">
        <v>45710.826840277776</v>
      </c>
      <c r="B429" t="s">
        <v>223</v>
      </c>
      <c r="C429" s="3">
        <v>45710.828460648147</v>
      </c>
      <c r="D429" t="s">
        <v>223</v>
      </c>
      <c r="E429" s="4">
        <v>1.6124711599946022</v>
      </c>
      <c r="F429" s="4">
        <v>349913.61717562797</v>
      </c>
      <c r="G429" s="4">
        <v>349915.22964678792</v>
      </c>
      <c r="H429" s="5">
        <f t="shared" si="5"/>
        <v>0</v>
      </c>
      <c r="I429" t="s">
        <v>152</v>
      </c>
      <c r="J429" t="s">
        <v>215</v>
      </c>
      <c r="K429" s="5">
        <f>140 / 86400</f>
        <v>1.6203703703703703E-3</v>
      </c>
      <c r="L429" s="5">
        <f>40 / 86400</f>
        <v>4.6296296296296298E-4</v>
      </c>
    </row>
    <row r="430" spans="1:12" x14ac:dyDescent="0.25">
      <c r="A430" s="3">
        <v>45710.828923611116</v>
      </c>
      <c r="B430" t="s">
        <v>101</v>
      </c>
      <c r="C430" s="3">
        <v>45710.829155092593</v>
      </c>
      <c r="D430" t="s">
        <v>319</v>
      </c>
      <c r="E430" s="4">
        <v>0.26818097651004791</v>
      </c>
      <c r="F430" s="4">
        <v>349915.39907070581</v>
      </c>
      <c r="G430" s="4">
        <v>349915.66725168232</v>
      </c>
      <c r="H430" s="5">
        <f t="shared" si="5"/>
        <v>0</v>
      </c>
      <c r="I430" t="s">
        <v>301</v>
      </c>
      <c r="J430" t="s">
        <v>196</v>
      </c>
      <c r="K430" s="5">
        <f>20 / 86400</f>
        <v>2.3148148148148149E-4</v>
      </c>
      <c r="L430" s="5">
        <f>40 / 86400</f>
        <v>4.6296296296296298E-4</v>
      </c>
    </row>
    <row r="431" spans="1:12" x14ac:dyDescent="0.25">
      <c r="A431" s="3">
        <v>45710.829618055555</v>
      </c>
      <c r="B431" t="s">
        <v>101</v>
      </c>
      <c r="C431" s="3">
        <v>45710.830543981487</v>
      </c>
      <c r="D431" t="s">
        <v>300</v>
      </c>
      <c r="E431" s="4">
        <v>0.67171348690986632</v>
      </c>
      <c r="F431" s="4">
        <v>349915.8555354994</v>
      </c>
      <c r="G431" s="4">
        <v>349916.5272489863</v>
      </c>
      <c r="H431" s="5">
        <f t="shared" si="5"/>
        <v>0</v>
      </c>
      <c r="I431" t="s">
        <v>320</v>
      </c>
      <c r="J431" t="s">
        <v>188</v>
      </c>
      <c r="K431" s="5">
        <f>80 / 86400</f>
        <v>9.2592592592592596E-4</v>
      </c>
      <c r="L431" s="5">
        <f>20 / 86400</f>
        <v>2.3148148148148149E-4</v>
      </c>
    </row>
    <row r="432" spans="1:12" x14ac:dyDescent="0.25">
      <c r="A432" s="3">
        <v>45710.830775462964</v>
      </c>
      <c r="B432" t="s">
        <v>101</v>
      </c>
      <c r="C432" s="3">
        <v>45710.831469907411</v>
      </c>
      <c r="D432" t="s">
        <v>101</v>
      </c>
      <c r="E432" s="4">
        <v>0.53640289521217344</v>
      </c>
      <c r="F432" s="4">
        <v>349916.61113055079</v>
      </c>
      <c r="G432" s="4">
        <v>349917.14753344603</v>
      </c>
      <c r="H432" s="5">
        <f t="shared" si="5"/>
        <v>0</v>
      </c>
      <c r="I432" t="s">
        <v>99</v>
      </c>
      <c r="J432" t="s">
        <v>123</v>
      </c>
      <c r="K432" s="5">
        <f>60 / 86400</f>
        <v>6.9444444444444447E-4</v>
      </c>
      <c r="L432" s="5">
        <f>26 / 86400</f>
        <v>3.0092592592592595E-4</v>
      </c>
    </row>
    <row r="433" spans="1:12" x14ac:dyDescent="0.25">
      <c r="A433" s="3">
        <v>45710.831770833334</v>
      </c>
      <c r="B433" t="s">
        <v>101</v>
      </c>
      <c r="C433" s="3">
        <v>45710.832465277781</v>
      </c>
      <c r="D433" t="s">
        <v>101</v>
      </c>
      <c r="E433" s="4">
        <v>0.77743248331546788</v>
      </c>
      <c r="F433" s="4">
        <v>349917.15055664704</v>
      </c>
      <c r="G433" s="4">
        <v>349917.92798913037</v>
      </c>
      <c r="H433" s="5">
        <f t="shared" si="5"/>
        <v>0</v>
      </c>
      <c r="I433" t="s">
        <v>63</v>
      </c>
      <c r="J433" t="s">
        <v>211</v>
      </c>
      <c r="K433" s="5">
        <f>60 / 86400</f>
        <v>6.9444444444444447E-4</v>
      </c>
      <c r="L433" s="5">
        <f>60 / 86400</f>
        <v>6.9444444444444447E-4</v>
      </c>
    </row>
    <row r="434" spans="1:12" x14ac:dyDescent="0.25">
      <c r="A434" s="3">
        <v>45710.83315972222</v>
      </c>
      <c r="B434" t="s">
        <v>101</v>
      </c>
      <c r="C434" s="3">
        <v>45710.834317129629</v>
      </c>
      <c r="D434" t="s">
        <v>225</v>
      </c>
      <c r="E434" s="4">
        <v>0.82056323438882828</v>
      </c>
      <c r="F434" s="4">
        <v>349918.03503740969</v>
      </c>
      <c r="G434" s="4">
        <v>349918.85560064408</v>
      </c>
      <c r="H434" s="5">
        <f t="shared" si="5"/>
        <v>0</v>
      </c>
      <c r="I434" t="s">
        <v>224</v>
      </c>
      <c r="J434" t="s">
        <v>188</v>
      </c>
      <c r="K434" s="5">
        <f>100 / 86400</f>
        <v>1.1574074074074073E-3</v>
      </c>
      <c r="L434" s="5">
        <f>20 / 86400</f>
        <v>2.3148148148148149E-4</v>
      </c>
    </row>
    <row r="435" spans="1:12" x14ac:dyDescent="0.25">
      <c r="A435" s="3">
        <v>45710.834548611107</v>
      </c>
      <c r="B435" t="s">
        <v>225</v>
      </c>
      <c r="C435" s="3">
        <v>45710.834895833337</v>
      </c>
      <c r="D435" t="s">
        <v>101</v>
      </c>
      <c r="E435" s="4">
        <v>1.9215664327144624E-2</v>
      </c>
      <c r="F435" s="4">
        <v>349918.86519677652</v>
      </c>
      <c r="G435" s="4">
        <v>349918.88441244082</v>
      </c>
      <c r="H435" s="5">
        <f t="shared" si="5"/>
        <v>0</v>
      </c>
      <c r="I435" t="s">
        <v>31</v>
      </c>
      <c r="J435" t="s">
        <v>113</v>
      </c>
      <c r="K435" s="5">
        <f>30 / 86400</f>
        <v>3.4722222222222224E-4</v>
      </c>
      <c r="L435" s="5">
        <f>40 / 86400</f>
        <v>4.6296296296296298E-4</v>
      </c>
    </row>
    <row r="436" spans="1:12" x14ac:dyDescent="0.25">
      <c r="A436" s="3">
        <v>45710.835358796292</v>
      </c>
      <c r="B436" t="s">
        <v>101</v>
      </c>
      <c r="C436" s="3">
        <v>45710.836053240739</v>
      </c>
      <c r="D436" t="s">
        <v>101</v>
      </c>
      <c r="E436" s="4">
        <v>0.47930610507726668</v>
      </c>
      <c r="F436" s="4">
        <v>349918.89373490604</v>
      </c>
      <c r="G436" s="4">
        <v>349919.3730410111</v>
      </c>
      <c r="H436" s="5">
        <f t="shared" si="5"/>
        <v>0</v>
      </c>
      <c r="I436" t="s">
        <v>162</v>
      </c>
      <c r="J436" t="s">
        <v>167</v>
      </c>
      <c r="K436" s="5">
        <f>60 / 86400</f>
        <v>6.9444444444444447E-4</v>
      </c>
      <c r="L436" s="5">
        <f>20 / 86400</f>
        <v>2.3148148148148149E-4</v>
      </c>
    </row>
    <row r="437" spans="1:12" x14ac:dyDescent="0.25">
      <c r="A437" s="3">
        <v>45710.836284722223</v>
      </c>
      <c r="B437" t="s">
        <v>101</v>
      </c>
      <c r="C437" s="3">
        <v>45710.836979166663</v>
      </c>
      <c r="D437" t="s">
        <v>101</v>
      </c>
      <c r="E437" s="4">
        <v>0.49236156719923019</v>
      </c>
      <c r="F437" s="4">
        <v>349919.39426172792</v>
      </c>
      <c r="G437" s="4">
        <v>349919.88662329514</v>
      </c>
      <c r="H437" s="5">
        <f t="shared" si="5"/>
        <v>0</v>
      </c>
      <c r="I437" t="s">
        <v>177</v>
      </c>
      <c r="J437" t="s">
        <v>188</v>
      </c>
      <c r="K437" s="5">
        <f>60 / 86400</f>
        <v>6.9444444444444447E-4</v>
      </c>
      <c r="L437" s="5">
        <f>20 / 86400</f>
        <v>2.3148148148148149E-4</v>
      </c>
    </row>
    <row r="438" spans="1:12" x14ac:dyDescent="0.25">
      <c r="A438" s="3">
        <v>45710.837210648147</v>
      </c>
      <c r="B438" t="s">
        <v>101</v>
      </c>
      <c r="C438" s="3">
        <v>45710.837673611109</v>
      </c>
      <c r="D438" t="s">
        <v>95</v>
      </c>
      <c r="E438" s="4">
        <v>0.60309051066637043</v>
      </c>
      <c r="F438" s="4">
        <v>349919.97875741258</v>
      </c>
      <c r="G438" s="4">
        <v>349920.58184792323</v>
      </c>
      <c r="H438" s="5">
        <f t="shared" si="5"/>
        <v>0</v>
      </c>
      <c r="I438" t="s">
        <v>60</v>
      </c>
      <c r="J438" t="s">
        <v>320</v>
      </c>
      <c r="K438" s="5">
        <f>40 / 86400</f>
        <v>4.6296296296296298E-4</v>
      </c>
      <c r="L438" s="5">
        <f>60 / 86400</f>
        <v>6.9444444444444447E-4</v>
      </c>
    </row>
    <row r="439" spans="1:12" x14ac:dyDescent="0.25">
      <c r="A439" s="3">
        <v>45710.838368055556</v>
      </c>
      <c r="B439" t="s">
        <v>95</v>
      </c>
      <c r="C439" s="3">
        <v>45710.839062500003</v>
      </c>
      <c r="D439" t="s">
        <v>95</v>
      </c>
      <c r="E439" s="4">
        <v>0.55527573734521862</v>
      </c>
      <c r="F439" s="4">
        <v>349920.70852016052</v>
      </c>
      <c r="G439" s="4">
        <v>349921.26379589783</v>
      </c>
      <c r="H439" s="5">
        <f t="shared" si="5"/>
        <v>0</v>
      </c>
      <c r="I439" t="s">
        <v>215</v>
      </c>
      <c r="J439" t="s">
        <v>182</v>
      </c>
      <c r="K439" s="5">
        <f>60 / 86400</f>
        <v>6.9444444444444447E-4</v>
      </c>
      <c r="L439" s="5">
        <f>20 / 86400</f>
        <v>2.3148148148148149E-4</v>
      </c>
    </row>
    <row r="440" spans="1:12" x14ac:dyDescent="0.25">
      <c r="A440" s="3">
        <v>45710.83929398148</v>
      </c>
      <c r="B440" t="s">
        <v>95</v>
      </c>
      <c r="C440" s="3">
        <v>45710.840451388889</v>
      </c>
      <c r="D440" t="s">
        <v>95</v>
      </c>
      <c r="E440" s="4">
        <v>0.76250885522365575</v>
      </c>
      <c r="F440" s="4">
        <v>349921.34686368675</v>
      </c>
      <c r="G440" s="4">
        <v>349922.10937254195</v>
      </c>
      <c r="H440" s="5">
        <f t="shared" si="5"/>
        <v>0</v>
      </c>
      <c r="I440" t="s">
        <v>219</v>
      </c>
      <c r="J440" t="s">
        <v>30</v>
      </c>
      <c r="K440" s="5">
        <f>100 / 86400</f>
        <v>1.1574074074074073E-3</v>
      </c>
      <c r="L440" s="5">
        <f>20 / 86400</f>
        <v>2.3148148148148149E-4</v>
      </c>
    </row>
    <row r="441" spans="1:12" x14ac:dyDescent="0.25">
      <c r="A441" s="3">
        <v>45710.840682870374</v>
      </c>
      <c r="B441" t="s">
        <v>95</v>
      </c>
      <c r="C441" s="3">
        <v>45710.842083333337</v>
      </c>
      <c r="D441" t="s">
        <v>115</v>
      </c>
      <c r="E441" s="4">
        <v>0.65142300021648403</v>
      </c>
      <c r="F441" s="4">
        <v>349922.11138498207</v>
      </c>
      <c r="G441" s="4">
        <v>349922.76280798228</v>
      </c>
      <c r="H441" s="5">
        <f t="shared" si="5"/>
        <v>0</v>
      </c>
      <c r="I441" t="s">
        <v>162</v>
      </c>
      <c r="J441" t="s">
        <v>80</v>
      </c>
      <c r="K441" s="5">
        <f>121 / 86400</f>
        <v>1.4004629629629629E-3</v>
      </c>
      <c r="L441" s="5">
        <f>22 / 86400</f>
        <v>2.5462962962962961E-4</v>
      </c>
    </row>
    <row r="442" spans="1:12" x14ac:dyDescent="0.25">
      <c r="A442" s="3">
        <v>45710.842337962968</v>
      </c>
      <c r="B442" t="s">
        <v>321</v>
      </c>
      <c r="C442" s="3">
        <v>45710.845243055555</v>
      </c>
      <c r="D442" t="s">
        <v>163</v>
      </c>
      <c r="E442" s="4">
        <v>1.1118946748971938</v>
      </c>
      <c r="F442" s="4">
        <v>349922.77292011218</v>
      </c>
      <c r="G442" s="4">
        <v>349923.88481478707</v>
      </c>
      <c r="H442" s="5">
        <f t="shared" si="5"/>
        <v>0</v>
      </c>
      <c r="I442" t="s">
        <v>112</v>
      </c>
      <c r="J442" t="s">
        <v>33</v>
      </c>
      <c r="K442" s="5">
        <f>251 / 86400</f>
        <v>2.9050925925925928E-3</v>
      </c>
      <c r="L442" s="5">
        <f>20 / 86400</f>
        <v>2.3148148148148149E-4</v>
      </c>
    </row>
    <row r="443" spans="1:12" x14ac:dyDescent="0.25">
      <c r="A443" s="3">
        <v>45710.84547453704</v>
      </c>
      <c r="B443" t="s">
        <v>163</v>
      </c>
      <c r="C443" s="3">
        <v>45710.845706018517</v>
      </c>
      <c r="D443" t="s">
        <v>102</v>
      </c>
      <c r="E443" s="4">
        <v>1.3079329133033753E-2</v>
      </c>
      <c r="F443" s="4">
        <v>349923.89632194681</v>
      </c>
      <c r="G443" s="4">
        <v>349923.90940127592</v>
      </c>
      <c r="H443" s="5">
        <f t="shared" si="5"/>
        <v>0</v>
      </c>
      <c r="I443" t="s">
        <v>113</v>
      </c>
      <c r="J443" t="s">
        <v>113</v>
      </c>
      <c r="K443" s="5">
        <f>20 / 86400</f>
        <v>2.3148148148148149E-4</v>
      </c>
      <c r="L443" s="5">
        <f>20 / 86400</f>
        <v>2.3148148148148149E-4</v>
      </c>
    </row>
    <row r="444" spans="1:12" x14ac:dyDescent="0.25">
      <c r="A444" s="3">
        <v>45710.845937499995</v>
      </c>
      <c r="B444" t="s">
        <v>102</v>
      </c>
      <c r="C444" s="3">
        <v>45710.846168981487</v>
      </c>
      <c r="D444" t="s">
        <v>102</v>
      </c>
      <c r="E444" s="4">
        <v>3.3475741147994996E-3</v>
      </c>
      <c r="F444" s="4">
        <v>349923.91279919841</v>
      </c>
      <c r="G444" s="4">
        <v>349923.91614677251</v>
      </c>
      <c r="H444" s="5">
        <f t="shared" si="5"/>
        <v>0</v>
      </c>
      <c r="I444" t="s">
        <v>113</v>
      </c>
      <c r="J444" t="s">
        <v>124</v>
      </c>
      <c r="K444" s="5">
        <f>20 / 86400</f>
        <v>2.3148148148148149E-4</v>
      </c>
      <c r="L444" s="5">
        <f>40 / 86400</f>
        <v>4.6296296296296298E-4</v>
      </c>
    </row>
    <row r="445" spans="1:12" x14ac:dyDescent="0.25">
      <c r="A445" s="3">
        <v>45710.846631944441</v>
      </c>
      <c r="B445" t="s">
        <v>102</v>
      </c>
      <c r="C445" s="3">
        <v>45710.846863425926</v>
      </c>
      <c r="D445" t="s">
        <v>102</v>
      </c>
      <c r="E445" s="4">
        <v>1.6872642040252686E-3</v>
      </c>
      <c r="F445" s="4">
        <v>349923.92130284559</v>
      </c>
      <c r="G445" s="4">
        <v>349923.92299010983</v>
      </c>
      <c r="H445" s="5">
        <f t="shared" si="5"/>
        <v>0</v>
      </c>
      <c r="I445" t="s">
        <v>124</v>
      </c>
      <c r="J445" t="s">
        <v>77</v>
      </c>
      <c r="K445" s="5">
        <f>20 / 86400</f>
        <v>2.3148148148148149E-4</v>
      </c>
      <c r="L445" s="5">
        <f>120 / 86400</f>
        <v>1.3888888888888889E-3</v>
      </c>
    </row>
    <row r="446" spans="1:12" x14ac:dyDescent="0.25">
      <c r="A446" s="3">
        <v>45710.848252314812</v>
      </c>
      <c r="B446" t="s">
        <v>163</v>
      </c>
      <c r="C446" s="3">
        <v>45710.849178240736</v>
      </c>
      <c r="D446" t="s">
        <v>163</v>
      </c>
      <c r="E446" s="4">
        <v>0.29610861539840699</v>
      </c>
      <c r="F446" s="4">
        <v>349924.0577761145</v>
      </c>
      <c r="G446" s="4">
        <v>349924.35388472991</v>
      </c>
      <c r="H446" s="5">
        <f t="shared" si="5"/>
        <v>0</v>
      </c>
      <c r="I446" t="s">
        <v>154</v>
      </c>
      <c r="J446" t="s">
        <v>45</v>
      </c>
      <c r="K446" s="5">
        <f>80 / 86400</f>
        <v>9.2592592592592596E-4</v>
      </c>
      <c r="L446" s="5">
        <f>16 / 86400</f>
        <v>1.8518518518518518E-4</v>
      </c>
    </row>
    <row r="447" spans="1:12" x14ac:dyDescent="0.25">
      <c r="A447" s="3">
        <v>45710.849363425921</v>
      </c>
      <c r="B447" t="s">
        <v>163</v>
      </c>
      <c r="C447" s="3">
        <v>45710.849826388891</v>
      </c>
      <c r="D447" t="s">
        <v>163</v>
      </c>
      <c r="E447" s="4">
        <v>0.25366292560100556</v>
      </c>
      <c r="F447" s="4">
        <v>349924.35751420597</v>
      </c>
      <c r="G447" s="4">
        <v>349924.61117713159</v>
      </c>
      <c r="H447" s="5">
        <f t="shared" si="5"/>
        <v>0</v>
      </c>
      <c r="I447" t="s">
        <v>140</v>
      </c>
      <c r="J447" t="s">
        <v>129</v>
      </c>
      <c r="K447" s="5">
        <f>40 / 86400</f>
        <v>4.6296296296296298E-4</v>
      </c>
      <c r="L447" s="5">
        <f>20 / 86400</f>
        <v>2.3148148148148149E-4</v>
      </c>
    </row>
    <row r="448" spans="1:12" x14ac:dyDescent="0.25">
      <c r="A448" s="3">
        <v>45710.850057870368</v>
      </c>
      <c r="B448" t="s">
        <v>163</v>
      </c>
      <c r="C448" s="3">
        <v>45710.851689814815</v>
      </c>
      <c r="D448" t="s">
        <v>78</v>
      </c>
      <c r="E448" s="4">
        <v>1.5171751803159714</v>
      </c>
      <c r="F448" s="4">
        <v>349924.81220896123</v>
      </c>
      <c r="G448" s="4">
        <v>349926.32938414154</v>
      </c>
      <c r="H448" s="5">
        <f t="shared" si="5"/>
        <v>0</v>
      </c>
      <c r="I448" t="s">
        <v>23</v>
      </c>
      <c r="J448" t="s">
        <v>173</v>
      </c>
      <c r="K448" s="5">
        <f>141 / 86400</f>
        <v>1.6319444444444445E-3</v>
      </c>
      <c r="L448" s="5">
        <f>20 / 86400</f>
        <v>2.3148148148148149E-4</v>
      </c>
    </row>
    <row r="449" spans="1:12" x14ac:dyDescent="0.25">
      <c r="A449" s="3">
        <v>45710.8519212963</v>
      </c>
      <c r="B449" t="s">
        <v>78</v>
      </c>
      <c r="C449" s="3">
        <v>45710.852847222224</v>
      </c>
      <c r="D449" t="s">
        <v>232</v>
      </c>
      <c r="E449" s="4">
        <v>0.57927160990238191</v>
      </c>
      <c r="F449" s="4">
        <v>349926.33462080488</v>
      </c>
      <c r="G449" s="4">
        <v>349926.91389241477</v>
      </c>
      <c r="H449" s="5">
        <f t="shared" si="5"/>
        <v>0</v>
      </c>
      <c r="I449" t="s">
        <v>234</v>
      </c>
      <c r="J449" t="s">
        <v>158</v>
      </c>
      <c r="K449" s="5">
        <f>80 / 86400</f>
        <v>9.2592592592592596E-4</v>
      </c>
      <c r="L449" s="5">
        <f>20 / 86400</f>
        <v>2.3148148148148149E-4</v>
      </c>
    </row>
    <row r="450" spans="1:12" x14ac:dyDescent="0.25">
      <c r="A450" s="3">
        <v>45710.853078703702</v>
      </c>
      <c r="B450" t="s">
        <v>232</v>
      </c>
      <c r="C450" s="3">
        <v>45710.853773148148</v>
      </c>
      <c r="D450" t="s">
        <v>231</v>
      </c>
      <c r="E450" s="4">
        <v>0.36109133183956144</v>
      </c>
      <c r="F450" s="4">
        <v>349926.94443656987</v>
      </c>
      <c r="G450" s="4">
        <v>349927.30552790168</v>
      </c>
      <c r="H450" s="5">
        <f t="shared" si="5"/>
        <v>0</v>
      </c>
      <c r="I450" t="s">
        <v>182</v>
      </c>
      <c r="J450" t="s">
        <v>37</v>
      </c>
      <c r="K450" s="5">
        <f>60 / 86400</f>
        <v>6.9444444444444447E-4</v>
      </c>
      <c r="L450" s="5">
        <f>20 / 86400</f>
        <v>2.3148148148148149E-4</v>
      </c>
    </row>
    <row r="451" spans="1:12" x14ac:dyDescent="0.25">
      <c r="A451" s="3">
        <v>45710.854004629626</v>
      </c>
      <c r="B451" t="s">
        <v>231</v>
      </c>
      <c r="C451" s="3">
        <v>45710.855486111112</v>
      </c>
      <c r="D451" t="s">
        <v>322</v>
      </c>
      <c r="E451" s="4">
        <v>0.84228088748455043</v>
      </c>
      <c r="F451" s="4">
        <v>349927.39916296001</v>
      </c>
      <c r="G451" s="4">
        <v>349928.24144384748</v>
      </c>
      <c r="H451" s="5">
        <f t="shared" si="5"/>
        <v>0</v>
      </c>
      <c r="I451" t="s">
        <v>112</v>
      </c>
      <c r="J451" t="s">
        <v>137</v>
      </c>
      <c r="K451" s="5">
        <f>128 / 86400</f>
        <v>1.4814814814814814E-3</v>
      </c>
      <c r="L451" s="5">
        <f>20 / 86400</f>
        <v>2.3148148148148149E-4</v>
      </c>
    </row>
    <row r="452" spans="1:12" x14ac:dyDescent="0.25">
      <c r="A452" s="3">
        <v>45710.855717592596</v>
      </c>
      <c r="B452" t="s">
        <v>233</v>
      </c>
      <c r="C452" s="3">
        <v>45710.856874999998</v>
      </c>
      <c r="D452" t="s">
        <v>323</v>
      </c>
      <c r="E452" s="4">
        <v>0.71478359228372579</v>
      </c>
      <c r="F452" s="4">
        <v>349928.29372961202</v>
      </c>
      <c r="G452" s="4">
        <v>349929.00851320429</v>
      </c>
      <c r="H452" s="5">
        <f t="shared" si="5"/>
        <v>0</v>
      </c>
      <c r="I452" t="s">
        <v>99</v>
      </c>
      <c r="J452" t="s">
        <v>158</v>
      </c>
      <c r="K452" s="5">
        <f>100 / 86400</f>
        <v>1.1574074074074073E-3</v>
      </c>
      <c r="L452" s="5">
        <f>11 / 86400</f>
        <v>1.273148148148148E-4</v>
      </c>
    </row>
    <row r="453" spans="1:12" x14ac:dyDescent="0.25">
      <c r="A453" s="3">
        <v>45710.857002314813</v>
      </c>
      <c r="B453" t="s">
        <v>324</v>
      </c>
      <c r="C453" s="3">
        <v>45710.858043981483</v>
      </c>
      <c r="D453" t="s">
        <v>325</v>
      </c>
      <c r="E453" s="4">
        <v>0.6293980654478073</v>
      </c>
      <c r="F453" s="4">
        <v>349929.27202620287</v>
      </c>
      <c r="G453" s="4">
        <v>349929.90142426832</v>
      </c>
      <c r="H453" s="5">
        <f t="shared" si="5"/>
        <v>0</v>
      </c>
      <c r="I453" t="s">
        <v>184</v>
      </c>
      <c r="J453" t="s">
        <v>131</v>
      </c>
      <c r="K453" s="5">
        <f>90 / 86400</f>
        <v>1.0416666666666667E-3</v>
      </c>
      <c r="L453" s="5">
        <f>20 / 86400</f>
        <v>2.3148148148148149E-4</v>
      </c>
    </row>
    <row r="454" spans="1:12" x14ac:dyDescent="0.25">
      <c r="A454" s="3">
        <v>45710.858275462961</v>
      </c>
      <c r="B454" t="s">
        <v>325</v>
      </c>
      <c r="C454" s="3">
        <v>45710.859884259262</v>
      </c>
      <c r="D454" t="s">
        <v>239</v>
      </c>
      <c r="E454" s="4">
        <v>0.8320747733712196</v>
      </c>
      <c r="F454" s="4">
        <v>349930.02935634815</v>
      </c>
      <c r="G454" s="4">
        <v>349930.86143112154</v>
      </c>
      <c r="H454" s="5">
        <f t="shared" si="5"/>
        <v>0</v>
      </c>
      <c r="I454" t="s">
        <v>286</v>
      </c>
      <c r="J454" t="s">
        <v>37</v>
      </c>
      <c r="K454" s="5">
        <f>139 / 86400</f>
        <v>1.6087962962962963E-3</v>
      </c>
      <c r="L454" s="5">
        <f>23 / 86400</f>
        <v>2.6620370370370372E-4</v>
      </c>
    </row>
    <row r="455" spans="1:12" x14ac:dyDescent="0.25">
      <c r="A455" s="3">
        <v>45710.860150462962</v>
      </c>
      <c r="B455" t="s">
        <v>239</v>
      </c>
      <c r="C455" s="3">
        <v>45710.86109953704</v>
      </c>
      <c r="D455" t="s">
        <v>239</v>
      </c>
      <c r="E455" s="4">
        <v>0.1022129944562912</v>
      </c>
      <c r="F455" s="4">
        <v>349930.8811027506</v>
      </c>
      <c r="G455" s="4">
        <v>349930.98331574508</v>
      </c>
      <c r="H455" s="5">
        <f t="shared" si="5"/>
        <v>0</v>
      </c>
      <c r="I455" t="s">
        <v>61</v>
      </c>
      <c r="J455" t="s">
        <v>75</v>
      </c>
      <c r="K455" s="5">
        <f>82 / 86400</f>
        <v>9.4907407407407408E-4</v>
      </c>
      <c r="L455" s="5">
        <f>40 / 86400</f>
        <v>4.6296296296296298E-4</v>
      </c>
    </row>
    <row r="456" spans="1:12" x14ac:dyDescent="0.25">
      <c r="A456" s="3">
        <v>45710.861562499995</v>
      </c>
      <c r="B456" t="s">
        <v>240</v>
      </c>
      <c r="C456" s="3">
        <v>45710.86215277778</v>
      </c>
      <c r="D456" t="s">
        <v>241</v>
      </c>
      <c r="E456" s="4">
        <v>4.4396203577518466E-2</v>
      </c>
      <c r="F456" s="4">
        <v>349931.00862222322</v>
      </c>
      <c r="G456" s="4">
        <v>349931.05301842676</v>
      </c>
      <c r="H456" s="5">
        <f t="shared" si="5"/>
        <v>0</v>
      </c>
      <c r="I456" t="s">
        <v>140</v>
      </c>
      <c r="J456" t="s">
        <v>143</v>
      </c>
      <c r="K456" s="5">
        <f>51 / 86400</f>
        <v>5.9027777777777778E-4</v>
      </c>
      <c r="L456" s="5">
        <f>116 / 86400</f>
        <v>1.3425925925925925E-3</v>
      </c>
    </row>
    <row r="457" spans="1:12" x14ac:dyDescent="0.25">
      <c r="A457" s="3">
        <v>45710.863495370373</v>
      </c>
      <c r="B457" t="s">
        <v>103</v>
      </c>
      <c r="C457" s="3">
        <v>45710.865648148145</v>
      </c>
      <c r="D457" t="s">
        <v>326</v>
      </c>
      <c r="E457" s="4">
        <v>0.85988130283355713</v>
      </c>
      <c r="F457" s="4">
        <v>349931.12111408031</v>
      </c>
      <c r="G457" s="4">
        <v>349931.98099538317</v>
      </c>
      <c r="H457" s="5">
        <f t="shared" si="5"/>
        <v>0</v>
      </c>
      <c r="I457" t="s">
        <v>182</v>
      </c>
      <c r="J457" t="s">
        <v>29</v>
      </c>
      <c r="K457" s="5">
        <f>186 / 86400</f>
        <v>2.1527777777777778E-3</v>
      </c>
      <c r="L457" s="5">
        <f>20 / 86400</f>
        <v>2.3148148148148149E-4</v>
      </c>
    </row>
    <row r="458" spans="1:12" x14ac:dyDescent="0.25">
      <c r="A458" s="3">
        <v>45710.865879629629</v>
      </c>
      <c r="B458" t="s">
        <v>278</v>
      </c>
      <c r="C458" s="3">
        <v>45710.866342592592</v>
      </c>
      <c r="D458" t="s">
        <v>277</v>
      </c>
      <c r="E458" s="4">
        <v>3.9391298234462739E-2</v>
      </c>
      <c r="F458" s="4">
        <v>349932.42695416807</v>
      </c>
      <c r="G458" s="4">
        <v>349932.46634546632</v>
      </c>
      <c r="H458" s="5">
        <f t="shared" si="5"/>
        <v>0</v>
      </c>
      <c r="I458" t="s">
        <v>190</v>
      </c>
      <c r="J458" t="s">
        <v>75</v>
      </c>
      <c r="K458" s="5">
        <f>40 / 86400</f>
        <v>4.6296296296296298E-4</v>
      </c>
      <c r="L458" s="5">
        <f>20 / 86400</f>
        <v>2.3148148148148149E-4</v>
      </c>
    </row>
    <row r="459" spans="1:12" x14ac:dyDescent="0.25">
      <c r="A459" s="3">
        <v>45710.866574074069</v>
      </c>
      <c r="B459" t="s">
        <v>278</v>
      </c>
      <c r="C459" s="3">
        <v>45710.869525462964</v>
      </c>
      <c r="D459" t="s">
        <v>245</v>
      </c>
      <c r="E459" s="4">
        <v>1.3439630568027496</v>
      </c>
      <c r="F459" s="4">
        <v>349932.47359429725</v>
      </c>
      <c r="G459" s="4">
        <v>349933.81755735405</v>
      </c>
      <c r="H459" s="5">
        <f t="shared" si="5"/>
        <v>0</v>
      </c>
      <c r="I459" t="s">
        <v>215</v>
      </c>
      <c r="J459" t="s">
        <v>80</v>
      </c>
      <c r="K459" s="5">
        <f>255 / 86400</f>
        <v>2.9513888888888888E-3</v>
      </c>
      <c r="L459" s="5">
        <f>9 / 86400</f>
        <v>1.0416666666666667E-4</v>
      </c>
    </row>
    <row r="460" spans="1:12" x14ac:dyDescent="0.25">
      <c r="A460" s="3">
        <v>45710.869629629626</v>
      </c>
      <c r="B460" t="s">
        <v>245</v>
      </c>
      <c r="C460" s="3">
        <v>45710.872060185182</v>
      </c>
      <c r="D460" t="s">
        <v>246</v>
      </c>
      <c r="E460" s="4">
        <v>0.80142655289173126</v>
      </c>
      <c r="F460" s="4">
        <v>349933.93134313193</v>
      </c>
      <c r="G460" s="4">
        <v>349934.73276968487</v>
      </c>
      <c r="H460" s="5">
        <f t="shared" si="5"/>
        <v>0</v>
      </c>
      <c r="I460" t="s">
        <v>188</v>
      </c>
      <c r="J460" t="s">
        <v>26</v>
      </c>
      <c r="K460" s="5">
        <f>210 / 86400</f>
        <v>2.4305555555555556E-3</v>
      </c>
      <c r="L460" s="5">
        <f>53 / 86400</f>
        <v>6.134259259259259E-4</v>
      </c>
    </row>
    <row r="461" spans="1:12" x14ac:dyDescent="0.25">
      <c r="A461" s="3">
        <v>45710.872673611113</v>
      </c>
      <c r="B461" t="s">
        <v>247</v>
      </c>
      <c r="C461" s="3">
        <v>45710.873703703706</v>
      </c>
      <c r="D461" t="s">
        <v>250</v>
      </c>
      <c r="E461" s="4">
        <v>0.20001660567522048</v>
      </c>
      <c r="F461" s="4">
        <v>349934.76187802776</v>
      </c>
      <c r="G461" s="4">
        <v>349934.96189463342</v>
      </c>
      <c r="H461" s="5">
        <f t="shared" si="5"/>
        <v>0</v>
      </c>
      <c r="I461" t="s">
        <v>139</v>
      </c>
      <c r="J461" t="s">
        <v>150</v>
      </c>
      <c r="K461" s="5">
        <f>89 / 86400</f>
        <v>1.0300925925925926E-3</v>
      </c>
      <c r="L461" s="5">
        <f>20 / 86400</f>
        <v>2.3148148148148149E-4</v>
      </c>
    </row>
    <row r="462" spans="1:12" x14ac:dyDescent="0.25">
      <c r="A462" s="3">
        <v>45710.873935185184</v>
      </c>
      <c r="B462" t="s">
        <v>250</v>
      </c>
      <c r="C462" s="3">
        <v>45710.874398148153</v>
      </c>
      <c r="D462" t="s">
        <v>250</v>
      </c>
      <c r="E462" s="4">
        <v>9.4440321922302242E-2</v>
      </c>
      <c r="F462" s="4">
        <v>349934.99151489756</v>
      </c>
      <c r="G462" s="4">
        <v>349935.08595521952</v>
      </c>
      <c r="H462" s="5">
        <f t="shared" si="5"/>
        <v>0</v>
      </c>
      <c r="I462" t="s">
        <v>75</v>
      </c>
      <c r="J462" t="s">
        <v>150</v>
      </c>
      <c r="K462" s="5">
        <f>40 / 86400</f>
        <v>4.6296296296296298E-4</v>
      </c>
      <c r="L462" s="5">
        <f>15 / 86400</f>
        <v>1.7361111111111112E-4</v>
      </c>
    </row>
    <row r="463" spans="1:12" x14ac:dyDescent="0.25">
      <c r="A463" s="3">
        <v>45710.874571759261</v>
      </c>
      <c r="B463" t="s">
        <v>251</v>
      </c>
      <c r="C463" s="3">
        <v>45710.875405092593</v>
      </c>
      <c r="D463" t="s">
        <v>275</v>
      </c>
      <c r="E463" s="4">
        <v>0.29811887365579604</v>
      </c>
      <c r="F463" s="4">
        <v>349935.12969860056</v>
      </c>
      <c r="G463" s="4">
        <v>349935.42781747424</v>
      </c>
      <c r="H463" s="5">
        <f t="shared" si="5"/>
        <v>0</v>
      </c>
      <c r="I463" t="s">
        <v>80</v>
      </c>
      <c r="J463" t="s">
        <v>42</v>
      </c>
      <c r="K463" s="5">
        <f>72 / 86400</f>
        <v>8.3333333333333339E-4</v>
      </c>
      <c r="L463" s="5">
        <f>20 / 86400</f>
        <v>2.3148148148148149E-4</v>
      </c>
    </row>
    <row r="464" spans="1:12" x14ac:dyDescent="0.25">
      <c r="A464" s="3">
        <v>45710.87563657407</v>
      </c>
      <c r="B464" t="s">
        <v>251</v>
      </c>
      <c r="C464" s="3">
        <v>45710.876967592594</v>
      </c>
      <c r="D464" t="s">
        <v>327</v>
      </c>
      <c r="E464" s="4">
        <v>0.46914219248294831</v>
      </c>
      <c r="F464" s="4">
        <v>349935.47757847887</v>
      </c>
      <c r="G464" s="4">
        <v>349935.94672067137</v>
      </c>
      <c r="H464" s="5">
        <f t="shared" si="5"/>
        <v>0</v>
      </c>
      <c r="I464" t="s">
        <v>218</v>
      </c>
      <c r="J464" t="s">
        <v>42</v>
      </c>
      <c r="K464" s="5">
        <f>115 / 86400</f>
        <v>1.3310185185185185E-3</v>
      </c>
      <c r="L464" s="5">
        <f>15 / 86400</f>
        <v>1.7361111111111112E-4</v>
      </c>
    </row>
    <row r="465" spans="1:12" x14ac:dyDescent="0.25">
      <c r="A465" s="3">
        <v>45710.877141203702</v>
      </c>
      <c r="B465" t="s">
        <v>327</v>
      </c>
      <c r="C465" s="3">
        <v>45710.878125000003</v>
      </c>
      <c r="D465" t="s">
        <v>328</v>
      </c>
      <c r="E465" s="4">
        <v>0.29691235172748565</v>
      </c>
      <c r="F465" s="4">
        <v>349935.94932462962</v>
      </c>
      <c r="G465" s="4">
        <v>349936.24623698136</v>
      </c>
      <c r="H465" s="5">
        <f t="shared" si="5"/>
        <v>0</v>
      </c>
      <c r="I465" t="s">
        <v>129</v>
      </c>
      <c r="J465" t="s">
        <v>45</v>
      </c>
      <c r="K465" s="5">
        <f>85 / 86400</f>
        <v>9.837962962962962E-4</v>
      </c>
      <c r="L465" s="5">
        <f>18 / 86400</f>
        <v>2.0833333333333335E-4</v>
      </c>
    </row>
    <row r="466" spans="1:12" x14ac:dyDescent="0.25">
      <c r="A466" s="3">
        <v>45710.878333333334</v>
      </c>
      <c r="B466" t="s">
        <v>328</v>
      </c>
      <c r="C466" s="3">
        <v>45710.879861111112</v>
      </c>
      <c r="D466" t="s">
        <v>258</v>
      </c>
      <c r="E466" s="4">
        <v>0.84330731183290486</v>
      </c>
      <c r="F466" s="4">
        <v>349936.25633367349</v>
      </c>
      <c r="G466" s="4">
        <v>349937.09964098531</v>
      </c>
      <c r="H466" s="5">
        <f t="shared" si="5"/>
        <v>0</v>
      </c>
      <c r="I466" t="s">
        <v>74</v>
      </c>
      <c r="J466" t="s">
        <v>129</v>
      </c>
      <c r="K466" s="5">
        <f>132 / 86400</f>
        <v>1.5277777777777779E-3</v>
      </c>
      <c r="L466" s="5">
        <f>20 / 86400</f>
        <v>2.3148148148148149E-4</v>
      </c>
    </row>
    <row r="467" spans="1:12" x14ac:dyDescent="0.25">
      <c r="A467" s="3">
        <v>45710.88009259259</v>
      </c>
      <c r="B467" t="s">
        <v>258</v>
      </c>
      <c r="C467" s="3">
        <v>45710.880324074074</v>
      </c>
      <c r="D467" t="s">
        <v>258</v>
      </c>
      <c r="E467" s="4">
        <v>4.8025441169738774E-3</v>
      </c>
      <c r="F467" s="4">
        <v>349937.10391848773</v>
      </c>
      <c r="G467" s="4">
        <v>349937.10872103187</v>
      </c>
      <c r="H467" s="5">
        <f t="shared" si="5"/>
        <v>0</v>
      </c>
      <c r="I467" t="s">
        <v>124</v>
      </c>
      <c r="J467" t="s">
        <v>124</v>
      </c>
      <c r="K467" s="5">
        <f>20 / 86400</f>
        <v>2.3148148148148149E-4</v>
      </c>
      <c r="L467" s="5">
        <f>20 / 86400</f>
        <v>2.3148148148148149E-4</v>
      </c>
    </row>
    <row r="468" spans="1:12" x14ac:dyDescent="0.25">
      <c r="A468" s="3">
        <v>45710.880555555559</v>
      </c>
      <c r="B468" t="s">
        <v>258</v>
      </c>
      <c r="C468" s="3">
        <v>45710.883668981478</v>
      </c>
      <c r="D468" t="s">
        <v>329</v>
      </c>
      <c r="E468" s="4">
        <v>2.4829995523095132</v>
      </c>
      <c r="F468" s="4">
        <v>349937.13482409297</v>
      </c>
      <c r="G468" s="4">
        <v>349939.6178236453</v>
      </c>
      <c r="H468" s="5">
        <f t="shared" si="5"/>
        <v>0</v>
      </c>
      <c r="I468" t="s">
        <v>149</v>
      </c>
      <c r="J468" t="s">
        <v>182</v>
      </c>
      <c r="K468" s="5">
        <f>269 / 86400</f>
        <v>3.1134259259259257E-3</v>
      </c>
      <c r="L468" s="5">
        <f>5 / 86400</f>
        <v>5.7870370370370373E-5</v>
      </c>
    </row>
    <row r="469" spans="1:12" x14ac:dyDescent="0.25">
      <c r="A469" s="3">
        <v>45710.883726851855</v>
      </c>
      <c r="B469" t="s">
        <v>329</v>
      </c>
      <c r="C469" s="3">
        <v>45710.88453703704</v>
      </c>
      <c r="D469" t="s">
        <v>118</v>
      </c>
      <c r="E469" s="4">
        <v>0.16360959833860397</v>
      </c>
      <c r="F469" s="4">
        <v>349939.62358489668</v>
      </c>
      <c r="G469" s="4">
        <v>349939.78719449503</v>
      </c>
      <c r="H469" s="5">
        <f t="shared" si="5"/>
        <v>0</v>
      </c>
      <c r="I469" t="s">
        <v>37</v>
      </c>
      <c r="J469" t="s">
        <v>150</v>
      </c>
      <c r="K469" s="5">
        <f>70 / 86400</f>
        <v>8.1018518518518516E-4</v>
      </c>
      <c r="L469" s="5">
        <f>192 / 86400</f>
        <v>2.2222222222222222E-3</v>
      </c>
    </row>
    <row r="470" spans="1:12" x14ac:dyDescent="0.25">
      <c r="A470" s="3">
        <v>45710.886759259258</v>
      </c>
      <c r="B470" t="s">
        <v>265</v>
      </c>
      <c r="C470" s="3">
        <v>45710.88784722222</v>
      </c>
      <c r="D470" t="s">
        <v>330</v>
      </c>
      <c r="E470" s="4">
        <v>0.65022480088472367</v>
      </c>
      <c r="F470" s="4">
        <v>349939.85088930442</v>
      </c>
      <c r="G470" s="4">
        <v>349940.50111410528</v>
      </c>
      <c r="H470" s="5">
        <f t="shared" si="5"/>
        <v>0</v>
      </c>
      <c r="I470" t="s">
        <v>219</v>
      </c>
      <c r="J470" t="s">
        <v>131</v>
      </c>
      <c r="K470" s="5">
        <f>94 / 86400</f>
        <v>1.0879629629629629E-3</v>
      </c>
      <c r="L470" s="5">
        <f>5 / 86400</f>
        <v>5.7870370370370373E-5</v>
      </c>
    </row>
    <row r="471" spans="1:12" x14ac:dyDescent="0.25">
      <c r="A471" s="3">
        <v>45710.88790509259</v>
      </c>
      <c r="B471" t="s">
        <v>330</v>
      </c>
      <c r="C471" s="3">
        <v>45710.888854166667</v>
      </c>
      <c r="D471" t="s">
        <v>145</v>
      </c>
      <c r="E471" s="4">
        <v>0.47535570359230039</v>
      </c>
      <c r="F471" s="4">
        <v>349940.50724071695</v>
      </c>
      <c r="G471" s="4">
        <v>349940.98259642051</v>
      </c>
      <c r="H471" s="5">
        <f t="shared" si="5"/>
        <v>0</v>
      </c>
      <c r="I471" t="s">
        <v>162</v>
      </c>
      <c r="J471" t="s">
        <v>135</v>
      </c>
      <c r="K471" s="5">
        <f>82 / 86400</f>
        <v>9.4907407407407408E-4</v>
      </c>
      <c r="L471" s="5">
        <f>80 / 86400</f>
        <v>9.2592592592592596E-4</v>
      </c>
    </row>
    <row r="472" spans="1:12" x14ac:dyDescent="0.25">
      <c r="A472" s="3">
        <v>45710.889780092592</v>
      </c>
      <c r="B472" t="s">
        <v>269</v>
      </c>
      <c r="C472" s="3">
        <v>45710.890706018516</v>
      </c>
      <c r="D472" t="s">
        <v>270</v>
      </c>
      <c r="E472" s="4">
        <v>0.66396114367246628</v>
      </c>
      <c r="F472" s="4">
        <v>349941.05364896101</v>
      </c>
      <c r="G472" s="4">
        <v>349941.71761010471</v>
      </c>
      <c r="H472" s="5">
        <f t="shared" si="5"/>
        <v>0</v>
      </c>
      <c r="I472" t="s">
        <v>211</v>
      </c>
      <c r="J472" t="s">
        <v>188</v>
      </c>
      <c r="K472" s="5">
        <f>80 / 86400</f>
        <v>9.2592592592592596E-4</v>
      </c>
      <c r="L472" s="5">
        <f>20 / 86400</f>
        <v>2.3148148148148149E-4</v>
      </c>
    </row>
    <row r="473" spans="1:12" x14ac:dyDescent="0.25">
      <c r="A473" s="3">
        <v>45710.8909375</v>
      </c>
      <c r="B473" t="s">
        <v>262</v>
      </c>
      <c r="C473" s="3">
        <v>45710.891400462962</v>
      </c>
      <c r="D473" t="s">
        <v>331</v>
      </c>
      <c r="E473" s="4">
        <v>0.18963352692127228</v>
      </c>
      <c r="F473" s="4">
        <v>349941.77212095051</v>
      </c>
      <c r="G473" s="4">
        <v>349941.96175447747</v>
      </c>
      <c r="H473" s="5">
        <f t="shared" si="5"/>
        <v>0</v>
      </c>
      <c r="I473" t="s">
        <v>218</v>
      </c>
      <c r="J473" t="s">
        <v>29</v>
      </c>
      <c r="K473" s="5">
        <f>40 / 86400</f>
        <v>4.6296296296296298E-4</v>
      </c>
      <c r="L473" s="5">
        <f>100 / 86400</f>
        <v>1.1574074074074073E-3</v>
      </c>
    </row>
    <row r="474" spans="1:12" x14ac:dyDescent="0.25">
      <c r="A474" s="3">
        <v>45710.892557870371</v>
      </c>
      <c r="B474" t="s">
        <v>332</v>
      </c>
      <c r="C474" s="3">
        <v>45710.893379629633</v>
      </c>
      <c r="D474" t="s">
        <v>333</v>
      </c>
      <c r="E474" s="4">
        <v>0.18141533154249193</v>
      </c>
      <c r="F474" s="4">
        <v>349942.24476345931</v>
      </c>
      <c r="G474" s="4">
        <v>349942.42617879086</v>
      </c>
      <c r="H474" s="5">
        <f t="shared" si="5"/>
        <v>0</v>
      </c>
      <c r="I474" t="s">
        <v>192</v>
      </c>
      <c r="J474" t="s">
        <v>132</v>
      </c>
      <c r="K474" s="5">
        <f>71 / 86400</f>
        <v>8.2175925925925927E-4</v>
      </c>
      <c r="L474" s="5">
        <f>40 / 86400</f>
        <v>4.6296296296296298E-4</v>
      </c>
    </row>
    <row r="475" spans="1:12" x14ac:dyDescent="0.25">
      <c r="A475" s="3">
        <v>45710.893842592588</v>
      </c>
      <c r="B475" t="s">
        <v>274</v>
      </c>
      <c r="C475" s="3">
        <v>45710.89444444445</v>
      </c>
      <c r="D475" t="s">
        <v>255</v>
      </c>
      <c r="E475" s="4">
        <v>0.50858410692214961</v>
      </c>
      <c r="F475" s="4">
        <v>349942.57275200135</v>
      </c>
      <c r="G475" s="4">
        <v>349943.08133610827</v>
      </c>
      <c r="H475" s="5">
        <f t="shared" si="5"/>
        <v>0</v>
      </c>
      <c r="I475" t="s">
        <v>190</v>
      </c>
      <c r="J475" t="s">
        <v>195</v>
      </c>
      <c r="K475" s="5">
        <f>52 / 86400</f>
        <v>6.018518518518519E-4</v>
      </c>
      <c r="L475" s="5">
        <f>20 / 86400</f>
        <v>2.3148148148148149E-4</v>
      </c>
    </row>
    <row r="476" spans="1:12" x14ac:dyDescent="0.25">
      <c r="A476" s="3">
        <v>45710.894675925927</v>
      </c>
      <c r="B476" t="s">
        <v>255</v>
      </c>
      <c r="C476" s="3">
        <v>45710.898935185185</v>
      </c>
      <c r="D476" t="s">
        <v>334</v>
      </c>
      <c r="E476" s="4">
        <v>1.2476066543459892</v>
      </c>
      <c r="F476" s="4">
        <v>349943.21352099179</v>
      </c>
      <c r="G476" s="4">
        <v>349944.46112764615</v>
      </c>
      <c r="H476" s="5">
        <f t="shared" si="5"/>
        <v>0</v>
      </c>
      <c r="I476" t="s">
        <v>129</v>
      </c>
      <c r="J476" t="s">
        <v>139</v>
      </c>
      <c r="K476" s="5">
        <f>368 / 86400</f>
        <v>4.2592592592592595E-3</v>
      </c>
      <c r="L476" s="5">
        <f>35 / 86400</f>
        <v>4.0509259259259258E-4</v>
      </c>
    </row>
    <row r="477" spans="1:12" x14ac:dyDescent="0.25">
      <c r="A477" s="3">
        <v>45710.899340277778</v>
      </c>
      <c r="B477" t="s">
        <v>334</v>
      </c>
      <c r="C477" s="3">
        <v>45710.902905092589</v>
      </c>
      <c r="D477" t="s">
        <v>278</v>
      </c>
      <c r="E477" s="4">
        <v>2.5991744193434716</v>
      </c>
      <c r="F477" s="4">
        <v>349944.46978009975</v>
      </c>
      <c r="G477" s="4">
        <v>349947.06895451911</v>
      </c>
      <c r="H477" s="5">
        <f t="shared" si="5"/>
        <v>0</v>
      </c>
      <c r="I477" t="s">
        <v>220</v>
      </c>
      <c r="J477" t="s">
        <v>188</v>
      </c>
      <c r="K477" s="5">
        <f>308 / 86400</f>
        <v>3.5648148148148149E-3</v>
      </c>
      <c r="L477" s="5">
        <f>20 / 86400</f>
        <v>2.3148148148148149E-4</v>
      </c>
    </row>
    <row r="478" spans="1:12" x14ac:dyDescent="0.25">
      <c r="A478" s="3">
        <v>45710.903136574074</v>
      </c>
      <c r="B478" t="s">
        <v>335</v>
      </c>
      <c r="C478" s="3">
        <v>45710.903831018513</v>
      </c>
      <c r="D478" t="s">
        <v>278</v>
      </c>
      <c r="E478" s="4">
        <v>0.50021747249364856</v>
      </c>
      <c r="F478" s="4">
        <v>349947.10987575154</v>
      </c>
      <c r="G478" s="4">
        <v>349947.61009322404</v>
      </c>
      <c r="H478" s="5">
        <f t="shared" si="5"/>
        <v>0</v>
      </c>
      <c r="I478" t="s">
        <v>320</v>
      </c>
      <c r="J478" t="s">
        <v>188</v>
      </c>
      <c r="K478" s="5">
        <f>60 / 86400</f>
        <v>6.9444444444444447E-4</v>
      </c>
      <c r="L478" s="5">
        <f>15 / 86400</f>
        <v>1.7361111111111112E-4</v>
      </c>
    </row>
    <row r="479" spans="1:12" x14ac:dyDescent="0.25">
      <c r="A479" s="3">
        <v>45710.904004629629</v>
      </c>
      <c r="B479" t="s">
        <v>278</v>
      </c>
      <c r="C479" s="3">
        <v>45710.904930555553</v>
      </c>
      <c r="D479" t="s">
        <v>279</v>
      </c>
      <c r="E479" s="4">
        <v>0.7046627677083015</v>
      </c>
      <c r="F479" s="4">
        <v>349947.61199375562</v>
      </c>
      <c r="G479" s="4">
        <v>349948.31665652333</v>
      </c>
      <c r="H479" s="5">
        <f t="shared" si="5"/>
        <v>0</v>
      </c>
      <c r="I479" t="s">
        <v>153</v>
      </c>
      <c r="J479" t="s">
        <v>123</v>
      </c>
      <c r="K479" s="5">
        <f>80 / 86400</f>
        <v>9.2592592592592596E-4</v>
      </c>
      <c r="L479" s="5">
        <f>40 / 86400</f>
        <v>4.6296296296296298E-4</v>
      </c>
    </row>
    <row r="480" spans="1:12" x14ac:dyDescent="0.25">
      <c r="A480" s="3">
        <v>45710.905393518522</v>
      </c>
      <c r="B480" t="s">
        <v>279</v>
      </c>
      <c r="C480" s="3">
        <v>45710.906030092592</v>
      </c>
      <c r="D480" t="s">
        <v>117</v>
      </c>
      <c r="E480" s="4">
        <v>0.10684014719724655</v>
      </c>
      <c r="F480" s="4">
        <v>349948.32880800369</v>
      </c>
      <c r="G480" s="4">
        <v>349948.43564815086</v>
      </c>
      <c r="H480" s="5">
        <f t="shared" si="5"/>
        <v>0</v>
      </c>
      <c r="I480" t="s">
        <v>26</v>
      </c>
      <c r="J480" t="s">
        <v>140</v>
      </c>
      <c r="K480" s="5">
        <f>55 / 86400</f>
        <v>6.3657407407407413E-4</v>
      </c>
      <c r="L480" s="5">
        <f>19 / 86400</f>
        <v>2.199074074074074E-4</v>
      </c>
    </row>
    <row r="481" spans="1:12" x14ac:dyDescent="0.25">
      <c r="A481" s="3">
        <v>45710.90625</v>
      </c>
      <c r="B481" t="s">
        <v>103</v>
      </c>
      <c r="C481" s="3">
        <v>45710.908032407402</v>
      </c>
      <c r="D481" t="s">
        <v>336</v>
      </c>
      <c r="E481" s="4">
        <v>0.58204353702068334</v>
      </c>
      <c r="F481" s="4">
        <v>349948.4530960602</v>
      </c>
      <c r="G481" s="4">
        <v>349949.03513959725</v>
      </c>
      <c r="H481" s="5">
        <f t="shared" si="5"/>
        <v>0</v>
      </c>
      <c r="I481" t="s">
        <v>167</v>
      </c>
      <c r="J481" t="s">
        <v>26</v>
      </c>
      <c r="K481" s="5">
        <f>154 / 86400</f>
        <v>1.7824074074074075E-3</v>
      </c>
      <c r="L481" s="5">
        <f>40 / 86400</f>
        <v>4.6296296296296298E-4</v>
      </c>
    </row>
    <row r="482" spans="1:12" x14ac:dyDescent="0.25">
      <c r="A482" s="3">
        <v>45710.908495370371</v>
      </c>
      <c r="B482" t="s">
        <v>337</v>
      </c>
      <c r="C482" s="3">
        <v>45710.908958333333</v>
      </c>
      <c r="D482" t="s">
        <v>281</v>
      </c>
      <c r="E482" s="4">
        <v>0.17463905495405196</v>
      </c>
      <c r="F482" s="4">
        <v>349949.22601756104</v>
      </c>
      <c r="G482" s="4">
        <v>349949.40065661597</v>
      </c>
      <c r="H482" s="5">
        <f t="shared" si="5"/>
        <v>0</v>
      </c>
      <c r="I482" t="s">
        <v>192</v>
      </c>
      <c r="J482" t="s">
        <v>33</v>
      </c>
      <c r="K482" s="5">
        <f>40 / 86400</f>
        <v>4.6296296296296298E-4</v>
      </c>
      <c r="L482" s="5">
        <f>20 / 86400</f>
        <v>2.3148148148148149E-4</v>
      </c>
    </row>
    <row r="483" spans="1:12" x14ac:dyDescent="0.25">
      <c r="A483" s="3">
        <v>45710.909189814818</v>
      </c>
      <c r="B483" t="s">
        <v>281</v>
      </c>
      <c r="C483" s="3">
        <v>45710.909652777773</v>
      </c>
      <c r="D483" t="s">
        <v>281</v>
      </c>
      <c r="E483" s="4">
        <v>4.2875691294670108E-2</v>
      </c>
      <c r="F483" s="4">
        <v>349949.40336629527</v>
      </c>
      <c r="G483" s="4">
        <v>349949.44624198659</v>
      </c>
      <c r="H483" s="5">
        <f t="shared" si="5"/>
        <v>0</v>
      </c>
      <c r="I483" t="s">
        <v>143</v>
      </c>
      <c r="J483" t="s">
        <v>75</v>
      </c>
      <c r="K483" s="5">
        <f>40 / 86400</f>
        <v>4.6296296296296298E-4</v>
      </c>
      <c r="L483" s="5">
        <f>20 / 86400</f>
        <v>2.3148148148148149E-4</v>
      </c>
    </row>
    <row r="484" spans="1:12" x14ac:dyDescent="0.25">
      <c r="A484" s="3">
        <v>45710.909884259258</v>
      </c>
      <c r="B484" t="s">
        <v>281</v>
      </c>
      <c r="C484" s="3">
        <v>45710.911412037036</v>
      </c>
      <c r="D484" t="s">
        <v>236</v>
      </c>
      <c r="E484" s="4">
        <v>0.98612331813573839</v>
      </c>
      <c r="F484" s="4">
        <v>349949.52350789739</v>
      </c>
      <c r="G484" s="4">
        <v>349950.50963121554</v>
      </c>
      <c r="H484" s="5">
        <f t="shared" si="5"/>
        <v>0</v>
      </c>
      <c r="I484" t="s">
        <v>177</v>
      </c>
      <c r="J484" t="s">
        <v>30</v>
      </c>
      <c r="K484" s="5">
        <f>132 / 86400</f>
        <v>1.5277777777777779E-3</v>
      </c>
      <c r="L484" s="5">
        <f>40 / 86400</f>
        <v>4.6296296296296298E-4</v>
      </c>
    </row>
    <row r="485" spans="1:12" x14ac:dyDescent="0.25">
      <c r="A485" s="3">
        <v>45710.911875000005</v>
      </c>
      <c r="B485" t="s">
        <v>236</v>
      </c>
      <c r="C485" s="3">
        <v>45710.91337962963</v>
      </c>
      <c r="D485" t="s">
        <v>236</v>
      </c>
      <c r="E485" s="4">
        <v>0.45801866555213927</v>
      </c>
      <c r="F485" s="4">
        <v>349950.51877249591</v>
      </c>
      <c r="G485" s="4">
        <v>349950.97679116146</v>
      </c>
      <c r="H485" s="5">
        <f t="shared" si="5"/>
        <v>0</v>
      </c>
      <c r="I485" t="s">
        <v>218</v>
      </c>
      <c r="J485" t="s">
        <v>45</v>
      </c>
      <c r="K485" s="5">
        <f>130 / 86400</f>
        <v>1.5046296296296296E-3</v>
      </c>
      <c r="L485" s="5">
        <f>34 / 86400</f>
        <v>3.9351851851851852E-4</v>
      </c>
    </row>
    <row r="486" spans="1:12" x14ac:dyDescent="0.25">
      <c r="A486" s="3">
        <v>45710.913773148146</v>
      </c>
      <c r="B486" t="s">
        <v>236</v>
      </c>
      <c r="C486" s="3">
        <v>45710.914687500001</v>
      </c>
      <c r="D486" t="s">
        <v>233</v>
      </c>
      <c r="E486" s="4">
        <v>0.56187910676002506</v>
      </c>
      <c r="F486" s="4">
        <v>349950.99034898815</v>
      </c>
      <c r="G486" s="4">
        <v>349951.55222809495</v>
      </c>
      <c r="H486" s="5">
        <f t="shared" si="5"/>
        <v>0</v>
      </c>
      <c r="I486" t="s">
        <v>176</v>
      </c>
      <c r="J486" t="s">
        <v>158</v>
      </c>
      <c r="K486" s="5">
        <f>79 / 86400</f>
        <v>9.1435185185185185E-4</v>
      </c>
      <c r="L486" s="5">
        <f>20 / 86400</f>
        <v>2.3148148148148149E-4</v>
      </c>
    </row>
    <row r="487" spans="1:12" x14ac:dyDescent="0.25">
      <c r="A487" s="3">
        <v>45710.914918981478</v>
      </c>
      <c r="B487" t="s">
        <v>283</v>
      </c>
      <c r="C487" s="3">
        <v>45710.918321759258</v>
      </c>
      <c r="D487" t="s">
        <v>284</v>
      </c>
      <c r="E487" s="4">
        <v>1.3590980996489526</v>
      </c>
      <c r="F487" s="4">
        <v>349951.58340365888</v>
      </c>
      <c r="G487" s="4">
        <v>349952.94250175852</v>
      </c>
      <c r="H487" s="5">
        <f t="shared" si="5"/>
        <v>0</v>
      </c>
      <c r="I487" t="s">
        <v>112</v>
      </c>
      <c r="J487" t="s">
        <v>29</v>
      </c>
      <c r="K487" s="5">
        <f>294 / 86400</f>
        <v>3.4027777777777776E-3</v>
      </c>
      <c r="L487" s="5">
        <f>20 / 86400</f>
        <v>2.3148148148148149E-4</v>
      </c>
    </row>
    <row r="488" spans="1:12" x14ac:dyDescent="0.25">
      <c r="A488" s="3">
        <v>45710.918553240743</v>
      </c>
      <c r="B488" t="s">
        <v>231</v>
      </c>
      <c r="C488" s="3">
        <v>45710.919479166667</v>
      </c>
      <c r="D488" t="s">
        <v>231</v>
      </c>
      <c r="E488" s="4">
        <v>0.46718587356805802</v>
      </c>
      <c r="F488" s="4">
        <v>349953.00175714755</v>
      </c>
      <c r="G488" s="4">
        <v>349953.46894302114</v>
      </c>
      <c r="H488" s="5">
        <f t="shared" si="5"/>
        <v>0</v>
      </c>
      <c r="I488" t="s">
        <v>192</v>
      </c>
      <c r="J488" t="s">
        <v>135</v>
      </c>
      <c r="K488" s="5">
        <f>80 / 86400</f>
        <v>9.2592592592592596E-4</v>
      </c>
      <c r="L488" s="5">
        <f>60 / 86400</f>
        <v>6.9444444444444447E-4</v>
      </c>
    </row>
    <row r="489" spans="1:12" x14ac:dyDescent="0.25">
      <c r="A489" s="3">
        <v>45710.920173611114</v>
      </c>
      <c r="B489" t="s">
        <v>78</v>
      </c>
      <c r="C489" s="3">
        <v>45710.92086805556</v>
      </c>
      <c r="D489" t="s">
        <v>78</v>
      </c>
      <c r="E489" s="4">
        <v>0.70821276646852493</v>
      </c>
      <c r="F489" s="4">
        <v>349953.53574144014</v>
      </c>
      <c r="G489" s="4">
        <v>349954.24395420658</v>
      </c>
      <c r="H489" s="5">
        <f t="shared" si="5"/>
        <v>0</v>
      </c>
      <c r="I489" t="s">
        <v>149</v>
      </c>
      <c r="J489" t="s">
        <v>154</v>
      </c>
      <c r="K489" s="5">
        <f>60 / 86400</f>
        <v>6.9444444444444447E-4</v>
      </c>
      <c r="L489" s="5">
        <f>40 / 86400</f>
        <v>4.6296296296296298E-4</v>
      </c>
    </row>
    <row r="490" spans="1:12" x14ac:dyDescent="0.25">
      <c r="A490" s="3">
        <v>45710.921331018515</v>
      </c>
      <c r="B490" t="s">
        <v>78</v>
      </c>
      <c r="C490" s="3">
        <v>45710.922025462962</v>
      </c>
      <c r="D490" t="s">
        <v>163</v>
      </c>
      <c r="E490" s="4">
        <v>0.4489096449613571</v>
      </c>
      <c r="F490" s="4">
        <v>349954.24617228704</v>
      </c>
      <c r="G490" s="4">
        <v>349954.695081932</v>
      </c>
      <c r="H490" s="5">
        <f t="shared" ref="H490:H533" si="6">0 / 86400</f>
        <v>0</v>
      </c>
      <c r="I490" t="s">
        <v>196</v>
      </c>
      <c r="J490" t="s">
        <v>30</v>
      </c>
      <c r="K490" s="5">
        <f>60 / 86400</f>
        <v>6.9444444444444447E-4</v>
      </c>
      <c r="L490" s="5">
        <f>20 / 86400</f>
        <v>2.3148148148148149E-4</v>
      </c>
    </row>
    <row r="491" spans="1:12" x14ac:dyDescent="0.25">
      <c r="A491" s="3">
        <v>45710.922256944439</v>
      </c>
      <c r="B491" t="s">
        <v>163</v>
      </c>
      <c r="C491" s="3">
        <v>45710.923715277779</v>
      </c>
      <c r="D491" t="s">
        <v>18</v>
      </c>
      <c r="E491" s="4">
        <v>1.0047235163450241</v>
      </c>
      <c r="F491" s="4">
        <v>349954.71290520066</v>
      </c>
      <c r="G491" s="4">
        <v>349955.71762871702</v>
      </c>
      <c r="H491" s="5">
        <f t="shared" si="6"/>
        <v>0</v>
      </c>
      <c r="I491" t="s">
        <v>196</v>
      </c>
      <c r="J491" t="s">
        <v>167</v>
      </c>
      <c r="K491" s="5">
        <f>126 / 86400</f>
        <v>1.4583333333333334E-3</v>
      </c>
      <c r="L491" s="5">
        <f>26 / 86400</f>
        <v>3.0092592592592595E-4</v>
      </c>
    </row>
    <row r="492" spans="1:12" x14ac:dyDescent="0.25">
      <c r="A492" s="3">
        <v>45710.924016203702</v>
      </c>
      <c r="B492" t="s">
        <v>229</v>
      </c>
      <c r="C492" s="3">
        <v>45710.924363425926</v>
      </c>
      <c r="D492" t="s">
        <v>338</v>
      </c>
      <c r="E492" s="4">
        <v>0.16459409016370774</v>
      </c>
      <c r="F492" s="4">
        <v>349955.73469118687</v>
      </c>
      <c r="G492" s="4">
        <v>349955.899285277</v>
      </c>
      <c r="H492" s="5">
        <f t="shared" si="6"/>
        <v>0</v>
      </c>
      <c r="I492" t="s">
        <v>188</v>
      </c>
      <c r="J492" t="s">
        <v>64</v>
      </c>
      <c r="K492" s="5">
        <f>30 / 86400</f>
        <v>3.4722222222222224E-4</v>
      </c>
      <c r="L492" s="5">
        <f>13 / 86400</f>
        <v>1.5046296296296297E-4</v>
      </c>
    </row>
    <row r="493" spans="1:12" x14ac:dyDescent="0.25">
      <c r="A493" s="3">
        <v>45710.924513888887</v>
      </c>
      <c r="B493" t="s">
        <v>338</v>
      </c>
      <c r="C493" s="3">
        <v>45710.924745370372</v>
      </c>
      <c r="D493" t="s">
        <v>338</v>
      </c>
      <c r="E493" s="4">
        <v>1.6315644383430481E-3</v>
      </c>
      <c r="F493" s="4">
        <v>349955.90165535366</v>
      </c>
      <c r="G493" s="4">
        <v>349955.90328691812</v>
      </c>
      <c r="H493" s="5">
        <f t="shared" si="6"/>
        <v>0</v>
      </c>
      <c r="I493" t="s">
        <v>156</v>
      </c>
      <c r="J493" t="s">
        <v>77</v>
      </c>
      <c r="K493" s="5">
        <f>20 / 86400</f>
        <v>2.3148148148148149E-4</v>
      </c>
      <c r="L493" s="5">
        <f>20 / 86400</f>
        <v>2.3148148148148149E-4</v>
      </c>
    </row>
    <row r="494" spans="1:12" x14ac:dyDescent="0.25">
      <c r="A494" s="3">
        <v>45710.924976851849</v>
      </c>
      <c r="B494" t="s">
        <v>339</v>
      </c>
      <c r="C494" s="3">
        <v>45710.926134259258</v>
      </c>
      <c r="D494" t="s">
        <v>148</v>
      </c>
      <c r="E494" s="4">
        <v>0.39218197554349898</v>
      </c>
      <c r="F494" s="4">
        <v>349955.94445283274</v>
      </c>
      <c r="G494" s="4">
        <v>349956.33663480828</v>
      </c>
      <c r="H494" s="5">
        <f t="shared" si="6"/>
        <v>0</v>
      </c>
      <c r="I494" t="s">
        <v>154</v>
      </c>
      <c r="J494" t="s">
        <v>26</v>
      </c>
      <c r="K494" s="5">
        <f>100 / 86400</f>
        <v>1.1574074074074073E-3</v>
      </c>
      <c r="L494" s="5">
        <f>180 / 86400</f>
        <v>2.0833333333333333E-3</v>
      </c>
    </row>
    <row r="495" spans="1:12" x14ac:dyDescent="0.25">
      <c r="A495" s="3">
        <v>45710.928217592591</v>
      </c>
      <c r="B495" t="s">
        <v>340</v>
      </c>
      <c r="C495" s="3">
        <v>45710.928449074076</v>
      </c>
      <c r="D495" t="s">
        <v>341</v>
      </c>
      <c r="E495" s="4">
        <v>1.6391013324260711E-2</v>
      </c>
      <c r="F495" s="4">
        <v>349956.79039732064</v>
      </c>
      <c r="G495" s="4">
        <v>349956.80678833392</v>
      </c>
      <c r="H495" s="5">
        <f t="shared" si="6"/>
        <v>0</v>
      </c>
      <c r="I495" t="s">
        <v>29</v>
      </c>
      <c r="J495" t="s">
        <v>143</v>
      </c>
      <c r="K495" s="5">
        <f>20 / 86400</f>
        <v>2.3148148148148149E-4</v>
      </c>
      <c r="L495" s="5">
        <f>11 / 86400</f>
        <v>1.273148148148148E-4</v>
      </c>
    </row>
    <row r="496" spans="1:12" x14ac:dyDescent="0.25">
      <c r="A496" s="3">
        <v>45710.928576388891</v>
      </c>
      <c r="B496" t="s">
        <v>341</v>
      </c>
      <c r="C496" s="3">
        <v>45710.929826388892</v>
      </c>
      <c r="D496" t="s">
        <v>18</v>
      </c>
      <c r="E496" s="4">
        <v>0.26105185478925708</v>
      </c>
      <c r="F496" s="4">
        <v>349956.81086226885</v>
      </c>
      <c r="G496" s="4">
        <v>349957.07191412366</v>
      </c>
      <c r="H496" s="5">
        <f t="shared" si="6"/>
        <v>0</v>
      </c>
      <c r="I496" t="s">
        <v>123</v>
      </c>
      <c r="J496" t="s">
        <v>132</v>
      </c>
      <c r="K496" s="5">
        <f>108 / 86400</f>
        <v>1.25E-3</v>
      </c>
      <c r="L496" s="5">
        <f>20 / 86400</f>
        <v>2.3148148148148149E-4</v>
      </c>
    </row>
    <row r="497" spans="1:12" x14ac:dyDescent="0.25">
      <c r="A497" s="3">
        <v>45710.93005787037</v>
      </c>
      <c r="B497" t="s">
        <v>342</v>
      </c>
      <c r="C497" s="3">
        <v>45710.930902777778</v>
      </c>
      <c r="D497" t="s">
        <v>148</v>
      </c>
      <c r="E497" s="4">
        <v>0.23845795565843583</v>
      </c>
      <c r="F497" s="4">
        <v>349957.10012237914</v>
      </c>
      <c r="G497" s="4">
        <v>349957.33858033479</v>
      </c>
      <c r="H497" s="5">
        <f t="shared" si="6"/>
        <v>0</v>
      </c>
      <c r="I497" t="s">
        <v>182</v>
      </c>
      <c r="J497" t="s">
        <v>139</v>
      </c>
      <c r="K497" s="5">
        <f>73 / 86400</f>
        <v>8.4490740740740739E-4</v>
      </c>
      <c r="L497" s="5">
        <f>48 / 86400</f>
        <v>5.5555555555555556E-4</v>
      </c>
    </row>
    <row r="498" spans="1:12" x14ac:dyDescent="0.25">
      <c r="A498" s="3">
        <v>45710.931458333333</v>
      </c>
      <c r="B498" t="s">
        <v>227</v>
      </c>
      <c r="C498" s="3">
        <v>45710.932754629626</v>
      </c>
      <c r="D498" t="s">
        <v>290</v>
      </c>
      <c r="E498" s="4">
        <v>0.33754817354679106</v>
      </c>
      <c r="F498" s="4">
        <v>349957.37047653791</v>
      </c>
      <c r="G498" s="4">
        <v>349957.70802471141</v>
      </c>
      <c r="H498" s="5">
        <f t="shared" si="6"/>
        <v>0</v>
      </c>
      <c r="I498" t="s">
        <v>188</v>
      </c>
      <c r="J498" t="s">
        <v>61</v>
      </c>
      <c r="K498" s="5">
        <f>112 / 86400</f>
        <v>1.2962962962962963E-3</v>
      </c>
      <c r="L498" s="5">
        <f>20 / 86400</f>
        <v>2.3148148148148149E-4</v>
      </c>
    </row>
    <row r="499" spans="1:12" x14ac:dyDescent="0.25">
      <c r="A499" s="3">
        <v>45710.932986111111</v>
      </c>
      <c r="B499" t="s">
        <v>343</v>
      </c>
      <c r="C499" s="3">
        <v>45710.933622685188</v>
      </c>
      <c r="D499" t="s">
        <v>344</v>
      </c>
      <c r="E499" s="4">
        <v>0.13420128136873244</v>
      </c>
      <c r="F499" s="4">
        <v>349957.77609642304</v>
      </c>
      <c r="G499" s="4">
        <v>349957.91029770439</v>
      </c>
      <c r="H499" s="5">
        <f t="shared" si="6"/>
        <v>0</v>
      </c>
      <c r="I499" t="s">
        <v>20</v>
      </c>
      <c r="J499" t="s">
        <v>132</v>
      </c>
      <c r="K499" s="5">
        <f>55 / 86400</f>
        <v>6.3657407407407413E-4</v>
      </c>
      <c r="L499" s="5">
        <f>7 / 86400</f>
        <v>8.1018518518518516E-5</v>
      </c>
    </row>
    <row r="500" spans="1:12" x14ac:dyDescent="0.25">
      <c r="A500" s="3">
        <v>45710.933703703704</v>
      </c>
      <c r="B500" t="s">
        <v>344</v>
      </c>
      <c r="C500" s="3">
        <v>45710.935949074075</v>
      </c>
      <c r="D500" t="s">
        <v>95</v>
      </c>
      <c r="E500" s="4">
        <v>1.3671336516737937</v>
      </c>
      <c r="F500" s="4">
        <v>349957.91547118151</v>
      </c>
      <c r="G500" s="4">
        <v>349959.28260483319</v>
      </c>
      <c r="H500" s="5">
        <f t="shared" si="6"/>
        <v>0</v>
      </c>
      <c r="I500" t="s">
        <v>211</v>
      </c>
      <c r="J500" t="s">
        <v>131</v>
      </c>
      <c r="K500" s="5">
        <f>194 / 86400</f>
        <v>2.2453703703703702E-3</v>
      </c>
      <c r="L500" s="5">
        <f>20 / 86400</f>
        <v>2.3148148148148149E-4</v>
      </c>
    </row>
    <row r="501" spans="1:12" x14ac:dyDescent="0.25">
      <c r="A501" s="3">
        <v>45710.936180555553</v>
      </c>
      <c r="B501" t="s">
        <v>95</v>
      </c>
      <c r="C501" s="3">
        <v>45710.936759259261</v>
      </c>
      <c r="D501" t="s">
        <v>345</v>
      </c>
      <c r="E501" s="4">
        <v>5.6093196988105776E-2</v>
      </c>
      <c r="F501" s="4">
        <v>349959.33582927234</v>
      </c>
      <c r="G501" s="4">
        <v>349959.39192246931</v>
      </c>
      <c r="H501" s="5">
        <f t="shared" si="6"/>
        <v>0</v>
      </c>
      <c r="I501" t="s">
        <v>61</v>
      </c>
      <c r="J501" t="s">
        <v>75</v>
      </c>
      <c r="K501" s="5">
        <f>50 / 86400</f>
        <v>5.7870370370370367E-4</v>
      </c>
      <c r="L501" s="5">
        <f>19 / 86400</f>
        <v>2.199074074074074E-4</v>
      </c>
    </row>
    <row r="502" spans="1:12" x14ac:dyDescent="0.25">
      <c r="A502" s="3">
        <v>45710.936979166669</v>
      </c>
      <c r="B502" t="s">
        <v>95</v>
      </c>
      <c r="C502" s="3">
        <v>45710.937673611115</v>
      </c>
      <c r="D502" t="s">
        <v>95</v>
      </c>
      <c r="E502" s="4">
        <v>0.56926555371284482</v>
      </c>
      <c r="F502" s="4">
        <v>349959.52516968467</v>
      </c>
      <c r="G502" s="4">
        <v>349960.09443523834</v>
      </c>
      <c r="H502" s="5">
        <f t="shared" si="6"/>
        <v>0</v>
      </c>
      <c r="I502" t="s">
        <v>226</v>
      </c>
      <c r="J502" t="s">
        <v>199</v>
      </c>
      <c r="K502" s="5">
        <f>60 / 86400</f>
        <v>6.9444444444444447E-4</v>
      </c>
      <c r="L502" s="5">
        <f>40 / 86400</f>
        <v>4.6296296296296298E-4</v>
      </c>
    </row>
    <row r="503" spans="1:12" x14ac:dyDescent="0.25">
      <c r="A503" s="3">
        <v>45710.93813657407</v>
      </c>
      <c r="B503" t="s">
        <v>95</v>
      </c>
      <c r="C503" s="3">
        <v>45710.940150462964</v>
      </c>
      <c r="D503" t="s">
        <v>101</v>
      </c>
      <c r="E503" s="4">
        <v>1.2813380312919618</v>
      </c>
      <c r="F503" s="4">
        <v>349960.22356573766</v>
      </c>
      <c r="G503" s="4">
        <v>349961.50490376895</v>
      </c>
      <c r="H503" s="5">
        <f t="shared" si="6"/>
        <v>0</v>
      </c>
      <c r="I503" t="s">
        <v>260</v>
      </c>
      <c r="J503" t="s">
        <v>30</v>
      </c>
      <c r="K503" s="5">
        <f>174 / 86400</f>
        <v>2.0138888888888888E-3</v>
      </c>
      <c r="L503" s="5">
        <f>20 / 86400</f>
        <v>2.3148148148148149E-4</v>
      </c>
    </row>
    <row r="504" spans="1:12" x14ac:dyDescent="0.25">
      <c r="A504" s="3">
        <v>45710.940381944441</v>
      </c>
      <c r="B504" t="s">
        <v>101</v>
      </c>
      <c r="C504" s="3">
        <v>45710.941307870366</v>
      </c>
      <c r="D504" t="s">
        <v>101</v>
      </c>
      <c r="E504" s="4">
        <v>0.21450633084774018</v>
      </c>
      <c r="F504" s="4">
        <v>349961.51525097765</v>
      </c>
      <c r="G504" s="4">
        <v>349961.72975730849</v>
      </c>
      <c r="H504" s="5">
        <f t="shared" si="6"/>
        <v>0</v>
      </c>
      <c r="I504" t="s">
        <v>42</v>
      </c>
      <c r="J504" t="s">
        <v>168</v>
      </c>
      <c r="K504" s="5">
        <f>80 / 86400</f>
        <v>9.2592592592592596E-4</v>
      </c>
      <c r="L504" s="5">
        <f>40 / 86400</f>
        <v>4.6296296296296298E-4</v>
      </c>
    </row>
    <row r="505" spans="1:12" x14ac:dyDescent="0.25">
      <c r="A505" s="3">
        <v>45710.941770833335</v>
      </c>
      <c r="B505" t="s">
        <v>101</v>
      </c>
      <c r="C505" s="3">
        <v>45710.942465277782</v>
      </c>
      <c r="D505" t="s">
        <v>101</v>
      </c>
      <c r="E505" s="4">
        <v>0.12389087527990342</v>
      </c>
      <c r="F505" s="4">
        <v>349961.7738765931</v>
      </c>
      <c r="G505" s="4">
        <v>349961.89776746841</v>
      </c>
      <c r="H505" s="5">
        <f t="shared" si="6"/>
        <v>0</v>
      </c>
      <c r="I505" t="s">
        <v>37</v>
      </c>
      <c r="J505" t="s">
        <v>140</v>
      </c>
      <c r="K505" s="5">
        <f>60 / 86400</f>
        <v>6.9444444444444447E-4</v>
      </c>
      <c r="L505" s="5">
        <f>60 / 86400</f>
        <v>6.9444444444444447E-4</v>
      </c>
    </row>
    <row r="506" spans="1:12" x14ac:dyDescent="0.25">
      <c r="A506" s="3">
        <v>45710.943159722221</v>
      </c>
      <c r="B506" t="s">
        <v>225</v>
      </c>
      <c r="C506" s="3">
        <v>45710.943854166668</v>
      </c>
      <c r="D506" t="s">
        <v>101</v>
      </c>
      <c r="E506" s="4">
        <v>0.40758449977636335</v>
      </c>
      <c r="F506" s="4">
        <v>349961.99060849193</v>
      </c>
      <c r="G506" s="4">
        <v>349962.39819299174</v>
      </c>
      <c r="H506" s="5">
        <f t="shared" si="6"/>
        <v>0</v>
      </c>
      <c r="I506" t="s">
        <v>182</v>
      </c>
      <c r="J506" t="s">
        <v>137</v>
      </c>
      <c r="K506" s="5">
        <f>60 / 86400</f>
        <v>6.9444444444444447E-4</v>
      </c>
      <c r="L506" s="5">
        <f>20 / 86400</f>
        <v>2.3148148148148149E-4</v>
      </c>
    </row>
    <row r="507" spans="1:12" x14ac:dyDescent="0.25">
      <c r="A507" s="3">
        <v>45710.944085648152</v>
      </c>
      <c r="B507" t="s">
        <v>346</v>
      </c>
      <c r="C507" s="3">
        <v>45710.948587962965</v>
      </c>
      <c r="D507" t="s">
        <v>175</v>
      </c>
      <c r="E507" s="4">
        <v>4.0151925007700919</v>
      </c>
      <c r="F507" s="4">
        <v>349962.45558653801</v>
      </c>
      <c r="G507" s="4">
        <v>349966.47077903879</v>
      </c>
      <c r="H507" s="5">
        <f t="shared" si="6"/>
        <v>0</v>
      </c>
      <c r="I507" t="s">
        <v>67</v>
      </c>
      <c r="J507" t="s">
        <v>112</v>
      </c>
      <c r="K507" s="5">
        <f>389 / 86400</f>
        <v>4.5023148148148149E-3</v>
      </c>
      <c r="L507" s="5">
        <f>35 / 86400</f>
        <v>4.0509259259259258E-4</v>
      </c>
    </row>
    <row r="508" spans="1:12" x14ac:dyDescent="0.25">
      <c r="A508" s="3">
        <v>45710.948993055557</v>
      </c>
      <c r="B508" t="s">
        <v>175</v>
      </c>
      <c r="C508" s="3">
        <v>45710.949456018519</v>
      </c>
      <c r="D508" t="s">
        <v>223</v>
      </c>
      <c r="E508" s="4">
        <v>0.32889806205034255</v>
      </c>
      <c r="F508" s="4">
        <v>349966.47565775923</v>
      </c>
      <c r="G508" s="4">
        <v>349966.80455582129</v>
      </c>
      <c r="H508" s="5">
        <f t="shared" si="6"/>
        <v>0</v>
      </c>
      <c r="I508" t="s">
        <v>153</v>
      </c>
      <c r="J508" t="s">
        <v>188</v>
      </c>
      <c r="K508" s="5">
        <f>40 / 86400</f>
        <v>4.6296296296296298E-4</v>
      </c>
      <c r="L508" s="5">
        <f>9 / 86400</f>
        <v>1.0416666666666667E-4</v>
      </c>
    </row>
    <row r="509" spans="1:12" x14ac:dyDescent="0.25">
      <c r="A509" s="3">
        <v>45710.949560185181</v>
      </c>
      <c r="B509" t="s">
        <v>223</v>
      </c>
      <c r="C509" s="3">
        <v>45710.950254629628</v>
      </c>
      <c r="D509" t="s">
        <v>223</v>
      </c>
      <c r="E509" s="4">
        <v>0.40533439409732819</v>
      </c>
      <c r="F509" s="4">
        <v>349966.8121430942</v>
      </c>
      <c r="G509" s="4">
        <v>349967.21747748827</v>
      </c>
      <c r="H509" s="5">
        <f t="shared" si="6"/>
        <v>0</v>
      </c>
      <c r="I509" t="s">
        <v>154</v>
      </c>
      <c r="J509" t="s">
        <v>137</v>
      </c>
      <c r="K509" s="5">
        <f>60 / 86400</f>
        <v>6.9444444444444447E-4</v>
      </c>
      <c r="L509" s="5">
        <f>20 / 86400</f>
        <v>2.3148148148148149E-4</v>
      </c>
    </row>
    <row r="510" spans="1:12" x14ac:dyDescent="0.25">
      <c r="A510" s="3">
        <v>45710.950486111113</v>
      </c>
      <c r="B510" t="s">
        <v>223</v>
      </c>
      <c r="C510" s="3">
        <v>45710.950752314813</v>
      </c>
      <c r="D510" t="s">
        <v>223</v>
      </c>
      <c r="E510" s="4">
        <v>1.6016916632652284E-2</v>
      </c>
      <c r="F510" s="4">
        <v>349967.22990513791</v>
      </c>
      <c r="G510" s="4">
        <v>349967.24592205451</v>
      </c>
      <c r="H510" s="5">
        <f t="shared" si="6"/>
        <v>0</v>
      </c>
      <c r="I510" t="s">
        <v>31</v>
      </c>
      <c r="J510" t="s">
        <v>143</v>
      </c>
      <c r="K510" s="5">
        <f>23 / 86400</f>
        <v>2.6620370370370372E-4</v>
      </c>
      <c r="L510" s="5">
        <f>100 / 86400</f>
        <v>1.1574074074074073E-3</v>
      </c>
    </row>
    <row r="511" spans="1:12" x14ac:dyDescent="0.25">
      <c r="A511" s="3">
        <v>45710.951909722222</v>
      </c>
      <c r="B511" t="s">
        <v>318</v>
      </c>
      <c r="C511" s="3">
        <v>45710.952372685184</v>
      </c>
      <c r="D511" t="s">
        <v>318</v>
      </c>
      <c r="E511" s="4">
        <v>7.2693333625793461E-3</v>
      </c>
      <c r="F511" s="4">
        <v>349967.26255836803</v>
      </c>
      <c r="G511" s="4">
        <v>349967.26982770138</v>
      </c>
      <c r="H511" s="5">
        <f t="shared" si="6"/>
        <v>0</v>
      </c>
      <c r="I511" t="s">
        <v>124</v>
      </c>
      <c r="J511" t="s">
        <v>124</v>
      </c>
      <c r="K511" s="5">
        <f>40 / 86400</f>
        <v>4.6296296296296298E-4</v>
      </c>
      <c r="L511" s="5">
        <f>76 / 86400</f>
        <v>8.7962962962962962E-4</v>
      </c>
    </row>
    <row r="512" spans="1:12" x14ac:dyDescent="0.25">
      <c r="A512" s="3">
        <v>45710.953252314815</v>
      </c>
      <c r="B512" t="s">
        <v>318</v>
      </c>
      <c r="C512" s="3">
        <v>45710.954872685186</v>
      </c>
      <c r="D512" t="s">
        <v>183</v>
      </c>
      <c r="E512" s="4">
        <v>1.4102057291865349</v>
      </c>
      <c r="F512" s="4">
        <v>349967.2869725338</v>
      </c>
      <c r="G512" s="4">
        <v>349968.69717826298</v>
      </c>
      <c r="H512" s="5">
        <f t="shared" si="6"/>
        <v>0</v>
      </c>
      <c r="I512" t="s">
        <v>67</v>
      </c>
      <c r="J512" t="s">
        <v>218</v>
      </c>
      <c r="K512" s="5">
        <f>140 / 86400</f>
        <v>1.6203703703703703E-3</v>
      </c>
      <c r="L512" s="5">
        <f>38 / 86400</f>
        <v>4.3981481481481481E-4</v>
      </c>
    </row>
    <row r="513" spans="1:12" x14ac:dyDescent="0.25">
      <c r="A513" s="3">
        <v>45710.955312499995</v>
      </c>
      <c r="B513" t="s">
        <v>183</v>
      </c>
      <c r="C513" s="3">
        <v>45710.956932870366</v>
      </c>
      <c r="D513" t="s">
        <v>183</v>
      </c>
      <c r="E513" s="4">
        <v>1.0867386472225189</v>
      </c>
      <c r="F513" s="4">
        <v>349968.70044789108</v>
      </c>
      <c r="G513" s="4">
        <v>349969.78718653828</v>
      </c>
      <c r="H513" s="5">
        <f t="shared" si="6"/>
        <v>0</v>
      </c>
      <c r="I513" t="s">
        <v>186</v>
      </c>
      <c r="J513" t="s">
        <v>56</v>
      </c>
      <c r="K513" s="5">
        <f>140 / 86400</f>
        <v>1.6203703703703703E-3</v>
      </c>
      <c r="L513" s="5">
        <f>40 / 86400</f>
        <v>4.6296296296296298E-4</v>
      </c>
    </row>
    <row r="514" spans="1:12" x14ac:dyDescent="0.25">
      <c r="A514" s="3">
        <v>45710.957395833335</v>
      </c>
      <c r="B514" t="s">
        <v>94</v>
      </c>
      <c r="C514" s="3">
        <v>45710.958553240736</v>
      </c>
      <c r="D514" t="s">
        <v>185</v>
      </c>
      <c r="E514" s="4">
        <v>0.63672250968217847</v>
      </c>
      <c r="F514" s="4">
        <v>349969.8050605157</v>
      </c>
      <c r="G514" s="4">
        <v>349970.4417830254</v>
      </c>
      <c r="H514" s="5">
        <f t="shared" si="6"/>
        <v>0</v>
      </c>
      <c r="I514" t="s">
        <v>195</v>
      </c>
      <c r="J514" t="s">
        <v>129</v>
      </c>
      <c r="K514" s="5">
        <f>100 / 86400</f>
        <v>1.1574074074074073E-3</v>
      </c>
      <c r="L514" s="5">
        <f>20 / 86400</f>
        <v>2.3148148148148149E-4</v>
      </c>
    </row>
    <row r="515" spans="1:12" x14ac:dyDescent="0.25">
      <c r="A515" s="3">
        <v>45710.958784722221</v>
      </c>
      <c r="B515" t="s">
        <v>185</v>
      </c>
      <c r="C515" s="3">
        <v>45710.960636574076</v>
      </c>
      <c r="D515" t="s">
        <v>185</v>
      </c>
      <c r="E515" s="4">
        <v>1.7553211560845374</v>
      </c>
      <c r="F515" s="4">
        <v>349970.53024995752</v>
      </c>
      <c r="G515" s="4">
        <v>349972.28557111358</v>
      </c>
      <c r="H515" s="5">
        <f t="shared" si="6"/>
        <v>0</v>
      </c>
      <c r="I515" t="s">
        <v>157</v>
      </c>
      <c r="J515" t="s">
        <v>173</v>
      </c>
      <c r="K515" s="5">
        <f>160 / 86400</f>
        <v>1.8518518518518519E-3</v>
      </c>
      <c r="L515" s="5">
        <f>29 / 86400</f>
        <v>3.3564814814814812E-4</v>
      </c>
    </row>
    <row r="516" spans="1:12" x14ac:dyDescent="0.25">
      <c r="A516" s="3">
        <v>45710.960972222223</v>
      </c>
      <c r="B516" t="s">
        <v>185</v>
      </c>
      <c r="C516" s="3">
        <v>45710.968287037038</v>
      </c>
      <c r="D516" t="s">
        <v>315</v>
      </c>
      <c r="E516" s="4">
        <v>6.4806633967757223</v>
      </c>
      <c r="F516" s="4">
        <v>349972.2969187774</v>
      </c>
      <c r="G516" s="4">
        <v>349978.77758217417</v>
      </c>
      <c r="H516" s="5">
        <f t="shared" si="6"/>
        <v>0</v>
      </c>
      <c r="I516" t="s">
        <v>59</v>
      </c>
      <c r="J516" t="s">
        <v>112</v>
      </c>
      <c r="K516" s="5">
        <f>632 / 86400</f>
        <v>7.3148148148148148E-3</v>
      </c>
      <c r="L516" s="5">
        <f>20 / 86400</f>
        <v>2.3148148148148149E-4</v>
      </c>
    </row>
    <row r="517" spans="1:12" x14ac:dyDescent="0.25">
      <c r="A517" s="3">
        <v>45710.968518518523</v>
      </c>
      <c r="B517" t="s">
        <v>315</v>
      </c>
      <c r="C517" s="3">
        <v>45710.970370370371</v>
      </c>
      <c r="D517" t="s">
        <v>191</v>
      </c>
      <c r="E517" s="4">
        <v>1.5538615375161171</v>
      </c>
      <c r="F517" s="4">
        <v>349978.9269943916</v>
      </c>
      <c r="G517" s="4">
        <v>349980.48085592914</v>
      </c>
      <c r="H517" s="5">
        <f t="shared" si="6"/>
        <v>0</v>
      </c>
      <c r="I517" t="s">
        <v>286</v>
      </c>
      <c r="J517" t="s">
        <v>195</v>
      </c>
      <c r="K517" s="5">
        <f>160 / 86400</f>
        <v>1.8518518518518519E-3</v>
      </c>
      <c r="L517" s="5">
        <f>20 / 86400</f>
        <v>2.3148148148148149E-4</v>
      </c>
    </row>
    <row r="518" spans="1:12" x14ac:dyDescent="0.25">
      <c r="A518" s="3">
        <v>45710.970601851848</v>
      </c>
      <c r="B518" t="s">
        <v>191</v>
      </c>
      <c r="C518" s="3">
        <v>45710.971759259264</v>
      </c>
      <c r="D518" t="s">
        <v>193</v>
      </c>
      <c r="E518" s="4">
        <v>0.91126971095800402</v>
      </c>
      <c r="F518" s="4">
        <v>349980.57640525809</v>
      </c>
      <c r="G518" s="4">
        <v>349981.48767496907</v>
      </c>
      <c r="H518" s="5">
        <f t="shared" si="6"/>
        <v>0</v>
      </c>
      <c r="I518" t="s">
        <v>60</v>
      </c>
      <c r="J518" t="s">
        <v>182</v>
      </c>
      <c r="K518" s="5">
        <f>100 / 86400</f>
        <v>1.1574074074074073E-3</v>
      </c>
      <c r="L518" s="5">
        <f>16 / 86400</f>
        <v>1.8518518518518518E-4</v>
      </c>
    </row>
    <row r="519" spans="1:12" x14ac:dyDescent="0.25">
      <c r="A519" s="3">
        <v>45710.971944444449</v>
      </c>
      <c r="B519" t="s">
        <v>193</v>
      </c>
      <c r="C519" s="3">
        <v>45710.976342592592</v>
      </c>
      <c r="D519" t="s">
        <v>347</v>
      </c>
      <c r="E519" s="4">
        <v>3.2282934590578081</v>
      </c>
      <c r="F519" s="4">
        <v>349981.4936657272</v>
      </c>
      <c r="G519" s="4">
        <v>349984.72195918625</v>
      </c>
      <c r="H519" s="5">
        <f t="shared" si="6"/>
        <v>0</v>
      </c>
      <c r="I519" t="s">
        <v>60</v>
      </c>
      <c r="J519" t="s">
        <v>192</v>
      </c>
      <c r="K519" s="5">
        <f>380 / 86400</f>
        <v>4.3981481481481484E-3</v>
      </c>
      <c r="L519" s="5">
        <f>6 / 86400</f>
        <v>6.9444444444444444E-5</v>
      </c>
    </row>
    <row r="520" spans="1:12" x14ac:dyDescent="0.25">
      <c r="A520" s="3">
        <v>45710.976412037038</v>
      </c>
      <c r="B520" t="s">
        <v>348</v>
      </c>
      <c r="C520" s="3">
        <v>45710.976643518516</v>
      </c>
      <c r="D520" t="s">
        <v>311</v>
      </c>
      <c r="E520" s="4">
        <v>7.3162958323955529E-2</v>
      </c>
      <c r="F520" s="4">
        <v>349984.7328032807</v>
      </c>
      <c r="G520" s="4">
        <v>349984.80596623902</v>
      </c>
      <c r="H520" s="5">
        <f t="shared" si="6"/>
        <v>0</v>
      </c>
      <c r="I520" t="s">
        <v>45</v>
      </c>
      <c r="J520" t="s">
        <v>45</v>
      </c>
      <c r="K520" s="5">
        <f>20 / 86400</f>
        <v>2.3148148148148149E-4</v>
      </c>
      <c r="L520" s="5">
        <f>60 / 86400</f>
        <v>6.9444444444444447E-4</v>
      </c>
    </row>
    <row r="521" spans="1:12" x14ac:dyDescent="0.25">
      <c r="A521" s="3">
        <v>45710.977337962962</v>
      </c>
      <c r="B521" t="s">
        <v>312</v>
      </c>
      <c r="C521" s="3">
        <v>45710.977604166663</v>
      </c>
      <c r="D521" t="s">
        <v>312</v>
      </c>
      <c r="E521" s="4">
        <v>1.7518565475940703E-2</v>
      </c>
      <c r="F521" s="4">
        <v>349984.8159265634</v>
      </c>
      <c r="G521" s="4">
        <v>349984.83344512887</v>
      </c>
      <c r="H521" s="5">
        <f t="shared" si="6"/>
        <v>0</v>
      </c>
      <c r="I521" t="s">
        <v>31</v>
      </c>
      <c r="J521" t="s">
        <v>143</v>
      </c>
      <c r="K521" s="5">
        <f>23 / 86400</f>
        <v>2.6620370370370372E-4</v>
      </c>
      <c r="L521" s="5">
        <f>100 / 86400</f>
        <v>1.1574074074074073E-3</v>
      </c>
    </row>
    <row r="522" spans="1:12" x14ac:dyDescent="0.25">
      <c r="A522" s="3">
        <v>45710.978761574079</v>
      </c>
      <c r="B522" t="s">
        <v>311</v>
      </c>
      <c r="C522" s="3">
        <v>45710.978993055556</v>
      </c>
      <c r="D522" t="s">
        <v>311</v>
      </c>
      <c r="E522" s="4">
        <v>3.2671304941177368E-3</v>
      </c>
      <c r="F522" s="4">
        <v>349984.86269212223</v>
      </c>
      <c r="G522" s="4">
        <v>349984.8659592527</v>
      </c>
      <c r="H522" s="5">
        <f t="shared" si="6"/>
        <v>0</v>
      </c>
      <c r="I522" t="s">
        <v>113</v>
      </c>
      <c r="J522" t="s">
        <v>124</v>
      </c>
      <c r="K522" s="5">
        <f>20 / 86400</f>
        <v>2.3148148148148149E-4</v>
      </c>
      <c r="L522" s="5">
        <f>63 / 86400</f>
        <v>7.291666666666667E-4</v>
      </c>
    </row>
    <row r="523" spans="1:12" x14ac:dyDescent="0.25">
      <c r="A523" s="3">
        <v>45710.979722222226</v>
      </c>
      <c r="B523" t="s">
        <v>311</v>
      </c>
      <c r="C523" s="3">
        <v>45710.979953703703</v>
      </c>
      <c r="D523" t="s">
        <v>312</v>
      </c>
      <c r="E523" s="4">
        <v>6.7351316809654239E-3</v>
      </c>
      <c r="F523" s="4">
        <v>349984.8812281682</v>
      </c>
      <c r="G523" s="4">
        <v>349984.88796329987</v>
      </c>
      <c r="H523" s="5">
        <f t="shared" si="6"/>
        <v>0</v>
      </c>
      <c r="I523" t="s">
        <v>156</v>
      </c>
      <c r="J523" t="s">
        <v>124</v>
      </c>
      <c r="K523" s="5">
        <f>20 / 86400</f>
        <v>2.3148148148148149E-4</v>
      </c>
      <c r="L523" s="5">
        <f>19 / 86400</f>
        <v>2.199074074074074E-4</v>
      </c>
    </row>
    <row r="524" spans="1:12" x14ac:dyDescent="0.25">
      <c r="A524" s="3">
        <v>45710.980173611111</v>
      </c>
      <c r="B524" t="s">
        <v>311</v>
      </c>
      <c r="C524" s="3">
        <v>45710.982974537037</v>
      </c>
      <c r="D524" t="s">
        <v>312</v>
      </c>
      <c r="E524" s="4">
        <v>3.1014033317565918E-2</v>
      </c>
      <c r="F524" s="4">
        <v>349984.89579297672</v>
      </c>
      <c r="G524" s="4">
        <v>349984.92680701008</v>
      </c>
      <c r="H524" s="5">
        <f t="shared" si="6"/>
        <v>0</v>
      </c>
      <c r="I524" t="s">
        <v>156</v>
      </c>
      <c r="J524" t="s">
        <v>77</v>
      </c>
      <c r="K524" s="5">
        <f>242 / 86400</f>
        <v>2.8009259259259259E-3</v>
      </c>
      <c r="L524" s="5">
        <f>20 / 86400</f>
        <v>2.3148148148148149E-4</v>
      </c>
    </row>
    <row r="525" spans="1:12" x14ac:dyDescent="0.25">
      <c r="A525" s="3">
        <v>45710.983206018514</v>
      </c>
      <c r="B525" t="s">
        <v>311</v>
      </c>
      <c r="C525" s="3">
        <v>45710.983437499999</v>
      </c>
      <c r="D525" t="s">
        <v>311</v>
      </c>
      <c r="E525" s="4">
        <v>3.0013228654861448E-3</v>
      </c>
      <c r="F525" s="4">
        <v>349984.92844453413</v>
      </c>
      <c r="G525" s="4">
        <v>349984.93144585699</v>
      </c>
      <c r="H525" s="5">
        <f t="shared" si="6"/>
        <v>0</v>
      </c>
      <c r="I525" t="s">
        <v>124</v>
      </c>
      <c r="J525" t="s">
        <v>124</v>
      </c>
      <c r="K525" s="5">
        <f>20 / 86400</f>
        <v>2.3148148148148149E-4</v>
      </c>
      <c r="L525" s="5">
        <f>16 / 86400</f>
        <v>1.8518518518518518E-4</v>
      </c>
    </row>
    <row r="526" spans="1:12" x14ac:dyDescent="0.25">
      <c r="A526" s="3">
        <v>45710.983622685184</v>
      </c>
      <c r="B526" t="s">
        <v>311</v>
      </c>
      <c r="C526" s="3">
        <v>45710.983854166669</v>
      </c>
      <c r="D526" t="s">
        <v>311</v>
      </c>
      <c r="E526" s="4">
        <v>4.1761660575866701E-3</v>
      </c>
      <c r="F526" s="4">
        <v>349984.94051156915</v>
      </c>
      <c r="G526" s="4">
        <v>349984.94468773517</v>
      </c>
      <c r="H526" s="5">
        <f t="shared" si="6"/>
        <v>0</v>
      </c>
      <c r="I526" t="s">
        <v>156</v>
      </c>
      <c r="J526" t="s">
        <v>124</v>
      </c>
      <c r="K526" s="5">
        <f>20 / 86400</f>
        <v>2.3148148148148149E-4</v>
      </c>
      <c r="L526" s="5">
        <f>100 / 86400</f>
        <v>1.1574074074074073E-3</v>
      </c>
    </row>
    <row r="527" spans="1:12" x14ac:dyDescent="0.25">
      <c r="A527" s="3">
        <v>45710.98501157407</v>
      </c>
      <c r="B527" t="s">
        <v>312</v>
      </c>
      <c r="C527" s="3">
        <v>45710.985243055555</v>
      </c>
      <c r="D527" t="s">
        <v>311</v>
      </c>
      <c r="E527" s="4">
        <v>3.5008733868598938E-3</v>
      </c>
      <c r="F527" s="4">
        <v>349984.96825130982</v>
      </c>
      <c r="G527" s="4">
        <v>349984.97175218322</v>
      </c>
      <c r="H527" s="5">
        <f t="shared" si="6"/>
        <v>0</v>
      </c>
      <c r="I527" t="s">
        <v>75</v>
      </c>
      <c r="J527" t="s">
        <v>124</v>
      </c>
      <c r="K527" s="5">
        <f>20 / 86400</f>
        <v>2.3148148148148149E-4</v>
      </c>
      <c r="L527" s="5">
        <f>40 / 86400</f>
        <v>4.6296296296296298E-4</v>
      </c>
    </row>
    <row r="528" spans="1:12" x14ac:dyDescent="0.25">
      <c r="A528" s="3">
        <v>45710.985706018517</v>
      </c>
      <c r="B528" t="s">
        <v>311</v>
      </c>
      <c r="C528" s="3">
        <v>45710.985949074078</v>
      </c>
      <c r="D528" t="s">
        <v>311</v>
      </c>
      <c r="E528" s="4">
        <v>2.5749155282974241E-3</v>
      </c>
      <c r="F528" s="4">
        <v>349984.98688483104</v>
      </c>
      <c r="G528" s="4">
        <v>349984.98945974658</v>
      </c>
      <c r="H528" s="5">
        <f t="shared" si="6"/>
        <v>0</v>
      </c>
      <c r="I528" t="s">
        <v>124</v>
      </c>
      <c r="J528" t="s">
        <v>77</v>
      </c>
      <c r="K528" s="5">
        <f>21 / 86400</f>
        <v>2.4305555555555555E-4</v>
      </c>
      <c r="L528" s="5">
        <f>80 / 86400</f>
        <v>9.2592592592592596E-4</v>
      </c>
    </row>
    <row r="529" spans="1:12" x14ac:dyDescent="0.25">
      <c r="A529" s="3">
        <v>45710.986875000002</v>
      </c>
      <c r="B529" t="s">
        <v>311</v>
      </c>
      <c r="C529" s="3">
        <v>45710.989872685182</v>
      </c>
      <c r="D529" t="s">
        <v>349</v>
      </c>
      <c r="E529" s="4">
        <v>1.3798360073566436</v>
      </c>
      <c r="F529" s="4">
        <v>349985.00611625583</v>
      </c>
      <c r="G529" s="4">
        <v>349986.3859522632</v>
      </c>
      <c r="H529" s="5">
        <f t="shared" si="6"/>
        <v>0</v>
      </c>
      <c r="I529" t="s">
        <v>123</v>
      </c>
      <c r="J529" t="s">
        <v>80</v>
      </c>
      <c r="K529" s="5">
        <f>259 / 86400</f>
        <v>2.9976851851851853E-3</v>
      </c>
      <c r="L529" s="5">
        <f>20 / 86400</f>
        <v>2.3148148148148149E-4</v>
      </c>
    </row>
    <row r="530" spans="1:12" x14ac:dyDescent="0.25">
      <c r="A530" s="3">
        <v>45710.990104166667</v>
      </c>
      <c r="B530" t="s">
        <v>66</v>
      </c>
      <c r="C530" s="3">
        <v>45710.990335648152</v>
      </c>
      <c r="D530" t="s">
        <v>66</v>
      </c>
      <c r="E530" s="4">
        <v>9.9834706187248226E-2</v>
      </c>
      <c r="F530" s="4">
        <v>349986.4640935174</v>
      </c>
      <c r="G530" s="4">
        <v>349986.56392822362</v>
      </c>
      <c r="H530" s="5">
        <f t="shared" si="6"/>
        <v>0</v>
      </c>
      <c r="I530" t="s">
        <v>30</v>
      </c>
      <c r="J530" t="s">
        <v>20</v>
      </c>
      <c r="K530" s="5">
        <f>20 / 86400</f>
        <v>2.3148148148148149E-4</v>
      </c>
      <c r="L530" s="5">
        <f>3 / 86400</f>
        <v>3.4722222222222222E-5</v>
      </c>
    </row>
    <row r="531" spans="1:12" x14ac:dyDescent="0.25">
      <c r="A531" s="3">
        <v>45710.990370370375</v>
      </c>
      <c r="B531" t="s">
        <v>66</v>
      </c>
      <c r="C531" s="3">
        <v>45710.991724537038</v>
      </c>
      <c r="D531" t="s">
        <v>193</v>
      </c>
      <c r="E531" s="4">
        <v>0.86645695137977596</v>
      </c>
      <c r="F531" s="4">
        <v>349986.568472062</v>
      </c>
      <c r="G531" s="4">
        <v>349987.43492901337</v>
      </c>
      <c r="H531" s="5">
        <f t="shared" si="6"/>
        <v>0</v>
      </c>
      <c r="I531" t="s">
        <v>112</v>
      </c>
      <c r="J531" t="s">
        <v>30</v>
      </c>
      <c r="K531" s="5">
        <f>117 / 86400</f>
        <v>1.3541666666666667E-3</v>
      </c>
      <c r="L531" s="5">
        <f>20 / 86400</f>
        <v>2.3148148148148149E-4</v>
      </c>
    </row>
    <row r="532" spans="1:12" x14ac:dyDescent="0.25">
      <c r="A532" s="3">
        <v>45710.991956018523</v>
      </c>
      <c r="B532" t="s">
        <v>193</v>
      </c>
      <c r="C532" s="3">
        <v>45710.992650462962</v>
      </c>
      <c r="D532" t="s">
        <v>306</v>
      </c>
      <c r="E532" s="4">
        <v>0.57584837740659711</v>
      </c>
      <c r="F532" s="4">
        <v>349987.49834143947</v>
      </c>
      <c r="G532" s="4">
        <v>349988.07418981689</v>
      </c>
      <c r="H532" s="5">
        <f t="shared" si="6"/>
        <v>0</v>
      </c>
      <c r="I532" t="s">
        <v>244</v>
      </c>
      <c r="J532" t="s">
        <v>195</v>
      </c>
      <c r="K532" s="5">
        <f>60 / 86400</f>
        <v>6.9444444444444447E-4</v>
      </c>
      <c r="L532" s="5">
        <f>40 / 86400</f>
        <v>4.6296296296296298E-4</v>
      </c>
    </row>
    <row r="533" spans="1:12" x14ac:dyDescent="0.25">
      <c r="A533" s="3">
        <v>45710.993113425924</v>
      </c>
      <c r="B533" t="s">
        <v>193</v>
      </c>
      <c r="C533" s="3">
        <v>45710.99998842593</v>
      </c>
      <c r="D533" t="s">
        <v>35</v>
      </c>
      <c r="E533" s="4">
        <v>5.4701220321059223</v>
      </c>
      <c r="F533" s="4">
        <v>349988.19651188469</v>
      </c>
      <c r="G533" s="4">
        <v>349993.66663391679</v>
      </c>
      <c r="H533" s="5">
        <f t="shared" si="6"/>
        <v>0</v>
      </c>
      <c r="I533" t="s">
        <v>157</v>
      </c>
      <c r="J533" t="s">
        <v>182</v>
      </c>
      <c r="K533" s="5">
        <f>594 / 86400</f>
        <v>6.875E-3</v>
      </c>
      <c r="L533" s="5">
        <f>0 / 86400</f>
        <v>0</v>
      </c>
    </row>
    <row r="534" spans="1:12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</row>
    <row r="535" spans="1:12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</row>
    <row r="536" spans="1:12" s="10" customFormat="1" ht="20.100000000000001" customHeight="1" x14ac:dyDescent="0.35">
      <c r="A536" s="15" t="s">
        <v>428</v>
      </c>
      <c r="B536" s="15"/>
      <c r="C536" s="15"/>
      <c r="D536" s="15"/>
      <c r="E536" s="15"/>
      <c r="F536" s="15"/>
      <c r="G536" s="15"/>
      <c r="H536" s="15"/>
      <c r="I536" s="15"/>
      <c r="J536" s="15"/>
    </row>
    <row r="537" spans="1:12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</row>
    <row r="538" spans="1:12" ht="30" x14ac:dyDescent="0.25">
      <c r="A538" s="2" t="s">
        <v>6</v>
      </c>
      <c r="B538" s="2" t="s">
        <v>7</v>
      </c>
      <c r="C538" s="2" t="s">
        <v>8</v>
      </c>
      <c r="D538" s="2" t="s">
        <v>9</v>
      </c>
      <c r="E538" s="2" t="s">
        <v>10</v>
      </c>
      <c r="F538" s="2" t="s">
        <v>11</v>
      </c>
      <c r="G538" s="2" t="s">
        <v>12</v>
      </c>
      <c r="H538" s="2" t="s">
        <v>13</v>
      </c>
      <c r="I538" s="2" t="s">
        <v>14</v>
      </c>
      <c r="J538" s="2" t="s">
        <v>15</v>
      </c>
      <c r="K538" s="2" t="s">
        <v>16</v>
      </c>
      <c r="L538" s="2" t="s">
        <v>17</v>
      </c>
    </row>
    <row r="539" spans="1:12" x14ac:dyDescent="0.25">
      <c r="A539" s="3">
        <v>45710.168136574073</v>
      </c>
      <c r="B539" t="s">
        <v>38</v>
      </c>
      <c r="C539" s="3">
        <v>45710.357141203705</v>
      </c>
      <c r="D539" t="s">
        <v>146</v>
      </c>
      <c r="E539" s="4">
        <v>83.204999999999998</v>
      </c>
      <c r="F539" s="4">
        <v>485351.48499999999</v>
      </c>
      <c r="G539" s="4">
        <v>485434.69</v>
      </c>
      <c r="H539" s="5">
        <f>5058 / 86400</f>
        <v>5.8541666666666665E-2</v>
      </c>
      <c r="I539" t="s">
        <v>25</v>
      </c>
      <c r="J539" t="s">
        <v>20</v>
      </c>
      <c r="K539" s="5">
        <f>16329 / 86400</f>
        <v>0.18899305555555557</v>
      </c>
      <c r="L539" s="5">
        <f>15739 / 86400</f>
        <v>0.18216435185185184</v>
      </c>
    </row>
    <row r="540" spans="1:12" x14ac:dyDescent="0.25">
      <c r="A540" s="3">
        <v>45710.371168981481</v>
      </c>
      <c r="B540" t="s">
        <v>146</v>
      </c>
      <c r="C540" s="3">
        <v>45710.371203703704</v>
      </c>
      <c r="D540" t="s">
        <v>146</v>
      </c>
      <c r="E540" s="4">
        <v>0</v>
      </c>
      <c r="F540" s="4">
        <v>485434.69</v>
      </c>
      <c r="G540" s="4">
        <v>485434.69</v>
      </c>
      <c r="H540" s="5">
        <f>0 / 86400</f>
        <v>0</v>
      </c>
      <c r="I540" t="s">
        <v>77</v>
      </c>
      <c r="J540" t="s">
        <v>77</v>
      </c>
      <c r="K540" s="5">
        <f>2 / 86400</f>
        <v>2.3148148148148147E-5</v>
      </c>
      <c r="L540" s="5">
        <f>1 / 86400</f>
        <v>1.1574074074074073E-5</v>
      </c>
    </row>
    <row r="541" spans="1:12" x14ac:dyDescent="0.25">
      <c r="A541" s="3">
        <v>45710.371215277773</v>
      </c>
      <c r="B541" t="s">
        <v>146</v>
      </c>
      <c r="C541" s="3">
        <v>45710.598159722227</v>
      </c>
      <c r="D541" t="s">
        <v>38</v>
      </c>
      <c r="E541" s="4">
        <v>81.358000000000004</v>
      </c>
      <c r="F541" s="4">
        <v>485434.69</v>
      </c>
      <c r="G541" s="4">
        <v>485516.04800000001</v>
      </c>
      <c r="H541" s="5">
        <f>7164 / 86400</f>
        <v>8.2916666666666666E-2</v>
      </c>
      <c r="I541" t="s">
        <v>221</v>
      </c>
      <c r="J541" t="s">
        <v>42</v>
      </c>
      <c r="K541" s="5">
        <f>19608 / 86400</f>
        <v>0.22694444444444445</v>
      </c>
      <c r="L541" s="5">
        <f>34718 / 86400</f>
        <v>0.40182870370370372</v>
      </c>
    </row>
    <row r="542" spans="1:12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</row>
    <row r="543" spans="1:12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</row>
    <row r="544" spans="1:12" s="10" customFormat="1" ht="20.100000000000001" customHeight="1" x14ac:dyDescent="0.35">
      <c r="A544" s="15" t="s">
        <v>429</v>
      </c>
      <c r="B544" s="15"/>
      <c r="C544" s="15"/>
      <c r="D544" s="15"/>
      <c r="E544" s="15"/>
      <c r="F544" s="15"/>
      <c r="G544" s="15"/>
      <c r="H544" s="15"/>
      <c r="I544" s="15"/>
      <c r="J544" s="15"/>
    </row>
    <row r="545" spans="1:12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</row>
    <row r="546" spans="1:12" ht="30" x14ac:dyDescent="0.25">
      <c r="A546" s="2" t="s">
        <v>6</v>
      </c>
      <c r="B546" s="2" t="s">
        <v>7</v>
      </c>
      <c r="C546" s="2" t="s">
        <v>8</v>
      </c>
      <c r="D546" s="2" t="s">
        <v>9</v>
      </c>
      <c r="E546" s="2" t="s">
        <v>10</v>
      </c>
      <c r="F546" s="2" t="s">
        <v>11</v>
      </c>
      <c r="G546" s="2" t="s">
        <v>12</v>
      </c>
      <c r="H546" s="2" t="s">
        <v>13</v>
      </c>
      <c r="I546" s="2" t="s">
        <v>14</v>
      </c>
      <c r="J546" s="2" t="s">
        <v>15</v>
      </c>
      <c r="K546" s="2" t="s">
        <v>16</v>
      </c>
      <c r="L546" s="2" t="s">
        <v>17</v>
      </c>
    </row>
    <row r="547" spans="1:12" x14ac:dyDescent="0.25">
      <c r="A547" s="3">
        <v>45710.275335648148</v>
      </c>
      <c r="B547" t="s">
        <v>39</v>
      </c>
      <c r="C547" s="3">
        <v>45710.284467592588</v>
      </c>
      <c r="D547" t="s">
        <v>128</v>
      </c>
      <c r="E547" s="4">
        <v>1.454</v>
      </c>
      <c r="F547" s="4">
        <v>509768.24200000003</v>
      </c>
      <c r="G547" s="4">
        <v>509769.696</v>
      </c>
      <c r="H547" s="5">
        <f>319 / 86400</f>
        <v>3.6921296296296298E-3</v>
      </c>
      <c r="I547" t="s">
        <v>37</v>
      </c>
      <c r="J547" t="s">
        <v>140</v>
      </c>
      <c r="K547" s="5">
        <f>788 / 86400</f>
        <v>9.1203703703703707E-3</v>
      </c>
      <c r="L547" s="5">
        <f>24610 / 86400</f>
        <v>0.28483796296296299</v>
      </c>
    </row>
    <row r="548" spans="1:12" x14ac:dyDescent="0.25">
      <c r="A548" s="3">
        <v>45710.293969907405</v>
      </c>
      <c r="B548" t="s">
        <v>128</v>
      </c>
      <c r="C548" s="3">
        <v>45710.415185185186</v>
      </c>
      <c r="D548" t="s">
        <v>350</v>
      </c>
      <c r="E548" s="4">
        <v>50.6</v>
      </c>
      <c r="F548" s="4">
        <v>509769.696</v>
      </c>
      <c r="G548" s="4">
        <v>509820.29599999997</v>
      </c>
      <c r="H548" s="5">
        <f>3061 / 86400</f>
        <v>3.5428240740740739E-2</v>
      </c>
      <c r="I548" t="s">
        <v>152</v>
      </c>
      <c r="J548" t="s">
        <v>29</v>
      </c>
      <c r="K548" s="5">
        <f>10473 / 86400</f>
        <v>0.12121527777777778</v>
      </c>
      <c r="L548" s="5">
        <f>331 / 86400</f>
        <v>3.8310185185185183E-3</v>
      </c>
    </row>
    <row r="549" spans="1:12" x14ac:dyDescent="0.25">
      <c r="A549" s="3">
        <v>45710.419016203705</v>
      </c>
      <c r="B549" t="s">
        <v>350</v>
      </c>
      <c r="C549" s="3">
        <v>45710.558854166666</v>
      </c>
      <c r="D549" t="s">
        <v>39</v>
      </c>
      <c r="E549" s="4">
        <v>50.789000000000001</v>
      </c>
      <c r="F549" s="4">
        <v>509820.29599999997</v>
      </c>
      <c r="G549" s="4">
        <v>509871.08500000002</v>
      </c>
      <c r="H549" s="5">
        <f>3959 / 86400</f>
        <v>4.5821759259259257E-2</v>
      </c>
      <c r="I549" t="s">
        <v>157</v>
      </c>
      <c r="J549" t="s">
        <v>42</v>
      </c>
      <c r="K549" s="5">
        <f>12081 / 86400</f>
        <v>0.13982638888888888</v>
      </c>
      <c r="L549" s="5">
        <f>2248 / 86400</f>
        <v>2.6018518518518517E-2</v>
      </c>
    </row>
    <row r="550" spans="1:12" x14ac:dyDescent="0.25">
      <c r="A550" s="3">
        <v>45710.584872685184</v>
      </c>
      <c r="B550" t="s">
        <v>39</v>
      </c>
      <c r="C550" s="3">
        <v>45710.875844907408</v>
      </c>
      <c r="D550" t="s">
        <v>81</v>
      </c>
      <c r="E550" s="4">
        <v>95.200999999999993</v>
      </c>
      <c r="F550" s="4">
        <v>509871.08500000002</v>
      </c>
      <c r="G550" s="4">
        <v>509966.28600000002</v>
      </c>
      <c r="H550" s="5">
        <f>10101 / 86400</f>
        <v>0.11690972222222222</v>
      </c>
      <c r="I550" t="s">
        <v>41</v>
      </c>
      <c r="J550" t="s">
        <v>26</v>
      </c>
      <c r="K550" s="5">
        <f>25139 / 86400</f>
        <v>0.29096064814814815</v>
      </c>
      <c r="L550" s="5">
        <f>213 / 86400</f>
        <v>2.4652777777777776E-3</v>
      </c>
    </row>
    <row r="551" spans="1:12" x14ac:dyDescent="0.25">
      <c r="A551" s="3">
        <v>45710.878310185188</v>
      </c>
      <c r="B551" t="s">
        <v>81</v>
      </c>
      <c r="C551" s="3">
        <v>45710.878460648149</v>
      </c>
      <c r="D551" t="s">
        <v>81</v>
      </c>
      <c r="E551" s="4">
        <v>5.0000000000000001E-3</v>
      </c>
      <c r="F551" s="4">
        <v>509966.28600000002</v>
      </c>
      <c r="G551" s="4">
        <v>509966.29100000003</v>
      </c>
      <c r="H551" s="5">
        <f>0 / 86400</f>
        <v>0</v>
      </c>
      <c r="I551" t="s">
        <v>77</v>
      </c>
      <c r="J551" t="s">
        <v>124</v>
      </c>
      <c r="K551" s="5">
        <f>13 / 86400</f>
        <v>1.5046296296296297E-4</v>
      </c>
      <c r="L551" s="5">
        <f>976 / 86400</f>
        <v>1.1296296296296296E-2</v>
      </c>
    </row>
    <row r="552" spans="1:12" x14ac:dyDescent="0.25">
      <c r="A552" s="3">
        <v>45710.889756944445</v>
      </c>
      <c r="B552" t="s">
        <v>81</v>
      </c>
      <c r="C552" s="3">
        <v>45710.90221064815</v>
      </c>
      <c r="D552" t="s">
        <v>40</v>
      </c>
      <c r="E552" s="4">
        <v>3.9140000000000001</v>
      </c>
      <c r="F552" s="4">
        <v>509966.29100000003</v>
      </c>
      <c r="G552" s="4">
        <v>509970.20500000002</v>
      </c>
      <c r="H552" s="5">
        <f>100 / 86400</f>
        <v>1.1574074074074073E-3</v>
      </c>
      <c r="I552" t="s">
        <v>182</v>
      </c>
      <c r="J552" t="s">
        <v>45</v>
      </c>
      <c r="K552" s="5">
        <f>1075 / 86400</f>
        <v>1.2442129629629629E-2</v>
      </c>
      <c r="L552" s="5">
        <f>52 / 86400</f>
        <v>6.018518518518519E-4</v>
      </c>
    </row>
    <row r="553" spans="1:12" x14ac:dyDescent="0.25">
      <c r="A553" s="3">
        <v>45710.902812500004</v>
      </c>
      <c r="B553" t="s">
        <v>40</v>
      </c>
      <c r="C553" s="3">
        <v>45710.90315972222</v>
      </c>
      <c r="D553" t="s">
        <v>40</v>
      </c>
      <c r="E553" s="4">
        <v>3.6999999999999998E-2</v>
      </c>
      <c r="F553" s="4">
        <v>509970.20500000002</v>
      </c>
      <c r="G553" s="4">
        <v>509970.24200000003</v>
      </c>
      <c r="H553" s="5">
        <f>0 / 86400</f>
        <v>0</v>
      </c>
      <c r="I553" t="s">
        <v>33</v>
      </c>
      <c r="J553" t="s">
        <v>75</v>
      </c>
      <c r="K553" s="5">
        <f>30 / 86400</f>
        <v>3.4722222222222224E-4</v>
      </c>
      <c r="L553" s="5">
        <f>8366 / 86400</f>
        <v>9.6828703703703708E-2</v>
      </c>
    </row>
    <row r="554" spans="1:1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2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</row>
    <row r="556" spans="1:12" s="10" customFormat="1" ht="20.100000000000001" customHeight="1" x14ac:dyDescent="0.35">
      <c r="A556" s="15" t="s">
        <v>430</v>
      </c>
      <c r="B556" s="15"/>
      <c r="C556" s="15"/>
      <c r="D556" s="15"/>
      <c r="E556" s="15"/>
      <c r="F556" s="15"/>
      <c r="G556" s="15"/>
      <c r="H556" s="15"/>
      <c r="I556" s="15"/>
      <c r="J556" s="15"/>
    </row>
    <row r="557" spans="1:12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</row>
    <row r="558" spans="1:12" ht="30" x14ac:dyDescent="0.25">
      <c r="A558" s="2" t="s">
        <v>6</v>
      </c>
      <c r="B558" s="2" t="s">
        <v>7</v>
      </c>
      <c r="C558" s="2" t="s">
        <v>8</v>
      </c>
      <c r="D558" s="2" t="s">
        <v>9</v>
      </c>
      <c r="E558" s="2" t="s">
        <v>10</v>
      </c>
      <c r="F558" s="2" t="s">
        <v>11</v>
      </c>
      <c r="G558" s="2" t="s">
        <v>12</v>
      </c>
      <c r="H558" s="2" t="s">
        <v>13</v>
      </c>
      <c r="I558" s="2" t="s">
        <v>14</v>
      </c>
      <c r="J558" s="2" t="s">
        <v>15</v>
      </c>
      <c r="K558" s="2" t="s">
        <v>16</v>
      </c>
      <c r="L558" s="2" t="s">
        <v>17</v>
      </c>
    </row>
    <row r="559" spans="1:12" x14ac:dyDescent="0.25">
      <c r="A559" s="3">
        <v>45710.237581018519</v>
      </c>
      <c r="B559" t="s">
        <v>43</v>
      </c>
      <c r="C559" s="3">
        <v>45710.237638888888</v>
      </c>
      <c r="D559" t="s">
        <v>43</v>
      </c>
      <c r="E559" s="4">
        <v>8.9999999999999993E-3</v>
      </c>
      <c r="F559" s="4">
        <v>408976.842</v>
      </c>
      <c r="G559" s="4">
        <v>408976.85100000002</v>
      </c>
      <c r="H559" s="5">
        <f t="shared" ref="H559:H567" si="7">0 / 86400</f>
        <v>0</v>
      </c>
      <c r="I559" t="s">
        <v>139</v>
      </c>
      <c r="J559" t="s">
        <v>31</v>
      </c>
      <c r="K559" s="5">
        <f>5 / 86400</f>
        <v>5.7870370370370373E-5</v>
      </c>
      <c r="L559" s="5">
        <f>20543 / 86400</f>
        <v>0.23776620370370372</v>
      </c>
    </row>
    <row r="560" spans="1:12" x14ac:dyDescent="0.25">
      <c r="A560" s="3">
        <v>45710.237824074073</v>
      </c>
      <c r="B560" t="s">
        <v>39</v>
      </c>
      <c r="C560" s="3">
        <v>45710.23809027778</v>
      </c>
      <c r="D560" t="s">
        <v>39</v>
      </c>
      <c r="E560" s="4">
        <v>6.0999999999999999E-2</v>
      </c>
      <c r="F560" s="4">
        <v>408976.85399999999</v>
      </c>
      <c r="G560" s="4">
        <v>408976.91499999998</v>
      </c>
      <c r="H560" s="5">
        <f t="shared" si="7"/>
        <v>0</v>
      </c>
      <c r="I560" t="s">
        <v>37</v>
      </c>
      <c r="J560" t="s">
        <v>168</v>
      </c>
      <c r="K560" s="5">
        <f>22 / 86400</f>
        <v>2.5462962962962961E-4</v>
      </c>
      <c r="L560" s="5">
        <f>27 / 86400</f>
        <v>3.1250000000000001E-4</v>
      </c>
    </row>
    <row r="561" spans="1:12" x14ac:dyDescent="0.25">
      <c r="A561" s="3">
        <v>45710.238402777773</v>
      </c>
      <c r="B561" t="s">
        <v>351</v>
      </c>
      <c r="C561" s="3">
        <v>45710.238564814819</v>
      </c>
      <c r="D561" t="s">
        <v>352</v>
      </c>
      <c r="E561" s="4">
        <v>5.8999999999999997E-2</v>
      </c>
      <c r="F561" s="4">
        <v>408976.92300000001</v>
      </c>
      <c r="G561" s="4">
        <v>408976.98200000002</v>
      </c>
      <c r="H561" s="5">
        <f t="shared" si="7"/>
        <v>0</v>
      </c>
      <c r="I561" t="s">
        <v>37</v>
      </c>
      <c r="J561" t="s">
        <v>42</v>
      </c>
      <c r="K561" s="5">
        <f>14 / 86400</f>
        <v>1.6203703703703703E-4</v>
      </c>
      <c r="L561" s="5">
        <f>3 / 86400</f>
        <v>3.4722222222222222E-5</v>
      </c>
    </row>
    <row r="562" spans="1:12" x14ac:dyDescent="0.25">
      <c r="A562" s="3">
        <v>45710.238599537042</v>
      </c>
      <c r="B562" t="s">
        <v>352</v>
      </c>
      <c r="C562" s="3">
        <v>45710.238807870366</v>
      </c>
      <c r="D562" t="s">
        <v>352</v>
      </c>
      <c r="E562" s="4">
        <v>7.4999999999999997E-2</v>
      </c>
      <c r="F562" s="4">
        <v>408976.984</v>
      </c>
      <c r="G562" s="4">
        <v>408977.05900000001</v>
      </c>
      <c r="H562" s="5">
        <f t="shared" si="7"/>
        <v>0</v>
      </c>
      <c r="I562" t="s">
        <v>137</v>
      </c>
      <c r="J562" t="s">
        <v>42</v>
      </c>
      <c r="K562" s="5">
        <f>18 / 86400</f>
        <v>2.0833333333333335E-4</v>
      </c>
      <c r="L562" s="5">
        <f>3 / 86400</f>
        <v>3.4722222222222222E-5</v>
      </c>
    </row>
    <row r="563" spans="1:12" x14ac:dyDescent="0.25">
      <c r="A563" s="3">
        <v>45710.238842592589</v>
      </c>
      <c r="B563" t="s">
        <v>352</v>
      </c>
      <c r="C563" s="3">
        <v>45710.239305555559</v>
      </c>
      <c r="D563" t="s">
        <v>138</v>
      </c>
      <c r="E563" s="4">
        <v>0.11899999999999999</v>
      </c>
      <c r="F563" s="4">
        <v>408977.06199999998</v>
      </c>
      <c r="G563" s="4">
        <v>408977.18099999998</v>
      </c>
      <c r="H563" s="5">
        <f t="shared" si="7"/>
        <v>0</v>
      </c>
      <c r="I563" t="s">
        <v>167</v>
      </c>
      <c r="J563" t="s">
        <v>61</v>
      </c>
      <c r="K563" s="5">
        <f>40 / 86400</f>
        <v>4.6296296296296298E-4</v>
      </c>
      <c r="L563" s="5">
        <f>13 / 86400</f>
        <v>1.5046296296296297E-4</v>
      </c>
    </row>
    <row r="564" spans="1:12" x14ac:dyDescent="0.25">
      <c r="A564" s="3">
        <v>45710.23945601852</v>
      </c>
      <c r="B564" t="s">
        <v>138</v>
      </c>
      <c r="C564" s="3">
        <v>45710.239814814813</v>
      </c>
      <c r="D564" t="s">
        <v>353</v>
      </c>
      <c r="E564" s="4">
        <v>0.14000000000000001</v>
      </c>
      <c r="F564" s="4">
        <v>408977.20400000003</v>
      </c>
      <c r="G564" s="4">
        <v>408977.34399999998</v>
      </c>
      <c r="H564" s="5">
        <f t="shared" si="7"/>
        <v>0</v>
      </c>
      <c r="I564" t="s">
        <v>158</v>
      </c>
      <c r="J564" t="s">
        <v>33</v>
      </c>
      <c r="K564" s="5">
        <f>31 / 86400</f>
        <v>3.5879629629629629E-4</v>
      </c>
      <c r="L564" s="5">
        <f>5 / 86400</f>
        <v>5.7870370370370373E-5</v>
      </c>
    </row>
    <row r="565" spans="1:12" x14ac:dyDescent="0.25">
      <c r="A565" s="3">
        <v>45710.239872685182</v>
      </c>
      <c r="B565" t="s">
        <v>353</v>
      </c>
      <c r="C565" s="3">
        <v>45710.239918981482</v>
      </c>
      <c r="D565" t="s">
        <v>353</v>
      </c>
      <c r="E565" s="4">
        <v>1.4999999999999999E-2</v>
      </c>
      <c r="F565" s="4">
        <v>408977.353</v>
      </c>
      <c r="G565" s="4">
        <v>408977.36800000002</v>
      </c>
      <c r="H565" s="5">
        <f t="shared" si="7"/>
        <v>0</v>
      </c>
      <c r="I565" t="s">
        <v>80</v>
      </c>
      <c r="J565" t="s">
        <v>26</v>
      </c>
      <c r="K565" s="5">
        <f>4 / 86400</f>
        <v>4.6296296296296294E-5</v>
      </c>
      <c r="L565" s="5">
        <f>6 / 86400</f>
        <v>6.9444444444444444E-5</v>
      </c>
    </row>
    <row r="566" spans="1:12" x14ac:dyDescent="0.25">
      <c r="A566" s="3">
        <v>45710.239988425921</v>
      </c>
      <c r="B566" t="s">
        <v>353</v>
      </c>
      <c r="C566" s="3">
        <v>45710.241006944445</v>
      </c>
      <c r="D566" t="s">
        <v>354</v>
      </c>
      <c r="E566" s="4">
        <v>0.316</v>
      </c>
      <c r="F566" s="4">
        <v>408977.37900000002</v>
      </c>
      <c r="G566" s="4">
        <v>408977.69500000001</v>
      </c>
      <c r="H566" s="5">
        <f t="shared" si="7"/>
        <v>0</v>
      </c>
      <c r="I566" t="s">
        <v>33</v>
      </c>
      <c r="J566" t="s">
        <v>45</v>
      </c>
      <c r="K566" s="5">
        <f>88 / 86400</f>
        <v>1.0185185185185184E-3</v>
      </c>
      <c r="L566" s="5">
        <f>7 / 86400</f>
        <v>8.1018518518518516E-5</v>
      </c>
    </row>
    <row r="567" spans="1:12" x14ac:dyDescent="0.25">
      <c r="A567" s="3">
        <v>45710.241087962961</v>
      </c>
      <c r="B567" t="s">
        <v>355</v>
      </c>
      <c r="C567" s="3">
        <v>45710.242048611108</v>
      </c>
      <c r="D567" t="s">
        <v>128</v>
      </c>
      <c r="E567" s="4">
        <v>0.223</v>
      </c>
      <c r="F567" s="4">
        <v>408977.7</v>
      </c>
      <c r="G567" s="4">
        <v>408977.92300000001</v>
      </c>
      <c r="H567" s="5">
        <f t="shared" si="7"/>
        <v>0</v>
      </c>
      <c r="I567" t="s">
        <v>188</v>
      </c>
      <c r="J567" t="s">
        <v>168</v>
      </c>
      <c r="K567" s="5">
        <f>83 / 86400</f>
        <v>9.6064814814814819E-4</v>
      </c>
      <c r="L567" s="5">
        <f>788 / 86400</f>
        <v>9.1203703703703707E-3</v>
      </c>
    </row>
    <row r="568" spans="1:12" x14ac:dyDescent="0.25">
      <c r="A568" s="3">
        <v>45710.251168981486</v>
      </c>
      <c r="B568" t="s">
        <v>128</v>
      </c>
      <c r="C568" s="3">
        <v>45710.254444444443</v>
      </c>
      <c r="D568" t="s">
        <v>138</v>
      </c>
      <c r="E568" s="4">
        <v>0.70299999999999996</v>
      </c>
      <c r="F568" s="4">
        <v>408977.92300000001</v>
      </c>
      <c r="G568" s="4">
        <v>408978.62599999999</v>
      </c>
      <c r="H568" s="5">
        <f>121 / 86400</f>
        <v>1.4004629629629629E-3</v>
      </c>
      <c r="I568" t="s">
        <v>37</v>
      </c>
      <c r="J568" t="s">
        <v>132</v>
      </c>
      <c r="K568" s="5">
        <f>283 / 86400</f>
        <v>3.2754629629629631E-3</v>
      </c>
      <c r="L568" s="5">
        <f>731 / 86400</f>
        <v>8.4606481481481477E-3</v>
      </c>
    </row>
    <row r="569" spans="1:12" x14ac:dyDescent="0.25">
      <c r="A569" s="3">
        <v>45710.26290509259</v>
      </c>
      <c r="B569" t="s">
        <v>138</v>
      </c>
      <c r="C569" s="3">
        <v>45710.26357638889</v>
      </c>
      <c r="D569" t="s">
        <v>130</v>
      </c>
      <c r="E569" s="4">
        <v>7.8E-2</v>
      </c>
      <c r="F569" s="4">
        <v>408978.62599999999</v>
      </c>
      <c r="G569" s="4">
        <v>408978.70400000003</v>
      </c>
      <c r="H569" s="5">
        <f>19 / 86400</f>
        <v>2.199074074074074E-4</v>
      </c>
      <c r="I569" t="s">
        <v>139</v>
      </c>
      <c r="J569" t="s">
        <v>156</v>
      </c>
      <c r="K569" s="5">
        <f>57 / 86400</f>
        <v>6.5972222222222224E-4</v>
      </c>
      <c r="L569" s="5">
        <f>13 / 86400</f>
        <v>1.5046296296296297E-4</v>
      </c>
    </row>
    <row r="570" spans="1:12" x14ac:dyDescent="0.25">
      <c r="A570" s="3">
        <v>45710.263726851852</v>
      </c>
      <c r="B570" t="s">
        <v>136</v>
      </c>
      <c r="C570" s="3">
        <v>45710.27243055556</v>
      </c>
      <c r="D570" t="s">
        <v>356</v>
      </c>
      <c r="E570" s="4">
        <v>4.3940000000000001</v>
      </c>
      <c r="F570" s="4">
        <v>408978.71799999999</v>
      </c>
      <c r="G570" s="4">
        <v>408983.11200000002</v>
      </c>
      <c r="H570" s="5">
        <f>80 / 86400</f>
        <v>9.2592592592592596E-4</v>
      </c>
      <c r="I570" t="s">
        <v>215</v>
      </c>
      <c r="J570" t="s">
        <v>135</v>
      </c>
      <c r="K570" s="5">
        <f>752 / 86400</f>
        <v>8.7037037037037031E-3</v>
      </c>
      <c r="L570" s="5">
        <f>1 / 86400</f>
        <v>1.1574074074074073E-5</v>
      </c>
    </row>
    <row r="571" spans="1:12" x14ac:dyDescent="0.25">
      <c r="A571" s="3">
        <v>45710.27244212963</v>
      </c>
      <c r="B571" t="s">
        <v>356</v>
      </c>
      <c r="C571" s="3">
        <v>45710.35083333333</v>
      </c>
      <c r="D571" t="s">
        <v>357</v>
      </c>
      <c r="E571" s="4">
        <v>37.749000000000002</v>
      </c>
      <c r="F571" s="4">
        <v>408983.11499999999</v>
      </c>
      <c r="G571" s="4">
        <v>409020.864</v>
      </c>
      <c r="H571" s="5">
        <f>2200 / 86400</f>
        <v>2.5462962962962962E-2</v>
      </c>
      <c r="I571" t="s">
        <v>44</v>
      </c>
      <c r="J571" t="s">
        <v>64</v>
      </c>
      <c r="K571" s="5">
        <f>6773 / 86400</f>
        <v>7.8391203703703699E-2</v>
      </c>
      <c r="L571" s="5">
        <f>1 / 86400</f>
        <v>1.1574074074074073E-5</v>
      </c>
    </row>
    <row r="572" spans="1:12" x14ac:dyDescent="0.25">
      <c r="A572" s="3">
        <v>45710.350844907407</v>
      </c>
      <c r="B572" t="s">
        <v>357</v>
      </c>
      <c r="C572" s="3">
        <v>45710.384583333333</v>
      </c>
      <c r="D572" t="s">
        <v>358</v>
      </c>
      <c r="E572" s="4">
        <v>8.7729999999999997</v>
      </c>
      <c r="F572" s="4">
        <v>409020.86700000003</v>
      </c>
      <c r="G572" s="4">
        <v>409029.64</v>
      </c>
      <c r="H572" s="5">
        <f>1099 / 86400</f>
        <v>1.2719907407407407E-2</v>
      </c>
      <c r="I572" t="s">
        <v>320</v>
      </c>
      <c r="J572" t="s">
        <v>61</v>
      </c>
      <c r="K572" s="5">
        <f>2914 / 86400</f>
        <v>3.3726851851851855E-2</v>
      </c>
      <c r="L572" s="5">
        <f>1188 / 86400</f>
        <v>1.375E-2</v>
      </c>
    </row>
    <row r="573" spans="1:12" x14ac:dyDescent="0.25">
      <c r="A573" s="3">
        <v>45710.398333333331</v>
      </c>
      <c r="B573" t="s">
        <v>358</v>
      </c>
      <c r="C573" s="3">
        <v>45710.545601851853</v>
      </c>
      <c r="D573" t="s">
        <v>81</v>
      </c>
      <c r="E573" s="4">
        <v>50.53</v>
      </c>
      <c r="F573" s="4">
        <v>409029.64</v>
      </c>
      <c r="G573" s="4">
        <v>409080.17</v>
      </c>
      <c r="H573" s="5">
        <f>4280 / 86400</f>
        <v>4.9537037037037039E-2</v>
      </c>
      <c r="I573" t="s">
        <v>157</v>
      </c>
      <c r="J573" t="s">
        <v>26</v>
      </c>
      <c r="K573" s="5">
        <f>12723 / 86400</f>
        <v>0.14725694444444445</v>
      </c>
      <c r="L573" s="5">
        <f>222 / 86400</f>
        <v>2.5694444444444445E-3</v>
      </c>
    </row>
    <row r="574" spans="1:12" x14ac:dyDescent="0.25">
      <c r="A574" s="3">
        <v>45710.548171296294</v>
      </c>
      <c r="B574" t="s">
        <v>81</v>
      </c>
      <c r="C574" s="3">
        <v>45710.548842592594</v>
      </c>
      <c r="D574" t="s">
        <v>81</v>
      </c>
      <c r="E574" s="4">
        <v>2.8000000000000001E-2</v>
      </c>
      <c r="F574" s="4">
        <v>409080.17</v>
      </c>
      <c r="G574" s="4">
        <v>409080.19799999997</v>
      </c>
      <c r="H574" s="5">
        <f>20 / 86400</f>
        <v>2.3148148148148149E-4</v>
      </c>
      <c r="I574" t="s">
        <v>156</v>
      </c>
      <c r="J574" t="s">
        <v>113</v>
      </c>
      <c r="K574" s="5">
        <f>57 / 86400</f>
        <v>6.5972222222222224E-4</v>
      </c>
      <c r="L574" s="5">
        <f>2026 / 86400</f>
        <v>2.3449074074074074E-2</v>
      </c>
    </row>
    <row r="575" spans="1:12" x14ac:dyDescent="0.25">
      <c r="A575" s="3">
        <v>45710.572291666671</v>
      </c>
      <c r="B575" t="s">
        <v>81</v>
      </c>
      <c r="C575" s="3">
        <v>45710.605590277773</v>
      </c>
      <c r="D575" t="s">
        <v>348</v>
      </c>
      <c r="E575" s="4">
        <v>4.2789999999999999</v>
      </c>
      <c r="F575" s="4">
        <v>409080.19799999997</v>
      </c>
      <c r="G575" s="4">
        <v>409084.47700000001</v>
      </c>
      <c r="H575" s="5">
        <f>2079 / 86400</f>
        <v>2.4062500000000001E-2</v>
      </c>
      <c r="I575" t="s">
        <v>199</v>
      </c>
      <c r="J575" t="s">
        <v>156</v>
      </c>
      <c r="K575" s="5">
        <f>2877 / 86400</f>
        <v>3.3298611111111112E-2</v>
      </c>
      <c r="L575" s="5">
        <f>2 / 86400</f>
        <v>2.3148148148148147E-5</v>
      </c>
    </row>
    <row r="576" spans="1:12" x14ac:dyDescent="0.25">
      <c r="A576" s="3">
        <v>45710.605613425927</v>
      </c>
      <c r="B576" t="s">
        <v>348</v>
      </c>
      <c r="C576" s="3">
        <v>45710.725868055553</v>
      </c>
      <c r="D576" t="s">
        <v>268</v>
      </c>
      <c r="E576" s="4">
        <v>42.466000000000001</v>
      </c>
      <c r="F576" s="4">
        <v>409084.48200000002</v>
      </c>
      <c r="G576" s="4">
        <v>409126.94799999997</v>
      </c>
      <c r="H576" s="5">
        <f>4277 / 86400</f>
        <v>4.9502314814814811E-2</v>
      </c>
      <c r="I576" t="s">
        <v>110</v>
      </c>
      <c r="J576" t="s">
        <v>42</v>
      </c>
      <c r="K576" s="5">
        <f>10390 / 86400</f>
        <v>0.12025462962962963</v>
      </c>
      <c r="L576" s="5">
        <f>141 / 86400</f>
        <v>1.6319444444444445E-3</v>
      </c>
    </row>
    <row r="577" spans="1:12" x14ac:dyDescent="0.25">
      <c r="A577" s="3">
        <v>45710.727500000001</v>
      </c>
      <c r="B577" t="s">
        <v>161</v>
      </c>
      <c r="C577" s="3">
        <v>45710.774502314816</v>
      </c>
      <c r="D577" t="s">
        <v>359</v>
      </c>
      <c r="E577" s="4">
        <v>7.8630000000000004</v>
      </c>
      <c r="F577" s="4">
        <v>409126.94799999997</v>
      </c>
      <c r="G577" s="4">
        <v>409134.81099999999</v>
      </c>
      <c r="H577" s="5">
        <f>2260 / 86400</f>
        <v>2.6157407407407407E-2</v>
      </c>
      <c r="I577" t="s">
        <v>162</v>
      </c>
      <c r="J577" t="s">
        <v>140</v>
      </c>
      <c r="K577" s="5">
        <f>4060 / 86400</f>
        <v>4.6990740740740743E-2</v>
      </c>
      <c r="L577" s="5">
        <f>238 / 86400</f>
        <v>2.7546296296296294E-3</v>
      </c>
    </row>
    <row r="578" spans="1:12" x14ac:dyDescent="0.25">
      <c r="A578" s="3">
        <v>45710.77725694445</v>
      </c>
      <c r="B578" t="s">
        <v>360</v>
      </c>
      <c r="C578" s="3">
        <v>45710.778020833328</v>
      </c>
      <c r="D578" t="s">
        <v>108</v>
      </c>
      <c r="E578" s="4">
        <v>9.4E-2</v>
      </c>
      <c r="F578" s="4">
        <v>409134.83</v>
      </c>
      <c r="G578" s="4">
        <v>409134.924</v>
      </c>
      <c r="H578" s="5">
        <f>58 / 86400</f>
        <v>6.7129629629629625E-4</v>
      </c>
      <c r="I578" t="s">
        <v>123</v>
      </c>
      <c r="J578" t="s">
        <v>156</v>
      </c>
      <c r="K578" s="5">
        <f>66 / 86400</f>
        <v>7.6388888888888893E-4</v>
      </c>
      <c r="L578" s="5">
        <f>18 / 86400</f>
        <v>2.0833333333333335E-4</v>
      </c>
    </row>
    <row r="579" spans="1:12" x14ac:dyDescent="0.25">
      <c r="A579" s="3">
        <v>45710.778229166666</v>
      </c>
      <c r="B579" t="s">
        <v>108</v>
      </c>
      <c r="C579" s="3">
        <v>45710.896122685182</v>
      </c>
      <c r="D579" t="s">
        <v>72</v>
      </c>
      <c r="E579" s="4">
        <v>37.551000000000002</v>
      </c>
      <c r="F579" s="4">
        <v>409134.924</v>
      </c>
      <c r="G579" s="4">
        <v>409172.47499999998</v>
      </c>
      <c r="H579" s="5">
        <f>4321 / 86400</f>
        <v>5.0011574074074076E-2</v>
      </c>
      <c r="I579" t="s">
        <v>220</v>
      </c>
      <c r="J579" t="s">
        <v>45</v>
      </c>
      <c r="K579" s="5">
        <f>10186 / 86400</f>
        <v>0.11789351851851852</v>
      </c>
      <c r="L579" s="5">
        <f>268 / 86400</f>
        <v>3.1018518518518517E-3</v>
      </c>
    </row>
    <row r="580" spans="1:12" x14ac:dyDescent="0.25">
      <c r="A580" s="3">
        <v>45710.899224537032</v>
      </c>
      <c r="B580" t="s">
        <v>72</v>
      </c>
      <c r="C580" s="3">
        <v>45710.89943287037</v>
      </c>
      <c r="D580" t="s">
        <v>72</v>
      </c>
      <c r="E580" s="4">
        <v>0.01</v>
      </c>
      <c r="F580" s="4">
        <v>409172.47499999998</v>
      </c>
      <c r="G580" s="4">
        <v>409172.48499999999</v>
      </c>
      <c r="H580" s="5">
        <f>0 / 86400</f>
        <v>0</v>
      </c>
      <c r="I580" t="s">
        <v>77</v>
      </c>
      <c r="J580" t="s">
        <v>113</v>
      </c>
      <c r="K580" s="5">
        <f>18 / 86400</f>
        <v>2.0833333333333335E-4</v>
      </c>
      <c r="L580" s="5">
        <f>319 / 86400</f>
        <v>3.6921296296296298E-3</v>
      </c>
    </row>
    <row r="581" spans="1:12" x14ac:dyDescent="0.25">
      <c r="A581" s="3">
        <v>45710.903124999997</v>
      </c>
      <c r="B581" t="s">
        <v>72</v>
      </c>
      <c r="C581" s="3">
        <v>45710.903460648144</v>
      </c>
      <c r="D581" t="s">
        <v>72</v>
      </c>
      <c r="E581" s="4">
        <v>3.1E-2</v>
      </c>
      <c r="F581" s="4">
        <v>409172.48499999999</v>
      </c>
      <c r="G581" s="4">
        <v>409172.516</v>
      </c>
      <c r="H581" s="5">
        <f>0 / 86400</f>
        <v>0</v>
      </c>
      <c r="I581" t="s">
        <v>31</v>
      </c>
      <c r="J581" t="s">
        <v>75</v>
      </c>
      <c r="K581" s="5">
        <f>29 / 86400</f>
        <v>3.3564814814814812E-4</v>
      </c>
      <c r="L581" s="5">
        <f>396 / 86400</f>
        <v>4.5833333333333334E-3</v>
      </c>
    </row>
    <row r="582" spans="1:12" x14ac:dyDescent="0.25">
      <c r="A582" s="3">
        <v>45710.908043981486</v>
      </c>
      <c r="B582" t="s">
        <v>72</v>
      </c>
      <c r="C582" s="3">
        <v>45710.912743055553</v>
      </c>
      <c r="D582" t="s">
        <v>146</v>
      </c>
      <c r="E582" s="4">
        <v>0.17399999999999999</v>
      </c>
      <c r="F582" s="4">
        <v>409172.516</v>
      </c>
      <c r="G582" s="4">
        <v>409172.69</v>
      </c>
      <c r="H582" s="5">
        <f>240 / 86400</f>
        <v>2.7777777777777779E-3</v>
      </c>
      <c r="I582" t="s">
        <v>150</v>
      </c>
      <c r="J582" t="s">
        <v>113</v>
      </c>
      <c r="K582" s="5">
        <f>406 / 86400</f>
        <v>4.6990740740740743E-3</v>
      </c>
      <c r="L582" s="5">
        <f>1662 / 86400</f>
        <v>1.923611111111111E-2</v>
      </c>
    </row>
    <row r="583" spans="1:12" x14ac:dyDescent="0.25">
      <c r="A583" s="3">
        <v>45710.931979166664</v>
      </c>
      <c r="B583" t="s">
        <v>81</v>
      </c>
      <c r="C583" s="3">
        <v>45710.935844907406</v>
      </c>
      <c r="D583" t="s">
        <v>146</v>
      </c>
      <c r="E583" s="4">
        <v>0.16300000000000001</v>
      </c>
      <c r="F583" s="4">
        <v>409172.69</v>
      </c>
      <c r="G583" s="4">
        <v>409172.853</v>
      </c>
      <c r="H583" s="5">
        <f>220 / 86400</f>
        <v>2.5462962962962965E-3</v>
      </c>
      <c r="I583" t="s">
        <v>45</v>
      </c>
      <c r="J583" t="s">
        <v>113</v>
      </c>
      <c r="K583" s="5">
        <f>334 / 86400</f>
        <v>3.8657407407407408E-3</v>
      </c>
      <c r="L583" s="5">
        <f>2227 / 86400</f>
        <v>2.5775462962962962E-2</v>
      </c>
    </row>
    <row r="584" spans="1:12" x14ac:dyDescent="0.25">
      <c r="A584" s="3">
        <v>45710.96162037037</v>
      </c>
      <c r="B584" t="s">
        <v>146</v>
      </c>
      <c r="C584" s="3">
        <v>45710.968946759254</v>
      </c>
      <c r="D584" t="s">
        <v>43</v>
      </c>
      <c r="E584" s="4">
        <v>1.369</v>
      </c>
      <c r="F584" s="4">
        <v>409172.853</v>
      </c>
      <c r="G584" s="4">
        <v>409174.22200000001</v>
      </c>
      <c r="H584" s="5">
        <f>239 / 86400</f>
        <v>2.7662037037037039E-3</v>
      </c>
      <c r="I584" t="s">
        <v>192</v>
      </c>
      <c r="J584" t="s">
        <v>150</v>
      </c>
      <c r="K584" s="5">
        <f>633 / 86400</f>
        <v>7.3263888888888892E-3</v>
      </c>
      <c r="L584" s="5">
        <f>2682 / 86400</f>
        <v>3.1041666666666665E-2</v>
      </c>
    </row>
    <row r="585" spans="1:1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2" s="10" customFormat="1" ht="20.100000000000001" customHeight="1" x14ac:dyDescent="0.35">
      <c r="A587" s="15" t="s">
        <v>431</v>
      </c>
      <c r="B587" s="15"/>
      <c r="C587" s="15"/>
      <c r="D587" s="15"/>
      <c r="E587" s="15"/>
      <c r="F587" s="15"/>
      <c r="G587" s="15"/>
      <c r="H587" s="15"/>
      <c r="I587" s="15"/>
      <c r="J587" s="15"/>
    </row>
    <row r="588" spans="1:12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</row>
    <row r="589" spans="1:12" ht="30" x14ac:dyDescent="0.25">
      <c r="A589" s="2" t="s">
        <v>6</v>
      </c>
      <c r="B589" s="2" t="s">
        <v>7</v>
      </c>
      <c r="C589" s="2" t="s">
        <v>8</v>
      </c>
      <c r="D589" s="2" t="s">
        <v>9</v>
      </c>
      <c r="E589" s="2" t="s">
        <v>10</v>
      </c>
      <c r="F589" s="2" t="s">
        <v>11</v>
      </c>
      <c r="G589" s="2" t="s">
        <v>12</v>
      </c>
      <c r="H589" s="2" t="s">
        <v>13</v>
      </c>
      <c r="I589" s="2" t="s">
        <v>14</v>
      </c>
      <c r="J589" s="2" t="s">
        <v>15</v>
      </c>
      <c r="K589" s="2" t="s">
        <v>16</v>
      </c>
      <c r="L589" s="2" t="s">
        <v>17</v>
      </c>
    </row>
    <row r="590" spans="1:12" x14ac:dyDescent="0.25">
      <c r="A590" s="3">
        <v>45710.276909722219</v>
      </c>
      <c r="B590" t="s">
        <v>46</v>
      </c>
      <c r="C590" s="3">
        <v>45710.291215277779</v>
      </c>
      <c r="D590" t="s">
        <v>134</v>
      </c>
      <c r="E590" s="4">
        <v>0.874</v>
      </c>
      <c r="F590" s="4">
        <v>438801.42300000001</v>
      </c>
      <c r="G590" s="4">
        <v>438802.29700000002</v>
      </c>
      <c r="H590" s="5">
        <f>979 / 86400</f>
        <v>1.1331018518518518E-2</v>
      </c>
      <c r="I590" t="s">
        <v>167</v>
      </c>
      <c r="J590" t="s">
        <v>143</v>
      </c>
      <c r="K590" s="5">
        <f>1235 / 86400</f>
        <v>1.4293981481481482E-2</v>
      </c>
      <c r="L590" s="5">
        <f>27741 / 86400</f>
        <v>0.3210763888888889</v>
      </c>
    </row>
    <row r="591" spans="1:12" x14ac:dyDescent="0.25">
      <c r="A591" s="3">
        <v>45710.335381944446</v>
      </c>
      <c r="B591" t="s">
        <v>134</v>
      </c>
      <c r="C591" s="3">
        <v>45710.569166666668</v>
      </c>
      <c r="D591" t="s">
        <v>46</v>
      </c>
      <c r="E591" s="4">
        <v>100.533</v>
      </c>
      <c r="F591" s="4">
        <v>438802.29700000002</v>
      </c>
      <c r="G591" s="4">
        <v>438902.83</v>
      </c>
      <c r="H591" s="5">
        <f>5916 / 86400</f>
        <v>6.8472222222222226E-2</v>
      </c>
      <c r="I591" t="s">
        <v>47</v>
      </c>
      <c r="J591" t="s">
        <v>20</v>
      </c>
      <c r="K591" s="5">
        <f>20198 / 86400</f>
        <v>0.23377314814814815</v>
      </c>
      <c r="L591" s="5">
        <f>15633 / 86400</f>
        <v>0.1809375</v>
      </c>
    </row>
    <row r="592" spans="1:12" x14ac:dyDescent="0.25">
      <c r="A592" s="3">
        <v>45710.750104166669</v>
      </c>
      <c r="B592" t="s">
        <v>46</v>
      </c>
      <c r="C592" s="3">
        <v>45710.75267361111</v>
      </c>
      <c r="D592" t="s">
        <v>128</v>
      </c>
      <c r="E592" s="4">
        <v>0.44800000000000001</v>
      </c>
      <c r="F592" s="4">
        <v>438902.83</v>
      </c>
      <c r="G592" s="4">
        <v>438903.27799999999</v>
      </c>
      <c r="H592" s="5">
        <f>79 / 86400</f>
        <v>9.1435185185185185E-4</v>
      </c>
      <c r="I592" t="s">
        <v>135</v>
      </c>
      <c r="J592" t="s">
        <v>140</v>
      </c>
      <c r="K592" s="5">
        <f>221 / 86400</f>
        <v>2.5578703703703705E-3</v>
      </c>
      <c r="L592" s="5">
        <f>2742 / 86400</f>
        <v>3.1736111111111111E-2</v>
      </c>
    </row>
    <row r="593" spans="1:12" x14ac:dyDescent="0.25">
      <c r="A593" s="3">
        <v>45710.784409722226</v>
      </c>
      <c r="B593" t="s">
        <v>128</v>
      </c>
      <c r="C593" s="3">
        <v>45710.79241898148</v>
      </c>
      <c r="D593" t="s">
        <v>81</v>
      </c>
      <c r="E593" s="4">
        <v>1.3580000000000001</v>
      </c>
      <c r="F593" s="4">
        <v>438903.27799999999</v>
      </c>
      <c r="G593" s="4">
        <v>438904.636</v>
      </c>
      <c r="H593" s="5">
        <f>319 / 86400</f>
        <v>3.6921296296296298E-3</v>
      </c>
      <c r="I593" t="s">
        <v>131</v>
      </c>
      <c r="J593" t="s">
        <v>140</v>
      </c>
      <c r="K593" s="5">
        <f>692 / 86400</f>
        <v>8.0092592592592594E-3</v>
      </c>
      <c r="L593" s="5">
        <f>875 / 86400</f>
        <v>1.0127314814814815E-2</v>
      </c>
    </row>
    <row r="594" spans="1:12" x14ac:dyDescent="0.25">
      <c r="A594" s="3">
        <v>45710.802546296298</v>
      </c>
      <c r="B594" t="s">
        <v>81</v>
      </c>
      <c r="C594" s="3">
        <v>45710.807187500002</v>
      </c>
      <c r="D594" t="s">
        <v>46</v>
      </c>
      <c r="E594" s="4">
        <v>1.05</v>
      </c>
      <c r="F594" s="4">
        <v>438904.636</v>
      </c>
      <c r="G594" s="4">
        <v>438905.68599999999</v>
      </c>
      <c r="H594" s="5">
        <f>79 / 86400</f>
        <v>9.1435185185185185E-4</v>
      </c>
      <c r="I594" t="s">
        <v>129</v>
      </c>
      <c r="J594" t="s">
        <v>132</v>
      </c>
      <c r="K594" s="5">
        <f>400 / 86400</f>
        <v>4.6296296296296294E-3</v>
      </c>
      <c r="L594" s="5">
        <f>16658 / 86400</f>
        <v>0.19280092592592593</v>
      </c>
    </row>
    <row r="595" spans="1:12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</row>
    <row r="596" spans="1:12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</row>
    <row r="597" spans="1:12" s="10" customFormat="1" ht="20.100000000000001" customHeight="1" x14ac:dyDescent="0.35">
      <c r="A597" s="15" t="s">
        <v>432</v>
      </c>
      <c r="B597" s="15"/>
      <c r="C597" s="15"/>
      <c r="D597" s="15"/>
      <c r="E597" s="15"/>
      <c r="F597" s="15"/>
      <c r="G597" s="15"/>
      <c r="H597" s="15"/>
      <c r="I597" s="15"/>
      <c r="J597" s="15"/>
    </row>
    <row r="598" spans="1:1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2" ht="30" x14ac:dyDescent="0.25">
      <c r="A599" s="2" t="s">
        <v>6</v>
      </c>
      <c r="B599" s="2" t="s">
        <v>7</v>
      </c>
      <c r="C599" s="2" t="s">
        <v>8</v>
      </c>
      <c r="D599" s="2" t="s">
        <v>9</v>
      </c>
      <c r="E599" s="2" t="s">
        <v>10</v>
      </c>
      <c r="F599" s="2" t="s">
        <v>11</v>
      </c>
      <c r="G599" s="2" t="s">
        <v>12</v>
      </c>
      <c r="H599" s="2" t="s">
        <v>13</v>
      </c>
      <c r="I599" s="2" t="s">
        <v>14</v>
      </c>
      <c r="J599" s="2" t="s">
        <v>15</v>
      </c>
      <c r="K599" s="2" t="s">
        <v>16</v>
      </c>
      <c r="L599" s="2" t="s">
        <v>17</v>
      </c>
    </row>
    <row r="600" spans="1:12" x14ac:dyDescent="0.25">
      <c r="A600" s="3">
        <v>45710.20722222222</v>
      </c>
      <c r="B600" t="s">
        <v>48</v>
      </c>
      <c r="C600" s="3">
        <v>45710.449537037042</v>
      </c>
      <c r="D600" t="s">
        <v>128</v>
      </c>
      <c r="E600" s="4">
        <v>102.642</v>
      </c>
      <c r="F600" s="4">
        <v>56182.945</v>
      </c>
      <c r="G600" s="4">
        <v>56285.587</v>
      </c>
      <c r="H600" s="5">
        <f>6239 / 86400</f>
        <v>7.2210648148148149E-2</v>
      </c>
      <c r="I600" t="s">
        <v>41</v>
      </c>
      <c r="J600" t="s">
        <v>20</v>
      </c>
      <c r="K600" s="5">
        <f>20935 / 86400</f>
        <v>0.24230324074074075</v>
      </c>
      <c r="L600" s="5">
        <f>18580 / 86400</f>
        <v>0.21504629629629629</v>
      </c>
    </row>
    <row r="601" spans="1:12" x14ac:dyDescent="0.25">
      <c r="A601" s="3">
        <v>45710.457361111112</v>
      </c>
      <c r="B601" t="s">
        <v>128</v>
      </c>
      <c r="C601" s="3">
        <v>45710.460451388892</v>
      </c>
      <c r="D601" t="s">
        <v>146</v>
      </c>
      <c r="E601" s="4">
        <v>1.101</v>
      </c>
      <c r="F601" s="4">
        <v>56285.587</v>
      </c>
      <c r="G601" s="4">
        <v>56286.688000000002</v>
      </c>
      <c r="H601" s="5">
        <f>40 / 86400</f>
        <v>4.6296296296296298E-4</v>
      </c>
      <c r="I601" t="s">
        <v>167</v>
      </c>
      <c r="J601" t="s">
        <v>42</v>
      </c>
      <c r="K601" s="5">
        <f>267 / 86400</f>
        <v>3.0902777777777777E-3</v>
      </c>
      <c r="L601" s="5">
        <f>951 / 86400</f>
        <v>1.1006944444444444E-2</v>
      </c>
    </row>
    <row r="602" spans="1:12" x14ac:dyDescent="0.25">
      <c r="A602" s="3">
        <v>45710.471458333333</v>
      </c>
      <c r="B602" t="s">
        <v>81</v>
      </c>
      <c r="C602" s="3">
        <v>45710.643935185188</v>
      </c>
      <c r="D602" t="s">
        <v>81</v>
      </c>
      <c r="E602" s="4">
        <v>76.953000000000003</v>
      </c>
      <c r="F602" s="4">
        <v>56286.688000000002</v>
      </c>
      <c r="G602" s="4">
        <v>56363.641000000003</v>
      </c>
      <c r="H602" s="5">
        <f>4599 / 86400</f>
        <v>5.3229166666666668E-2</v>
      </c>
      <c r="I602" t="s">
        <v>110</v>
      </c>
      <c r="J602" t="s">
        <v>80</v>
      </c>
      <c r="K602" s="5">
        <f>14901 / 86400</f>
        <v>0.17246527777777779</v>
      </c>
      <c r="L602" s="5">
        <f>448 / 86400</f>
        <v>5.185185185185185E-3</v>
      </c>
    </row>
    <row r="603" spans="1:12" x14ac:dyDescent="0.25">
      <c r="A603" s="3">
        <v>45710.64912037037</v>
      </c>
      <c r="B603" t="s">
        <v>81</v>
      </c>
      <c r="C603" s="3">
        <v>45710.659398148149</v>
      </c>
      <c r="D603" t="s">
        <v>347</v>
      </c>
      <c r="E603" s="4">
        <v>4.452</v>
      </c>
      <c r="F603" s="4">
        <v>56363.641000000003</v>
      </c>
      <c r="G603" s="4">
        <v>56368.093000000001</v>
      </c>
      <c r="H603" s="5">
        <f>120 / 86400</f>
        <v>1.3888888888888889E-3</v>
      </c>
      <c r="I603" t="s">
        <v>177</v>
      </c>
      <c r="J603" t="s">
        <v>20</v>
      </c>
      <c r="K603" s="5">
        <f>888 / 86400</f>
        <v>1.0277777777777778E-2</v>
      </c>
      <c r="L603" s="5">
        <f>3304 / 86400</f>
        <v>3.8240740740740742E-2</v>
      </c>
    </row>
    <row r="604" spans="1:12" x14ac:dyDescent="0.25">
      <c r="A604" s="3">
        <v>45710.697638888887</v>
      </c>
      <c r="B604" t="s">
        <v>347</v>
      </c>
      <c r="C604" s="3">
        <v>45710.798750000002</v>
      </c>
      <c r="D604" t="s">
        <v>268</v>
      </c>
      <c r="E604" s="4">
        <v>42.83</v>
      </c>
      <c r="F604" s="4">
        <v>56368.093000000001</v>
      </c>
      <c r="G604" s="4">
        <v>56410.923000000003</v>
      </c>
      <c r="H604" s="5">
        <f>3260 / 86400</f>
        <v>3.7731481481481484E-2</v>
      </c>
      <c r="I604" t="s">
        <v>49</v>
      </c>
      <c r="J604" t="s">
        <v>20</v>
      </c>
      <c r="K604" s="5">
        <f>8736 / 86400</f>
        <v>0.10111111111111111</v>
      </c>
      <c r="L604" s="5">
        <f>50 / 86400</f>
        <v>5.7870370370370367E-4</v>
      </c>
    </row>
    <row r="605" spans="1:12" x14ac:dyDescent="0.25">
      <c r="A605" s="3">
        <v>45710.799328703702</v>
      </c>
      <c r="B605" t="s">
        <v>268</v>
      </c>
      <c r="C605" s="3">
        <v>45710.927314814813</v>
      </c>
      <c r="D605" t="s">
        <v>72</v>
      </c>
      <c r="E605" s="4">
        <v>46.481000000000002</v>
      </c>
      <c r="F605" s="4">
        <v>56410.923000000003</v>
      </c>
      <c r="G605" s="4">
        <v>56457.404000000002</v>
      </c>
      <c r="H605" s="5">
        <f>3597 / 86400</f>
        <v>4.1631944444444444E-2</v>
      </c>
      <c r="I605" t="s">
        <v>58</v>
      </c>
      <c r="J605" t="s">
        <v>42</v>
      </c>
      <c r="K605" s="5">
        <f>11058 / 86400</f>
        <v>0.12798611111111111</v>
      </c>
      <c r="L605" s="5">
        <f>86 / 86400</f>
        <v>9.9537037037037042E-4</v>
      </c>
    </row>
    <row r="606" spans="1:12" x14ac:dyDescent="0.25">
      <c r="A606" s="3">
        <v>45710.928310185191</v>
      </c>
      <c r="B606" t="s">
        <v>72</v>
      </c>
      <c r="C606" s="3">
        <v>45710.928472222222</v>
      </c>
      <c r="D606" t="s">
        <v>72</v>
      </c>
      <c r="E606" s="4">
        <v>0.01</v>
      </c>
      <c r="F606" s="4">
        <v>56457.404000000002</v>
      </c>
      <c r="G606" s="4">
        <v>56457.413999999997</v>
      </c>
      <c r="H606" s="5">
        <f>0 / 86400</f>
        <v>0</v>
      </c>
      <c r="I606" t="s">
        <v>77</v>
      </c>
      <c r="J606" t="s">
        <v>143</v>
      </c>
      <c r="K606" s="5">
        <f>14 / 86400</f>
        <v>1.6203703703703703E-4</v>
      </c>
      <c r="L606" s="5">
        <f>498 / 86400</f>
        <v>5.7638888888888887E-3</v>
      </c>
    </row>
    <row r="607" spans="1:12" x14ac:dyDescent="0.25">
      <c r="A607" s="3">
        <v>45710.934236111112</v>
      </c>
      <c r="B607" t="s">
        <v>72</v>
      </c>
      <c r="C607" s="3">
        <v>45710.944976851853</v>
      </c>
      <c r="D607" t="s">
        <v>40</v>
      </c>
      <c r="E607" s="4">
        <v>3.7290000000000001</v>
      </c>
      <c r="F607" s="4">
        <v>56457.413999999997</v>
      </c>
      <c r="G607" s="4">
        <v>56461.142999999996</v>
      </c>
      <c r="H607" s="5">
        <f>60 / 86400</f>
        <v>6.9444444444444447E-4</v>
      </c>
      <c r="I607" t="s">
        <v>123</v>
      </c>
      <c r="J607" t="s">
        <v>26</v>
      </c>
      <c r="K607" s="5">
        <f>928 / 86400</f>
        <v>1.074074074074074E-2</v>
      </c>
      <c r="L607" s="5">
        <f>156 / 86400</f>
        <v>1.8055555555555555E-3</v>
      </c>
    </row>
    <row r="608" spans="1:12" x14ac:dyDescent="0.25">
      <c r="A608" s="3">
        <v>45710.946782407409</v>
      </c>
      <c r="B608" t="s">
        <v>40</v>
      </c>
      <c r="C608" s="3">
        <v>45710.947847222225</v>
      </c>
      <c r="D608" t="s">
        <v>40</v>
      </c>
      <c r="E608" s="4">
        <v>1.0999999999999999E-2</v>
      </c>
      <c r="F608" s="4">
        <v>56461.142999999996</v>
      </c>
      <c r="G608" s="4">
        <v>56461.154000000002</v>
      </c>
      <c r="H608" s="5">
        <f>79 / 86400</f>
        <v>9.1435185185185185E-4</v>
      </c>
      <c r="I608" t="s">
        <v>156</v>
      </c>
      <c r="J608" t="s">
        <v>77</v>
      </c>
      <c r="K608" s="5">
        <f>91 / 86400</f>
        <v>1.0532407407407407E-3</v>
      </c>
      <c r="L608" s="5">
        <f>4505 / 86400</f>
        <v>5.2141203703703703E-2</v>
      </c>
    </row>
    <row r="609" spans="1:1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</row>
    <row r="610" spans="1:12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</row>
    <row r="611" spans="1:12" s="10" customFormat="1" ht="20.100000000000001" customHeight="1" x14ac:dyDescent="0.35">
      <c r="A611" s="15" t="s">
        <v>433</v>
      </c>
      <c r="B611" s="15"/>
      <c r="C611" s="15"/>
      <c r="D611" s="15"/>
      <c r="E611" s="15"/>
      <c r="F611" s="15"/>
      <c r="G611" s="15"/>
      <c r="H611" s="15"/>
      <c r="I611" s="15"/>
      <c r="J611" s="15"/>
    </row>
    <row r="612" spans="1:1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</row>
    <row r="613" spans="1:12" ht="30" x14ac:dyDescent="0.25">
      <c r="A613" s="2" t="s">
        <v>6</v>
      </c>
      <c r="B613" s="2" t="s">
        <v>7</v>
      </c>
      <c r="C613" s="2" t="s">
        <v>8</v>
      </c>
      <c r="D613" s="2" t="s">
        <v>9</v>
      </c>
      <c r="E613" s="2" t="s">
        <v>10</v>
      </c>
      <c r="F613" s="2" t="s">
        <v>11</v>
      </c>
      <c r="G613" s="2" t="s">
        <v>12</v>
      </c>
      <c r="H613" s="2" t="s">
        <v>13</v>
      </c>
      <c r="I613" s="2" t="s">
        <v>14</v>
      </c>
      <c r="J613" s="2" t="s">
        <v>15</v>
      </c>
      <c r="K613" s="2" t="s">
        <v>16</v>
      </c>
      <c r="L613" s="2" t="s">
        <v>17</v>
      </c>
    </row>
    <row r="614" spans="1:12" x14ac:dyDescent="0.25">
      <c r="A614" s="3">
        <v>45710.199537037042</v>
      </c>
      <c r="B614" t="s">
        <v>50</v>
      </c>
      <c r="C614" s="3">
        <v>45710.211284722223</v>
      </c>
      <c r="D614" t="s">
        <v>133</v>
      </c>
      <c r="E614" s="4">
        <v>0.748</v>
      </c>
      <c r="F614" s="4">
        <v>217341.29699999999</v>
      </c>
      <c r="G614" s="4">
        <v>217342.04500000001</v>
      </c>
      <c r="H614" s="5">
        <f>759 / 86400</f>
        <v>8.7847222222222215E-3</v>
      </c>
      <c r="I614" t="s">
        <v>129</v>
      </c>
      <c r="J614" t="s">
        <v>143</v>
      </c>
      <c r="K614" s="5">
        <f>1014 / 86400</f>
        <v>1.173611111111111E-2</v>
      </c>
      <c r="L614" s="5">
        <f>18567 / 86400</f>
        <v>0.21489583333333334</v>
      </c>
    </row>
    <row r="615" spans="1:12" x14ac:dyDescent="0.25">
      <c r="A615" s="3">
        <v>45710.226643518516</v>
      </c>
      <c r="B615" t="s">
        <v>138</v>
      </c>
      <c r="C615" s="3">
        <v>45710.23201388889</v>
      </c>
      <c r="D615" t="s">
        <v>138</v>
      </c>
      <c r="E615" s="4">
        <v>1E-3</v>
      </c>
      <c r="F615" s="4">
        <v>217342.04500000001</v>
      </c>
      <c r="G615" s="4">
        <v>217342.046</v>
      </c>
      <c r="H615" s="5">
        <f>459 / 86400</f>
        <v>5.3125000000000004E-3</v>
      </c>
      <c r="I615" t="s">
        <v>77</v>
      </c>
      <c r="J615" t="s">
        <v>77</v>
      </c>
      <c r="K615" s="5">
        <f>464 / 86400</f>
        <v>5.37037037037037E-3</v>
      </c>
      <c r="L615" s="5">
        <f>46 / 86400</f>
        <v>5.3240740740740744E-4</v>
      </c>
    </row>
    <row r="616" spans="1:12" x14ac:dyDescent="0.25">
      <c r="A616" s="3">
        <v>45710.232546296298</v>
      </c>
      <c r="B616" t="s">
        <v>138</v>
      </c>
      <c r="C616" s="3">
        <v>45710.232638888891</v>
      </c>
      <c r="D616" t="s">
        <v>138</v>
      </c>
      <c r="E616" s="4">
        <v>0</v>
      </c>
      <c r="F616" s="4">
        <v>217342.046</v>
      </c>
      <c r="G616" s="4">
        <v>217342.046</v>
      </c>
      <c r="H616" s="5">
        <f>0 / 86400</f>
        <v>0</v>
      </c>
      <c r="I616" t="s">
        <v>77</v>
      </c>
      <c r="J616" t="s">
        <v>77</v>
      </c>
      <c r="K616" s="5">
        <f>8 / 86400</f>
        <v>9.2592592592592588E-5</v>
      </c>
      <c r="L616" s="5">
        <f>133 / 86400</f>
        <v>1.5393518518518519E-3</v>
      </c>
    </row>
    <row r="617" spans="1:12" x14ac:dyDescent="0.25">
      <c r="A617" s="3">
        <v>45710.234178240746</v>
      </c>
      <c r="B617" t="s">
        <v>138</v>
      </c>
      <c r="C617" s="3">
        <v>45710.235682870371</v>
      </c>
      <c r="D617" t="s">
        <v>138</v>
      </c>
      <c r="E617" s="4">
        <v>0</v>
      </c>
      <c r="F617" s="4">
        <v>217342.046</v>
      </c>
      <c r="G617" s="4">
        <v>217342.046</v>
      </c>
      <c r="H617" s="5">
        <f>118 / 86400</f>
        <v>1.3657407407407407E-3</v>
      </c>
      <c r="I617" t="s">
        <v>77</v>
      </c>
      <c r="J617" t="s">
        <v>77</v>
      </c>
      <c r="K617" s="5">
        <f>129 / 86400</f>
        <v>1.4930555555555556E-3</v>
      </c>
      <c r="L617" s="5">
        <f>295 / 86400</f>
        <v>3.414351851851852E-3</v>
      </c>
    </row>
    <row r="618" spans="1:12" x14ac:dyDescent="0.25">
      <c r="A618" s="3">
        <v>45710.23909722222</v>
      </c>
      <c r="B618" t="s">
        <v>138</v>
      </c>
      <c r="C618" s="3">
        <v>45710.339560185181</v>
      </c>
      <c r="D618" t="s">
        <v>361</v>
      </c>
      <c r="E618" s="4">
        <v>46.015000000000001</v>
      </c>
      <c r="F618" s="4">
        <v>217342.046</v>
      </c>
      <c r="G618" s="4">
        <v>217388.06099999999</v>
      </c>
      <c r="H618" s="5">
        <f>2738 / 86400</f>
        <v>3.1689814814814816E-2</v>
      </c>
      <c r="I618" t="s">
        <v>41</v>
      </c>
      <c r="J618" t="s">
        <v>80</v>
      </c>
      <c r="K618" s="5">
        <f>8679 / 86400</f>
        <v>0.1004513888888889</v>
      </c>
      <c r="L618" s="5">
        <f>925 / 86400</f>
        <v>1.0706018518518519E-2</v>
      </c>
    </row>
    <row r="619" spans="1:12" x14ac:dyDescent="0.25">
      <c r="A619" s="3">
        <v>45710.350266203706</v>
      </c>
      <c r="B619" t="s">
        <v>361</v>
      </c>
      <c r="C619" s="3">
        <v>45710.353101851855</v>
      </c>
      <c r="D619" t="s">
        <v>51</v>
      </c>
      <c r="E619" s="4">
        <v>0.42399999999999999</v>
      </c>
      <c r="F619" s="4">
        <v>217388.06099999999</v>
      </c>
      <c r="G619" s="4">
        <v>217388.48499999999</v>
      </c>
      <c r="H619" s="5">
        <f>80 / 86400</f>
        <v>9.2592592592592596E-4</v>
      </c>
      <c r="I619" t="s">
        <v>20</v>
      </c>
      <c r="J619" t="s">
        <v>31</v>
      </c>
      <c r="K619" s="5">
        <f>245 / 86400</f>
        <v>2.8356481481481483E-3</v>
      </c>
      <c r="L619" s="5">
        <f>698 / 86400</f>
        <v>8.0787037037037043E-3</v>
      </c>
    </row>
    <row r="620" spans="1:12" x14ac:dyDescent="0.25">
      <c r="A620" s="3">
        <v>45710.361180555556</v>
      </c>
      <c r="B620" t="s">
        <v>51</v>
      </c>
      <c r="C620" s="3">
        <v>45710.361631944441</v>
      </c>
      <c r="D620" t="s">
        <v>51</v>
      </c>
      <c r="E620" s="4">
        <v>4.0000000000000001E-3</v>
      </c>
      <c r="F620" s="4">
        <v>217388.48499999999</v>
      </c>
      <c r="G620" s="4">
        <v>217388.489</v>
      </c>
      <c r="H620" s="5">
        <f>19 / 86400</f>
        <v>2.199074074074074E-4</v>
      </c>
      <c r="I620" t="s">
        <v>77</v>
      </c>
      <c r="J620" t="s">
        <v>77</v>
      </c>
      <c r="K620" s="5">
        <f>38 / 86400</f>
        <v>4.3981481481481481E-4</v>
      </c>
      <c r="L620" s="5">
        <f>37 / 86400</f>
        <v>4.2824074074074075E-4</v>
      </c>
    </row>
    <row r="621" spans="1:12" x14ac:dyDescent="0.25">
      <c r="A621" s="3">
        <v>45710.362060185187</v>
      </c>
      <c r="B621" t="s">
        <v>51</v>
      </c>
      <c r="C621" s="3">
        <v>45710.363784722227</v>
      </c>
      <c r="D621" t="s">
        <v>51</v>
      </c>
      <c r="E621" s="4">
        <v>5.0000000000000001E-3</v>
      </c>
      <c r="F621" s="4">
        <v>217388.489</v>
      </c>
      <c r="G621" s="4">
        <v>217388.49400000001</v>
      </c>
      <c r="H621" s="5">
        <f>119 / 86400</f>
        <v>1.3773148148148147E-3</v>
      </c>
      <c r="I621" t="s">
        <v>124</v>
      </c>
      <c r="J621" t="s">
        <v>77</v>
      </c>
      <c r="K621" s="5">
        <f>148 / 86400</f>
        <v>1.712962962962963E-3</v>
      </c>
      <c r="L621" s="5">
        <f>28 / 86400</f>
        <v>3.2407407407407406E-4</v>
      </c>
    </row>
    <row r="622" spans="1:12" x14ac:dyDescent="0.25">
      <c r="A622" s="3">
        <v>45710.364108796297</v>
      </c>
      <c r="B622" t="s">
        <v>51</v>
      </c>
      <c r="C622" s="3">
        <v>45710.364201388889</v>
      </c>
      <c r="D622" t="s">
        <v>51</v>
      </c>
      <c r="E622" s="4">
        <v>0</v>
      </c>
      <c r="F622" s="4">
        <v>217388.49400000001</v>
      </c>
      <c r="G622" s="4">
        <v>217388.49400000001</v>
      </c>
      <c r="H622" s="5">
        <f>0 / 86400</f>
        <v>0</v>
      </c>
      <c r="I622" t="s">
        <v>77</v>
      </c>
      <c r="J622" t="s">
        <v>77</v>
      </c>
      <c r="K622" s="5">
        <f>7 / 86400</f>
        <v>8.1018518518518516E-5</v>
      </c>
      <c r="L622" s="5">
        <f>578 / 86400</f>
        <v>6.6898148148148151E-3</v>
      </c>
    </row>
    <row r="623" spans="1:12" x14ac:dyDescent="0.25">
      <c r="A623" s="3">
        <v>45710.370891203704</v>
      </c>
      <c r="B623" t="s">
        <v>51</v>
      </c>
      <c r="C623" s="3">
        <v>45710.378437499996</v>
      </c>
      <c r="D623" t="s">
        <v>51</v>
      </c>
      <c r="E623" s="4">
        <v>3.5999999999999997E-2</v>
      </c>
      <c r="F623" s="4">
        <v>217388.49400000001</v>
      </c>
      <c r="G623" s="4">
        <v>217388.53</v>
      </c>
      <c r="H623" s="5">
        <f>639 / 86400</f>
        <v>7.3958333333333333E-3</v>
      </c>
      <c r="I623" t="s">
        <v>77</v>
      </c>
      <c r="J623" t="s">
        <v>77</v>
      </c>
      <c r="K623" s="5">
        <f>652 / 86400</f>
        <v>7.5462962962962966E-3</v>
      </c>
      <c r="L623" s="5">
        <f>3 / 86400</f>
        <v>3.4722222222222222E-5</v>
      </c>
    </row>
    <row r="624" spans="1:12" x14ac:dyDescent="0.25">
      <c r="A624" s="3">
        <v>45710.378472222219</v>
      </c>
      <c r="B624" t="s">
        <v>51</v>
      </c>
      <c r="C624" s="3">
        <v>45710.3825</v>
      </c>
      <c r="D624" t="s">
        <v>51</v>
      </c>
      <c r="E624" s="4">
        <v>1.7999999999999999E-2</v>
      </c>
      <c r="F624" s="4">
        <v>217388.53</v>
      </c>
      <c r="G624" s="4">
        <v>217388.54800000001</v>
      </c>
      <c r="H624" s="5">
        <f>324 / 86400</f>
        <v>3.7499999999999999E-3</v>
      </c>
      <c r="I624" t="s">
        <v>124</v>
      </c>
      <c r="J624" t="s">
        <v>77</v>
      </c>
      <c r="K624" s="5">
        <f>348 / 86400</f>
        <v>4.0277777777777777E-3</v>
      </c>
      <c r="L624" s="5">
        <f>2219 / 86400</f>
        <v>2.568287037037037E-2</v>
      </c>
    </row>
    <row r="625" spans="1:12" x14ac:dyDescent="0.25">
      <c r="A625" s="3">
        <v>45710.408182870371</v>
      </c>
      <c r="B625" t="s">
        <v>51</v>
      </c>
      <c r="C625" s="3">
        <v>45710.408506944441</v>
      </c>
      <c r="D625" t="s">
        <v>51</v>
      </c>
      <c r="E625" s="4">
        <v>0</v>
      </c>
      <c r="F625" s="4">
        <v>217388.54800000001</v>
      </c>
      <c r="G625" s="4">
        <v>217388.54800000001</v>
      </c>
      <c r="H625" s="5">
        <f>19 / 86400</f>
        <v>2.199074074074074E-4</v>
      </c>
      <c r="I625" t="s">
        <v>77</v>
      </c>
      <c r="J625" t="s">
        <v>77</v>
      </c>
      <c r="K625" s="5">
        <f>28 / 86400</f>
        <v>3.2407407407407406E-4</v>
      </c>
      <c r="L625" s="5">
        <f>51104 / 86400</f>
        <v>0.5914814814814815</v>
      </c>
    </row>
    <row r="626" spans="1:12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</row>
    <row r="627" spans="1:1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2" s="10" customFormat="1" ht="20.100000000000001" customHeight="1" x14ac:dyDescent="0.35">
      <c r="A628" s="15" t="s">
        <v>434</v>
      </c>
      <c r="B628" s="15"/>
      <c r="C628" s="15"/>
      <c r="D628" s="15"/>
      <c r="E628" s="15"/>
      <c r="F628" s="15"/>
      <c r="G628" s="15"/>
      <c r="H628" s="15"/>
      <c r="I628" s="15"/>
      <c r="J628" s="15"/>
    </row>
    <row r="629" spans="1:12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</row>
    <row r="630" spans="1:12" ht="30" x14ac:dyDescent="0.25">
      <c r="A630" s="2" t="s">
        <v>6</v>
      </c>
      <c r="B630" s="2" t="s">
        <v>7</v>
      </c>
      <c r="C630" s="2" t="s">
        <v>8</v>
      </c>
      <c r="D630" s="2" t="s">
        <v>9</v>
      </c>
      <c r="E630" s="2" t="s">
        <v>10</v>
      </c>
      <c r="F630" s="2" t="s">
        <v>11</v>
      </c>
      <c r="G630" s="2" t="s">
        <v>12</v>
      </c>
      <c r="H630" s="2" t="s">
        <v>13</v>
      </c>
      <c r="I630" s="2" t="s">
        <v>14</v>
      </c>
      <c r="J630" s="2" t="s">
        <v>15</v>
      </c>
      <c r="K630" s="2" t="s">
        <v>16</v>
      </c>
      <c r="L630" s="2" t="s">
        <v>17</v>
      </c>
    </row>
    <row r="631" spans="1:12" x14ac:dyDescent="0.25">
      <c r="A631" s="3">
        <v>45710.27511574074</v>
      </c>
      <c r="B631" t="s">
        <v>52</v>
      </c>
      <c r="C631" s="3">
        <v>45710.284201388888</v>
      </c>
      <c r="D631" t="s">
        <v>185</v>
      </c>
      <c r="E631" s="4">
        <v>1.6310000000596045</v>
      </c>
      <c r="F631" s="4">
        <v>526730.07499999995</v>
      </c>
      <c r="G631" s="4">
        <v>526731.70600000001</v>
      </c>
      <c r="H631" s="5">
        <f>359 / 86400</f>
        <v>4.1550925925925922E-3</v>
      </c>
      <c r="I631" t="s">
        <v>188</v>
      </c>
      <c r="J631" t="s">
        <v>140</v>
      </c>
      <c r="K631" s="5">
        <f>784 / 86400</f>
        <v>9.0740740740740747E-3</v>
      </c>
      <c r="L631" s="5">
        <f>25559 / 86400</f>
        <v>0.29582175925925924</v>
      </c>
    </row>
    <row r="632" spans="1:12" x14ac:dyDescent="0.25">
      <c r="A632" s="3">
        <v>45710.304907407408</v>
      </c>
      <c r="B632" t="s">
        <v>185</v>
      </c>
      <c r="C632" s="3">
        <v>45710.40353009259</v>
      </c>
      <c r="D632" t="s">
        <v>362</v>
      </c>
      <c r="E632" s="4">
        <v>30.792999999940395</v>
      </c>
      <c r="F632" s="4">
        <v>526731.70600000001</v>
      </c>
      <c r="G632" s="4">
        <v>526762.49899999995</v>
      </c>
      <c r="H632" s="5">
        <f>3736 / 86400</f>
        <v>4.3240740740740739E-2</v>
      </c>
      <c r="I632" t="s">
        <v>149</v>
      </c>
      <c r="J632" t="s">
        <v>45</v>
      </c>
      <c r="K632" s="5">
        <f>8521 / 86400</f>
        <v>9.8622685185185188E-2</v>
      </c>
      <c r="L632" s="5">
        <f>139 / 86400</f>
        <v>1.6087962962962963E-3</v>
      </c>
    </row>
    <row r="633" spans="1:12" x14ac:dyDescent="0.25">
      <c r="A633" s="3">
        <v>45710.405138888891</v>
      </c>
      <c r="B633" t="s">
        <v>362</v>
      </c>
      <c r="C633" s="3">
        <v>45710.529386574075</v>
      </c>
      <c r="D633" t="s">
        <v>81</v>
      </c>
      <c r="E633" s="4">
        <v>52.073000000119208</v>
      </c>
      <c r="F633" s="4">
        <v>526762.49899999995</v>
      </c>
      <c r="G633" s="4">
        <v>526814.57200000004</v>
      </c>
      <c r="H633" s="5">
        <f>3458 / 86400</f>
        <v>4.0023148148148148E-2</v>
      </c>
      <c r="I633" t="s">
        <v>53</v>
      </c>
      <c r="J633" t="s">
        <v>29</v>
      </c>
      <c r="K633" s="5">
        <f>10735 / 86400</f>
        <v>0.12424768518518518</v>
      </c>
      <c r="L633" s="5">
        <f>452 / 86400</f>
        <v>5.2314814814814811E-3</v>
      </c>
    </row>
    <row r="634" spans="1:12" x14ac:dyDescent="0.25">
      <c r="A634" s="3">
        <v>45710.534618055557</v>
      </c>
      <c r="B634" t="s">
        <v>81</v>
      </c>
      <c r="C634" s="3">
        <v>45710.536192129628</v>
      </c>
      <c r="D634" t="s">
        <v>81</v>
      </c>
      <c r="E634" s="4">
        <v>0.115</v>
      </c>
      <c r="F634" s="4">
        <v>526814.57200000004</v>
      </c>
      <c r="G634" s="4">
        <v>526814.68700000003</v>
      </c>
      <c r="H634" s="5">
        <f>39 / 86400</f>
        <v>4.5138888888888887E-4</v>
      </c>
      <c r="I634" t="s">
        <v>168</v>
      </c>
      <c r="J634" t="s">
        <v>143</v>
      </c>
      <c r="K634" s="5">
        <f>135 / 86400</f>
        <v>1.5625000000000001E-3</v>
      </c>
      <c r="L634" s="5">
        <f>722 / 86400</f>
        <v>8.3564814814814821E-3</v>
      </c>
    </row>
    <row r="635" spans="1:12" x14ac:dyDescent="0.25">
      <c r="A635" s="3">
        <v>45710.544548611113</v>
      </c>
      <c r="B635" t="s">
        <v>81</v>
      </c>
      <c r="C635" s="3">
        <v>45710.547847222224</v>
      </c>
      <c r="D635" t="s">
        <v>50</v>
      </c>
      <c r="E635" s="4">
        <v>0.76899999994039536</v>
      </c>
      <c r="F635" s="4">
        <v>526814.68700000003</v>
      </c>
      <c r="G635" s="4">
        <v>526815.45600000001</v>
      </c>
      <c r="H635" s="5">
        <f>60 / 86400</f>
        <v>6.9444444444444447E-4</v>
      </c>
      <c r="I635" t="s">
        <v>30</v>
      </c>
      <c r="J635" t="s">
        <v>168</v>
      </c>
      <c r="K635" s="5">
        <f>285 / 86400</f>
        <v>3.2986111111111111E-3</v>
      </c>
      <c r="L635" s="5">
        <f>3595 / 86400</f>
        <v>4.1608796296296297E-2</v>
      </c>
    </row>
    <row r="636" spans="1:12" x14ac:dyDescent="0.25">
      <c r="A636" s="3">
        <v>45710.589456018519</v>
      </c>
      <c r="B636" t="s">
        <v>165</v>
      </c>
      <c r="C636" s="3">
        <v>45710.706030092595</v>
      </c>
      <c r="D636" t="s">
        <v>363</v>
      </c>
      <c r="E636" s="4">
        <v>50.665999999999997</v>
      </c>
      <c r="F636" s="4">
        <v>526815.45600000001</v>
      </c>
      <c r="G636" s="4">
        <v>526866.12199999997</v>
      </c>
      <c r="H636" s="5">
        <f>3147 / 86400</f>
        <v>3.6423611111111108E-2</v>
      </c>
      <c r="I636" t="s">
        <v>32</v>
      </c>
      <c r="J636" t="s">
        <v>20</v>
      </c>
      <c r="K636" s="5">
        <f>10072 / 86400</f>
        <v>0.11657407407407408</v>
      </c>
      <c r="L636" s="5">
        <f>462 / 86400</f>
        <v>5.347222222222222E-3</v>
      </c>
    </row>
    <row r="637" spans="1:12" x14ac:dyDescent="0.25">
      <c r="A637" s="3">
        <v>45710.711377314816</v>
      </c>
      <c r="B637" t="s">
        <v>363</v>
      </c>
      <c r="C637" s="3">
        <v>45710.834560185191</v>
      </c>
      <c r="D637" t="s">
        <v>52</v>
      </c>
      <c r="E637" s="4">
        <v>31.114999999999998</v>
      </c>
      <c r="F637" s="4">
        <v>526866.125</v>
      </c>
      <c r="G637" s="4">
        <v>526897.24</v>
      </c>
      <c r="H637" s="5">
        <f>4721 / 86400</f>
        <v>5.4641203703703706E-2</v>
      </c>
      <c r="I637" t="s">
        <v>28</v>
      </c>
      <c r="J637" t="s">
        <v>61</v>
      </c>
      <c r="K637" s="5">
        <f>10643 / 86400</f>
        <v>0.12318287037037037</v>
      </c>
      <c r="L637" s="5">
        <f>14293 / 86400</f>
        <v>0.16542824074074075</v>
      </c>
    </row>
    <row r="638" spans="1:12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</row>
    <row r="639" spans="1:12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</row>
    <row r="640" spans="1:12" s="10" customFormat="1" ht="20.100000000000001" customHeight="1" x14ac:dyDescent="0.35">
      <c r="A640" s="15" t="s">
        <v>435</v>
      </c>
      <c r="B640" s="15"/>
      <c r="C640" s="15"/>
      <c r="D640" s="15"/>
      <c r="E640" s="15"/>
      <c r="F640" s="15"/>
      <c r="G640" s="15"/>
      <c r="H640" s="15"/>
      <c r="I640" s="15"/>
      <c r="J640" s="15"/>
    </row>
    <row r="641" spans="1:1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</row>
    <row r="642" spans="1:12" ht="30" x14ac:dyDescent="0.25">
      <c r="A642" s="2" t="s">
        <v>6</v>
      </c>
      <c r="B642" s="2" t="s">
        <v>7</v>
      </c>
      <c r="C642" s="2" t="s">
        <v>8</v>
      </c>
      <c r="D642" s="2" t="s">
        <v>9</v>
      </c>
      <c r="E642" s="2" t="s">
        <v>10</v>
      </c>
      <c r="F642" s="2" t="s">
        <v>11</v>
      </c>
      <c r="G642" s="2" t="s">
        <v>12</v>
      </c>
      <c r="H642" s="2" t="s">
        <v>13</v>
      </c>
      <c r="I642" s="2" t="s">
        <v>14</v>
      </c>
      <c r="J642" s="2" t="s">
        <v>15</v>
      </c>
      <c r="K642" s="2" t="s">
        <v>16</v>
      </c>
      <c r="L642" s="2" t="s">
        <v>17</v>
      </c>
    </row>
    <row r="643" spans="1:12" x14ac:dyDescent="0.25">
      <c r="A643" s="3">
        <v>45710.328900462962</v>
      </c>
      <c r="B643" t="s">
        <v>54</v>
      </c>
      <c r="C643" s="3">
        <v>45710.337395833332</v>
      </c>
      <c r="D643" t="s">
        <v>364</v>
      </c>
      <c r="E643" s="4">
        <v>3.4420000000000002</v>
      </c>
      <c r="F643" s="4">
        <v>346435.61200000002</v>
      </c>
      <c r="G643" s="4">
        <v>346439.054</v>
      </c>
      <c r="H643" s="5">
        <f>100 / 86400</f>
        <v>1.1574074074074073E-3</v>
      </c>
      <c r="I643" t="s">
        <v>184</v>
      </c>
      <c r="J643" t="s">
        <v>29</v>
      </c>
      <c r="K643" s="5">
        <f>733 / 86400</f>
        <v>8.4837962962962966E-3</v>
      </c>
      <c r="L643" s="5">
        <f>29254 / 86400</f>
        <v>0.33858796296296295</v>
      </c>
    </row>
    <row r="644" spans="1:12" x14ac:dyDescent="0.25">
      <c r="A644" s="3">
        <v>45710.347083333334</v>
      </c>
      <c r="B644" t="s">
        <v>364</v>
      </c>
      <c r="C644" s="3">
        <v>45710.421203703707</v>
      </c>
      <c r="D644" t="s">
        <v>365</v>
      </c>
      <c r="E644" s="4">
        <v>39.451000000000001</v>
      </c>
      <c r="F644" s="4">
        <v>346439.054</v>
      </c>
      <c r="G644" s="4">
        <v>346478.505</v>
      </c>
      <c r="H644" s="5">
        <f>1140 / 86400</f>
        <v>1.3194444444444444E-2</v>
      </c>
      <c r="I644" t="s">
        <v>70</v>
      </c>
      <c r="J644" t="s">
        <v>37</v>
      </c>
      <c r="K644" s="5">
        <f>6403 / 86400</f>
        <v>7.4108796296296298E-2</v>
      </c>
      <c r="L644" s="5">
        <f>1502 / 86400</f>
        <v>1.7384259259259259E-2</v>
      </c>
    </row>
    <row r="645" spans="1:12" x14ac:dyDescent="0.25">
      <c r="A645" s="3">
        <v>45710.438587962963</v>
      </c>
      <c r="B645" t="s">
        <v>365</v>
      </c>
      <c r="C645" s="3">
        <v>45710.467129629629</v>
      </c>
      <c r="D645" t="s">
        <v>366</v>
      </c>
      <c r="E645" s="4">
        <v>38.603999999999999</v>
      </c>
      <c r="F645" s="4">
        <v>346478.505</v>
      </c>
      <c r="G645" s="4">
        <v>346517.109</v>
      </c>
      <c r="H645" s="5">
        <f>59 / 86400</f>
        <v>6.8287037037037036E-4</v>
      </c>
      <c r="I645" t="s">
        <v>55</v>
      </c>
      <c r="J645" t="s">
        <v>301</v>
      </c>
      <c r="K645" s="5">
        <f>2465 / 86400</f>
        <v>2.8530092592592593E-2</v>
      </c>
      <c r="L645" s="5">
        <f>269 / 86400</f>
        <v>3.1134259259259257E-3</v>
      </c>
    </row>
    <row r="646" spans="1:12" x14ac:dyDescent="0.25">
      <c r="A646" s="3">
        <v>45710.470243055555</v>
      </c>
      <c r="B646" t="s">
        <v>366</v>
      </c>
      <c r="C646" s="3">
        <v>45710.509953703702</v>
      </c>
      <c r="D646" t="s">
        <v>367</v>
      </c>
      <c r="E646" s="4">
        <v>17.347999999999999</v>
      </c>
      <c r="F646" s="4">
        <v>346517.109</v>
      </c>
      <c r="G646" s="4">
        <v>346534.45699999999</v>
      </c>
      <c r="H646" s="5">
        <f>1281 / 86400</f>
        <v>1.4826388888888889E-2</v>
      </c>
      <c r="I646" t="s">
        <v>23</v>
      </c>
      <c r="J646" t="s">
        <v>20</v>
      </c>
      <c r="K646" s="5">
        <f>3430 / 86400</f>
        <v>3.9699074074074074E-2</v>
      </c>
      <c r="L646" s="5">
        <f>19242 / 86400</f>
        <v>0.22270833333333334</v>
      </c>
    </row>
    <row r="647" spans="1:12" x14ac:dyDescent="0.25">
      <c r="A647" s="3">
        <v>45710.732662037037</v>
      </c>
      <c r="B647" t="s">
        <v>367</v>
      </c>
      <c r="C647" s="3">
        <v>45710.757025462968</v>
      </c>
      <c r="D647" t="s">
        <v>368</v>
      </c>
      <c r="E647" s="4">
        <v>24.483000000000001</v>
      </c>
      <c r="F647" s="4">
        <v>346534.45699999999</v>
      </c>
      <c r="G647" s="4">
        <v>346558.94</v>
      </c>
      <c r="H647" s="5">
        <f>579 / 86400</f>
        <v>6.7013888888888887E-3</v>
      </c>
      <c r="I647" t="s">
        <v>47</v>
      </c>
      <c r="J647" t="s">
        <v>154</v>
      </c>
      <c r="K647" s="5">
        <f>2105 / 86400</f>
        <v>2.4363425925925927E-2</v>
      </c>
      <c r="L647" s="5">
        <f>424 / 86400</f>
        <v>4.9074074074074072E-3</v>
      </c>
    </row>
    <row r="648" spans="1:12" x14ac:dyDescent="0.25">
      <c r="A648" s="3">
        <v>45710.761932870373</v>
      </c>
      <c r="B648" t="s">
        <v>368</v>
      </c>
      <c r="C648" s="3">
        <v>45710.861932870372</v>
      </c>
      <c r="D648" t="s">
        <v>369</v>
      </c>
      <c r="E648" s="4">
        <v>68.414000000000001</v>
      </c>
      <c r="F648" s="4">
        <v>346558.94</v>
      </c>
      <c r="G648" s="4">
        <v>346627.35399999999</v>
      </c>
      <c r="H648" s="5">
        <f>2460 / 86400</f>
        <v>2.8472222222222222E-2</v>
      </c>
      <c r="I648" t="s">
        <v>47</v>
      </c>
      <c r="J648" t="s">
        <v>167</v>
      </c>
      <c r="K648" s="5">
        <f>8639 / 86400</f>
        <v>9.9988425925925925E-2</v>
      </c>
      <c r="L648" s="5">
        <f>277 / 86400</f>
        <v>3.2060185185185186E-3</v>
      </c>
    </row>
    <row r="649" spans="1:12" x14ac:dyDescent="0.25">
      <c r="A649" s="3">
        <v>45710.86513888889</v>
      </c>
      <c r="B649" t="s">
        <v>369</v>
      </c>
      <c r="C649" s="3">
        <v>45710.869537037041</v>
      </c>
      <c r="D649" t="s">
        <v>364</v>
      </c>
      <c r="E649" s="4">
        <v>1.4059999999999999</v>
      </c>
      <c r="F649" s="4">
        <v>346627.35399999999</v>
      </c>
      <c r="G649" s="4">
        <v>346628.76</v>
      </c>
      <c r="H649" s="5">
        <f>40 / 86400</f>
        <v>4.6296296296296298E-4</v>
      </c>
      <c r="I649" t="s">
        <v>131</v>
      </c>
      <c r="J649" t="s">
        <v>45</v>
      </c>
      <c r="K649" s="5">
        <f>380 / 86400</f>
        <v>4.3981481481481484E-3</v>
      </c>
      <c r="L649" s="5">
        <f>74 / 86400</f>
        <v>8.564814814814815E-4</v>
      </c>
    </row>
    <row r="650" spans="1:12" x14ac:dyDescent="0.25">
      <c r="A650" s="3">
        <v>45710.870393518519</v>
      </c>
      <c r="B650" t="s">
        <v>364</v>
      </c>
      <c r="C650" s="3">
        <v>45710.873148148152</v>
      </c>
      <c r="D650" t="s">
        <v>370</v>
      </c>
      <c r="E650" s="4">
        <v>0.6</v>
      </c>
      <c r="F650" s="4">
        <v>346628.76</v>
      </c>
      <c r="G650" s="4">
        <v>346629.36</v>
      </c>
      <c r="H650" s="5">
        <f>40 / 86400</f>
        <v>4.6296296296296298E-4</v>
      </c>
      <c r="I650" t="s">
        <v>131</v>
      </c>
      <c r="J650" t="s">
        <v>132</v>
      </c>
      <c r="K650" s="5">
        <f>238 / 86400</f>
        <v>2.7546296296296294E-3</v>
      </c>
      <c r="L650" s="5">
        <f>26 / 86400</f>
        <v>3.0092592592592595E-4</v>
      </c>
    </row>
    <row r="651" spans="1:12" x14ac:dyDescent="0.25">
      <c r="A651" s="3">
        <v>45710.873449074075</v>
      </c>
      <c r="B651" t="s">
        <v>370</v>
      </c>
      <c r="C651" s="3">
        <v>45710.879988425921</v>
      </c>
      <c r="D651" t="s">
        <v>54</v>
      </c>
      <c r="E651" s="4">
        <v>3.2650000000000001</v>
      </c>
      <c r="F651" s="4">
        <v>346629.36</v>
      </c>
      <c r="G651" s="4">
        <v>346632.625</v>
      </c>
      <c r="H651" s="5">
        <f>200 / 86400</f>
        <v>2.3148148148148147E-3</v>
      </c>
      <c r="I651" t="s">
        <v>220</v>
      </c>
      <c r="J651" t="s">
        <v>135</v>
      </c>
      <c r="K651" s="5">
        <f>565 / 86400</f>
        <v>6.5393518518518517E-3</v>
      </c>
      <c r="L651" s="5">
        <f>355 / 86400</f>
        <v>4.1087962962962962E-3</v>
      </c>
    </row>
    <row r="652" spans="1:12" x14ac:dyDescent="0.25">
      <c r="A652" s="3">
        <v>45710.884097222224</v>
      </c>
      <c r="B652" t="s">
        <v>371</v>
      </c>
      <c r="C652" s="3">
        <v>45710.885682870372</v>
      </c>
      <c r="D652" t="s">
        <v>54</v>
      </c>
      <c r="E652" s="4">
        <v>2.1000000000000001E-2</v>
      </c>
      <c r="F652" s="4">
        <v>346632.625</v>
      </c>
      <c r="G652" s="4">
        <v>346632.64600000001</v>
      </c>
      <c r="H652" s="5">
        <f>119 / 86400</f>
        <v>1.3773148148148147E-3</v>
      </c>
      <c r="I652" t="s">
        <v>77</v>
      </c>
      <c r="J652" t="s">
        <v>124</v>
      </c>
      <c r="K652" s="5">
        <f>136 / 86400</f>
        <v>1.5740740740740741E-3</v>
      </c>
      <c r="L652" s="5">
        <f>9876 / 86400</f>
        <v>0.11430555555555555</v>
      </c>
    </row>
    <row r="653" spans="1:12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</row>
    <row r="654" spans="1:1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</row>
    <row r="655" spans="1:12" s="10" customFormat="1" ht="20.100000000000001" customHeight="1" x14ac:dyDescent="0.35">
      <c r="A655" s="15" t="s">
        <v>436</v>
      </c>
      <c r="B655" s="15"/>
      <c r="C655" s="15"/>
      <c r="D655" s="15"/>
      <c r="E655" s="15"/>
      <c r="F655" s="15"/>
      <c r="G655" s="15"/>
      <c r="H655" s="15"/>
      <c r="I655" s="15"/>
      <c r="J655" s="15"/>
    </row>
    <row r="656" spans="1:1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</row>
    <row r="657" spans="1:12" ht="30" x14ac:dyDescent="0.25">
      <c r="A657" s="2" t="s">
        <v>6</v>
      </c>
      <c r="B657" s="2" t="s">
        <v>7</v>
      </c>
      <c r="C657" s="2" t="s">
        <v>8</v>
      </c>
      <c r="D657" s="2" t="s">
        <v>9</v>
      </c>
      <c r="E657" s="2" t="s">
        <v>10</v>
      </c>
      <c r="F657" s="2" t="s">
        <v>11</v>
      </c>
      <c r="G657" s="2" t="s">
        <v>12</v>
      </c>
      <c r="H657" s="2" t="s">
        <v>13</v>
      </c>
      <c r="I657" s="2" t="s">
        <v>14</v>
      </c>
      <c r="J657" s="2" t="s">
        <v>15</v>
      </c>
      <c r="K657" s="2" t="s">
        <v>16</v>
      </c>
      <c r="L657" s="2" t="s">
        <v>17</v>
      </c>
    </row>
    <row r="658" spans="1:12" x14ac:dyDescent="0.25">
      <c r="A658" s="3">
        <v>45710.251759259263</v>
      </c>
      <c r="B658" t="s">
        <v>57</v>
      </c>
      <c r="C658" s="3">
        <v>45710.254143518519</v>
      </c>
      <c r="D658" t="s">
        <v>372</v>
      </c>
      <c r="E658" s="4">
        <v>0.34899999999999998</v>
      </c>
      <c r="F658" s="4">
        <v>427023.75099999999</v>
      </c>
      <c r="G658" s="4">
        <v>427024.1</v>
      </c>
      <c r="H658" s="5">
        <f>100 / 86400</f>
        <v>1.1574074074074073E-3</v>
      </c>
      <c r="I658" t="s">
        <v>29</v>
      </c>
      <c r="J658" t="s">
        <v>31</v>
      </c>
      <c r="K658" s="5">
        <f>206 / 86400</f>
        <v>2.3842592592592591E-3</v>
      </c>
      <c r="L658" s="5">
        <f>21958 / 86400</f>
        <v>0.25414351851851852</v>
      </c>
    </row>
    <row r="659" spans="1:12" x14ac:dyDescent="0.25">
      <c r="A659" s="3">
        <v>45710.256527777776</v>
      </c>
      <c r="B659" t="s">
        <v>372</v>
      </c>
      <c r="C659" s="3">
        <v>45710.267928240741</v>
      </c>
      <c r="D659" t="s">
        <v>280</v>
      </c>
      <c r="E659" s="4">
        <v>5.9320000000000004</v>
      </c>
      <c r="F659" s="4">
        <v>427024.1</v>
      </c>
      <c r="G659" s="4">
        <v>427030.03200000001</v>
      </c>
      <c r="H659" s="5">
        <f>180 / 86400</f>
        <v>2.0833333333333333E-3</v>
      </c>
      <c r="I659" t="s">
        <v>196</v>
      </c>
      <c r="J659" t="s">
        <v>37</v>
      </c>
      <c r="K659" s="5">
        <f>985 / 86400</f>
        <v>1.1400462962962963E-2</v>
      </c>
      <c r="L659" s="5">
        <f>11 / 86400</f>
        <v>1.273148148148148E-4</v>
      </c>
    </row>
    <row r="660" spans="1:12" x14ac:dyDescent="0.25">
      <c r="A660" s="3">
        <v>45710.268055555556</v>
      </c>
      <c r="B660" t="s">
        <v>279</v>
      </c>
      <c r="C660" s="3">
        <v>45710.345127314809</v>
      </c>
      <c r="D660" t="s">
        <v>81</v>
      </c>
      <c r="E660" s="4">
        <v>39.182000000000002</v>
      </c>
      <c r="F660" s="4">
        <v>427030.03200000001</v>
      </c>
      <c r="G660" s="4">
        <v>427069.21399999998</v>
      </c>
      <c r="H660" s="5">
        <f>1479 / 86400</f>
        <v>1.7118055555555556E-2</v>
      </c>
      <c r="I660" t="s">
        <v>157</v>
      </c>
      <c r="J660" t="s">
        <v>135</v>
      </c>
      <c r="K660" s="5">
        <f>6659 / 86400</f>
        <v>7.7071759259259257E-2</v>
      </c>
      <c r="L660" s="5">
        <f>1447 / 86400</f>
        <v>1.6747685185185185E-2</v>
      </c>
    </row>
    <row r="661" spans="1:12" x14ac:dyDescent="0.25">
      <c r="A661" s="3">
        <v>45710.361875000002</v>
      </c>
      <c r="B661" t="s">
        <v>81</v>
      </c>
      <c r="C661" s="3">
        <v>45710.365162037036</v>
      </c>
      <c r="D661" t="s">
        <v>128</v>
      </c>
      <c r="E661" s="4">
        <v>1.2949999999999999</v>
      </c>
      <c r="F661" s="4">
        <v>427069.21399999998</v>
      </c>
      <c r="G661" s="4">
        <v>427070.50900000002</v>
      </c>
      <c r="H661" s="5">
        <f>0 / 86400</f>
        <v>0</v>
      </c>
      <c r="I661" t="s">
        <v>158</v>
      </c>
      <c r="J661" t="s">
        <v>33</v>
      </c>
      <c r="K661" s="5">
        <f>284 / 86400</f>
        <v>3.2870370370370371E-3</v>
      </c>
      <c r="L661" s="5">
        <f>1369 / 86400</f>
        <v>1.5844907407407408E-2</v>
      </c>
    </row>
    <row r="662" spans="1:12" x14ac:dyDescent="0.25">
      <c r="A662" s="3">
        <v>45710.381006944444</v>
      </c>
      <c r="B662" t="s">
        <v>128</v>
      </c>
      <c r="C662" s="3">
        <v>45710.387870370367</v>
      </c>
      <c r="D662" t="s">
        <v>81</v>
      </c>
      <c r="E662" s="4">
        <v>2.238</v>
      </c>
      <c r="F662" s="4">
        <v>427070.50900000002</v>
      </c>
      <c r="G662" s="4">
        <v>427072.74699999997</v>
      </c>
      <c r="H662" s="5">
        <f>120 / 86400</f>
        <v>1.3888888888888889E-3</v>
      </c>
      <c r="I662" t="s">
        <v>167</v>
      </c>
      <c r="J662" t="s">
        <v>26</v>
      </c>
      <c r="K662" s="5">
        <f>592 / 86400</f>
        <v>6.851851851851852E-3</v>
      </c>
      <c r="L662" s="5">
        <f>328 / 86400</f>
        <v>3.7962962962962963E-3</v>
      </c>
    </row>
    <row r="663" spans="1:12" x14ac:dyDescent="0.25">
      <c r="A663" s="3">
        <v>45710.391666666663</v>
      </c>
      <c r="B663" t="s">
        <v>81</v>
      </c>
      <c r="C663" s="3">
        <v>45710.392002314809</v>
      </c>
      <c r="D663" t="s">
        <v>81</v>
      </c>
      <c r="E663" s="4">
        <v>0</v>
      </c>
      <c r="F663" s="4">
        <v>427072.74699999997</v>
      </c>
      <c r="G663" s="4">
        <v>427072.74699999997</v>
      </c>
      <c r="H663" s="5">
        <f>19 / 86400</f>
        <v>2.199074074074074E-4</v>
      </c>
      <c r="I663" t="s">
        <v>77</v>
      </c>
      <c r="J663" t="s">
        <v>77</v>
      </c>
      <c r="K663" s="5">
        <f>29 / 86400</f>
        <v>3.3564814814814812E-4</v>
      </c>
      <c r="L663" s="5">
        <f>338 / 86400</f>
        <v>3.9120370370370368E-3</v>
      </c>
    </row>
    <row r="664" spans="1:12" x14ac:dyDescent="0.25">
      <c r="A664" s="3">
        <v>45710.395914351851</v>
      </c>
      <c r="B664" t="s">
        <v>81</v>
      </c>
      <c r="C664" s="3">
        <v>45710.516724537039</v>
      </c>
      <c r="D664" t="s">
        <v>373</v>
      </c>
      <c r="E664" s="4">
        <v>50.28</v>
      </c>
      <c r="F664" s="4">
        <v>427072.74699999997</v>
      </c>
      <c r="G664" s="4">
        <v>427123.027</v>
      </c>
      <c r="H664" s="5">
        <f>3060 / 86400</f>
        <v>3.5416666666666666E-2</v>
      </c>
      <c r="I664" t="s">
        <v>58</v>
      </c>
      <c r="J664" t="s">
        <v>29</v>
      </c>
      <c r="K664" s="5">
        <f>10438 / 86400</f>
        <v>0.12081018518518519</v>
      </c>
      <c r="L664" s="5">
        <f>649 / 86400</f>
        <v>7.5115740740740742E-3</v>
      </c>
    </row>
    <row r="665" spans="1:12" x14ac:dyDescent="0.25">
      <c r="A665" s="3">
        <v>45710.524236111116</v>
      </c>
      <c r="B665" t="s">
        <v>373</v>
      </c>
      <c r="C665" s="3">
        <v>45710.595625000002</v>
      </c>
      <c r="D665" t="s">
        <v>372</v>
      </c>
      <c r="E665" s="4">
        <v>19.675000000000001</v>
      </c>
      <c r="F665" s="4">
        <v>427123.027</v>
      </c>
      <c r="G665" s="4">
        <v>427142.70199999999</v>
      </c>
      <c r="H665" s="5">
        <f>2440 / 86400</f>
        <v>2.824074074074074E-2</v>
      </c>
      <c r="I665" t="s">
        <v>220</v>
      </c>
      <c r="J665" t="s">
        <v>61</v>
      </c>
      <c r="K665" s="5">
        <f>6167 / 86400</f>
        <v>7.137731481481481E-2</v>
      </c>
      <c r="L665" s="5">
        <f>2690 / 86400</f>
        <v>3.1134259259259261E-2</v>
      </c>
    </row>
    <row r="666" spans="1:12" x14ac:dyDescent="0.25">
      <c r="A666" s="3">
        <v>45710.626759259263</v>
      </c>
      <c r="B666" t="s">
        <v>372</v>
      </c>
      <c r="C666" s="3">
        <v>45710.636018518519</v>
      </c>
      <c r="D666" t="s">
        <v>374</v>
      </c>
      <c r="E666" s="4">
        <v>0.78500000000000003</v>
      </c>
      <c r="F666" s="4">
        <v>427142.70199999999</v>
      </c>
      <c r="G666" s="4">
        <v>427143.48700000002</v>
      </c>
      <c r="H666" s="5">
        <f>580 / 86400</f>
        <v>6.7129629629629631E-3</v>
      </c>
      <c r="I666" t="s">
        <v>64</v>
      </c>
      <c r="J666" t="s">
        <v>75</v>
      </c>
      <c r="K666" s="5">
        <f>800 / 86400</f>
        <v>9.2592592592592587E-3</v>
      </c>
      <c r="L666" s="5">
        <f>483 / 86400</f>
        <v>5.5902777777777773E-3</v>
      </c>
    </row>
    <row r="667" spans="1:12" x14ac:dyDescent="0.25">
      <c r="A667" s="3">
        <v>45710.641608796301</v>
      </c>
      <c r="B667" t="s">
        <v>374</v>
      </c>
      <c r="C667" s="3">
        <v>45710.657048611116</v>
      </c>
      <c r="D667" t="s">
        <v>374</v>
      </c>
      <c r="E667" s="4">
        <v>0</v>
      </c>
      <c r="F667" s="4">
        <v>427143.48700000002</v>
      </c>
      <c r="G667" s="4">
        <v>427143.48700000002</v>
      </c>
      <c r="H667" s="5">
        <f>1319 / 86400</f>
        <v>1.5266203703703704E-2</v>
      </c>
      <c r="I667" t="s">
        <v>77</v>
      </c>
      <c r="J667" t="s">
        <v>77</v>
      </c>
      <c r="K667" s="5">
        <f>1334 / 86400</f>
        <v>1.5439814814814814E-2</v>
      </c>
      <c r="L667" s="5">
        <f>3 / 86400</f>
        <v>3.4722222222222222E-5</v>
      </c>
    </row>
    <row r="668" spans="1:12" x14ac:dyDescent="0.25">
      <c r="A668" s="3">
        <v>45710.657083333332</v>
      </c>
      <c r="B668" t="s">
        <v>374</v>
      </c>
      <c r="C668" s="3">
        <v>45710.657488425924</v>
      </c>
      <c r="D668" t="s">
        <v>374</v>
      </c>
      <c r="E668" s="4">
        <v>0</v>
      </c>
      <c r="F668" s="4">
        <v>427143.48700000002</v>
      </c>
      <c r="G668" s="4">
        <v>427143.48700000002</v>
      </c>
      <c r="H668" s="5">
        <f>22 / 86400</f>
        <v>2.5462962962962961E-4</v>
      </c>
      <c r="I668" t="s">
        <v>77</v>
      </c>
      <c r="J668" t="s">
        <v>77</v>
      </c>
      <c r="K668" s="5">
        <f>35 / 86400</f>
        <v>4.0509259259259258E-4</v>
      </c>
      <c r="L668" s="5">
        <f>539 / 86400</f>
        <v>6.2384259259259259E-3</v>
      </c>
    </row>
    <row r="669" spans="1:12" x14ac:dyDescent="0.25">
      <c r="A669" s="3">
        <v>45710.663726851853</v>
      </c>
      <c r="B669" t="s">
        <v>374</v>
      </c>
      <c r="C669" s="3">
        <v>45710.667187500003</v>
      </c>
      <c r="D669" t="s">
        <v>374</v>
      </c>
      <c r="E669" s="4">
        <v>0</v>
      </c>
      <c r="F669" s="4">
        <v>427143.48700000002</v>
      </c>
      <c r="G669" s="4">
        <v>427143.48700000002</v>
      </c>
      <c r="H669" s="5">
        <f>279 / 86400</f>
        <v>3.2291666666666666E-3</v>
      </c>
      <c r="I669" t="s">
        <v>77</v>
      </c>
      <c r="J669" t="s">
        <v>77</v>
      </c>
      <c r="K669" s="5">
        <f>298 / 86400</f>
        <v>3.449074074074074E-3</v>
      </c>
      <c r="L669" s="5">
        <f>60 / 86400</f>
        <v>6.9444444444444447E-4</v>
      </c>
    </row>
    <row r="670" spans="1:12" x14ac:dyDescent="0.25">
      <c r="A670" s="3">
        <v>45710.66788194445</v>
      </c>
      <c r="B670" t="s">
        <v>374</v>
      </c>
      <c r="C670" s="3">
        <v>45710.669687500005</v>
      </c>
      <c r="D670" t="s">
        <v>374</v>
      </c>
      <c r="E670" s="4">
        <v>0</v>
      </c>
      <c r="F670" s="4">
        <v>427143.48700000002</v>
      </c>
      <c r="G670" s="4">
        <v>427143.48700000002</v>
      </c>
      <c r="H670" s="5">
        <f>139 / 86400</f>
        <v>1.6087962962962963E-3</v>
      </c>
      <c r="I670" t="s">
        <v>77</v>
      </c>
      <c r="J670" t="s">
        <v>77</v>
      </c>
      <c r="K670" s="5">
        <f>156 / 86400</f>
        <v>1.8055555555555555E-3</v>
      </c>
      <c r="L670" s="5">
        <f>252 / 86400</f>
        <v>2.9166666666666668E-3</v>
      </c>
    </row>
    <row r="671" spans="1:12" x14ac:dyDescent="0.25">
      <c r="A671" s="3">
        <v>45710.67260416667</v>
      </c>
      <c r="B671" t="s">
        <v>374</v>
      </c>
      <c r="C671" s="3">
        <v>45710.677708333329</v>
      </c>
      <c r="D671" t="s">
        <v>342</v>
      </c>
      <c r="E671" s="4">
        <v>1.0269999999999999</v>
      </c>
      <c r="F671" s="4">
        <v>427143.48700000002</v>
      </c>
      <c r="G671" s="4">
        <v>427144.51400000002</v>
      </c>
      <c r="H671" s="5">
        <f>99 / 86400</f>
        <v>1.1458333333333333E-3</v>
      </c>
      <c r="I671" t="s">
        <v>64</v>
      </c>
      <c r="J671" t="s">
        <v>150</v>
      </c>
      <c r="K671" s="5">
        <f>441 / 86400</f>
        <v>5.1041666666666666E-3</v>
      </c>
      <c r="L671" s="5">
        <f>510 / 86400</f>
        <v>5.9027777777777776E-3</v>
      </c>
    </row>
    <row r="672" spans="1:12" x14ac:dyDescent="0.25">
      <c r="A672" s="3">
        <v>45710.683611111112</v>
      </c>
      <c r="B672" t="s">
        <v>342</v>
      </c>
      <c r="C672" s="3">
        <v>45710.686979166669</v>
      </c>
      <c r="D672" t="s">
        <v>18</v>
      </c>
      <c r="E672" s="4">
        <v>0.58599999999999997</v>
      </c>
      <c r="F672" s="4">
        <v>427144.51400000002</v>
      </c>
      <c r="G672" s="4">
        <v>427145.1</v>
      </c>
      <c r="H672" s="5">
        <f>59 / 86400</f>
        <v>6.8287037037037036E-4</v>
      </c>
      <c r="I672" t="s">
        <v>139</v>
      </c>
      <c r="J672" t="s">
        <v>140</v>
      </c>
      <c r="K672" s="5">
        <f>291 / 86400</f>
        <v>3.3680555555555556E-3</v>
      </c>
      <c r="L672" s="5">
        <f>10928 / 86400</f>
        <v>0.12648148148148147</v>
      </c>
    </row>
    <row r="673" spans="1:12" x14ac:dyDescent="0.25">
      <c r="A673" s="3">
        <v>45710.813460648147</v>
      </c>
      <c r="B673" t="s">
        <v>18</v>
      </c>
      <c r="C673" s="3">
        <v>45710.820254629631</v>
      </c>
      <c r="D673" t="s">
        <v>57</v>
      </c>
      <c r="E673" s="4">
        <v>1.0720000000000001</v>
      </c>
      <c r="F673" s="4">
        <v>427145.1</v>
      </c>
      <c r="G673" s="4">
        <v>427146.17200000002</v>
      </c>
      <c r="H673" s="5">
        <f>339 / 86400</f>
        <v>3.9236111111111112E-3</v>
      </c>
      <c r="I673" t="s">
        <v>195</v>
      </c>
      <c r="J673" t="s">
        <v>140</v>
      </c>
      <c r="K673" s="5">
        <f>586 / 86400</f>
        <v>6.7824074074074071E-3</v>
      </c>
      <c r="L673" s="5">
        <f>15529 / 86400</f>
        <v>0.17973379629629629</v>
      </c>
    </row>
    <row r="674" spans="1:1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</row>
    <row r="675" spans="1:12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</row>
    <row r="676" spans="1:12" s="10" customFormat="1" ht="20.100000000000001" customHeight="1" x14ac:dyDescent="0.35">
      <c r="A676" s="15" t="s">
        <v>437</v>
      </c>
      <c r="B676" s="15"/>
      <c r="C676" s="15"/>
      <c r="D676" s="15"/>
      <c r="E676" s="15"/>
      <c r="F676" s="15"/>
      <c r="G676" s="15"/>
      <c r="H676" s="15"/>
      <c r="I676" s="15"/>
      <c r="J676" s="15"/>
    </row>
    <row r="677" spans="1:1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</row>
    <row r="678" spans="1:12" ht="30" x14ac:dyDescent="0.25">
      <c r="A678" s="2" t="s">
        <v>6</v>
      </c>
      <c r="B678" s="2" t="s">
        <v>7</v>
      </c>
      <c r="C678" s="2" t="s">
        <v>8</v>
      </c>
      <c r="D678" s="2" t="s">
        <v>9</v>
      </c>
      <c r="E678" s="2" t="s">
        <v>10</v>
      </c>
      <c r="F678" s="2" t="s">
        <v>11</v>
      </c>
      <c r="G678" s="2" t="s">
        <v>12</v>
      </c>
      <c r="H678" s="2" t="s">
        <v>13</v>
      </c>
      <c r="I678" s="2" t="s">
        <v>14</v>
      </c>
      <c r="J678" s="2" t="s">
        <v>15</v>
      </c>
      <c r="K678" s="2" t="s">
        <v>16</v>
      </c>
      <c r="L678" s="2" t="s">
        <v>17</v>
      </c>
    </row>
    <row r="679" spans="1:12" x14ac:dyDescent="0.25">
      <c r="A679" s="3">
        <v>45710.225983796292</v>
      </c>
      <c r="B679" t="s">
        <v>24</v>
      </c>
      <c r="C679" s="3">
        <v>45710.302361111113</v>
      </c>
      <c r="D679" t="s">
        <v>362</v>
      </c>
      <c r="E679" s="4">
        <v>31.015000000000001</v>
      </c>
      <c r="F679" s="4">
        <v>14112.661</v>
      </c>
      <c r="G679" s="4">
        <v>14143.675999999999</v>
      </c>
      <c r="H679" s="5">
        <f>2320 / 86400</f>
        <v>2.6851851851851852E-2</v>
      </c>
      <c r="I679" t="s">
        <v>110</v>
      </c>
      <c r="J679" t="s">
        <v>29</v>
      </c>
      <c r="K679" s="5">
        <f>6599 / 86400</f>
        <v>7.6377314814814815E-2</v>
      </c>
      <c r="L679" s="5">
        <f>19609 / 86400</f>
        <v>0.22695601851851852</v>
      </c>
    </row>
    <row r="680" spans="1:12" x14ac:dyDescent="0.25">
      <c r="A680" s="3">
        <v>45710.30333333333</v>
      </c>
      <c r="B680" t="s">
        <v>362</v>
      </c>
      <c r="C680" s="3">
        <v>45710.305937500001</v>
      </c>
      <c r="D680" t="s">
        <v>363</v>
      </c>
      <c r="E680" s="4">
        <v>0.122</v>
      </c>
      <c r="F680" s="4">
        <v>14143.675999999999</v>
      </c>
      <c r="G680" s="4">
        <v>14143.798000000001</v>
      </c>
      <c r="H680" s="5">
        <f>160 / 86400</f>
        <v>1.8518518518518519E-3</v>
      </c>
      <c r="I680" t="s">
        <v>168</v>
      </c>
      <c r="J680" t="s">
        <v>113</v>
      </c>
      <c r="K680" s="5">
        <f>225 / 86400</f>
        <v>2.6041666666666665E-3</v>
      </c>
      <c r="L680" s="5">
        <f>156 / 86400</f>
        <v>1.8055555555555555E-3</v>
      </c>
    </row>
    <row r="681" spans="1:12" x14ac:dyDescent="0.25">
      <c r="A681" s="3">
        <v>45710.307743055557</v>
      </c>
      <c r="B681" t="s">
        <v>363</v>
      </c>
      <c r="C681" s="3">
        <v>45710.308576388888</v>
      </c>
      <c r="D681" t="s">
        <v>363</v>
      </c>
      <c r="E681" s="4">
        <v>0</v>
      </c>
      <c r="F681" s="4">
        <v>14143.798000000001</v>
      </c>
      <c r="G681" s="4">
        <v>14143.798000000001</v>
      </c>
      <c r="H681" s="5">
        <f>59 / 86400</f>
        <v>6.8287037037037036E-4</v>
      </c>
      <c r="I681" t="s">
        <v>77</v>
      </c>
      <c r="J681" t="s">
        <v>77</v>
      </c>
      <c r="K681" s="5">
        <f>71 / 86400</f>
        <v>8.2175925925925927E-4</v>
      </c>
      <c r="L681" s="5">
        <f>33 / 86400</f>
        <v>3.8194444444444446E-4</v>
      </c>
    </row>
    <row r="682" spans="1:12" x14ac:dyDescent="0.25">
      <c r="A682" s="3">
        <v>45710.308958333335</v>
      </c>
      <c r="B682" t="s">
        <v>375</v>
      </c>
      <c r="C682" s="3">
        <v>45710.309398148151</v>
      </c>
      <c r="D682" t="s">
        <v>375</v>
      </c>
      <c r="E682" s="4">
        <v>0</v>
      </c>
      <c r="F682" s="4">
        <v>14143.798000000001</v>
      </c>
      <c r="G682" s="4">
        <v>14143.798000000001</v>
      </c>
      <c r="H682" s="5">
        <f>19 / 86400</f>
        <v>2.199074074074074E-4</v>
      </c>
      <c r="I682" t="s">
        <v>77</v>
      </c>
      <c r="J682" t="s">
        <v>77</v>
      </c>
      <c r="K682" s="5">
        <f>38 / 86400</f>
        <v>4.3981481481481481E-4</v>
      </c>
      <c r="L682" s="5">
        <f>170 / 86400</f>
        <v>1.9675925925925924E-3</v>
      </c>
    </row>
    <row r="683" spans="1:12" x14ac:dyDescent="0.25">
      <c r="A683" s="3">
        <v>45710.311365740738</v>
      </c>
      <c r="B683" t="s">
        <v>363</v>
      </c>
      <c r="C683" s="3">
        <v>45710.416099537033</v>
      </c>
      <c r="D683" t="s">
        <v>81</v>
      </c>
      <c r="E683" s="4">
        <v>49.582999999999998</v>
      </c>
      <c r="F683" s="4">
        <v>14143.798000000001</v>
      </c>
      <c r="G683" s="4">
        <v>14193.380999999999</v>
      </c>
      <c r="H683" s="5">
        <f>2639 / 86400</f>
        <v>3.0543981481481481E-2</v>
      </c>
      <c r="I683" t="s">
        <v>59</v>
      </c>
      <c r="J683" t="s">
        <v>64</v>
      </c>
      <c r="K683" s="5">
        <f>9049 / 86400</f>
        <v>0.1047337962962963</v>
      </c>
      <c r="L683" s="5">
        <f>125 / 86400</f>
        <v>1.4467592592592592E-3</v>
      </c>
    </row>
    <row r="684" spans="1:12" x14ac:dyDescent="0.25">
      <c r="A684" s="3">
        <v>45710.417546296296</v>
      </c>
      <c r="B684" t="s">
        <v>81</v>
      </c>
      <c r="C684" s="3">
        <v>45710.420277777783</v>
      </c>
      <c r="D684" t="s">
        <v>146</v>
      </c>
      <c r="E684" s="4">
        <v>1.0109999999999999</v>
      </c>
      <c r="F684" s="4">
        <v>14193.380999999999</v>
      </c>
      <c r="G684" s="4">
        <v>14194.392</v>
      </c>
      <c r="H684" s="5">
        <f>40 / 86400</f>
        <v>4.6296296296296298E-4</v>
      </c>
      <c r="I684" t="s">
        <v>190</v>
      </c>
      <c r="J684" t="s">
        <v>42</v>
      </c>
      <c r="K684" s="5">
        <f>236 / 86400</f>
        <v>2.7314814814814814E-3</v>
      </c>
      <c r="L684" s="5">
        <f>235 / 86400</f>
        <v>2.7199074074074074E-3</v>
      </c>
    </row>
    <row r="685" spans="1:12" x14ac:dyDescent="0.25">
      <c r="A685" s="3">
        <v>45710.422997685186</v>
      </c>
      <c r="B685" t="s">
        <v>146</v>
      </c>
      <c r="C685" s="3">
        <v>45710.424398148149</v>
      </c>
      <c r="D685" t="s">
        <v>165</v>
      </c>
      <c r="E685" s="4">
        <v>0.58699999999999997</v>
      </c>
      <c r="F685" s="4">
        <v>14194.392</v>
      </c>
      <c r="G685" s="4">
        <v>14194.978999999999</v>
      </c>
      <c r="H685" s="5">
        <f>40 / 86400</f>
        <v>4.6296296296296298E-4</v>
      </c>
      <c r="I685" t="s">
        <v>112</v>
      </c>
      <c r="J685" t="s">
        <v>20</v>
      </c>
      <c r="K685" s="5">
        <f>120 / 86400</f>
        <v>1.3888888888888889E-3</v>
      </c>
      <c r="L685" s="5">
        <f>1560 / 86400</f>
        <v>1.8055555555555554E-2</v>
      </c>
    </row>
    <row r="686" spans="1:12" x14ac:dyDescent="0.25">
      <c r="A686" s="3">
        <v>45710.442453703705</v>
      </c>
      <c r="B686" t="s">
        <v>165</v>
      </c>
      <c r="C686" s="3">
        <v>45710.445613425924</v>
      </c>
      <c r="D686" t="s">
        <v>128</v>
      </c>
      <c r="E686" s="4">
        <v>1.004</v>
      </c>
      <c r="F686" s="4">
        <v>14194.978999999999</v>
      </c>
      <c r="G686" s="4">
        <v>14195.983</v>
      </c>
      <c r="H686" s="5">
        <f>19 / 86400</f>
        <v>2.199074074074074E-4</v>
      </c>
      <c r="I686" t="s">
        <v>131</v>
      </c>
      <c r="J686" t="s">
        <v>45</v>
      </c>
      <c r="K686" s="5">
        <f>272 / 86400</f>
        <v>3.1481481481481482E-3</v>
      </c>
      <c r="L686" s="5">
        <f>312 / 86400</f>
        <v>3.6111111111111109E-3</v>
      </c>
    </row>
    <row r="687" spans="1:12" x14ac:dyDescent="0.25">
      <c r="A687" s="3">
        <v>45710.449224537035</v>
      </c>
      <c r="B687" t="s">
        <v>128</v>
      </c>
      <c r="C687" s="3">
        <v>45710.581192129626</v>
      </c>
      <c r="D687" t="s">
        <v>273</v>
      </c>
      <c r="E687" s="4">
        <v>56.042000000000002</v>
      </c>
      <c r="F687" s="4">
        <v>14195.983</v>
      </c>
      <c r="G687" s="4">
        <v>14252.025</v>
      </c>
      <c r="H687" s="5">
        <f>4280 / 86400</f>
        <v>4.9537037037037039E-2</v>
      </c>
      <c r="I687" t="s">
        <v>63</v>
      </c>
      <c r="J687" t="s">
        <v>20</v>
      </c>
      <c r="K687" s="5">
        <f>11401 / 86400</f>
        <v>0.13195601851851851</v>
      </c>
      <c r="L687" s="5">
        <f>81 / 86400</f>
        <v>9.3749999999999997E-4</v>
      </c>
    </row>
    <row r="688" spans="1:12" x14ac:dyDescent="0.25">
      <c r="A688" s="3">
        <v>45710.582129629634</v>
      </c>
      <c r="B688" t="s">
        <v>273</v>
      </c>
      <c r="C688" s="3">
        <v>45710.628368055557</v>
      </c>
      <c r="D688" t="s">
        <v>376</v>
      </c>
      <c r="E688" s="4">
        <v>11.05</v>
      </c>
      <c r="F688" s="4">
        <v>14252.025</v>
      </c>
      <c r="G688" s="4">
        <v>14263.075000000001</v>
      </c>
      <c r="H688" s="5">
        <f>2439 / 86400</f>
        <v>2.8229166666666666E-2</v>
      </c>
      <c r="I688" t="s">
        <v>99</v>
      </c>
      <c r="J688" t="s">
        <v>168</v>
      </c>
      <c r="K688" s="5">
        <f>3995 / 86400</f>
        <v>4.6238425925925926E-2</v>
      </c>
      <c r="L688" s="5">
        <f>46 / 86400</f>
        <v>5.3240740740740744E-4</v>
      </c>
    </row>
    <row r="689" spans="1:12" x14ac:dyDescent="0.25">
      <c r="A689" s="3">
        <v>45710.628900462965</v>
      </c>
      <c r="B689" t="s">
        <v>376</v>
      </c>
      <c r="C689" s="3">
        <v>45710.762118055558</v>
      </c>
      <c r="D689" t="s">
        <v>84</v>
      </c>
      <c r="E689" s="4">
        <v>34.173000000000002</v>
      </c>
      <c r="F689" s="4">
        <v>14263.075000000001</v>
      </c>
      <c r="G689" s="4">
        <v>14297.248</v>
      </c>
      <c r="H689" s="5">
        <f>6358 / 86400</f>
        <v>7.3587962962962966E-2</v>
      </c>
      <c r="I689" t="s">
        <v>221</v>
      </c>
      <c r="J689" t="s">
        <v>61</v>
      </c>
      <c r="K689" s="5">
        <f>11510 / 86400</f>
        <v>0.13321759259259258</v>
      </c>
      <c r="L689" s="5">
        <f>163 / 86400</f>
        <v>1.8865740740740742E-3</v>
      </c>
    </row>
    <row r="690" spans="1:12" x14ac:dyDescent="0.25">
      <c r="A690" s="3">
        <v>45710.764004629629</v>
      </c>
      <c r="B690" t="s">
        <v>84</v>
      </c>
      <c r="C690" s="3">
        <v>45710.764351851853</v>
      </c>
      <c r="D690" t="s">
        <v>84</v>
      </c>
      <c r="E690" s="4">
        <v>6.0000000000000001E-3</v>
      </c>
      <c r="F690" s="4">
        <v>14297.248</v>
      </c>
      <c r="G690" s="4">
        <v>14297.254000000001</v>
      </c>
      <c r="H690" s="5">
        <f>19 / 86400</f>
        <v>2.199074074074074E-4</v>
      </c>
      <c r="I690" t="s">
        <v>77</v>
      </c>
      <c r="J690" t="s">
        <v>124</v>
      </c>
      <c r="K690" s="5">
        <f>30 / 86400</f>
        <v>3.4722222222222224E-4</v>
      </c>
      <c r="L690" s="5">
        <f>295 / 86400</f>
        <v>3.414351851851852E-3</v>
      </c>
    </row>
    <row r="691" spans="1:12" x14ac:dyDescent="0.25">
      <c r="A691" s="3">
        <v>45710.767766203702</v>
      </c>
      <c r="B691" t="s">
        <v>84</v>
      </c>
      <c r="C691" s="3">
        <v>45710.768090277779</v>
      </c>
      <c r="D691" t="s">
        <v>85</v>
      </c>
      <c r="E691" s="4">
        <v>6.0999999999999999E-2</v>
      </c>
      <c r="F691" s="4">
        <v>14297.254000000001</v>
      </c>
      <c r="G691" s="4">
        <v>14297.315000000001</v>
      </c>
      <c r="H691" s="5">
        <f>0 / 86400</f>
        <v>0</v>
      </c>
      <c r="I691" t="s">
        <v>61</v>
      </c>
      <c r="J691" t="s">
        <v>150</v>
      </c>
      <c r="K691" s="5">
        <f>28 / 86400</f>
        <v>3.2407407407407406E-4</v>
      </c>
      <c r="L691" s="5">
        <f>228 / 86400</f>
        <v>2.638888888888889E-3</v>
      </c>
    </row>
    <row r="692" spans="1:12" x14ac:dyDescent="0.25">
      <c r="A692" s="3">
        <v>45710.770729166667</v>
      </c>
      <c r="B692" t="s">
        <v>85</v>
      </c>
      <c r="C692" s="3">
        <v>45710.775694444441</v>
      </c>
      <c r="D692" t="s">
        <v>24</v>
      </c>
      <c r="E692" s="4">
        <v>1.952</v>
      </c>
      <c r="F692" s="4">
        <v>14297.315000000001</v>
      </c>
      <c r="G692" s="4">
        <v>14299.267</v>
      </c>
      <c r="H692" s="5">
        <f>120 / 86400</f>
        <v>1.3888888888888889E-3</v>
      </c>
      <c r="I692" t="s">
        <v>195</v>
      </c>
      <c r="J692" t="s">
        <v>33</v>
      </c>
      <c r="K692" s="5">
        <f>429 / 86400</f>
        <v>4.9652777777777777E-3</v>
      </c>
      <c r="L692" s="5">
        <f>294 / 86400</f>
        <v>3.4027777777777776E-3</v>
      </c>
    </row>
    <row r="693" spans="1:12" x14ac:dyDescent="0.25">
      <c r="A693" s="3">
        <v>45710.779097222221</v>
      </c>
      <c r="B693" t="s">
        <v>24</v>
      </c>
      <c r="C693" s="3">
        <v>45710.779548611114</v>
      </c>
      <c r="D693" t="s">
        <v>24</v>
      </c>
      <c r="E693" s="4">
        <v>1.6E-2</v>
      </c>
      <c r="F693" s="4">
        <v>14299.267</v>
      </c>
      <c r="G693" s="4">
        <v>14299.282999999999</v>
      </c>
      <c r="H693" s="5">
        <f>0 / 86400</f>
        <v>0</v>
      </c>
      <c r="I693" t="s">
        <v>156</v>
      </c>
      <c r="J693" t="s">
        <v>113</v>
      </c>
      <c r="K693" s="5">
        <f>38 / 86400</f>
        <v>4.3981481481481481E-4</v>
      </c>
      <c r="L693" s="5">
        <f>19046 / 86400</f>
        <v>0.22043981481481481</v>
      </c>
    </row>
    <row r="694" spans="1:1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 spans="1:1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</row>
    <row r="696" spans="1:12" s="10" customFormat="1" ht="20.100000000000001" customHeight="1" x14ac:dyDescent="0.35">
      <c r="A696" s="15" t="s">
        <v>438</v>
      </c>
      <c r="B696" s="15"/>
      <c r="C696" s="15"/>
      <c r="D696" s="15"/>
      <c r="E696" s="15"/>
      <c r="F696" s="15"/>
      <c r="G696" s="15"/>
      <c r="H696" s="15"/>
      <c r="I696" s="15"/>
      <c r="J696" s="15"/>
    </row>
    <row r="697" spans="1:1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</row>
    <row r="698" spans="1:12" ht="30" x14ac:dyDescent="0.25">
      <c r="A698" s="2" t="s">
        <v>6</v>
      </c>
      <c r="B698" s="2" t="s">
        <v>7</v>
      </c>
      <c r="C698" s="2" t="s">
        <v>8</v>
      </c>
      <c r="D698" s="2" t="s">
        <v>9</v>
      </c>
      <c r="E698" s="2" t="s">
        <v>10</v>
      </c>
      <c r="F698" s="2" t="s">
        <v>11</v>
      </c>
      <c r="G698" s="2" t="s">
        <v>12</v>
      </c>
      <c r="H698" s="2" t="s">
        <v>13</v>
      </c>
      <c r="I698" s="2" t="s">
        <v>14</v>
      </c>
      <c r="J698" s="2" t="s">
        <v>15</v>
      </c>
      <c r="K698" s="2" t="s">
        <v>16</v>
      </c>
      <c r="L698" s="2" t="s">
        <v>17</v>
      </c>
    </row>
    <row r="699" spans="1:12" x14ac:dyDescent="0.25">
      <c r="A699" s="3">
        <v>45710.226030092592</v>
      </c>
      <c r="B699" t="s">
        <v>24</v>
      </c>
      <c r="C699" s="3">
        <v>45710.229965277773</v>
      </c>
      <c r="D699" t="s">
        <v>24</v>
      </c>
      <c r="E699" s="4">
        <v>0</v>
      </c>
      <c r="F699" s="4">
        <v>6824.1459999999997</v>
      </c>
      <c r="G699" s="4">
        <v>6824.1459999999997</v>
      </c>
      <c r="H699" s="5">
        <f>319 / 86400</f>
        <v>3.6921296296296298E-3</v>
      </c>
      <c r="I699" t="s">
        <v>77</v>
      </c>
      <c r="J699" t="s">
        <v>77</v>
      </c>
      <c r="K699" s="5">
        <f>340 / 86400</f>
        <v>3.9351851851851848E-3</v>
      </c>
      <c r="L699" s="5">
        <f>23255 / 86400</f>
        <v>0.26915509259259257</v>
      </c>
    </row>
    <row r="700" spans="1:12" x14ac:dyDescent="0.25">
      <c r="A700" s="3">
        <v>45710.273090277777</v>
      </c>
      <c r="B700" t="s">
        <v>24</v>
      </c>
      <c r="C700" s="3">
        <v>45710.500138888892</v>
      </c>
      <c r="D700" t="s">
        <v>377</v>
      </c>
      <c r="E700" s="4">
        <v>66.570999999999998</v>
      </c>
      <c r="F700" s="4">
        <v>6824.1459999999997</v>
      </c>
      <c r="G700" s="4">
        <v>6890.7169999999996</v>
      </c>
      <c r="H700" s="5">
        <f>8839 / 86400</f>
        <v>0.10230324074074074</v>
      </c>
      <c r="I700" t="s">
        <v>194</v>
      </c>
      <c r="J700" t="s">
        <v>139</v>
      </c>
      <c r="K700" s="5">
        <f>19616 / 86400</f>
        <v>0.22703703703703704</v>
      </c>
      <c r="L700" s="5">
        <f>6809 / 86400</f>
        <v>7.8807870370370375E-2</v>
      </c>
    </row>
    <row r="701" spans="1:12" x14ac:dyDescent="0.25">
      <c r="A701" s="3">
        <v>45710.578946759255</v>
      </c>
      <c r="B701" t="s">
        <v>377</v>
      </c>
      <c r="C701" s="3">
        <v>45710.815115740741</v>
      </c>
      <c r="D701" t="s">
        <v>22</v>
      </c>
      <c r="E701" s="4">
        <v>62.996000000000002</v>
      </c>
      <c r="F701" s="4">
        <v>6890.7169999999996</v>
      </c>
      <c r="G701" s="4">
        <v>6953.7129999999997</v>
      </c>
      <c r="H701" s="5">
        <f>11056 / 86400</f>
        <v>0.12796296296296297</v>
      </c>
      <c r="I701" t="s">
        <v>60</v>
      </c>
      <c r="J701" t="s">
        <v>61</v>
      </c>
      <c r="K701" s="5">
        <f>20405 / 86400</f>
        <v>0.23616898148148149</v>
      </c>
      <c r="L701" s="5">
        <f>366 / 86400</f>
        <v>4.2361111111111115E-3</v>
      </c>
    </row>
    <row r="702" spans="1:12" x14ac:dyDescent="0.25">
      <c r="A702" s="3">
        <v>45710.819351851853</v>
      </c>
      <c r="B702" t="s">
        <v>22</v>
      </c>
      <c r="C702" s="3">
        <v>45710.823472222226</v>
      </c>
      <c r="D702" t="s">
        <v>24</v>
      </c>
      <c r="E702" s="4">
        <v>0.38600000000000001</v>
      </c>
      <c r="F702" s="4">
        <v>6953.7129999999997</v>
      </c>
      <c r="G702" s="4">
        <v>6954.0990000000002</v>
      </c>
      <c r="H702" s="5">
        <f>259 / 86400</f>
        <v>2.9976851851851853E-3</v>
      </c>
      <c r="I702" t="s">
        <v>30</v>
      </c>
      <c r="J702" t="s">
        <v>75</v>
      </c>
      <c r="K702" s="5">
        <f>355 / 86400</f>
        <v>4.1087962962962962E-3</v>
      </c>
      <c r="L702" s="5">
        <f>15251 / 86400</f>
        <v>0.17651620370370372</v>
      </c>
    </row>
    <row r="703" spans="1:1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</row>
    <row r="704" spans="1:12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</row>
    <row r="705" spans="1:12" s="10" customFormat="1" ht="20.100000000000001" customHeight="1" x14ac:dyDescent="0.35">
      <c r="A705" s="15" t="s">
        <v>439</v>
      </c>
      <c r="B705" s="15"/>
      <c r="C705" s="15"/>
      <c r="D705" s="15"/>
      <c r="E705" s="15"/>
      <c r="F705" s="15"/>
      <c r="G705" s="15"/>
      <c r="H705" s="15"/>
      <c r="I705" s="15"/>
      <c r="J705" s="15"/>
    </row>
    <row r="706" spans="1:1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</row>
    <row r="707" spans="1:12" ht="30" x14ac:dyDescent="0.25">
      <c r="A707" s="2" t="s">
        <v>6</v>
      </c>
      <c r="B707" s="2" t="s">
        <v>7</v>
      </c>
      <c r="C707" s="2" t="s">
        <v>8</v>
      </c>
      <c r="D707" s="2" t="s">
        <v>9</v>
      </c>
      <c r="E707" s="2" t="s">
        <v>10</v>
      </c>
      <c r="F707" s="2" t="s">
        <v>11</v>
      </c>
      <c r="G707" s="2" t="s">
        <v>12</v>
      </c>
      <c r="H707" s="2" t="s">
        <v>13</v>
      </c>
      <c r="I707" s="2" t="s">
        <v>14</v>
      </c>
      <c r="J707" s="2" t="s">
        <v>15</v>
      </c>
      <c r="K707" s="2" t="s">
        <v>16</v>
      </c>
      <c r="L707" s="2" t="s">
        <v>17</v>
      </c>
    </row>
    <row r="708" spans="1:12" x14ac:dyDescent="0.25">
      <c r="A708" s="3">
        <v>45710.212916666671</v>
      </c>
      <c r="B708" t="s">
        <v>38</v>
      </c>
      <c r="C708" s="3">
        <v>45710.29788194444</v>
      </c>
      <c r="D708" t="s">
        <v>378</v>
      </c>
      <c r="E708" s="4">
        <v>38.448999999999998</v>
      </c>
      <c r="F708" s="4">
        <v>388376.72899999999</v>
      </c>
      <c r="G708" s="4">
        <v>388415.17800000001</v>
      </c>
      <c r="H708" s="5">
        <f>2439 / 86400</f>
        <v>2.8229166666666666E-2</v>
      </c>
      <c r="I708" t="s">
        <v>89</v>
      </c>
      <c r="J708" t="s">
        <v>80</v>
      </c>
      <c r="K708" s="5">
        <f>7341 / 86400</f>
        <v>8.4965277777777778E-2</v>
      </c>
      <c r="L708" s="5">
        <f>18542 / 86400</f>
        <v>0.21460648148148148</v>
      </c>
    </row>
    <row r="709" spans="1:12" x14ac:dyDescent="0.25">
      <c r="A709" s="3">
        <v>45710.299571759257</v>
      </c>
      <c r="B709" t="s">
        <v>378</v>
      </c>
      <c r="C709" s="3">
        <v>45710.421018518522</v>
      </c>
      <c r="D709" t="s">
        <v>122</v>
      </c>
      <c r="E709" s="4">
        <v>50.38</v>
      </c>
      <c r="F709" s="4">
        <v>388415.17800000001</v>
      </c>
      <c r="G709" s="4">
        <v>388465.55800000002</v>
      </c>
      <c r="H709" s="5">
        <f>3179 / 86400</f>
        <v>3.6793981481481483E-2</v>
      </c>
      <c r="I709" t="s">
        <v>194</v>
      </c>
      <c r="J709" t="s">
        <v>29</v>
      </c>
      <c r="K709" s="5">
        <f>10493 / 86400</f>
        <v>0.12144675925925925</v>
      </c>
      <c r="L709" s="5">
        <f>2575 / 86400</f>
        <v>2.9803240740740741E-2</v>
      </c>
    </row>
    <row r="710" spans="1:12" x14ac:dyDescent="0.25">
      <c r="A710" s="3">
        <v>45710.450821759259</v>
      </c>
      <c r="B710" t="s">
        <v>122</v>
      </c>
      <c r="C710" s="3">
        <v>45710.45521990741</v>
      </c>
      <c r="D710" t="s">
        <v>128</v>
      </c>
      <c r="E710" s="4">
        <v>1.24</v>
      </c>
      <c r="F710" s="4">
        <v>388465.55800000002</v>
      </c>
      <c r="G710" s="4">
        <v>388466.79800000001</v>
      </c>
      <c r="H710" s="5">
        <f>79 / 86400</f>
        <v>9.1435185185185185E-4</v>
      </c>
      <c r="I710" t="s">
        <v>158</v>
      </c>
      <c r="J710" t="s">
        <v>139</v>
      </c>
      <c r="K710" s="5">
        <f>379 / 86400</f>
        <v>4.386574074074074E-3</v>
      </c>
      <c r="L710" s="5">
        <f>582 / 86400</f>
        <v>6.7361111111111111E-3</v>
      </c>
    </row>
    <row r="711" spans="1:12" x14ac:dyDescent="0.25">
      <c r="A711" s="3">
        <v>45710.461956018524</v>
      </c>
      <c r="B711" t="s">
        <v>128</v>
      </c>
      <c r="C711" s="3">
        <v>45710.568518518514</v>
      </c>
      <c r="D711" t="s">
        <v>379</v>
      </c>
      <c r="E711" s="4">
        <v>47.124000000000002</v>
      </c>
      <c r="F711" s="4">
        <v>388466.79800000001</v>
      </c>
      <c r="G711" s="4">
        <v>388513.92200000002</v>
      </c>
      <c r="H711" s="5">
        <f>2680 / 86400</f>
        <v>3.1018518518518518E-2</v>
      </c>
      <c r="I711" t="s">
        <v>44</v>
      </c>
      <c r="J711" t="s">
        <v>20</v>
      </c>
      <c r="K711" s="5">
        <f>9206 / 86400</f>
        <v>0.10655092592592592</v>
      </c>
      <c r="L711" s="5">
        <f>135 / 86400</f>
        <v>1.5625000000000001E-3</v>
      </c>
    </row>
    <row r="712" spans="1:12" x14ac:dyDescent="0.25">
      <c r="A712" s="3">
        <v>45710.570081018523</v>
      </c>
      <c r="B712" t="s">
        <v>379</v>
      </c>
      <c r="C712" s="3">
        <v>45710.698344907403</v>
      </c>
      <c r="D712" t="s">
        <v>38</v>
      </c>
      <c r="E712" s="4">
        <v>57.612000000000002</v>
      </c>
      <c r="F712" s="4">
        <v>388513.92200000002</v>
      </c>
      <c r="G712" s="4">
        <v>388571.53399999999</v>
      </c>
      <c r="H712" s="5">
        <f>3398 / 86400</f>
        <v>3.9328703703703706E-2</v>
      </c>
      <c r="I712" t="s">
        <v>110</v>
      </c>
      <c r="J712" t="s">
        <v>80</v>
      </c>
      <c r="K712" s="5">
        <f>11081 / 86400</f>
        <v>0.12825231481481481</v>
      </c>
      <c r="L712" s="5">
        <f>637 / 86400</f>
        <v>7.3726851851851852E-3</v>
      </c>
    </row>
    <row r="713" spans="1:12" x14ac:dyDescent="0.25">
      <c r="A713" s="3">
        <v>45710.705717592587</v>
      </c>
      <c r="B713" t="s">
        <v>38</v>
      </c>
      <c r="C713" s="3">
        <v>45710.705729166672</v>
      </c>
      <c r="D713" t="s">
        <v>38</v>
      </c>
      <c r="E713" s="4">
        <v>0</v>
      </c>
      <c r="F713" s="4">
        <v>388571.53399999999</v>
      </c>
      <c r="G713" s="4">
        <v>388571.53399999999</v>
      </c>
      <c r="H713" s="5">
        <f>0 / 86400</f>
        <v>0</v>
      </c>
      <c r="I713" t="s">
        <v>77</v>
      </c>
      <c r="J713" t="s">
        <v>77</v>
      </c>
      <c r="K713" s="5">
        <f>0 / 86400</f>
        <v>0</v>
      </c>
      <c r="L713" s="5">
        <f>3 / 86400</f>
        <v>3.4722222222222222E-5</v>
      </c>
    </row>
    <row r="714" spans="1:12" x14ac:dyDescent="0.25">
      <c r="A714" s="3">
        <v>45710.705763888887</v>
      </c>
      <c r="B714" t="s">
        <v>38</v>
      </c>
      <c r="C714" s="3">
        <v>45710.711527777778</v>
      </c>
      <c r="D714" t="s">
        <v>38</v>
      </c>
      <c r="E714" s="4">
        <v>1.371</v>
      </c>
      <c r="F714" s="4">
        <v>388571.53399999999</v>
      </c>
      <c r="G714" s="4">
        <v>388572.90500000003</v>
      </c>
      <c r="H714" s="5">
        <f>256 / 86400</f>
        <v>2.9629629629629628E-3</v>
      </c>
      <c r="I714" t="s">
        <v>99</v>
      </c>
      <c r="J714" t="s">
        <v>168</v>
      </c>
      <c r="K714" s="5">
        <f>498 / 86400</f>
        <v>5.7638888888888887E-3</v>
      </c>
      <c r="L714" s="5">
        <f>24923 / 86400</f>
        <v>0.28846064814814815</v>
      </c>
    </row>
    <row r="715" spans="1:1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2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</row>
    <row r="717" spans="1:12" s="10" customFormat="1" ht="20.100000000000001" customHeight="1" x14ac:dyDescent="0.35">
      <c r="A717" s="15" t="s">
        <v>440</v>
      </c>
      <c r="B717" s="15"/>
      <c r="C717" s="15"/>
      <c r="D717" s="15"/>
      <c r="E717" s="15"/>
      <c r="F717" s="15"/>
      <c r="G717" s="15"/>
      <c r="H717" s="15"/>
      <c r="I717" s="15"/>
      <c r="J717" s="15"/>
    </row>
    <row r="718" spans="1:1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</row>
    <row r="719" spans="1:12" ht="30" x14ac:dyDescent="0.25">
      <c r="A719" s="2" t="s">
        <v>6</v>
      </c>
      <c r="B719" s="2" t="s">
        <v>7</v>
      </c>
      <c r="C719" s="2" t="s">
        <v>8</v>
      </c>
      <c r="D719" s="2" t="s">
        <v>9</v>
      </c>
      <c r="E719" s="2" t="s">
        <v>10</v>
      </c>
      <c r="F719" s="2" t="s">
        <v>11</v>
      </c>
      <c r="G719" s="2" t="s">
        <v>12</v>
      </c>
      <c r="H719" s="2" t="s">
        <v>13</v>
      </c>
      <c r="I719" s="2" t="s">
        <v>14</v>
      </c>
      <c r="J719" s="2" t="s">
        <v>15</v>
      </c>
      <c r="K719" s="2" t="s">
        <v>16</v>
      </c>
      <c r="L719" s="2" t="s">
        <v>17</v>
      </c>
    </row>
    <row r="720" spans="1:12" x14ac:dyDescent="0.25">
      <c r="A720" s="3">
        <v>45710.146250000005</v>
      </c>
      <c r="B720" t="s">
        <v>62</v>
      </c>
      <c r="C720" s="3">
        <v>45710.312442129631</v>
      </c>
      <c r="D720" t="s">
        <v>166</v>
      </c>
      <c r="E720" s="4">
        <v>81.311000000000007</v>
      </c>
      <c r="F720" s="4">
        <v>525209.84600000002</v>
      </c>
      <c r="G720" s="4">
        <v>525291.15700000001</v>
      </c>
      <c r="H720" s="5">
        <f>4200 / 86400</f>
        <v>4.8611111111111112E-2</v>
      </c>
      <c r="I720" t="s">
        <v>152</v>
      </c>
      <c r="J720" t="s">
        <v>64</v>
      </c>
      <c r="K720" s="5">
        <f>14358 / 86400</f>
        <v>0.16618055555555555</v>
      </c>
      <c r="L720" s="5">
        <f>14003 / 86400</f>
        <v>0.16207175925925926</v>
      </c>
    </row>
    <row r="721" spans="1:12" x14ac:dyDescent="0.25">
      <c r="A721" s="3">
        <v>45710.328263888892</v>
      </c>
      <c r="B721" t="s">
        <v>166</v>
      </c>
      <c r="C721" s="3">
        <v>45710.558113425926</v>
      </c>
      <c r="D721" t="s">
        <v>81</v>
      </c>
      <c r="E721" s="4">
        <v>100.62899999994039</v>
      </c>
      <c r="F721" s="4">
        <v>525291.15700000001</v>
      </c>
      <c r="G721" s="4">
        <v>525391.78599999996</v>
      </c>
      <c r="H721" s="5">
        <f>5981 / 86400</f>
        <v>6.9224537037037043E-2</v>
      </c>
      <c r="I721" t="s">
        <v>63</v>
      </c>
      <c r="J721" t="s">
        <v>20</v>
      </c>
      <c r="K721" s="5">
        <f>19859 / 86400</f>
        <v>0.22984953703703703</v>
      </c>
      <c r="L721" s="5">
        <f>2222 / 86400</f>
        <v>2.5717592592592594E-2</v>
      </c>
    </row>
    <row r="722" spans="1:12" x14ac:dyDescent="0.25">
      <c r="A722" s="3">
        <v>45710.583831018521</v>
      </c>
      <c r="B722" t="s">
        <v>81</v>
      </c>
      <c r="C722" s="3">
        <v>45710.634965277779</v>
      </c>
      <c r="D722" t="s">
        <v>24</v>
      </c>
      <c r="E722" s="4">
        <v>26.609000000059606</v>
      </c>
      <c r="F722" s="4">
        <v>525391.78599999996</v>
      </c>
      <c r="G722" s="4">
        <v>525418.39500000002</v>
      </c>
      <c r="H722" s="5">
        <f>859 / 86400</f>
        <v>9.9421296296296289E-3</v>
      </c>
      <c r="I722" t="s">
        <v>149</v>
      </c>
      <c r="J722" t="s">
        <v>37</v>
      </c>
      <c r="K722" s="5">
        <f>4417 / 86400</f>
        <v>5.1122685185185188E-2</v>
      </c>
      <c r="L722" s="5">
        <f>1517 / 86400</f>
        <v>1.755787037037037E-2</v>
      </c>
    </row>
    <row r="723" spans="1:12" x14ac:dyDescent="0.25">
      <c r="A723" s="3">
        <v>45710.65252314815</v>
      </c>
      <c r="B723" t="s">
        <v>24</v>
      </c>
      <c r="C723" s="3">
        <v>45710.654965277776</v>
      </c>
      <c r="D723" t="s">
        <v>22</v>
      </c>
      <c r="E723" s="4">
        <v>0.254</v>
      </c>
      <c r="F723" s="4">
        <v>525418.39500000002</v>
      </c>
      <c r="G723" s="4">
        <v>525418.64899999998</v>
      </c>
      <c r="H723" s="5">
        <f>99 / 86400</f>
        <v>1.1458333333333333E-3</v>
      </c>
      <c r="I723" t="s">
        <v>80</v>
      </c>
      <c r="J723" t="s">
        <v>75</v>
      </c>
      <c r="K723" s="5">
        <f>210 / 86400</f>
        <v>2.4305555555555556E-3</v>
      </c>
      <c r="L723" s="5">
        <f>372 / 86400</f>
        <v>4.3055555555555555E-3</v>
      </c>
    </row>
    <row r="724" spans="1:12" x14ac:dyDescent="0.25">
      <c r="A724" s="3">
        <v>45710.659270833334</v>
      </c>
      <c r="B724" t="s">
        <v>22</v>
      </c>
      <c r="C724" s="3">
        <v>45710.662766203706</v>
      </c>
      <c r="D724" t="s">
        <v>380</v>
      </c>
      <c r="E724" s="4">
        <v>1.577</v>
      </c>
      <c r="F724" s="4">
        <v>525418.64899999998</v>
      </c>
      <c r="G724" s="4">
        <v>525420.22600000002</v>
      </c>
      <c r="H724" s="5">
        <f>19 / 86400</f>
        <v>2.199074074074074E-4</v>
      </c>
      <c r="I724" t="s">
        <v>182</v>
      </c>
      <c r="J724" t="s">
        <v>80</v>
      </c>
      <c r="K724" s="5">
        <f>302 / 86400</f>
        <v>3.4953703703703705E-3</v>
      </c>
      <c r="L724" s="5">
        <f>1537 / 86400</f>
        <v>1.7789351851851851E-2</v>
      </c>
    </row>
    <row r="725" spans="1:12" x14ac:dyDescent="0.25">
      <c r="A725" s="3">
        <v>45710.680555555555</v>
      </c>
      <c r="B725" t="s">
        <v>380</v>
      </c>
      <c r="C725" s="3">
        <v>45710.682569444441</v>
      </c>
      <c r="D725" t="s">
        <v>62</v>
      </c>
      <c r="E725" s="4">
        <v>0.39200000000000002</v>
      </c>
      <c r="F725" s="4">
        <v>525420.22600000002</v>
      </c>
      <c r="G725" s="4">
        <v>525420.61800000002</v>
      </c>
      <c r="H725" s="5">
        <f>20 / 86400</f>
        <v>2.3148148148148149E-4</v>
      </c>
      <c r="I725" t="s">
        <v>139</v>
      </c>
      <c r="J725" t="s">
        <v>150</v>
      </c>
      <c r="K725" s="5">
        <f>173 / 86400</f>
        <v>2.0023148148148148E-3</v>
      </c>
      <c r="L725" s="5">
        <f>2680 / 86400</f>
        <v>3.1018518518518518E-2</v>
      </c>
    </row>
    <row r="726" spans="1:12" x14ac:dyDescent="0.25">
      <c r="A726" s="3">
        <v>45710.713587962964</v>
      </c>
      <c r="B726" t="s">
        <v>62</v>
      </c>
      <c r="C726" s="3">
        <v>45710.715798611112</v>
      </c>
      <c r="D726" t="s">
        <v>84</v>
      </c>
      <c r="E726" s="4">
        <v>1.095</v>
      </c>
      <c r="F726" s="4">
        <v>525420.61800000002</v>
      </c>
      <c r="G726" s="4">
        <v>525421.71299999999</v>
      </c>
      <c r="H726" s="5">
        <f>0 / 86400</f>
        <v>0</v>
      </c>
      <c r="I726" t="s">
        <v>211</v>
      </c>
      <c r="J726" t="s">
        <v>135</v>
      </c>
      <c r="K726" s="5">
        <f>191 / 86400</f>
        <v>2.2106481481481482E-3</v>
      </c>
      <c r="L726" s="5">
        <f>15 / 86400</f>
        <v>1.7361111111111112E-4</v>
      </c>
    </row>
    <row r="727" spans="1:12" x14ac:dyDescent="0.25">
      <c r="A727" s="3">
        <v>45710.71597222222</v>
      </c>
      <c r="B727" t="s">
        <v>84</v>
      </c>
      <c r="C727" s="3">
        <v>45710.76284722222</v>
      </c>
      <c r="D727" t="s">
        <v>146</v>
      </c>
      <c r="E727" s="4">
        <v>22.832000000059605</v>
      </c>
      <c r="F727" s="4">
        <v>525421.71299999999</v>
      </c>
      <c r="G727" s="4">
        <v>525444.54500000004</v>
      </c>
      <c r="H727" s="5">
        <f>820 / 86400</f>
        <v>9.4907407407407406E-3</v>
      </c>
      <c r="I727" t="s">
        <v>286</v>
      </c>
      <c r="J727" t="s">
        <v>64</v>
      </c>
      <c r="K727" s="5">
        <f>4050 / 86400</f>
        <v>4.6875E-2</v>
      </c>
      <c r="L727" s="5">
        <f>224 / 86400</f>
        <v>2.5925925925925925E-3</v>
      </c>
    </row>
    <row r="728" spans="1:12" x14ac:dyDescent="0.25">
      <c r="A728" s="3">
        <v>45710.765439814815</v>
      </c>
      <c r="B728" t="s">
        <v>146</v>
      </c>
      <c r="C728" s="3">
        <v>45710.765763888892</v>
      </c>
      <c r="D728" t="s">
        <v>146</v>
      </c>
      <c r="E728" s="4">
        <v>0</v>
      </c>
      <c r="F728" s="4">
        <v>525444.54500000004</v>
      </c>
      <c r="G728" s="4">
        <v>525444.54500000004</v>
      </c>
      <c r="H728" s="5">
        <f>19 / 86400</f>
        <v>2.199074074074074E-4</v>
      </c>
      <c r="I728" t="s">
        <v>77</v>
      </c>
      <c r="J728" t="s">
        <v>77</v>
      </c>
      <c r="K728" s="5">
        <f>27 / 86400</f>
        <v>3.1250000000000001E-4</v>
      </c>
      <c r="L728" s="5">
        <f>346 / 86400</f>
        <v>4.0046296296296297E-3</v>
      </c>
    </row>
    <row r="729" spans="1:12" x14ac:dyDescent="0.25">
      <c r="A729" s="3">
        <v>45710.769768518519</v>
      </c>
      <c r="B729" t="s">
        <v>146</v>
      </c>
      <c r="C729" s="3">
        <v>45710.807858796295</v>
      </c>
      <c r="D729" t="s">
        <v>381</v>
      </c>
      <c r="E729" s="4">
        <v>22.932999999940396</v>
      </c>
      <c r="F729" s="4">
        <v>525444.54500000004</v>
      </c>
      <c r="G729" s="4">
        <v>525467.478</v>
      </c>
      <c r="H729" s="5">
        <f>600 / 86400</f>
        <v>6.9444444444444441E-3</v>
      </c>
      <c r="I729" t="s">
        <v>58</v>
      </c>
      <c r="J729" t="s">
        <v>131</v>
      </c>
      <c r="K729" s="5">
        <f>3290 / 86400</f>
        <v>3.8078703703703705E-2</v>
      </c>
      <c r="L729" s="5">
        <f>35 / 86400</f>
        <v>4.0509259259259258E-4</v>
      </c>
    </row>
    <row r="730" spans="1:12" x14ac:dyDescent="0.25">
      <c r="A730" s="3">
        <v>45710.808263888888</v>
      </c>
      <c r="B730" t="s">
        <v>381</v>
      </c>
      <c r="C730" s="3">
        <v>45710.812222222223</v>
      </c>
      <c r="D730" t="s">
        <v>62</v>
      </c>
      <c r="E730" s="4">
        <v>0.41099999994039538</v>
      </c>
      <c r="F730" s="4">
        <v>525467.478</v>
      </c>
      <c r="G730" s="4">
        <v>525467.88899999997</v>
      </c>
      <c r="H730" s="5">
        <f>199 / 86400</f>
        <v>2.3032407407407407E-3</v>
      </c>
      <c r="I730" t="s">
        <v>29</v>
      </c>
      <c r="J730" t="s">
        <v>75</v>
      </c>
      <c r="K730" s="5">
        <f>342 / 86400</f>
        <v>3.9583333333333337E-3</v>
      </c>
      <c r="L730" s="5">
        <f>16223 / 86400</f>
        <v>0.1877662037037037</v>
      </c>
    </row>
    <row r="731" spans="1:12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</row>
    <row r="732" spans="1:1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</row>
    <row r="733" spans="1:12" s="10" customFormat="1" ht="20.100000000000001" customHeight="1" x14ac:dyDescent="0.35">
      <c r="A733" s="15" t="s">
        <v>441</v>
      </c>
      <c r="B733" s="15"/>
      <c r="C733" s="15"/>
      <c r="D733" s="15"/>
      <c r="E733" s="15"/>
      <c r="F733" s="15"/>
      <c r="G733" s="15"/>
      <c r="H733" s="15"/>
      <c r="I733" s="15"/>
      <c r="J733" s="15"/>
    </row>
    <row r="734" spans="1:1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</row>
    <row r="735" spans="1:12" ht="30" x14ac:dyDescent="0.25">
      <c r="A735" s="2" t="s">
        <v>6</v>
      </c>
      <c r="B735" s="2" t="s">
        <v>7</v>
      </c>
      <c r="C735" s="2" t="s">
        <v>8</v>
      </c>
      <c r="D735" s="2" t="s">
        <v>9</v>
      </c>
      <c r="E735" s="2" t="s">
        <v>10</v>
      </c>
      <c r="F735" s="2" t="s">
        <v>11</v>
      </c>
      <c r="G735" s="2" t="s">
        <v>12</v>
      </c>
      <c r="H735" s="2" t="s">
        <v>13</v>
      </c>
      <c r="I735" s="2" t="s">
        <v>14</v>
      </c>
      <c r="J735" s="2" t="s">
        <v>15</v>
      </c>
      <c r="K735" s="2" t="s">
        <v>16</v>
      </c>
      <c r="L735" s="2" t="s">
        <v>17</v>
      </c>
    </row>
    <row r="736" spans="1:12" x14ac:dyDescent="0.25">
      <c r="A736" s="3">
        <v>45710.388599537036</v>
      </c>
      <c r="B736" t="s">
        <v>65</v>
      </c>
      <c r="C736" s="3">
        <v>45710.392800925925</v>
      </c>
      <c r="D736" t="s">
        <v>65</v>
      </c>
      <c r="E736" s="4">
        <v>0</v>
      </c>
      <c r="F736" s="4">
        <v>413047.71500000003</v>
      </c>
      <c r="G736" s="4">
        <v>413047.71500000003</v>
      </c>
      <c r="H736" s="5">
        <f>359 / 86400</f>
        <v>4.1550925925925922E-3</v>
      </c>
      <c r="I736" t="s">
        <v>77</v>
      </c>
      <c r="J736" t="s">
        <v>77</v>
      </c>
      <c r="K736" s="5">
        <f>363 / 86400</f>
        <v>4.2013888888888891E-3</v>
      </c>
      <c r="L736" s="5">
        <f>33603 / 86400</f>
        <v>0.38892361111111112</v>
      </c>
    </row>
    <row r="737" spans="1:12" x14ac:dyDescent="0.25">
      <c r="A737" s="3">
        <v>45710.393125000002</v>
      </c>
      <c r="B737" t="s">
        <v>65</v>
      </c>
      <c r="C737" s="3">
        <v>45710.401099537034</v>
      </c>
      <c r="D737" t="s">
        <v>353</v>
      </c>
      <c r="E737" s="4">
        <v>2.181</v>
      </c>
      <c r="F737" s="4">
        <v>413047.71500000003</v>
      </c>
      <c r="G737" s="4">
        <v>413049.89600000001</v>
      </c>
      <c r="H737" s="5">
        <f>139 / 86400</f>
        <v>1.6087962962962963E-3</v>
      </c>
      <c r="I737" t="s">
        <v>30</v>
      </c>
      <c r="J737" t="s">
        <v>61</v>
      </c>
      <c r="K737" s="5">
        <f>689 / 86400</f>
        <v>7.9745370370370369E-3</v>
      </c>
      <c r="L737" s="5">
        <f>990 / 86400</f>
        <v>1.1458333333333333E-2</v>
      </c>
    </row>
    <row r="738" spans="1:12" x14ac:dyDescent="0.25">
      <c r="A738" s="3">
        <v>45710.412557870368</v>
      </c>
      <c r="B738" t="s">
        <v>353</v>
      </c>
      <c r="C738" s="3">
        <v>45710.417604166665</v>
      </c>
      <c r="D738" t="s">
        <v>81</v>
      </c>
      <c r="E738" s="4">
        <v>1.333</v>
      </c>
      <c r="F738" s="4">
        <v>413049.89600000001</v>
      </c>
      <c r="G738" s="4">
        <v>413051.22899999999</v>
      </c>
      <c r="H738" s="5">
        <f>100 / 86400</f>
        <v>1.1574074074074073E-3</v>
      </c>
      <c r="I738" t="s">
        <v>30</v>
      </c>
      <c r="J738" t="s">
        <v>61</v>
      </c>
      <c r="K738" s="5">
        <f>435 / 86400</f>
        <v>5.0347222222222225E-3</v>
      </c>
      <c r="L738" s="5">
        <f>95 / 86400</f>
        <v>1.0995370370370371E-3</v>
      </c>
    </row>
    <row r="739" spans="1:12" x14ac:dyDescent="0.25">
      <c r="A739" s="3">
        <v>45710.418703703705</v>
      </c>
      <c r="B739" t="s">
        <v>81</v>
      </c>
      <c r="C739" s="3">
        <v>45710.41920138889</v>
      </c>
      <c r="D739" t="s">
        <v>81</v>
      </c>
      <c r="E739" s="4">
        <v>1.4E-2</v>
      </c>
      <c r="F739" s="4">
        <v>413051.22899999999</v>
      </c>
      <c r="G739" s="4">
        <v>413051.24300000002</v>
      </c>
      <c r="H739" s="5">
        <f>0 / 86400</f>
        <v>0</v>
      </c>
      <c r="I739" t="s">
        <v>156</v>
      </c>
      <c r="J739" t="s">
        <v>124</v>
      </c>
      <c r="K739" s="5">
        <f>43 / 86400</f>
        <v>4.9768518518518521E-4</v>
      </c>
      <c r="L739" s="5">
        <f>629 / 86400</f>
        <v>7.2800925925925923E-3</v>
      </c>
    </row>
    <row r="740" spans="1:12" x14ac:dyDescent="0.25">
      <c r="A740" s="3">
        <v>45710.426481481481</v>
      </c>
      <c r="B740" t="s">
        <v>81</v>
      </c>
      <c r="C740" s="3">
        <v>45710.42759259259</v>
      </c>
      <c r="D740" t="s">
        <v>81</v>
      </c>
      <c r="E740" s="4">
        <v>2.5000000000000001E-2</v>
      </c>
      <c r="F740" s="4">
        <v>413051.24300000002</v>
      </c>
      <c r="G740" s="4">
        <v>413051.26799999998</v>
      </c>
      <c r="H740" s="5">
        <f>39 / 86400</f>
        <v>4.5138888888888887E-4</v>
      </c>
      <c r="I740" t="s">
        <v>156</v>
      </c>
      <c r="J740" t="s">
        <v>124</v>
      </c>
      <c r="K740" s="5">
        <f>96 / 86400</f>
        <v>1.1111111111111111E-3</v>
      </c>
      <c r="L740" s="5">
        <f>734 / 86400</f>
        <v>8.4953703703703701E-3</v>
      </c>
    </row>
    <row r="741" spans="1:12" x14ac:dyDescent="0.25">
      <c r="A741" s="3">
        <v>45710.436087962968</v>
      </c>
      <c r="B741" t="s">
        <v>81</v>
      </c>
      <c r="C741" s="3">
        <v>45710.437650462962</v>
      </c>
      <c r="D741" t="s">
        <v>72</v>
      </c>
      <c r="E741" s="4">
        <v>0.25</v>
      </c>
      <c r="F741" s="4">
        <v>413051.26799999998</v>
      </c>
      <c r="G741" s="4">
        <v>413051.51799999998</v>
      </c>
      <c r="H741" s="5">
        <f>20 / 86400</f>
        <v>2.3148148148148149E-4</v>
      </c>
      <c r="I741" t="s">
        <v>42</v>
      </c>
      <c r="J741" t="s">
        <v>140</v>
      </c>
      <c r="K741" s="5">
        <f>134 / 86400</f>
        <v>1.5509259259259259E-3</v>
      </c>
      <c r="L741" s="5">
        <f>242 / 86400</f>
        <v>2.8009259259259259E-3</v>
      </c>
    </row>
    <row r="742" spans="1:12" x14ac:dyDescent="0.25">
      <c r="A742" s="3">
        <v>45710.440451388888</v>
      </c>
      <c r="B742" t="s">
        <v>72</v>
      </c>
      <c r="C742" s="3">
        <v>45710.440474537041</v>
      </c>
      <c r="D742" t="s">
        <v>72</v>
      </c>
      <c r="E742" s="4">
        <v>0</v>
      </c>
      <c r="F742" s="4">
        <v>413051.51799999998</v>
      </c>
      <c r="G742" s="4">
        <v>413051.51799999998</v>
      </c>
      <c r="H742" s="5">
        <f>0 / 86400</f>
        <v>0</v>
      </c>
      <c r="I742" t="s">
        <v>77</v>
      </c>
      <c r="J742" t="s">
        <v>77</v>
      </c>
      <c r="K742" s="5">
        <f>2 / 86400</f>
        <v>2.3148148148148147E-5</v>
      </c>
      <c r="L742" s="5">
        <f>4 / 86400</f>
        <v>4.6296296296296294E-5</v>
      </c>
    </row>
    <row r="743" spans="1:12" x14ac:dyDescent="0.25">
      <c r="A743" s="3">
        <v>45710.440520833334</v>
      </c>
      <c r="B743" t="s">
        <v>72</v>
      </c>
      <c r="C743" s="3">
        <v>45710.740451388891</v>
      </c>
      <c r="D743" t="s">
        <v>165</v>
      </c>
      <c r="E743" s="4">
        <v>100.355</v>
      </c>
      <c r="F743" s="4">
        <v>413051.51799999998</v>
      </c>
      <c r="G743" s="4">
        <v>413151.87300000002</v>
      </c>
      <c r="H743" s="5">
        <f>9433 / 86400</f>
        <v>0.10917824074074074</v>
      </c>
      <c r="I743" t="s">
        <v>67</v>
      </c>
      <c r="J743" t="s">
        <v>26</v>
      </c>
      <c r="K743" s="5">
        <f>25914 / 86400</f>
        <v>0.29993055555555553</v>
      </c>
      <c r="L743" s="5">
        <f>2943 / 86400</f>
        <v>3.4062500000000002E-2</v>
      </c>
    </row>
    <row r="744" spans="1:12" x14ac:dyDescent="0.25">
      <c r="A744" s="3">
        <v>45710.774513888886</v>
      </c>
      <c r="B744" t="s">
        <v>165</v>
      </c>
      <c r="C744" s="3">
        <v>45710.99998842593</v>
      </c>
      <c r="D744" t="s">
        <v>66</v>
      </c>
      <c r="E744" s="4">
        <v>95.283000000000001</v>
      </c>
      <c r="F744" s="4">
        <v>413151.87300000002</v>
      </c>
      <c r="G744" s="4">
        <v>413247.15600000002</v>
      </c>
      <c r="H744" s="5">
        <f>5260 / 86400</f>
        <v>6.0879629629629631E-2</v>
      </c>
      <c r="I744" t="s">
        <v>67</v>
      </c>
      <c r="J744" t="s">
        <v>20</v>
      </c>
      <c r="K744" s="5">
        <f>19481 / 86400</f>
        <v>0.22547453703703704</v>
      </c>
      <c r="L744" s="5">
        <f>0 / 86400</f>
        <v>0</v>
      </c>
    </row>
    <row r="745" spans="1:1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</row>
    <row r="746" spans="1:1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</row>
    <row r="747" spans="1:12" s="10" customFormat="1" ht="20.100000000000001" customHeight="1" x14ac:dyDescent="0.35">
      <c r="A747" s="15" t="s">
        <v>442</v>
      </c>
      <c r="B747" s="15"/>
      <c r="C747" s="15"/>
      <c r="D747" s="15"/>
      <c r="E747" s="15"/>
      <c r="F747" s="15"/>
      <c r="G747" s="15"/>
      <c r="H747" s="15"/>
      <c r="I747" s="15"/>
      <c r="J747" s="15"/>
    </row>
    <row r="748" spans="1:12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</row>
    <row r="749" spans="1:12" ht="30" x14ac:dyDescent="0.25">
      <c r="A749" s="2" t="s">
        <v>6</v>
      </c>
      <c r="B749" s="2" t="s">
        <v>7</v>
      </c>
      <c r="C749" s="2" t="s">
        <v>8</v>
      </c>
      <c r="D749" s="2" t="s">
        <v>9</v>
      </c>
      <c r="E749" s="2" t="s">
        <v>10</v>
      </c>
      <c r="F749" s="2" t="s">
        <v>11</v>
      </c>
      <c r="G749" s="2" t="s">
        <v>12</v>
      </c>
      <c r="H749" s="2" t="s">
        <v>13</v>
      </c>
      <c r="I749" s="2" t="s">
        <v>14</v>
      </c>
      <c r="J749" s="2" t="s">
        <v>15</v>
      </c>
      <c r="K749" s="2" t="s">
        <v>16</v>
      </c>
      <c r="L749" s="2" t="s">
        <v>17</v>
      </c>
    </row>
    <row r="750" spans="1:12" x14ac:dyDescent="0.25">
      <c r="A750" s="3">
        <v>45710.224340277782</v>
      </c>
      <c r="B750" t="s">
        <v>68</v>
      </c>
      <c r="C750" s="3">
        <v>45710.226122685184</v>
      </c>
      <c r="D750" t="s">
        <v>69</v>
      </c>
      <c r="E750" s="4">
        <v>6.4000000000000001E-2</v>
      </c>
      <c r="F750" s="4">
        <v>404347.28600000002</v>
      </c>
      <c r="G750" s="4">
        <v>404347.35</v>
      </c>
      <c r="H750" s="5">
        <f>79 / 86400</f>
        <v>9.1435185185185185E-4</v>
      </c>
      <c r="I750" t="s">
        <v>31</v>
      </c>
      <c r="J750" t="s">
        <v>124</v>
      </c>
      <c r="K750" s="5">
        <f>154 / 86400</f>
        <v>1.7824074074074075E-3</v>
      </c>
      <c r="L750" s="5">
        <f>19690 / 86400</f>
        <v>0.22789351851851852</v>
      </c>
    </row>
    <row r="751" spans="1:12" x14ac:dyDescent="0.25">
      <c r="A751" s="3">
        <v>45710.229675925926</v>
      </c>
      <c r="B751" t="s">
        <v>68</v>
      </c>
      <c r="C751" s="3">
        <v>45710.237037037034</v>
      </c>
      <c r="D751" t="s">
        <v>130</v>
      </c>
      <c r="E751" s="4">
        <v>1.0449999999999999</v>
      </c>
      <c r="F751" s="4">
        <v>404347.35</v>
      </c>
      <c r="G751" s="4">
        <v>404348.39500000002</v>
      </c>
      <c r="H751" s="5">
        <f>399 / 86400</f>
        <v>4.6180555555555558E-3</v>
      </c>
      <c r="I751" t="s">
        <v>218</v>
      </c>
      <c r="J751" t="s">
        <v>31</v>
      </c>
      <c r="K751" s="5">
        <f>635 / 86400</f>
        <v>7.3495370370370372E-3</v>
      </c>
      <c r="L751" s="5">
        <f>172 / 86400</f>
        <v>1.9907407407407408E-3</v>
      </c>
    </row>
    <row r="752" spans="1:12" x14ac:dyDescent="0.25">
      <c r="A752" s="3">
        <v>45710.239027777774</v>
      </c>
      <c r="B752" t="s">
        <v>130</v>
      </c>
      <c r="C752" s="3">
        <v>45710.239178240736</v>
      </c>
      <c r="D752" t="s">
        <v>130</v>
      </c>
      <c r="E752" s="4">
        <v>0.01</v>
      </c>
      <c r="F752" s="4">
        <v>404348.39500000002</v>
      </c>
      <c r="G752" s="4">
        <v>404348.40500000003</v>
      </c>
      <c r="H752" s="5">
        <f>0 / 86400</f>
        <v>0</v>
      </c>
      <c r="I752" t="s">
        <v>31</v>
      </c>
      <c r="J752" t="s">
        <v>143</v>
      </c>
      <c r="K752" s="5">
        <f>13 / 86400</f>
        <v>1.5046296296296297E-4</v>
      </c>
      <c r="L752" s="5">
        <f>324 / 86400</f>
        <v>3.7499999999999999E-3</v>
      </c>
    </row>
    <row r="753" spans="1:12" x14ac:dyDescent="0.25">
      <c r="A753" s="3">
        <v>45710.242928240739</v>
      </c>
      <c r="B753" t="s">
        <v>204</v>
      </c>
      <c r="C753" s="3">
        <v>45710.351388888885</v>
      </c>
      <c r="D753" t="s">
        <v>362</v>
      </c>
      <c r="E753" s="4">
        <v>50.087000000000003</v>
      </c>
      <c r="F753" s="4">
        <v>404348.40500000003</v>
      </c>
      <c r="G753" s="4">
        <v>404398.49200000003</v>
      </c>
      <c r="H753" s="5">
        <f>3319 / 86400</f>
        <v>3.8414351851851852E-2</v>
      </c>
      <c r="I753" t="s">
        <v>70</v>
      </c>
      <c r="J753" t="s">
        <v>80</v>
      </c>
      <c r="K753" s="5">
        <f>9371 / 86400</f>
        <v>0.10846064814814815</v>
      </c>
      <c r="L753" s="5">
        <f>303 / 86400</f>
        <v>3.5069444444444445E-3</v>
      </c>
    </row>
    <row r="754" spans="1:12" x14ac:dyDescent="0.25">
      <c r="A754" s="3">
        <v>45710.354895833334</v>
      </c>
      <c r="B754" t="s">
        <v>362</v>
      </c>
      <c r="C754" s="3">
        <v>45710.483287037037</v>
      </c>
      <c r="D754" t="s">
        <v>382</v>
      </c>
      <c r="E754" s="4">
        <v>50.198</v>
      </c>
      <c r="F754" s="4">
        <v>404398.49200000003</v>
      </c>
      <c r="G754" s="4">
        <v>404448.69</v>
      </c>
      <c r="H754" s="5">
        <f>3520 / 86400</f>
        <v>4.0740740740740744E-2</v>
      </c>
      <c r="I754" t="s">
        <v>176</v>
      </c>
      <c r="J754" t="s">
        <v>33</v>
      </c>
      <c r="K754" s="5">
        <f>11092 / 86400</f>
        <v>0.12837962962962962</v>
      </c>
      <c r="L754" s="5">
        <f>2129 / 86400</f>
        <v>2.4641203703703703E-2</v>
      </c>
    </row>
    <row r="755" spans="1:12" x14ac:dyDescent="0.25">
      <c r="A755" s="3">
        <v>45710.507928240739</v>
      </c>
      <c r="B755" t="s">
        <v>50</v>
      </c>
      <c r="C755" s="3">
        <v>45710.511921296296</v>
      </c>
      <c r="D755" t="s">
        <v>128</v>
      </c>
      <c r="E755" s="4">
        <v>0.84</v>
      </c>
      <c r="F755" s="4">
        <v>404448.69</v>
      </c>
      <c r="G755" s="4">
        <v>404449.53</v>
      </c>
      <c r="H755" s="5">
        <f>79 / 86400</f>
        <v>9.1435185185185185E-4</v>
      </c>
      <c r="I755" t="s">
        <v>20</v>
      </c>
      <c r="J755" t="s">
        <v>132</v>
      </c>
      <c r="K755" s="5">
        <f>344 / 86400</f>
        <v>3.9814814814814817E-3</v>
      </c>
      <c r="L755" s="5">
        <f>1119 / 86400</f>
        <v>1.2951388888888889E-2</v>
      </c>
    </row>
    <row r="756" spans="1:12" x14ac:dyDescent="0.25">
      <c r="A756" s="3">
        <v>45710.524872685186</v>
      </c>
      <c r="B756" t="s">
        <v>128</v>
      </c>
      <c r="C756" s="3">
        <v>45710.671782407408</v>
      </c>
      <c r="D756" t="s">
        <v>358</v>
      </c>
      <c r="E756" s="4">
        <v>50.456000000000003</v>
      </c>
      <c r="F756" s="4">
        <v>404449.53</v>
      </c>
      <c r="G756" s="4">
        <v>404499.98599999998</v>
      </c>
      <c r="H756" s="5">
        <f>5319 / 86400</f>
        <v>6.1562499999999999E-2</v>
      </c>
      <c r="I756" t="s">
        <v>60</v>
      </c>
      <c r="J756" t="s">
        <v>26</v>
      </c>
      <c r="K756" s="5">
        <f>12692 / 86400</f>
        <v>0.14689814814814814</v>
      </c>
      <c r="L756" s="5">
        <f>209 / 86400</f>
        <v>2.4189814814814816E-3</v>
      </c>
    </row>
    <row r="757" spans="1:12" x14ac:dyDescent="0.25">
      <c r="A757" s="3">
        <v>45710.674201388887</v>
      </c>
      <c r="B757" t="s">
        <v>358</v>
      </c>
      <c r="C757" s="3">
        <v>45710.868877314817</v>
      </c>
      <c r="D757" t="s">
        <v>81</v>
      </c>
      <c r="E757" s="4">
        <v>52.378999999999998</v>
      </c>
      <c r="F757" s="4">
        <v>404499.98599999998</v>
      </c>
      <c r="G757" s="4">
        <v>404552.36499999999</v>
      </c>
      <c r="H757" s="5">
        <f>7278 / 86400</f>
        <v>8.4236111111111109E-2</v>
      </c>
      <c r="I757" t="s">
        <v>301</v>
      </c>
      <c r="J757" t="s">
        <v>61</v>
      </c>
      <c r="K757" s="5">
        <f>16819 / 86400</f>
        <v>0.19466435185185185</v>
      </c>
      <c r="L757" s="5">
        <f>58 / 86400</f>
        <v>6.7129629629629625E-4</v>
      </c>
    </row>
    <row r="758" spans="1:12" x14ac:dyDescent="0.25">
      <c r="A758" s="3">
        <v>45710.86954861111</v>
      </c>
      <c r="B758" t="s">
        <v>81</v>
      </c>
      <c r="C758" s="3">
        <v>45710.869722222225</v>
      </c>
      <c r="D758" t="s">
        <v>81</v>
      </c>
      <c r="E758" s="4">
        <v>8.9999999999999993E-3</v>
      </c>
      <c r="F758" s="4">
        <v>404552.36499999999</v>
      </c>
      <c r="G758" s="4">
        <v>404552.37400000001</v>
      </c>
      <c r="H758" s="5">
        <f>0 / 86400</f>
        <v>0</v>
      </c>
      <c r="I758" t="s">
        <v>77</v>
      </c>
      <c r="J758" t="s">
        <v>113</v>
      </c>
      <c r="K758" s="5">
        <f>14 / 86400</f>
        <v>1.6203703703703703E-4</v>
      </c>
      <c r="L758" s="5">
        <f>9 / 86400</f>
        <v>1.0416666666666667E-4</v>
      </c>
    </row>
    <row r="759" spans="1:12" x14ac:dyDescent="0.25">
      <c r="A759" s="3">
        <v>45710.869826388887</v>
      </c>
      <c r="B759" t="s">
        <v>81</v>
      </c>
      <c r="C759" s="3">
        <v>45710.870405092588</v>
      </c>
      <c r="D759" t="s">
        <v>81</v>
      </c>
      <c r="E759" s="4">
        <v>0</v>
      </c>
      <c r="F759" s="4">
        <v>404552.37400000001</v>
      </c>
      <c r="G759" s="4">
        <v>404552.37400000001</v>
      </c>
      <c r="H759" s="5">
        <f>38 / 86400</f>
        <v>4.3981481481481481E-4</v>
      </c>
      <c r="I759" t="s">
        <v>77</v>
      </c>
      <c r="J759" t="s">
        <v>77</v>
      </c>
      <c r="K759" s="5">
        <f>50 / 86400</f>
        <v>5.7870370370370367E-4</v>
      </c>
      <c r="L759" s="5">
        <f>347 / 86400</f>
        <v>4.0162037037037041E-3</v>
      </c>
    </row>
    <row r="760" spans="1:12" x14ac:dyDescent="0.25">
      <c r="A760" s="3">
        <v>45710.874421296292</v>
      </c>
      <c r="B760" t="s">
        <v>81</v>
      </c>
      <c r="C760" s="3">
        <v>45710.876064814816</v>
      </c>
      <c r="D760" t="s">
        <v>205</v>
      </c>
      <c r="E760" s="4">
        <v>0.33800000000000002</v>
      </c>
      <c r="F760" s="4">
        <v>404552.37400000001</v>
      </c>
      <c r="G760" s="4">
        <v>404552.712</v>
      </c>
      <c r="H760" s="5">
        <f>20 / 86400</f>
        <v>2.3148148148148149E-4</v>
      </c>
      <c r="I760" t="s">
        <v>64</v>
      </c>
      <c r="J760" t="s">
        <v>132</v>
      </c>
      <c r="K760" s="5">
        <f>141 / 86400</f>
        <v>1.6319444444444445E-3</v>
      </c>
      <c r="L760" s="5">
        <f>608 / 86400</f>
        <v>7.037037037037037E-3</v>
      </c>
    </row>
    <row r="761" spans="1:12" x14ac:dyDescent="0.25">
      <c r="A761" s="3">
        <v>45710.883101851854</v>
      </c>
      <c r="B761" t="s">
        <v>205</v>
      </c>
      <c r="C761" s="3">
        <v>45710.885277777779</v>
      </c>
      <c r="D761" t="s">
        <v>69</v>
      </c>
      <c r="E761" s="4">
        <v>0.46500000000000002</v>
      </c>
      <c r="F761" s="4">
        <v>404552.712</v>
      </c>
      <c r="G761" s="4">
        <v>404553.17700000003</v>
      </c>
      <c r="H761" s="5">
        <f>0 / 86400</f>
        <v>0</v>
      </c>
      <c r="I761" t="s">
        <v>158</v>
      </c>
      <c r="J761" t="s">
        <v>132</v>
      </c>
      <c r="K761" s="5">
        <f>187 / 86400</f>
        <v>2.1643518518518518E-3</v>
      </c>
      <c r="L761" s="5">
        <f>9911 / 86400</f>
        <v>0.11471064814814814</v>
      </c>
    </row>
    <row r="762" spans="1:1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</row>
    <row r="763" spans="1:12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</row>
    <row r="764" spans="1:12" s="10" customFormat="1" ht="20.100000000000001" customHeight="1" x14ac:dyDescent="0.35">
      <c r="A764" s="15" t="s">
        <v>443</v>
      </c>
      <c r="B764" s="15"/>
      <c r="C764" s="15"/>
      <c r="D764" s="15"/>
      <c r="E764" s="15"/>
      <c r="F764" s="15"/>
      <c r="G764" s="15"/>
      <c r="H764" s="15"/>
      <c r="I764" s="15"/>
      <c r="J764" s="15"/>
    </row>
    <row r="765" spans="1:12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</row>
    <row r="766" spans="1:12" ht="30" x14ac:dyDescent="0.25">
      <c r="A766" s="2" t="s">
        <v>6</v>
      </c>
      <c r="B766" s="2" t="s">
        <v>7</v>
      </c>
      <c r="C766" s="2" t="s">
        <v>8</v>
      </c>
      <c r="D766" s="2" t="s">
        <v>9</v>
      </c>
      <c r="E766" s="2" t="s">
        <v>10</v>
      </c>
      <c r="F766" s="2" t="s">
        <v>11</v>
      </c>
      <c r="G766" s="2" t="s">
        <v>12</v>
      </c>
      <c r="H766" s="2" t="s">
        <v>13</v>
      </c>
      <c r="I766" s="2" t="s">
        <v>14</v>
      </c>
      <c r="J766" s="2" t="s">
        <v>15</v>
      </c>
      <c r="K766" s="2" t="s">
        <v>16</v>
      </c>
      <c r="L766" s="2" t="s">
        <v>17</v>
      </c>
    </row>
    <row r="767" spans="1:12" x14ac:dyDescent="0.25">
      <c r="A767" s="3">
        <v>45710.375</v>
      </c>
      <c r="B767" t="s">
        <v>71</v>
      </c>
      <c r="C767" s="3">
        <v>45710.386458333334</v>
      </c>
      <c r="D767" t="s">
        <v>71</v>
      </c>
      <c r="E767" s="4">
        <v>0</v>
      </c>
      <c r="F767" s="4">
        <v>408363.00099999999</v>
      </c>
      <c r="G767" s="4">
        <v>408363.00099999999</v>
      </c>
      <c r="H767" s="5">
        <f>0 / 86400</f>
        <v>0</v>
      </c>
      <c r="I767" t="s">
        <v>77</v>
      </c>
      <c r="J767" t="s">
        <v>77</v>
      </c>
      <c r="K767" s="5">
        <f>990 / 86400</f>
        <v>1.1458333333333333E-2</v>
      </c>
      <c r="L767" s="5">
        <f>32908 / 86400</f>
        <v>0.38087962962962962</v>
      </c>
    </row>
    <row r="768" spans="1:12" x14ac:dyDescent="0.25">
      <c r="A768" s="3">
        <v>45710.392337962963</v>
      </c>
      <c r="B768" t="s">
        <v>71</v>
      </c>
      <c r="C768" s="3">
        <v>45710.65016203704</v>
      </c>
      <c r="D768" t="s">
        <v>81</v>
      </c>
      <c r="E768" s="4">
        <v>101.261</v>
      </c>
      <c r="F768" s="4">
        <v>408363.00099999999</v>
      </c>
      <c r="G768" s="4">
        <v>408464.26199999999</v>
      </c>
      <c r="H768" s="5">
        <f>7840 / 86400</f>
        <v>9.0740740740740747E-2</v>
      </c>
      <c r="I768" t="s">
        <v>55</v>
      </c>
      <c r="J768" t="s">
        <v>33</v>
      </c>
      <c r="K768" s="5">
        <f>22276 / 86400</f>
        <v>0.25782407407407409</v>
      </c>
      <c r="L768" s="5">
        <f>379 / 86400</f>
        <v>4.386574074074074E-3</v>
      </c>
    </row>
    <row r="769" spans="1:12" x14ac:dyDescent="0.25">
      <c r="A769" s="3">
        <v>45710.654548611114</v>
      </c>
      <c r="B769" t="s">
        <v>81</v>
      </c>
      <c r="C769" s="3">
        <v>45710.656909722224</v>
      </c>
      <c r="D769" t="s">
        <v>81</v>
      </c>
      <c r="E769" s="4">
        <v>2.9000000000000001E-2</v>
      </c>
      <c r="F769" s="4">
        <v>408464.26199999999</v>
      </c>
      <c r="G769" s="4">
        <v>408464.29100000003</v>
      </c>
      <c r="H769" s="5">
        <f>140 / 86400</f>
        <v>1.6203703703703703E-3</v>
      </c>
      <c r="I769" t="s">
        <v>156</v>
      </c>
      <c r="J769" t="s">
        <v>124</v>
      </c>
      <c r="K769" s="5">
        <f>203 / 86400</f>
        <v>2.3495370370370371E-3</v>
      </c>
      <c r="L769" s="5">
        <f>418 / 86400</f>
        <v>4.8379629629629632E-3</v>
      </c>
    </row>
    <row r="770" spans="1:12" x14ac:dyDescent="0.25">
      <c r="A770" s="3">
        <v>45710.661747685182</v>
      </c>
      <c r="B770" t="s">
        <v>81</v>
      </c>
      <c r="C770" s="3">
        <v>45710.662222222221</v>
      </c>
      <c r="D770" t="s">
        <v>81</v>
      </c>
      <c r="E770" s="4">
        <v>0</v>
      </c>
      <c r="F770" s="4">
        <v>408464.29100000003</v>
      </c>
      <c r="G770" s="4">
        <v>408464.29100000003</v>
      </c>
      <c r="H770" s="5">
        <f>39 / 86400</f>
        <v>4.5138888888888887E-4</v>
      </c>
      <c r="I770" t="s">
        <v>77</v>
      </c>
      <c r="J770" t="s">
        <v>77</v>
      </c>
      <c r="K770" s="5">
        <f>40 / 86400</f>
        <v>4.6296296296296298E-4</v>
      </c>
      <c r="L770" s="5">
        <f>138 / 86400</f>
        <v>1.5972222222222223E-3</v>
      </c>
    </row>
    <row r="771" spans="1:12" x14ac:dyDescent="0.25">
      <c r="A771" s="3">
        <v>45710.663819444446</v>
      </c>
      <c r="B771" t="s">
        <v>81</v>
      </c>
      <c r="C771" s="3">
        <v>45710.664513888885</v>
      </c>
      <c r="D771" t="s">
        <v>81</v>
      </c>
      <c r="E771" s="4">
        <v>2E-3</v>
      </c>
      <c r="F771" s="4">
        <v>408464.29100000003</v>
      </c>
      <c r="G771" s="4">
        <v>408464.29300000001</v>
      </c>
      <c r="H771" s="5">
        <f>19 / 86400</f>
        <v>2.199074074074074E-4</v>
      </c>
      <c r="I771" t="s">
        <v>143</v>
      </c>
      <c r="J771" t="s">
        <v>77</v>
      </c>
      <c r="K771" s="5">
        <f>59 / 86400</f>
        <v>6.8287037037037036E-4</v>
      </c>
      <c r="L771" s="5">
        <f>371 / 86400</f>
        <v>4.2939814814814811E-3</v>
      </c>
    </row>
    <row r="772" spans="1:12" x14ac:dyDescent="0.25">
      <c r="A772" s="3">
        <v>45710.668807870374</v>
      </c>
      <c r="B772" t="s">
        <v>81</v>
      </c>
      <c r="C772" s="3">
        <v>45710.669618055559</v>
      </c>
      <c r="D772" t="s">
        <v>81</v>
      </c>
      <c r="E772" s="4">
        <v>4.3999999999999997E-2</v>
      </c>
      <c r="F772" s="4">
        <v>408464.29300000001</v>
      </c>
      <c r="G772" s="4">
        <v>408464.337</v>
      </c>
      <c r="H772" s="5">
        <f>40 / 86400</f>
        <v>4.6296296296296298E-4</v>
      </c>
      <c r="I772" t="s">
        <v>140</v>
      </c>
      <c r="J772" t="s">
        <v>113</v>
      </c>
      <c r="K772" s="5">
        <f>70 / 86400</f>
        <v>8.1018518518518516E-4</v>
      </c>
      <c r="L772" s="5">
        <f>330 / 86400</f>
        <v>3.8194444444444443E-3</v>
      </c>
    </row>
    <row r="773" spans="1:12" x14ac:dyDescent="0.25">
      <c r="A773" s="3">
        <v>45710.673437500001</v>
      </c>
      <c r="B773" t="s">
        <v>81</v>
      </c>
      <c r="C773" s="3">
        <v>45710.674224537041</v>
      </c>
      <c r="D773" t="s">
        <v>72</v>
      </c>
      <c r="E773" s="4">
        <v>0.2</v>
      </c>
      <c r="F773" s="4">
        <v>408464.337</v>
      </c>
      <c r="G773" s="4">
        <v>408464.53700000001</v>
      </c>
      <c r="H773" s="5">
        <f>0 / 86400</f>
        <v>0</v>
      </c>
      <c r="I773" t="s">
        <v>29</v>
      </c>
      <c r="J773" t="s">
        <v>61</v>
      </c>
      <c r="K773" s="5">
        <f>67 / 86400</f>
        <v>7.7546296296296293E-4</v>
      </c>
      <c r="L773" s="5">
        <f>273 / 86400</f>
        <v>3.1597222222222222E-3</v>
      </c>
    </row>
    <row r="774" spans="1:12" x14ac:dyDescent="0.25">
      <c r="A774" s="3">
        <v>45710.677384259259</v>
      </c>
      <c r="B774" t="s">
        <v>72</v>
      </c>
      <c r="C774" s="3">
        <v>45710.677708333329</v>
      </c>
      <c r="D774" t="s">
        <v>72</v>
      </c>
      <c r="E774" s="4">
        <v>0.05</v>
      </c>
      <c r="F774" s="4">
        <v>408464.53700000001</v>
      </c>
      <c r="G774" s="4">
        <v>408464.587</v>
      </c>
      <c r="H774" s="5">
        <f>20 / 86400</f>
        <v>2.3148148148148149E-4</v>
      </c>
      <c r="I774" t="s">
        <v>156</v>
      </c>
      <c r="J774" t="s">
        <v>140</v>
      </c>
      <c r="K774" s="5">
        <f>27 / 86400</f>
        <v>3.1250000000000001E-4</v>
      </c>
      <c r="L774" s="5">
        <f>260 / 86400</f>
        <v>3.0092592592592593E-3</v>
      </c>
    </row>
    <row r="775" spans="1:12" x14ac:dyDescent="0.25">
      <c r="A775" s="3">
        <v>45710.680717592593</v>
      </c>
      <c r="B775" t="s">
        <v>72</v>
      </c>
      <c r="C775" s="3">
        <v>45710.680717592593</v>
      </c>
      <c r="D775" t="s">
        <v>72</v>
      </c>
      <c r="E775" s="4">
        <v>0</v>
      </c>
      <c r="F775" s="4">
        <v>408464.587</v>
      </c>
      <c r="G775" s="4">
        <v>408464.587</v>
      </c>
      <c r="H775" s="5">
        <f>0 / 86400</f>
        <v>0</v>
      </c>
      <c r="I775" t="s">
        <v>77</v>
      </c>
      <c r="J775" t="s">
        <v>77</v>
      </c>
      <c r="K775" s="5">
        <f>0 / 86400</f>
        <v>0</v>
      </c>
      <c r="L775" s="5">
        <f>27585 / 86400</f>
        <v>0.31927083333333334</v>
      </c>
    </row>
    <row r="776" spans="1:1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</row>
    <row r="777" spans="1:1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</row>
    <row r="778" spans="1:12" s="10" customFormat="1" ht="20.100000000000001" customHeight="1" x14ac:dyDescent="0.35">
      <c r="A778" s="15" t="s">
        <v>444</v>
      </c>
      <c r="B778" s="15"/>
      <c r="C778" s="15"/>
      <c r="D778" s="15"/>
      <c r="E778" s="15"/>
      <c r="F778" s="15"/>
      <c r="G778" s="15"/>
      <c r="H778" s="15"/>
      <c r="I778" s="15"/>
      <c r="J778" s="15"/>
    </row>
    <row r="779" spans="1:1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</row>
    <row r="780" spans="1:12" ht="30" x14ac:dyDescent="0.25">
      <c r="A780" s="2" t="s">
        <v>6</v>
      </c>
      <c r="B780" s="2" t="s">
        <v>7</v>
      </c>
      <c r="C780" s="2" t="s">
        <v>8</v>
      </c>
      <c r="D780" s="2" t="s">
        <v>9</v>
      </c>
      <c r="E780" s="2" t="s">
        <v>10</v>
      </c>
      <c r="F780" s="2" t="s">
        <v>11</v>
      </c>
      <c r="G780" s="2" t="s">
        <v>12</v>
      </c>
      <c r="H780" s="2" t="s">
        <v>13</v>
      </c>
      <c r="I780" s="2" t="s">
        <v>14</v>
      </c>
      <c r="J780" s="2" t="s">
        <v>15</v>
      </c>
      <c r="K780" s="2" t="s">
        <v>16</v>
      </c>
      <c r="L780" s="2" t="s">
        <v>17</v>
      </c>
    </row>
    <row r="781" spans="1:12" x14ac:dyDescent="0.25">
      <c r="A781" s="3">
        <v>45710.311527777776</v>
      </c>
      <c r="B781" t="s">
        <v>73</v>
      </c>
      <c r="C781" s="3">
        <v>45710.383668981478</v>
      </c>
      <c r="D781" t="s">
        <v>185</v>
      </c>
      <c r="E781" s="4">
        <v>25.856999999999999</v>
      </c>
      <c r="F781" s="4">
        <v>348895.98599999998</v>
      </c>
      <c r="G781" s="4">
        <v>348921.84299999999</v>
      </c>
      <c r="H781" s="5">
        <f>1979 / 86400</f>
        <v>2.2905092592592591E-2</v>
      </c>
      <c r="I781" t="s">
        <v>74</v>
      </c>
      <c r="J781" t="s">
        <v>42</v>
      </c>
      <c r="K781" s="5">
        <f>6232 / 86400</f>
        <v>7.2129629629629627E-2</v>
      </c>
      <c r="L781" s="5">
        <f>27384 / 86400</f>
        <v>0.31694444444444442</v>
      </c>
    </row>
    <row r="782" spans="1:12" x14ac:dyDescent="0.25">
      <c r="A782" s="3">
        <v>45710.389085648145</v>
      </c>
      <c r="B782" t="s">
        <v>185</v>
      </c>
      <c r="C782" s="3">
        <v>45710.454548611116</v>
      </c>
      <c r="D782" t="s">
        <v>73</v>
      </c>
      <c r="E782" s="4">
        <v>25.838999999999999</v>
      </c>
      <c r="F782" s="4">
        <v>348921.84299999999</v>
      </c>
      <c r="G782" s="4">
        <v>348947.68199999997</v>
      </c>
      <c r="H782" s="5">
        <f>1699 / 86400</f>
        <v>1.9664351851851853E-2</v>
      </c>
      <c r="I782" t="s">
        <v>74</v>
      </c>
      <c r="J782" t="s">
        <v>33</v>
      </c>
      <c r="K782" s="5">
        <f>5655 / 86400</f>
        <v>6.5451388888888892E-2</v>
      </c>
      <c r="L782" s="5">
        <f>6848 / 86400</f>
        <v>7.9259259259259265E-2</v>
      </c>
    </row>
    <row r="783" spans="1:12" x14ac:dyDescent="0.25">
      <c r="A783" s="3">
        <v>45710.533807870372</v>
      </c>
      <c r="B783" t="s">
        <v>73</v>
      </c>
      <c r="C783" s="3">
        <v>45710.99998842593</v>
      </c>
      <c r="D783" t="s">
        <v>73</v>
      </c>
      <c r="E783" s="4">
        <v>5.0000000000000001E-3</v>
      </c>
      <c r="F783" s="4">
        <v>348947.68199999997</v>
      </c>
      <c r="G783" s="4">
        <v>348947.68699999998</v>
      </c>
      <c r="H783" s="5">
        <f>40259 / 86400</f>
        <v>0.46596064814814814</v>
      </c>
      <c r="I783" t="s">
        <v>124</v>
      </c>
      <c r="J783" t="s">
        <v>77</v>
      </c>
      <c r="K783" s="5">
        <f>40278 / 86400</f>
        <v>0.46618055555555554</v>
      </c>
      <c r="L783" s="5">
        <f>0 / 86400</f>
        <v>0</v>
      </c>
    </row>
    <row r="784" spans="1:1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</row>
    <row r="785" spans="1:1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</row>
    <row r="786" spans="1:12" s="10" customFormat="1" ht="20.100000000000001" customHeight="1" x14ac:dyDescent="0.35">
      <c r="A786" s="15" t="s">
        <v>445</v>
      </c>
      <c r="B786" s="15"/>
      <c r="C786" s="15"/>
      <c r="D786" s="15"/>
      <c r="E786" s="15"/>
      <c r="F786" s="15"/>
      <c r="G786" s="15"/>
      <c r="H786" s="15"/>
      <c r="I786" s="15"/>
      <c r="J786" s="15"/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2" ht="30" x14ac:dyDescent="0.25">
      <c r="A788" s="2" t="s">
        <v>6</v>
      </c>
      <c r="B788" s="2" t="s">
        <v>7</v>
      </c>
      <c r="C788" s="2" t="s">
        <v>8</v>
      </c>
      <c r="D788" s="2" t="s">
        <v>9</v>
      </c>
      <c r="E788" s="2" t="s">
        <v>10</v>
      </c>
      <c r="F788" s="2" t="s">
        <v>11</v>
      </c>
      <c r="G788" s="2" t="s">
        <v>12</v>
      </c>
      <c r="H788" s="2" t="s">
        <v>13</v>
      </c>
      <c r="I788" s="2" t="s">
        <v>14</v>
      </c>
      <c r="J788" s="2" t="s">
        <v>15</v>
      </c>
      <c r="K788" s="2" t="s">
        <v>16</v>
      </c>
      <c r="L788" s="2" t="s">
        <v>17</v>
      </c>
    </row>
    <row r="789" spans="1:12" x14ac:dyDescent="0.25">
      <c r="A789" s="3">
        <v>45710.87981481482</v>
      </c>
      <c r="B789" t="s">
        <v>76</v>
      </c>
      <c r="C789" s="3">
        <v>45710.880474537036</v>
      </c>
      <c r="D789" t="s">
        <v>76</v>
      </c>
      <c r="E789" s="4">
        <v>1E-3</v>
      </c>
      <c r="F789" s="4">
        <v>42848.311000000002</v>
      </c>
      <c r="G789" s="4">
        <v>42848.311999999998</v>
      </c>
      <c r="H789" s="5">
        <f>39 / 86400</f>
        <v>4.5138888888888887E-4</v>
      </c>
      <c r="I789" t="s">
        <v>77</v>
      </c>
      <c r="J789" t="s">
        <v>77</v>
      </c>
      <c r="K789" s="5">
        <f>57 / 86400</f>
        <v>6.5972222222222224E-4</v>
      </c>
      <c r="L789" s="5">
        <f>86342 / 86400</f>
        <v>0.99932870370370375</v>
      </c>
    </row>
    <row r="790" spans="1:1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</row>
    <row r="791" spans="1:12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</row>
    <row r="792" spans="1:12" s="10" customFormat="1" ht="20.100000000000001" customHeight="1" x14ac:dyDescent="0.35">
      <c r="A792" s="15" t="s">
        <v>446</v>
      </c>
      <c r="B792" s="15"/>
      <c r="C792" s="15"/>
      <c r="D792" s="15"/>
      <c r="E792" s="15"/>
      <c r="F792" s="15"/>
      <c r="G792" s="15"/>
      <c r="H792" s="15"/>
      <c r="I792" s="15"/>
      <c r="J792" s="15"/>
    </row>
    <row r="793" spans="1:12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</row>
    <row r="794" spans="1:12" ht="30" x14ac:dyDescent="0.25">
      <c r="A794" s="2" t="s">
        <v>6</v>
      </c>
      <c r="B794" s="2" t="s">
        <v>7</v>
      </c>
      <c r="C794" s="2" t="s">
        <v>8</v>
      </c>
      <c r="D794" s="2" t="s">
        <v>9</v>
      </c>
      <c r="E794" s="2" t="s">
        <v>10</v>
      </c>
      <c r="F794" s="2" t="s">
        <v>11</v>
      </c>
      <c r="G794" s="2" t="s">
        <v>12</v>
      </c>
      <c r="H794" s="2" t="s">
        <v>13</v>
      </c>
      <c r="I794" s="2" t="s">
        <v>14</v>
      </c>
      <c r="J794" s="2" t="s">
        <v>15</v>
      </c>
      <c r="K794" s="2" t="s">
        <v>16</v>
      </c>
      <c r="L794" s="2" t="s">
        <v>17</v>
      </c>
    </row>
    <row r="795" spans="1:12" x14ac:dyDescent="0.25">
      <c r="A795" s="3">
        <v>45710.250601851847</v>
      </c>
      <c r="B795" t="s">
        <v>38</v>
      </c>
      <c r="C795" s="3">
        <v>45710.482453703706</v>
      </c>
      <c r="D795" t="s">
        <v>166</v>
      </c>
      <c r="E795" s="4">
        <v>91.462999999999994</v>
      </c>
      <c r="F795" s="4">
        <v>48522.728000000003</v>
      </c>
      <c r="G795" s="4">
        <v>48614.190999999999</v>
      </c>
      <c r="H795" s="5">
        <f>6641 / 86400</f>
        <v>7.6863425925925932E-2</v>
      </c>
      <c r="I795" t="s">
        <v>28</v>
      </c>
      <c r="J795" t="s">
        <v>33</v>
      </c>
      <c r="K795" s="5">
        <f>20032 / 86400</f>
        <v>0.23185185185185186</v>
      </c>
      <c r="L795" s="5">
        <f>21988 / 86400</f>
        <v>0.25449074074074074</v>
      </c>
    </row>
    <row r="796" spans="1:12" x14ac:dyDescent="0.25">
      <c r="A796" s="3">
        <v>45710.486342592594</v>
      </c>
      <c r="B796" t="s">
        <v>166</v>
      </c>
      <c r="C796" s="3">
        <v>45710.490451388891</v>
      </c>
      <c r="D796" t="s">
        <v>81</v>
      </c>
      <c r="E796" s="4">
        <v>1.286</v>
      </c>
      <c r="F796" s="4">
        <v>48614.190999999999</v>
      </c>
      <c r="G796" s="4">
        <v>48615.476999999999</v>
      </c>
      <c r="H796" s="5">
        <f>19 / 86400</f>
        <v>2.199074074074074E-4</v>
      </c>
      <c r="I796" t="s">
        <v>56</v>
      </c>
      <c r="J796" t="s">
        <v>45</v>
      </c>
      <c r="K796" s="5">
        <f>355 / 86400</f>
        <v>4.1087962962962962E-3</v>
      </c>
      <c r="L796" s="5">
        <f>1 / 86400</f>
        <v>1.1574074074074073E-5</v>
      </c>
    </row>
    <row r="797" spans="1:12" x14ac:dyDescent="0.25">
      <c r="A797" s="3">
        <v>45710.49046296296</v>
      </c>
      <c r="B797" t="s">
        <v>81</v>
      </c>
      <c r="C797" s="3">
        <v>45710.498773148152</v>
      </c>
      <c r="D797" t="s">
        <v>81</v>
      </c>
      <c r="E797" s="4">
        <v>0.11799999999999999</v>
      </c>
      <c r="F797" s="4">
        <v>48615.476999999999</v>
      </c>
      <c r="G797" s="4">
        <v>48615.595000000001</v>
      </c>
      <c r="H797" s="5">
        <f>639 / 86400</f>
        <v>7.3958333333333333E-3</v>
      </c>
      <c r="I797" t="s">
        <v>31</v>
      </c>
      <c r="J797" t="s">
        <v>124</v>
      </c>
      <c r="K797" s="5">
        <f>717 / 86400</f>
        <v>8.2986111111111108E-3</v>
      </c>
      <c r="L797" s="5">
        <f>109 / 86400</f>
        <v>1.261574074074074E-3</v>
      </c>
    </row>
    <row r="798" spans="1:12" x14ac:dyDescent="0.25">
      <c r="A798" s="3">
        <v>45710.500034722223</v>
      </c>
      <c r="B798" t="s">
        <v>81</v>
      </c>
      <c r="C798" s="3">
        <v>45710.500810185185</v>
      </c>
      <c r="D798" t="s">
        <v>72</v>
      </c>
      <c r="E798" s="4">
        <v>0.216</v>
      </c>
      <c r="F798" s="4">
        <v>48615.595000000001</v>
      </c>
      <c r="G798" s="4">
        <v>48615.811000000002</v>
      </c>
      <c r="H798" s="5">
        <f>20 / 86400</f>
        <v>2.3148148148148149E-4</v>
      </c>
      <c r="I798" t="s">
        <v>167</v>
      </c>
      <c r="J798" t="s">
        <v>139</v>
      </c>
      <c r="K798" s="5">
        <f>66 / 86400</f>
        <v>7.6388888888888893E-4</v>
      </c>
      <c r="L798" s="5">
        <f>2169 / 86400</f>
        <v>2.5104166666666667E-2</v>
      </c>
    </row>
    <row r="799" spans="1:12" x14ac:dyDescent="0.25">
      <c r="A799" s="3">
        <v>45710.525914351849</v>
      </c>
      <c r="B799" t="s">
        <v>136</v>
      </c>
      <c r="C799" s="3">
        <v>45710.78292824074</v>
      </c>
      <c r="D799" t="s">
        <v>86</v>
      </c>
      <c r="E799" s="4">
        <v>91.311000000000007</v>
      </c>
      <c r="F799" s="4">
        <v>48615.811000000002</v>
      </c>
      <c r="G799" s="4">
        <v>48707.122000000003</v>
      </c>
      <c r="H799" s="5">
        <f>9039 / 86400</f>
        <v>0.10461805555555556</v>
      </c>
      <c r="I799" t="s">
        <v>41</v>
      </c>
      <c r="J799" t="s">
        <v>42</v>
      </c>
      <c r="K799" s="5">
        <f>22205 / 86400</f>
        <v>0.25700231481481484</v>
      </c>
      <c r="L799" s="5">
        <f>168 / 86400</f>
        <v>1.9444444444444444E-3</v>
      </c>
    </row>
    <row r="800" spans="1:12" x14ac:dyDescent="0.25">
      <c r="A800" s="3">
        <v>45710.784872685181</v>
      </c>
      <c r="B800" t="s">
        <v>86</v>
      </c>
      <c r="C800" s="3">
        <v>45710.865995370375</v>
      </c>
      <c r="D800" t="s">
        <v>278</v>
      </c>
      <c r="E800" s="4">
        <v>37.79</v>
      </c>
      <c r="F800" s="4">
        <v>48707.122000000003</v>
      </c>
      <c r="G800" s="4">
        <v>48744.911999999997</v>
      </c>
      <c r="H800" s="5">
        <f>1760 / 86400</f>
        <v>2.0370370370370372E-2</v>
      </c>
      <c r="I800" t="s">
        <v>149</v>
      </c>
      <c r="J800" t="s">
        <v>80</v>
      </c>
      <c r="K800" s="5">
        <f>7008 / 86400</f>
        <v>8.1111111111111106E-2</v>
      </c>
      <c r="L800" s="5">
        <f>32 / 86400</f>
        <v>3.7037037037037035E-4</v>
      </c>
    </row>
    <row r="801" spans="1:12" x14ac:dyDescent="0.25">
      <c r="A801" s="3">
        <v>45710.866365740745</v>
      </c>
      <c r="B801" t="s">
        <v>278</v>
      </c>
      <c r="C801" s="3">
        <v>45710.868020833332</v>
      </c>
      <c r="D801" t="s">
        <v>278</v>
      </c>
      <c r="E801" s="4">
        <v>6.2E-2</v>
      </c>
      <c r="F801" s="4">
        <v>48744.911999999997</v>
      </c>
      <c r="G801" s="4">
        <v>48744.974000000002</v>
      </c>
      <c r="H801" s="5">
        <f>100 / 86400</f>
        <v>1.1574074074074073E-3</v>
      </c>
      <c r="I801" t="s">
        <v>156</v>
      </c>
      <c r="J801" t="s">
        <v>113</v>
      </c>
      <c r="K801" s="5">
        <f>143 / 86400</f>
        <v>1.6550925925925926E-3</v>
      </c>
      <c r="L801" s="5">
        <f>306 / 86400</f>
        <v>3.5416666666666665E-3</v>
      </c>
    </row>
    <row r="802" spans="1:12" x14ac:dyDescent="0.25">
      <c r="A802" s="3">
        <v>45710.871562500004</v>
      </c>
      <c r="B802" t="s">
        <v>278</v>
      </c>
      <c r="C802" s="3">
        <v>45710.986793981487</v>
      </c>
      <c r="D802" t="s">
        <v>84</v>
      </c>
      <c r="E802" s="4">
        <v>54.057000000000002</v>
      </c>
      <c r="F802" s="4">
        <v>48744.974000000002</v>
      </c>
      <c r="G802" s="4">
        <v>48799.031000000003</v>
      </c>
      <c r="H802" s="5">
        <f>2459 / 86400</f>
        <v>2.8460648148148148E-2</v>
      </c>
      <c r="I802" t="s">
        <v>83</v>
      </c>
      <c r="J802" t="s">
        <v>64</v>
      </c>
      <c r="K802" s="5">
        <f>9956 / 86400</f>
        <v>0.11523148148148148</v>
      </c>
      <c r="L802" s="5">
        <f>433 / 86400</f>
        <v>5.0115740740740737E-3</v>
      </c>
    </row>
    <row r="803" spans="1:12" x14ac:dyDescent="0.25">
      <c r="A803" s="3">
        <v>45710.991805555561</v>
      </c>
      <c r="B803" t="s">
        <v>84</v>
      </c>
      <c r="C803" s="3">
        <v>45710.998379629629</v>
      </c>
      <c r="D803" t="s">
        <v>38</v>
      </c>
      <c r="E803" s="4">
        <v>2.343</v>
      </c>
      <c r="F803" s="4">
        <v>48799.031000000003</v>
      </c>
      <c r="G803" s="4">
        <v>48801.374000000003</v>
      </c>
      <c r="H803" s="5">
        <f>259 / 86400</f>
        <v>2.9976851851851853E-3</v>
      </c>
      <c r="I803" t="s">
        <v>234</v>
      </c>
      <c r="J803" t="s">
        <v>42</v>
      </c>
      <c r="K803" s="5">
        <f>567 / 86400</f>
        <v>6.5624999999999998E-3</v>
      </c>
      <c r="L803" s="5">
        <f>139 / 86400</f>
        <v>1.6087962962962963E-3</v>
      </c>
    </row>
    <row r="804" spans="1:1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</row>
    <row r="805" spans="1:12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</row>
    <row r="806" spans="1:12" s="10" customFormat="1" ht="20.100000000000001" customHeight="1" x14ac:dyDescent="0.35">
      <c r="A806" s="15" t="s">
        <v>447</v>
      </c>
      <c r="B806" s="15"/>
      <c r="C806" s="15"/>
      <c r="D806" s="15"/>
      <c r="E806" s="15"/>
      <c r="F806" s="15"/>
      <c r="G806" s="15"/>
      <c r="H806" s="15"/>
      <c r="I806" s="15"/>
      <c r="J806" s="15"/>
    </row>
    <row r="807" spans="1:12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</row>
    <row r="808" spans="1:12" ht="30" x14ac:dyDescent="0.25">
      <c r="A808" s="2" t="s">
        <v>6</v>
      </c>
      <c r="B808" s="2" t="s">
        <v>7</v>
      </c>
      <c r="C808" s="2" t="s">
        <v>8</v>
      </c>
      <c r="D808" s="2" t="s">
        <v>9</v>
      </c>
      <c r="E808" s="2" t="s">
        <v>10</v>
      </c>
      <c r="F808" s="2" t="s">
        <v>11</v>
      </c>
      <c r="G808" s="2" t="s">
        <v>12</v>
      </c>
      <c r="H808" s="2" t="s">
        <v>13</v>
      </c>
      <c r="I808" s="2" t="s">
        <v>14</v>
      </c>
      <c r="J808" s="2" t="s">
        <v>15</v>
      </c>
      <c r="K808" s="2" t="s">
        <v>16</v>
      </c>
      <c r="L808" s="2" t="s">
        <v>17</v>
      </c>
    </row>
    <row r="809" spans="1:12" x14ac:dyDescent="0.25">
      <c r="A809" s="3">
        <v>45710</v>
      </c>
      <c r="B809" t="s">
        <v>78</v>
      </c>
      <c r="C809" s="3">
        <v>45710.032893518517</v>
      </c>
      <c r="D809" t="s">
        <v>379</v>
      </c>
      <c r="E809" s="4">
        <v>13.891999999999999</v>
      </c>
      <c r="F809" s="4">
        <v>530121.94700000004</v>
      </c>
      <c r="G809" s="4">
        <v>530135.83900000004</v>
      </c>
      <c r="H809" s="5">
        <f>920 / 86400</f>
        <v>1.0648148148148148E-2</v>
      </c>
      <c r="I809" t="s">
        <v>44</v>
      </c>
      <c r="J809" t="s">
        <v>20</v>
      </c>
      <c r="K809" s="5">
        <f>2842 / 86400</f>
        <v>3.2893518518518516E-2</v>
      </c>
      <c r="L809" s="5">
        <f>139 / 86400</f>
        <v>1.6087962962962963E-3</v>
      </c>
    </row>
    <row r="810" spans="1:12" x14ac:dyDescent="0.25">
      <c r="A810" s="3">
        <v>45710.034502314811</v>
      </c>
      <c r="B810" t="s">
        <v>379</v>
      </c>
      <c r="C810" s="3">
        <v>45710.036203703705</v>
      </c>
      <c r="D810" t="s">
        <v>379</v>
      </c>
      <c r="E810" s="4">
        <v>1.3999999940395354E-2</v>
      </c>
      <c r="F810" s="4">
        <v>530135.83900000004</v>
      </c>
      <c r="G810" s="4">
        <v>530135.853</v>
      </c>
      <c r="H810" s="5">
        <f>120 / 86400</f>
        <v>1.3888888888888889E-3</v>
      </c>
      <c r="I810" t="s">
        <v>156</v>
      </c>
      <c r="J810" t="s">
        <v>77</v>
      </c>
      <c r="K810" s="5">
        <f>147 / 86400</f>
        <v>1.7013888888888888E-3</v>
      </c>
      <c r="L810" s="5">
        <f>325 / 86400</f>
        <v>3.7615740740740739E-3</v>
      </c>
    </row>
    <row r="811" spans="1:12" x14ac:dyDescent="0.25">
      <c r="A811" s="3">
        <v>45710.039965277778</v>
      </c>
      <c r="B811" t="s">
        <v>379</v>
      </c>
      <c r="C811" s="3">
        <v>45710.092453703706</v>
      </c>
      <c r="D811" t="s">
        <v>383</v>
      </c>
      <c r="E811" s="4">
        <v>30.757000000000001</v>
      </c>
      <c r="F811" s="4">
        <v>530135.853</v>
      </c>
      <c r="G811" s="4">
        <v>530166.61</v>
      </c>
      <c r="H811" s="5">
        <f>1220 / 86400</f>
        <v>1.412037037037037E-2</v>
      </c>
      <c r="I811" t="s">
        <v>106</v>
      </c>
      <c r="J811" t="s">
        <v>137</v>
      </c>
      <c r="K811" s="5">
        <f>4535 / 86400</f>
        <v>5.2488425925925924E-2</v>
      </c>
      <c r="L811" s="5">
        <f>285 / 86400</f>
        <v>3.2986111111111111E-3</v>
      </c>
    </row>
    <row r="812" spans="1:12" x14ac:dyDescent="0.25">
      <c r="A812" s="3">
        <v>45710.09575231481</v>
      </c>
      <c r="B812" t="s">
        <v>383</v>
      </c>
      <c r="C812" s="3">
        <v>45710.098807870367</v>
      </c>
      <c r="D812" t="s">
        <v>383</v>
      </c>
      <c r="E812" s="4">
        <v>0.84700000005960463</v>
      </c>
      <c r="F812" s="4">
        <v>530166.61</v>
      </c>
      <c r="G812" s="4">
        <v>530167.45700000005</v>
      </c>
      <c r="H812" s="5">
        <f>19 / 86400</f>
        <v>2.199074074074074E-4</v>
      </c>
      <c r="I812" t="s">
        <v>37</v>
      </c>
      <c r="J812" t="s">
        <v>139</v>
      </c>
      <c r="K812" s="5">
        <f>264 / 86400</f>
        <v>3.0555555555555557E-3</v>
      </c>
      <c r="L812" s="5">
        <f>10938 / 86400</f>
        <v>0.12659722222222222</v>
      </c>
    </row>
    <row r="813" spans="1:12" x14ac:dyDescent="0.25">
      <c r="A813" s="3">
        <v>45710.225405092591</v>
      </c>
      <c r="B813" t="s">
        <v>383</v>
      </c>
      <c r="C813" s="3">
        <v>45710.23501157407</v>
      </c>
      <c r="D813" t="s">
        <v>35</v>
      </c>
      <c r="E813" s="4">
        <v>6.1829999999403951</v>
      </c>
      <c r="F813" s="4">
        <v>530167.45700000005</v>
      </c>
      <c r="G813" s="4">
        <v>530173.64</v>
      </c>
      <c r="H813" s="5">
        <f>59 / 86400</f>
        <v>6.8287037037037036E-4</v>
      </c>
      <c r="I813" t="s">
        <v>244</v>
      </c>
      <c r="J813" t="s">
        <v>30</v>
      </c>
      <c r="K813" s="5">
        <f>829 / 86400</f>
        <v>9.5949074074074079E-3</v>
      </c>
      <c r="L813" s="5">
        <f>187 / 86400</f>
        <v>2.1643518518518518E-3</v>
      </c>
    </row>
    <row r="814" spans="1:12" x14ac:dyDescent="0.25">
      <c r="A814" s="3">
        <v>45710.237175925926</v>
      </c>
      <c r="B814" t="s">
        <v>35</v>
      </c>
      <c r="C814" s="3">
        <v>45710.356817129628</v>
      </c>
      <c r="D814" t="s">
        <v>384</v>
      </c>
      <c r="E814" s="4">
        <v>65.289000000000001</v>
      </c>
      <c r="F814" s="4">
        <v>530173.64</v>
      </c>
      <c r="G814" s="4">
        <v>530238.929</v>
      </c>
      <c r="H814" s="5">
        <f>2859 / 86400</f>
        <v>3.3090277777777781E-2</v>
      </c>
      <c r="I814" t="s">
        <v>25</v>
      </c>
      <c r="J814" t="s">
        <v>129</v>
      </c>
      <c r="K814" s="5">
        <f>10336 / 86400</f>
        <v>0.11962962962962963</v>
      </c>
      <c r="L814" s="5">
        <f>115 / 86400</f>
        <v>1.3310185185185185E-3</v>
      </c>
    </row>
    <row r="815" spans="1:12" x14ac:dyDescent="0.25">
      <c r="A815" s="3">
        <v>45710.358148148152</v>
      </c>
      <c r="B815" t="s">
        <v>385</v>
      </c>
      <c r="C815" s="3">
        <v>45710.361180555556</v>
      </c>
      <c r="D815" t="s">
        <v>122</v>
      </c>
      <c r="E815" s="4">
        <v>1.0209999999403954</v>
      </c>
      <c r="F815" s="4">
        <v>530238.929</v>
      </c>
      <c r="G815" s="4">
        <v>530239.94999999995</v>
      </c>
      <c r="H815" s="5">
        <f>40 / 86400</f>
        <v>4.6296296296296298E-4</v>
      </c>
      <c r="I815" t="s">
        <v>195</v>
      </c>
      <c r="J815" t="s">
        <v>26</v>
      </c>
      <c r="K815" s="5">
        <f>262 / 86400</f>
        <v>3.0324074074074073E-3</v>
      </c>
      <c r="L815" s="5">
        <f>93 / 86400</f>
        <v>1.0763888888888889E-3</v>
      </c>
    </row>
    <row r="816" spans="1:12" x14ac:dyDescent="0.25">
      <c r="A816" s="3">
        <v>45710.362256944441</v>
      </c>
      <c r="B816" t="s">
        <v>122</v>
      </c>
      <c r="C816" s="3">
        <v>45710.362384259264</v>
      </c>
      <c r="D816" t="s">
        <v>122</v>
      </c>
      <c r="E816" s="4">
        <v>6.0000000596046451E-3</v>
      </c>
      <c r="F816" s="4">
        <v>530239.94999999995</v>
      </c>
      <c r="G816" s="4">
        <v>530239.95600000001</v>
      </c>
      <c r="H816" s="5">
        <f>0 / 86400</f>
        <v>0</v>
      </c>
      <c r="I816" t="s">
        <v>77</v>
      </c>
      <c r="J816" t="s">
        <v>113</v>
      </c>
      <c r="K816" s="5">
        <f>10 / 86400</f>
        <v>1.1574074074074075E-4</v>
      </c>
      <c r="L816" s="5">
        <f>1737 / 86400</f>
        <v>2.0104166666666666E-2</v>
      </c>
    </row>
    <row r="817" spans="1:12" x14ac:dyDescent="0.25">
      <c r="A817" s="3">
        <v>45710.382488425923</v>
      </c>
      <c r="B817" t="s">
        <v>122</v>
      </c>
      <c r="C817" s="3">
        <v>45710.386458333334</v>
      </c>
      <c r="D817" t="s">
        <v>128</v>
      </c>
      <c r="E817" s="4">
        <v>1.2030000000000001</v>
      </c>
      <c r="F817" s="4">
        <v>530239.95600000001</v>
      </c>
      <c r="G817" s="4">
        <v>530241.15899999999</v>
      </c>
      <c r="H817" s="5">
        <f>40 / 86400</f>
        <v>4.6296296296296298E-4</v>
      </c>
      <c r="I817" t="s">
        <v>192</v>
      </c>
      <c r="J817" t="s">
        <v>45</v>
      </c>
      <c r="K817" s="5">
        <f>343 / 86400</f>
        <v>3.9699074074074072E-3</v>
      </c>
      <c r="L817" s="5">
        <f>1382 / 86400</f>
        <v>1.5995370370370372E-2</v>
      </c>
    </row>
    <row r="818" spans="1:12" x14ac:dyDescent="0.25">
      <c r="A818" s="3">
        <v>45710.402453703704</v>
      </c>
      <c r="B818" t="s">
        <v>128</v>
      </c>
      <c r="C818" s="3">
        <v>45710.516736111109</v>
      </c>
      <c r="D818" t="s">
        <v>329</v>
      </c>
      <c r="E818" s="4">
        <v>47.425000000059605</v>
      </c>
      <c r="F818" s="4">
        <v>530241.15899999999</v>
      </c>
      <c r="G818" s="4">
        <v>530288.58400000003</v>
      </c>
      <c r="H818" s="5">
        <f>3801 / 86400</f>
        <v>4.3993055555555556E-2</v>
      </c>
      <c r="I818" t="s">
        <v>110</v>
      </c>
      <c r="J818" t="s">
        <v>29</v>
      </c>
      <c r="K818" s="5">
        <f>9873 / 86400</f>
        <v>0.11427083333333334</v>
      </c>
      <c r="L818" s="5">
        <f>13 / 86400</f>
        <v>1.5046296296296297E-4</v>
      </c>
    </row>
    <row r="819" spans="1:12" x14ac:dyDescent="0.25">
      <c r="A819" s="3">
        <v>45710.516886574071</v>
      </c>
      <c r="B819" t="s">
        <v>329</v>
      </c>
      <c r="C819" s="3">
        <v>45710.517002314809</v>
      </c>
      <c r="D819" t="s">
        <v>329</v>
      </c>
      <c r="E819" s="4">
        <v>5.9999998807907101E-3</v>
      </c>
      <c r="F819" s="4">
        <v>530288.58400000003</v>
      </c>
      <c r="G819" s="4">
        <v>530288.59</v>
      </c>
      <c r="H819" s="5">
        <f>0 / 86400</f>
        <v>0</v>
      </c>
      <c r="I819" t="s">
        <v>156</v>
      </c>
      <c r="J819" t="s">
        <v>113</v>
      </c>
      <c r="K819" s="5">
        <f>10 / 86400</f>
        <v>1.1574074074074075E-4</v>
      </c>
      <c r="L819" s="5">
        <f>106 / 86400</f>
        <v>1.2268518518518518E-3</v>
      </c>
    </row>
    <row r="820" spans="1:12" x14ac:dyDescent="0.25">
      <c r="A820" s="3">
        <v>45710.518229166672</v>
      </c>
      <c r="B820" t="s">
        <v>329</v>
      </c>
      <c r="C820" s="3">
        <v>45710.639814814815</v>
      </c>
      <c r="D820" t="s">
        <v>81</v>
      </c>
      <c r="E820" s="4">
        <v>51.808000000119208</v>
      </c>
      <c r="F820" s="4">
        <v>530288.59</v>
      </c>
      <c r="G820" s="4">
        <v>530340.39800000004</v>
      </c>
      <c r="H820" s="5">
        <f>3618 / 86400</f>
        <v>4.1875000000000002E-2</v>
      </c>
      <c r="I820" t="s">
        <v>149</v>
      </c>
      <c r="J820" t="s">
        <v>20</v>
      </c>
      <c r="K820" s="5">
        <f>10504 / 86400</f>
        <v>0.12157407407407407</v>
      </c>
      <c r="L820" s="5">
        <f>280 / 86400</f>
        <v>3.2407407407407406E-3</v>
      </c>
    </row>
    <row r="821" spans="1:12" x14ac:dyDescent="0.25">
      <c r="A821" s="3">
        <v>45710.643055555556</v>
      </c>
      <c r="B821" t="s">
        <v>81</v>
      </c>
      <c r="C821" s="3">
        <v>45710.644282407404</v>
      </c>
      <c r="D821" t="s">
        <v>81</v>
      </c>
      <c r="E821" s="4">
        <v>0.11</v>
      </c>
      <c r="F821" s="4">
        <v>530340.39800000004</v>
      </c>
      <c r="G821" s="4">
        <v>530340.50800000003</v>
      </c>
      <c r="H821" s="5">
        <f>79 / 86400</f>
        <v>9.1435185185185185E-4</v>
      </c>
      <c r="I821" t="s">
        <v>132</v>
      </c>
      <c r="J821" t="s">
        <v>75</v>
      </c>
      <c r="K821" s="5">
        <f>105 / 86400</f>
        <v>1.2152777777777778E-3</v>
      </c>
      <c r="L821" s="5">
        <f>5852 / 86400</f>
        <v>6.7731481481481476E-2</v>
      </c>
    </row>
    <row r="822" spans="1:12" x14ac:dyDescent="0.25">
      <c r="A822" s="3">
        <v>45710.712013888886</v>
      </c>
      <c r="B822" t="s">
        <v>81</v>
      </c>
      <c r="C822" s="3">
        <v>45710.712916666671</v>
      </c>
      <c r="D822" t="s">
        <v>72</v>
      </c>
      <c r="E822" s="4">
        <v>0.11499999994039535</v>
      </c>
      <c r="F822" s="4">
        <v>530340.50800000003</v>
      </c>
      <c r="G822" s="4">
        <v>530340.62300000002</v>
      </c>
      <c r="H822" s="5">
        <f>19 / 86400</f>
        <v>2.199074074074074E-4</v>
      </c>
      <c r="I822" t="s">
        <v>139</v>
      </c>
      <c r="J822" t="s">
        <v>156</v>
      </c>
      <c r="K822" s="5">
        <f>77 / 86400</f>
        <v>8.9120370370370373E-4</v>
      </c>
      <c r="L822" s="5">
        <f>563 / 86400</f>
        <v>6.5162037037037037E-3</v>
      </c>
    </row>
    <row r="823" spans="1:12" x14ac:dyDescent="0.25">
      <c r="A823" s="3">
        <v>45710.71943287037</v>
      </c>
      <c r="B823" t="s">
        <v>72</v>
      </c>
      <c r="C823" s="3">
        <v>45710.80877314815</v>
      </c>
      <c r="D823" t="s">
        <v>278</v>
      </c>
      <c r="E823" s="4">
        <v>40.104999999999997</v>
      </c>
      <c r="F823" s="4">
        <v>530340.62300000002</v>
      </c>
      <c r="G823" s="4">
        <v>530380.728</v>
      </c>
      <c r="H823" s="5">
        <f>2498 / 86400</f>
        <v>2.8912037037037038E-2</v>
      </c>
      <c r="I823" t="s">
        <v>44</v>
      </c>
      <c r="J823" t="s">
        <v>80</v>
      </c>
      <c r="K823" s="5">
        <f>7719 / 86400</f>
        <v>8.9340277777777782E-2</v>
      </c>
      <c r="L823" s="5">
        <f>198 / 86400</f>
        <v>2.2916666666666667E-3</v>
      </c>
    </row>
    <row r="824" spans="1:12" x14ac:dyDescent="0.25">
      <c r="A824" s="3">
        <v>45710.811064814814</v>
      </c>
      <c r="B824" t="s">
        <v>278</v>
      </c>
      <c r="C824" s="3">
        <v>45710.910659722227</v>
      </c>
      <c r="D824" t="s">
        <v>311</v>
      </c>
      <c r="E824" s="4">
        <v>37.085999999999999</v>
      </c>
      <c r="F824" s="4">
        <v>530380.728</v>
      </c>
      <c r="G824" s="4">
        <v>530417.81400000001</v>
      </c>
      <c r="H824" s="5">
        <f>3680 / 86400</f>
        <v>4.2592592592592592E-2</v>
      </c>
      <c r="I824" t="s">
        <v>41</v>
      </c>
      <c r="J824" t="s">
        <v>33</v>
      </c>
      <c r="K824" s="5">
        <f>8605 / 86400</f>
        <v>9.959490740740741E-2</v>
      </c>
      <c r="L824" s="5">
        <f>1972 / 86400</f>
        <v>2.2824074074074073E-2</v>
      </c>
    </row>
    <row r="825" spans="1:12" x14ac:dyDescent="0.25">
      <c r="A825" s="3">
        <v>45710.933483796296</v>
      </c>
      <c r="B825" t="s">
        <v>311</v>
      </c>
      <c r="C825" s="3">
        <v>45710.942500000005</v>
      </c>
      <c r="D825" t="s">
        <v>311</v>
      </c>
      <c r="E825" s="4">
        <v>7.6999999940395358E-2</v>
      </c>
      <c r="F825" s="4">
        <v>530417.81400000001</v>
      </c>
      <c r="G825" s="4">
        <v>530417.89099999995</v>
      </c>
      <c r="H825" s="5">
        <f>699 / 86400</f>
        <v>8.0902777777777778E-3</v>
      </c>
      <c r="I825" t="s">
        <v>132</v>
      </c>
      <c r="J825" t="s">
        <v>77</v>
      </c>
      <c r="K825" s="5">
        <f>779 / 86400</f>
        <v>9.0162037037037034E-3</v>
      </c>
      <c r="L825" s="5">
        <f>190 / 86400</f>
        <v>2.1990740740740742E-3</v>
      </c>
    </row>
    <row r="826" spans="1:12" x14ac:dyDescent="0.25">
      <c r="A826" s="3">
        <v>45710.944699074069</v>
      </c>
      <c r="B826" t="s">
        <v>311</v>
      </c>
      <c r="C826" s="3">
        <v>45710.99998842593</v>
      </c>
      <c r="D826" t="s">
        <v>79</v>
      </c>
      <c r="E826" s="4">
        <v>27.63</v>
      </c>
      <c r="F826" s="4">
        <v>530417.89099999995</v>
      </c>
      <c r="G826" s="4">
        <v>530445.52099999995</v>
      </c>
      <c r="H826" s="5">
        <f>2120 / 86400</f>
        <v>2.4537037037037038E-2</v>
      </c>
      <c r="I826" t="s">
        <v>36</v>
      </c>
      <c r="J826" t="s">
        <v>135</v>
      </c>
      <c r="K826" s="5">
        <f>4777 / 86400</f>
        <v>5.5289351851851853E-2</v>
      </c>
      <c r="L826" s="5">
        <f>0 / 86400</f>
        <v>0</v>
      </c>
    </row>
    <row r="827" spans="1:1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</row>
    <row r="828" spans="1:1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</row>
    <row r="829" spans="1:12" s="10" customFormat="1" ht="20.100000000000001" customHeight="1" x14ac:dyDescent="0.35">
      <c r="A829" s="15" t="s">
        <v>448</v>
      </c>
      <c r="B829" s="15"/>
      <c r="C829" s="15"/>
      <c r="D829" s="15"/>
      <c r="E829" s="15"/>
      <c r="F829" s="15"/>
      <c r="G829" s="15"/>
      <c r="H829" s="15"/>
      <c r="I829" s="15"/>
      <c r="J829" s="15"/>
    </row>
    <row r="830" spans="1:1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</row>
    <row r="831" spans="1:12" ht="30" x14ac:dyDescent="0.25">
      <c r="A831" s="2" t="s">
        <v>6</v>
      </c>
      <c r="B831" s="2" t="s">
        <v>7</v>
      </c>
      <c r="C831" s="2" t="s">
        <v>8</v>
      </c>
      <c r="D831" s="2" t="s">
        <v>9</v>
      </c>
      <c r="E831" s="2" t="s">
        <v>10</v>
      </c>
      <c r="F831" s="2" t="s">
        <v>11</v>
      </c>
      <c r="G831" s="2" t="s">
        <v>12</v>
      </c>
      <c r="H831" s="2" t="s">
        <v>13</v>
      </c>
      <c r="I831" s="2" t="s">
        <v>14</v>
      </c>
      <c r="J831" s="2" t="s">
        <v>15</v>
      </c>
      <c r="K831" s="2" t="s">
        <v>16</v>
      </c>
      <c r="L831" s="2" t="s">
        <v>17</v>
      </c>
    </row>
    <row r="832" spans="1:12" x14ac:dyDescent="0.25">
      <c r="A832" s="3">
        <v>45710.21292824074</v>
      </c>
      <c r="B832" t="s">
        <v>38</v>
      </c>
      <c r="C832" s="3">
        <v>45710.214895833335</v>
      </c>
      <c r="D832" t="s">
        <v>94</v>
      </c>
      <c r="E832" s="4">
        <v>0.40600000000000003</v>
      </c>
      <c r="F832" s="4">
        <v>569551.15</v>
      </c>
      <c r="G832" s="4">
        <v>569551.55599999998</v>
      </c>
      <c r="H832" s="5">
        <f>20 / 86400</f>
        <v>2.3148148148148149E-4</v>
      </c>
      <c r="I832" t="s">
        <v>137</v>
      </c>
      <c r="J832" t="s">
        <v>132</v>
      </c>
      <c r="K832" s="5">
        <f>170 / 86400</f>
        <v>1.9675925925925924E-3</v>
      </c>
      <c r="L832" s="5">
        <f>18429 / 86400</f>
        <v>0.21329861111111112</v>
      </c>
    </row>
    <row r="833" spans="1:12" x14ac:dyDescent="0.25">
      <c r="A833" s="3">
        <v>45710.215266203704</v>
      </c>
      <c r="B833" t="s">
        <v>94</v>
      </c>
      <c r="C833" s="3">
        <v>45710.215520833328</v>
      </c>
      <c r="D833" t="s">
        <v>94</v>
      </c>
      <c r="E833" s="4">
        <v>2E-3</v>
      </c>
      <c r="F833" s="4">
        <v>569551.55599999998</v>
      </c>
      <c r="G833" s="4">
        <v>569551.55799999996</v>
      </c>
      <c r="H833" s="5">
        <f>19 / 86400</f>
        <v>2.199074074074074E-4</v>
      </c>
      <c r="I833" t="s">
        <v>77</v>
      </c>
      <c r="J833" t="s">
        <v>77</v>
      </c>
      <c r="K833" s="5">
        <f>22 / 86400</f>
        <v>2.5462962962962961E-4</v>
      </c>
      <c r="L833" s="5">
        <f>360 / 86400</f>
        <v>4.1666666666666666E-3</v>
      </c>
    </row>
    <row r="834" spans="1:12" x14ac:dyDescent="0.25">
      <c r="A834" s="3">
        <v>45710.219687500001</v>
      </c>
      <c r="B834" t="s">
        <v>94</v>
      </c>
      <c r="C834" s="3">
        <v>45710.219849537039</v>
      </c>
      <c r="D834" t="s">
        <v>94</v>
      </c>
      <c r="E834" s="4">
        <v>4.0000000000000001E-3</v>
      </c>
      <c r="F834" s="4">
        <v>569551.55799999996</v>
      </c>
      <c r="G834" s="4">
        <v>569551.56200000003</v>
      </c>
      <c r="H834" s="5">
        <f>0 / 86400</f>
        <v>0</v>
      </c>
      <c r="I834" t="s">
        <v>77</v>
      </c>
      <c r="J834" t="s">
        <v>124</v>
      </c>
      <c r="K834" s="5">
        <f>13 / 86400</f>
        <v>1.5046296296296297E-4</v>
      </c>
      <c r="L834" s="5">
        <f>50 / 86400</f>
        <v>5.7870370370370367E-4</v>
      </c>
    </row>
    <row r="835" spans="1:12" x14ac:dyDescent="0.25">
      <c r="A835" s="3">
        <v>45710.22042824074</v>
      </c>
      <c r="B835" t="s">
        <v>94</v>
      </c>
      <c r="C835" s="3">
        <v>45710.220543981486</v>
      </c>
      <c r="D835" t="s">
        <v>386</v>
      </c>
      <c r="E835" s="4">
        <v>4.0000000000000001E-3</v>
      </c>
      <c r="F835" s="4">
        <v>569551.56200000003</v>
      </c>
      <c r="G835" s="4">
        <v>569551.56599999999</v>
      </c>
      <c r="H835" s="5">
        <f>0 / 86400</f>
        <v>0</v>
      </c>
      <c r="I835" t="s">
        <v>77</v>
      </c>
      <c r="J835" t="s">
        <v>124</v>
      </c>
      <c r="K835" s="5">
        <f>10 / 86400</f>
        <v>1.1574074074074075E-4</v>
      </c>
      <c r="L835" s="5">
        <f>333 / 86400</f>
        <v>3.8541666666666668E-3</v>
      </c>
    </row>
    <row r="836" spans="1:12" x14ac:dyDescent="0.25">
      <c r="A836" s="3">
        <v>45710.224398148144</v>
      </c>
      <c r="B836" t="s">
        <v>386</v>
      </c>
      <c r="C836" s="3">
        <v>45710.314571759256</v>
      </c>
      <c r="D836" t="s">
        <v>363</v>
      </c>
      <c r="E836" s="4">
        <v>31.425999999999998</v>
      </c>
      <c r="F836" s="4">
        <v>569551.56599999999</v>
      </c>
      <c r="G836" s="4">
        <v>569582.99199999997</v>
      </c>
      <c r="H836" s="5">
        <f>3338 / 86400</f>
        <v>3.8634259259259257E-2</v>
      </c>
      <c r="I836" t="s">
        <v>226</v>
      </c>
      <c r="J836" t="s">
        <v>42</v>
      </c>
      <c r="K836" s="5">
        <f>7790 / 86400</f>
        <v>9.0162037037037041E-2</v>
      </c>
      <c r="L836" s="5">
        <f>102 / 86400</f>
        <v>1.1805555555555556E-3</v>
      </c>
    </row>
    <row r="837" spans="1:12" x14ac:dyDescent="0.25">
      <c r="A837" s="3">
        <v>45710.315752314811</v>
      </c>
      <c r="B837" t="s">
        <v>363</v>
      </c>
      <c r="C837" s="3">
        <v>45710.33761574074</v>
      </c>
      <c r="D837" t="s">
        <v>274</v>
      </c>
      <c r="E837" s="4">
        <v>5.8070000000000004</v>
      </c>
      <c r="F837" s="4">
        <v>569582.99199999997</v>
      </c>
      <c r="G837" s="4">
        <v>569588.799</v>
      </c>
      <c r="H837" s="5">
        <f>819 / 86400</f>
        <v>9.479166666666667E-3</v>
      </c>
      <c r="I837" t="s">
        <v>244</v>
      </c>
      <c r="J837" t="s">
        <v>61</v>
      </c>
      <c r="K837" s="5">
        <f>1889 / 86400</f>
        <v>2.1863425925925925E-2</v>
      </c>
      <c r="L837" s="5">
        <f>2 / 86400</f>
        <v>2.3148148148148147E-5</v>
      </c>
    </row>
    <row r="838" spans="1:12" x14ac:dyDescent="0.25">
      <c r="A838" s="3">
        <v>45710.337638888886</v>
      </c>
      <c r="B838" t="s">
        <v>274</v>
      </c>
      <c r="C838" s="3">
        <v>45710.339525462958</v>
      </c>
      <c r="D838" t="s">
        <v>274</v>
      </c>
      <c r="E838" s="4">
        <v>3.4000000000000002E-2</v>
      </c>
      <c r="F838" s="4">
        <v>569588.799</v>
      </c>
      <c r="G838" s="4">
        <v>569588.83299999998</v>
      </c>
      <c r="H838" s="5">
        <f>139 / 86400</f>
        <v>1.6087962962962963E-3</v>
      </c>
      <c r="I838" t="s">
        <v>156</v>
      </c>
      <c r="J838" t="s">
        <v>124</v>
      </c>
      <c r="K838" s="5">
        <f>163 / 86400</f>
        <v>1.8865740740740742E-3</v>
      </c>
      <c r="L838" s="5">
        <f>60 / 86400</f>
        <v>6.9444444444444447E-4</v>
      </c>
    </row>
    <row r="839" spans="1:12" x14ac:dyDescent="0.25">
      <c r="A839" s="3">
        <v>45710.340219907404</v>
      </c>
      <c r="B839" t="s">
        <v>274</v>
      </c>
      <c r="C839" s="3">
        <v>45710.441562499997</v>
      </c>
      <c r="D839" t="s">
        <v>122</v>
      </c>
      <c r="E839" s="4">
        <v>44.244999999999997</v>
      </c>
      <c r="F839" s="4">
        <v>569588.83299999998</v>
      </c>
      <c r="G839" s="4">
        <v>569633.07799999998</v>
      </c>
      <c r="H839" s="5">
        <f>2318 / 86400</f>
        <v>2.6828703703703705E-2</v>
      </c>
      <c r="I839" t="s">
        <v>181</v>
      </c>
      <c r="J839" t="s">
        <v>20</v>
      </c>
      <c r="K839" s="5">
        <f>8755 / 86400</f>
        <v>0.10133101851851851</v>
      </c>
      <c r="L839" s="5">
        <f>173 / 86400</f>
        <v>2.0023148148148148E-3</v>
      </c>
    </row>
    <row r="840" spans="1:12" x14ac:dyDescent="0.25">
      <c r="A840" s="3">
        <v>45710.443564814814</v>
      </c>
      <c r="B840" t="s">
        <v>122</v>
      </c>
      <c r="C840" s="3">
        <v>45710.443993055553</v>
      </c>
      <c r="D840" t="s">
        <v>122</v>
      </c>
      <c r="E840" s="4">
        <v>1.7999999999999999E-2</v>
      </c>
      <c r="F840" s="4">
        <v>569633.07799999998</v>
      </c>
      <c r="G840" s="4">
        <v>569633.09600000002</v>
      </c>
      <c r="H840" s="5">
        <f>0 / 86400</f>
        <v>0</v>
      </c>
      <c r="I840" t="s">
        <v>156</v>
      </c>
      <c r="J840" t="s">
        <v>113</v>
      </c>
      <c r="K840" s="5">
        <f>36 / 86400</f>
        <v>4.1666666666666669E-4</v>
      </c>
      <c r="L840" s="5">
        <f>2818 / 86400</f>
        <v>3.2615740740740744E-2</v>
      </c>
    </row>
    <row r="841" spans="1:12" x14ac:dyDescent="0.25">
      <c r="A841" s="3">
        <v>45710.476608796293</v>
      </c>
      <c r="B841" t="s">
        <v>122</v>
      </c>
      <c r="C841" s="3">
        <v>45710.616516203707</v>
      </c>
      <c r="D841" t="s">
        <v>387</v>
      </c>
      <c r="E841" s="4">
        <v>49.789000000000001</v>
      </c>
      <c r="F841" s="4">
        <v>569633.09600000002</v>
      </c>
      <c r="G841" s="4">
        <v>569682.88500000001</v>
      </c>
      <c r="H841" s="5">
        <f>4559 / 86400</f>
        <v>5.2766203703703704E-2</v>
      </c>
      <c r="I841" t="s">
        <v>63</v>
      </c>
      <c r="J841" t="s">
        <v>42</v>
      </c>
      <c r="K841" s="5">
        <f>12087 / 86400</f>
        <v>0.13989583333333333</v>
      </c>
      <c r="L841" s="5">
        <f>714 / 86400</f>
        <v>8.2638888888888883E-3</v>
      </c>
    </row>
    <row r="842" spans="1:12" x14ac:dyDescent="0.25">
      <c r="A842" s="3">
        <v>45710.624780092592</v>
      </c>
      <c r="B842" t="s">
        <v>387</v>
      </c>
      <c r="C842" s="3">
        <v>45710.810567129629</v>
      </c>
      <c r="D842" t="s">
        <v>111</v>
      </c>
      <c r="E842" s="4">
        <v>48.036999999999999</v>
      </c>
      <c r="F842" s="4">
        <v>569682.88500000001</v>
      </c>
      <c r="G842" s="4">
        <v>569730.92200000002</v>
      </c>
      <c r="H842" s="5">
        <f>7240 / 86400</f>
        <v>8.3796296296296299E-2</v>
      </c>
      <c r="I842" t="s">
        <v>58</v>
      </c>
      <c r="J842" t="s">
        <v>61</v>
      </c>
      <c r="K842" s="5">
        <f>16051 / 86400</f>
        <v>0.18577546296296296</v>
      </c>
      <c r="L842" s="5">
        <f>107 / 86400</f>
        <v>1.238425925925926E-3</v>
      </c>
    </row>
    <row r="843" spans="1:12" x14ac:dyDescent="0.25">
      <c r="A843" s="3">
        <v>45710.811805555553</v>
      </c>
      <c r="B843" t="s">
        <v>111</v>
      </c>
      <c r="C843" s="3">
        <v>45710.812442129631</v>
      </c>
      <c r="D843" t="s">
        <v>111</v>
      </c>
      <c r="E843" s="4">
        <v>2.7E-2</v>
      </c>
      <c r="F843" s="4">
        <v>569730.92200000002</v>
      </c>
      <c r="G843" s="4">
        <v>569730.94900000002</v>
      </c>
      <c r="H843" s="5">
        <f>19 / 86400</f>
        <v>2.199074074074074E-4</v>
      </c>
      <c r="I843" t="s">
        <v>140</v>
      </c>
      <c r="J843" t="s">
        <v>113</v>
      </c>
      <c r="K843" s="5">
        <f>54 / 86400</f>
        <v>6.2500000000000001E-4</v>
      </c>
      <c r="L843" s="5">
        <f>74 / 86400</f>
        <v>8.564814814814815E-4</v>
      </c>
    </row>
    <row r="844" spans="1:12" x14ac:dyDescent="0.25">
      <c r="A844" s="3">
        <v>45710.813298611116</v>
      </c>
      <c r="B844" t="s">
        <v>111</v>
      </c>
      <c r="C844" s="3">
        <v>45710.813379629632</v>
      </c>
      <c r="D844" t="s">
        <v>111</v>
      </c>
      <c r="E844" s="4">
        <v>3.0000000000000001E-3</v>
      </c>
      <c r="F844" s="4">
        <v>569730.94900000002</v>
      </c>
      <c r="G844" s="4">
        <v>569730.95200000005</v>
      </c>
      <c r="H844" s="5">
        <f>0 / 86400</f>
        <v>0</v>
      </c>
      <c r="I844" t="s">
        <v>77</v>
      </c>
      <c r="J844" t="s">
        <v>113</v>
      </c>
      <c r="K844" s="5">
        <f>6 / 86400</f>
        <v>6.9444444444444444E-5</v>
      </c>
      <c r="L844" s="5">
        <f>494 / 86400</f>
        <v>5.7175925925925927E-3</v>
      </c>
    </row>
    <row r="845" spans="1:12" x14ac:dyDescent="0.25">
      <c r="A845" s="3">
        <v>45710.819097222222</v>
      </c>
      <c r="B845" t="s">
        <v>111</v>
      </c>
      <c r="C845" s="3">
        <v>45710.819525462968</v>
      </c>
      <c r="D845" t="s">
        <v>111</v>
      </c>
      <c r="E845" s="4">
        <v>0.10299999999999999</v>
      </c>
      <c r="F845" s="4">
        <v>569730.95200000005</v>
      </c>
      <c r="G845" s="4">
        <v>569731.05500000005</v>
      </c>
      <c r="H845" s="5">
        <f>0 / 86400</f>
        <v>0</v>
      </c>
      <c r="I845" t="s">
        <v>33</v>
      </c>
      <c r="J845" t="s">
        <v>168</v>
      </c>
      <c r="K845" s="5">
        <f>36 / 86400</f>
        <v>4.1666666666666669E-4</v>
      </c>
      <c r="L845" s="5">
        <f>377 / 86400</f>
        <v>4.363425925925926E-3</v>
      </c>
    </row>
    <row r="846" spans="1:12" x14ac:dyDescent="0.25">
      <c r="A846" s="3">
        <v>45710.823888888888</v>
      </c>
      <c r="B846" t="s">
        <v>111</v>
      </c>
      <c r="C846" s="3">
        <v>45710.828946759255</v>
      </c>
      <c r="D846" t="s">
        <v>111</v>
      </c>
      <c r="E846" s="4">
        <v>1.718</v>
      </c>
      <c r="F846" s="4">
        <v>569731.05500000005</v>
      </c>
      <c r="G846" s="4">
        <v>569732.77300000004</v>
      </c>
      <c r="H846" s="5">
        <f>80 / 86400</f>
        <v>9.2592592592592596E-4</v>
      </c>
      <c r="I846" t="s">
        <v>56</v>
      </c>
      <c r="J846" t="s">
        <v>26</v>
      </c>
      <c r="K846" s="5">
        <f>436 / 86400</f>
        <v>5.0462962962962961E-3</v>
      </c>
      <c r="L846" s="5">
        <f>295 / 86400</f>
        <v>3.414351851851852E-3</v>
      </c>
    </row>
    <row r="847" spans="1:12" x14ac:dyDescent="0.25">
      <c r="A847" s="3">
        <v>45710.832361111112</v>
      </c>
      <c r="B847" t="s">
        <v>111</v>
      </c>
      <c r="C847" s="3">
        <v>45710.834837962961</v>
      </c>
      <c r="D847" t="s">
        <v>24</v>
      </c>
      <c r="E847" s="4">
        <v>0.54</v>
      </c>
      <c r="F847" s="4">
        <v>569732.77300000004</v>
      </c>
      <c r="G847" s="4">
        <v>569733.31299999997</v>
      </c>
      <c r="H847" s="5">
        <f>80 / 86400</f>
        <v>9.2592592592592596E-4</v>
      </c>
      <c r="I847" t="s">
        <v>137</v>
      </c>
      <c r="J847" t="s">
        <v>132</v>
      </c>
      <c r="K847" s="5">
        <f>214 / 86400</f>
        <v>2.476851851851852E-3</v>
      </c>
      <c r="L847" s="5">
        <f>255 / 86400</f>
        <v>2.9513888888888888E-3</v>
      </c>
    </row>
    <row r="848" spans="1:12" x14ac:dyDescent="0.25">
      <c r="A848" s="3">
        <v>45710.837789351848</v>
      </c>
      <c r="B848" t="s">
        <v>24</v>
      </c>
      <c r="C848" s="3">
        <v>45710.838726851856</v>
      </c>
      <c r="D848" t="s">
        <v>24</v>
      </c>
      <c r="E848" s="4">
        <v>0.20699999999999999</v>
      </c>
      <c r="F848" s="4">
        <v>569733.31299999997</v>
      </c>
      <c r="G848" s="4">
        <v>569733.52</v>
      </c>
      <c r="H848" s="5">
        <f>20 / 86400</f>
        <v>2.3148148148148149E-4</v>
      </c>
      <c r="I848" t="s">
        <v>42</v>
      </c>
      <c r="J848" t="s">
        <v>132</v>
      </c>
      <c r="K848" s="5">
        <f>81 / 86400</f>
        <v>9.3749999999999997E-4</v>
      </c>
      <c r="L848" s="5">
        <f>3919 / 86400</f>
        <v>4.5358796296296293E-2</v>
      </c>
    </row>
    <row r="849" spans="1:12" x14ac:dyDescent="0.25">
      <c r="A849" s="3">
        <v>45710.884085648147</v>
      </c>
      <c r="B849" t="s">
        <v>24</v>
      </c>
      <c r="C849" s="3">
        <v>45710.884733796294</v>
      </c>
      <c r="D849" t="s">
        <v>24</v>
      </c>
      <c r="E849" s="4">
        <v>2.4E-2</v>
      </c>
      <c r="F849" s="4">
        <v>569733.52</v>
      </c>
      <c r="G849" s="4">
        <v>569733.54399999999</v>
      </c>
      <c r="H849" s="5">
        <f>20 / 86400</f>
        <v>2.3148148148148149E-4</v>
      </c>
      <c r="I849" t="s">
        <v>31</v>
      </c>
      <c r="J849" t="s">
        <v>113</v>
      </c>
      <c r="K849" s="5">
        <f>55 / 86400</f>
        <v>6.3657407407407413E-4</v>
      </c>
      <c r="L849" s="5">
        <f>9958 / 86400</f>
        <v>0.11525462962962962</v>
      </c>
    </row>
    <row r="850" spans="1:1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</row>
    <row r="851" spans="1:1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</row>
    <row r="852" spans="1:12" s="10" customFormat="1" ht="20.100000000000001" customHeight="1" x14ac:dyDescent="0.35">
      <c r="A852" s="15" t="s">
        <v>449</v>
      </c>
      <c r="B852" s="15"/>
      <c r="C852" s="15"/>
      <c r="D852" s="15"/>
      <c r="E852" s="15"/>
      <c r="F852" s="15"/>
      <c r="G852" s="15"/>
      <c r="H852" s="15"/>
      <c r="I852" s="15"/>
      <c r="J852" s="15"/>
    </row>
    <row r="853" spans="1:12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</row>
    <row r="854" spans="1:12" ht="30" x14ac:dyDescent="0.25">
      <c r="A854" s="2" t="s">
        <v>6</v>
      </c>
      <c r="B854" s="2" t="s">
        <v>7</v>
      </c>
      <c r="C854" s="2" t="s">
        <v>8</v>
      </c>
      <c r="D854" s="2" t="s">
        <v>9</v>
      </c>
      <c r="E854" s="2" t="s">
        <v>10</v>
      </c>
      <c r="F854" s="2" t="s">
        <v>11</v>
      </c>
      <c r="G854" s="2" t="s">
        <v>12</v>
      </c>
      <c r="H854" s="2" t="s">
        <v>13</v>
      </c>
      <c r="I854" s="2" t="s">
        <v>14</v>
      </c>
      <c r="J854" s="2" t="s">
        <v>15</v>
      </c>
      <c r="K854" s="2" t="s">
        <v>16</v>
      </c>
      <c r="L854" s="2" t="s">
        <v>17</v>
      </c>
    </row>
    <row r="855" spans="1:12" x14ac:dyDescent="0.25">
      <c r="A855" s="3">
        <v>45710.197662037041</v>
      </c>
      <c r="B855" t="s">
        <v>81</v>
      </c>
      <c r="C855" s="3">
        <v>45710.200520833328</v>
      </c>
      <c r="D855" t="s">
        <v>72</v>
      </c>
      <c r="E855" s="4">
        <v>0.309</v>
      </c>
      <c r="F855" s="4">
        <v>436407.23300000001</v>
      </c>
      <c r="G855" s="4">
        <v>436407.54200000002</v>
      </c>
      <c r="H855" s="5">
        <f>100 / 86400</f>
        <v>1.1574074074074073E-3</v>
      </c>
      <c r="I855" t="s">
        <v>131</v>
      </c>
      <c r="J855" t="s">
        <v>156</v>
      </c>
      <c r="K855" s="5">
        <f>246 / 86400</f>
        <v>2.8472222222222223E-3</v>
      </c>
      <c r="L855" s="5">
        <f>19135 / 86400</f>
        <v>0.22146990740740741</v>
      </c>
    </row>
    <row r="856" spans="1:12" x14ac:dyDescent="0.25">
      <c r="A856" s="3">
        <v>45710.224328703705</v>
      </c>
      <c r="B856" t="s">
        <v>72</v>
      </c>
      <c r="C856" s="3">
        <v>45710.230624999997</v>
      </c>
      <c r="D856" t="s">
        <v>205</v>
      </c>
      <c r="E856" s="4">
        <v>0.49299999999999999</v>
      </c>
      <c r="F856" s="4">
        <v>436407.54200000002</v>
      </c>
      <c r="G856" s="4">
        <v>436408.03499999997</v>
      </c>
      <c r="H856" s="5">
        <f>399 / 86400</f>
        <v>4.6180555555555558E-3</v>
      </c>
      <c r="I856" t="s">
        <v>188</v>
      </c>
      <c r="J856" t="s">
        <v>143</v>
      </c>
      <c r="K856" s="5">
        <f>543 / 86400</f>
        <v>6.2847222222222219E-3</v>
      </c>
      <c r="L856" s="5">
        <f>175 / 86400</f>
        <v>2.0254629629629629E-3</v>
      </c>
    </row>
    <row r="857" spans="1:12" x14ac:dyDescent="0.25">
      <c r="A857" s="3">
        <v>45710.23265046296</v>
      </c>
      <c r="B857" t="s">
        <v>205</v>
      </c>
      <c r="C857" s="3">
        <v>45710.379212962958</v>
      </c>
      <c r="D857" t="s">
        <v>128</v>
      </c>
      <c r="E857" s="4">
        <v>78.067999999999998</v>
      </c>
      <c r="F857" s="4">
        <v>436408.03499999997</v>
      </c>
      <c r="G857" s="4">
        <v>436486.103</v>
      </c>
      <c r="H857" s="5">
        <f>2600 / 86400</f>
        <v>3.0092592592592591E-2</v>
      </c>
      <c r="I857" t="s">
        <v>44</v>
      </c>
      <c r="J857" t="s">
        <v>37</v>
      </c>
      <c r="K857" s="5">
        <f>12663 / 86400</f>
        <v>0.14656250000000001</v>
      </c>
      <c r="L857" s="5">
        <f>1314 / 86400</f>
        <v>1.5208333333333334E-2</v>
      </c>
    </row>
    <row r="858" spans="1:12" x14ac:dyDescent="0.25">
      <c r="A858" s="3">
        <v>45710.394421296296</v>
      </c>
      <c r="B858" t="s">
        <v>128</v>
      </c>
      <c r="C858" s="3">
        <v>45710.399097222224</v>
      </c>
      <c r="D858" t="s">
        <v>81</v>
      </c>
      <c r="E858" s="4">
        <v>1.2190000000000001</v>
      </c>
      <c r="F858" s="4">
        <v>436486.103</v>
      </c>
      <c r="G858" s="4">
        <v>436487.32199999999</v>
      </c>
      <c r="H858" s="5">
        <f>139 / 86400</f>
        <v>1.6087962962962963E-3</v>
      </c>
      <c r="I858" t="s">
        <v>158</v>
      </c>
      <c r="J858" t="s">
        <v>61</v>
      </c>
      <c r="K858" s="5">
        <f>403 / 86400</f>
        <v>4.6643518518518518E-3</v>
      </c>
      <c r="L858" s="5">
        <f>2824 / 86400</f>
        <v>3.2685185185185185E-2</v>
      </c>
    </row>
    <row r="859" spans="1:12" x14ac:dyDescent="0.25">
      <c r="A859" s="3">
        <v>45710.43178240741</v>
      </c>
      <c r="B859" t="s">
        <v>81</v>
      </c>
      <c r="C859" s="3">
        <v>45710.725011574075</v>
      </c>
      <c r="D859" t="s">
        <v>81</v>
      </c>
      <c r="E859" s="4">
        <v>100.97</v>
      </c>
      <c r="F859" s="4">
        <v>436487.32199999999</v>
      </c>
      <c r="G859" s="4">
        <v>436588.29200000002</v>
      </c>
      <c r="H859" s="5">
        <f>9659 / 86400</f>
        <v>0.11179398148148148</v>
      </c>
      <c r="I859" t="s">
        <v>47</v>
      </c>
      <c r="J859" t="s">
        <v>26</v>
      </c>
      <c r="K859" s="5">
        <f>25335 / 86400</f>
        <v>0.29322916666666665</v>
      </c>
      <c r="L859" s="5">
        <f>1209 / 86400</f>
        <v>1.3993055555555555E-2</v>
      </c>
    </row>
    <row r="860" spans="1:12" x14ac:dyDescent="0.25">
      <c r="A860" s="3">
        <v>45710.739004629635</v>
      </c>
      <c r="B860" t="s">
        <v>81</v>
      </c>
      <c r="C860" s="3">
        <v>45710.739317129628</v>
      </c>
      <c r="D860" t="s">
        <v>81</v>
      </c>
      <c r="E860" s="4">
        <v>1.0999999999999999E-2</v>
      </c>
      <c r="F860" s="4">
        <v>436588.29200000002</v>
      </c>
      <c r="G860" s="4">
        <v>436588.30300000001</v>
      </c>
      <c r="H860" s="5">
        <f>0 / 86400</f>
        <v>0</v>
      </c>
      <c r="I860" t="s">
        <v>113</v>
      </c>
      <c r="J860" t="s">
        <v>113</v>
      </c>
      <c r="K860" s="5">
        <f>26 / 86400</f>
        <v>3.0092592592592595E-4</v>
      </c>
      <c r="L860" s="5">
        <f>6340 / 86400</f>
        <v>7.3379629629629628E-2</v>
      </c>
    </row>
    <row r="861" spans="1:12" x14ac:dyDescent="0.25">
      <c r="A861" s="3">
        <v>45710.812696759254</v>
      </c>
      <c r="B861" t="s">
        <v>81</v>
      </c>
      <c r="C861" s="3">
        <v>45710.895115740743</v>
      </c>
      <c r="D861" t="s">
        <v>388</v>
      </c>
      <c r="E861" s="4">
        <v>42.268999999999998</v>
      </c>
      <c r="F861" s="4">
        <v>436588.30300000001</v>
      </c>
      <c r="G861" s="4">
        <v>436630.57199999999</v>
      </c>
      <c r="H861" s="5">
        <f>1720 / 86400</f>
        <v>1.9907407407407408E-2</v>
      </c>
      <c r="I861" t="s">
        <v>63</v>
      </c>
      <c r="J861" t="s">
        <v>135</v>
      </c>
      <c r="K861" s="5">
        <f>7120 / 86400</f>
        <v>8.2407407407407401E-2</v>
      </c>
      <c r="L861" s="5">
        <f>255 / 86400</f>
        <v>2.9513888888888888E-3</v>
      </c>
    </row>
    <row r="862" spans="1:12" x14ac:dyDescent="0.25">
      <c r="A862" s="3">
        <v>45710.89806712963</v>
      </c>
      <c r="B862" t="s">
        <v>388</v>
      </c>
      <c r="C862" s="3">
        <v>45710.898831018523</v>
      </c>
      <c r="D862" t="s">
        <v>389</v>
      </c>
      <c r="E862" s="4">
        <v>0.13500000000000001</v>
      </c>
      <c r="F862" s="4">
        <v>436630.57199999999</v>
      </c>
      <c r="G862" s="4">
        <v>436630.70699999999</v>
      </c>
      <c r="H862" s="5">
        <f>20 / 86400</f>
        <v>2.3148148148148149E-4</v>
      </c>
      <c r="I862" t="s">
        <v>132</v>
      </c>
      <c r="J862" t="s">
        <v>140</v>
      </c>
      <c r="K862" s="5">
        <f>66 / 86400</f>
        <v>7.6388888888888893E-4</v>
      </c>
      <c r="L862" s="5">
        <f>5 / 86400</f>
        <v>5.7870370370370373E-5</v>
      </c>
    </row>
    <row r="863" spans="1:12" x14ac:dyDescent="0.25">
      <c r="A863" s="3">
        <v>45710.898888888885</v>
      </c>
      <c r="B863" t="s">
        <v>389</v>
      </c>
      <c r="C863" s="3">
        <v>45710.915219907409</v>
      </c>
      <c r="D863" t="s">
        <v>82</v>
      </c>
      <c r="E863" s="4">
        <v>3.36</v>
      </c>
      <c r="F863" s="4">
        <v>436630.70699999999</v>
      </c>
      <c r="G863" s="4">
        <v>436634.06699999998</v>
      </c>
      <c r="H863" s="5">
        <f>908 / 86400</f>
        <v>1.050925925925926E-2</v>
      </c>
      <c r="I863" t="s">
        <v>173</v>
      </c>
      <c r="J863" t="s">
        <v>132</v>
      </c>
      <c r="K863" s="5">
        <f>1411 / 86400</f>
        <v>1.6331018518518519E-2</v>
      </c>
      <c r="L863" s="5">
        <f>7324 / 86400</f>
        <v>8.4768518518518521E-2</v>
      </c>
    </row>
    <row r="864" spans="1:1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</row>
    <row r="865" spans="1:1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</row>
    <row r="866" spans="1:12" s="10" customFormat="1" ht="20.100000000000001" customHeight="1" x14ac:dyDescent="0.35">
      <c r="A866" s="15" t="s">
        <v>450</v>
      </c>
      <c r="B866" s="15"/>
      <c r="C866" s="15"/>
      <c r="D866" s="15"/>
      <c r="E866" s="15"/>
      <c r="F866" s="15"/>
      <c r="G866" s="15"/>
      <c r="H866" s="15"/>
      <c r="I866" s="15"/>
      <c r="J866" s="15"/>
    </row>
    <row r="867" spans="1:1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</row>
    <row r="868" spans="1:12" ht="30" x14ac:dyDescent="0.25">
      <c r="A868" s="2" t="s">
        <v>6</v>
      </c>
      <c r="B868" s="2" t="s">
        <v>7</v>
      </c>
      <c r="C868" s="2" t="s">
        <v>8</v>
      </c>
      <c r="D868" s="2" t="s">
        <v>9</v>
      </c>
      <c r="E868" s="2" t="s">
        <v>10</v>
      </c>
      <c r="F868" s="2" t="s">
        <v>11</v>
      </c>
      <c r="G868" s="2" t="s">
        <v>12</v>
      </c>
      <c r="H868" s="2" t="s">
        <v>13</v>
      </c>
      <c r="I868" s="2" t="s">
        <v>14</v>
      </c>
      <c r="J868" s="2" t="s">
        <v>15</v>
      </c>
      <c r="K868" s="2" t="s">
        <v>16</v>
      </c>
      <c r="L868" s="2" t="s">
        <v>17</v>
      </c>
    </row>
    <row r="869" spans="1:12" x14ac:dyDescent="0.25">
      <c r="A869" s="3">
        <v>45710.242349537039</v>
      </c>
      <c r="B869" t="s">
        <v>50</v>
      </c>
      <c r="C869" s="3">
        <v>45710.242581018523</v>
      </c>
      <c r="D869" t="s">
        <v>50</v>
      </c>
      <c r="E869" s="4">
        <v>0</v>
      </c>
      <c r="F869" s="4">
        <v>517247.20799999998</v>
      </c>
      <c r="G869" s="4">
        <v>517247.20799999998</v>
      </c>
      <c r="H869" s="5">
        <f>5 / 86400</f>
        <v>5.7870370370370373E-5</v>
      </c>
      <c r="I869" t="s">
        <v>77</v>
      </c>
      <c r="J869" t="s">
        <v>77</v>
      </c>
      <c r="K869" s="5">
        <f>20 / 86400</f>
        <v>2.3148148148148149E-4</v>
      </c>
      <c r="L869" s="5">
        <f>20946 / 86400</f>
        <v>0.24243055555555557</v>
      </c>
    </row>
    <row r="870" spans="1:12" x14ac:dyDescent="0.25">
      <c r="A870" s="3">
        <v>45710.242662037039</v>
      </c>
      <c r="B870" t="s">
        <v>50</v>
      </c>
      <c r="C870" s="3">
        <v>45710.242777777778</v>
      </c>
      <c r="D870" t="s">
        <v>50</v>
      </c>
      <c r="E870" s="4">
        <v>0</v>
      </c>
      <c r="F870" s="4">
        <v>517247.20799999998</v>
      </c>
      <c r="G870" s="4">
        <v>517247.20799999998</v>
      </c>
      <c r="H870" s="5">
        <f>3 / 86400</f>
        <v>3.4722222222222222E-5</v>
      </c>
      <c r="I870" t="s">
        <v>77</v>
      </c>
      <c r="J870" t="s">
        <v>77</v>
      </c>
      <c r="K870" s="5">
        <f>10 / 86400</f>
        <v>1.1574074074074075E-4</v>
      </c>
      <c r="L870" s="5">
        <f>14 / 86400</f>
        <v>1.6203703703703703E-4</v>
      </c>
    </row>
    <row r="871" spans="1:12" x14ac:dyDescent="0.25">
      <c r="A871" s="3">
        <v>45710.242939814816</v>
      </c>
      <c r="B871" t="s">
        <v>50</v>
      </c>
      <c r="C871" s="3">
        <v>45710.243946759263</v>
      </c>
      <c r="D871" t="s">
        <v>50</v>
      </c>
      <c r="E871" s="4">
        <v>0</v>
      </c>
      <c r="F871" s="4">
        <v>517247.20799999998</v>
      </c>
      <c r="G871" s="4">
        <v>517247.20799999998</v>
      </c>
      <c r="H871" s="5">
        <f>69 / 86400</f>
        <v>7.9861111111111116E-4</v>
      </c>
      <c r="I871" t="s">
        <v>77</v>
      </c>
      <c r="J871" t="s">
        <v>77</v>
      </c>
      <c r="K871" s="5">
        <f>87 / 86400</f>
        <v>1.0069444444444444E-3</v>
      </c>
      <c r="L871" s="5">
        <f>4 / 86400</f>
        <v>4.6296296296296294E-5</v>
      </c>
    </row>
    <row r="872" spans="1:12" x14ac:dyDescent="0.25">
      <c r="A872" s="3">
        <v>45710.243993055556</v>
      </c>
      <c r="B872" t="s">
        <v>50</v>
      </c>
      <c r="C872" s="3">
        <v>45710.244201388894</v>
      </c>
      <c r="D872" t="s">
        <v>50</v>
      </c>
      <c r="E872" s="4">
        <v>0.01</v>
      </c>
      <c r="F872" s="4">
        <v>517247.20899999997</v>
      </c>
      <c r="G872" s="4">
        <v>517247.21899999998</v>
      </c>
      <c r="H872" s="5">
        <f>0 / 86400</f>
        <v>0</v>
      </c>
      <c r="I872" t="s">
        <v>31</v>
      </c>
      <c r="J872" t="s">
        <v>113</v>
      </c>
      <c r="K872" s="5">
        <f>18 / 86400</f>
        <v>2.0833333333333335E-4</v>
      </c>
      <c r="L872" s="5">
        <f>5 / 86400</f>
        <v>5.7870370370370373E-5</v>
      </c>
    </row>
    <row r="873" spans="1:12" x14ac:dyDescent="0.25">
      <c r="A873" s="3">
        <v>45710.244259259256</v>
      </c>
      <c r="B873" t="s">
        <v>50</v>
      </c>
      <c r="C873" s="3">
        <v>45710.252372685187</v>
      </c>
      <c r="D873" t="s">
        <v>133</v>
      </c>
      <c r="E873" s="4">
        <v>1.5780000000000001</v>
      </c>
      <c r="F873" s="4">
        <v>517247.22499999998</v>
      </c>
      <c r="G873" s="4">
        <v>517248.80300000001</v>
      </c>
      <c r="H873" s="5">
        <f>240 / 86400</f>
        <v>2.7777777777777779E-3</v>
      </c>
      <c r="I873" t="s">
        <v>30</v>
      </c>
      <c r="J873" t="s">
        <v>150</v>
      </c>
      <c r="K873" s="5">
        <f>701 / 86400</f>
        <v>8.1134259259259267E-3</v>
      </c>
      <c r="L873" s="5">
        <f>9 / 86400</f>
        <v>1.0416666666666667E-4</v>
      </c>
    </row>
    <row r="874" spans="1:12" x14ac:dyDescent="0.25">
      <c r="A874" s="3">
        <v>45710.252476851849</v>
      </c>
      <c r="B874" t="s">
        <v>133</v>
      </c>
      <c r="C874" s="3">
        <v>45710.252627314811</v>
      </c>
      <c r="D874" t="s">
        <v>133</v>
      </c>
      <c r="E874" s="4">
        <v>0</v>
      </c>
      <c r="F874" s="4">
        <v>517248.80300000001</v>
      </c>
      <c r="G874" s="4">
        <v>517248.80300000001</v>
      </c>
      <c r="H874" s="5">
        <f>1 / 86400</f>
        <v>1.1574074074074073E-5</v>
      </c>
      <c r="I874" t="s">
        <v>77</v>
      </c>
      <c r="J874" t="s">
        <v>77</v>
      </c>
      <c r="K874" s="5">
        <f>13 / 86400</f>
        <v>1.5046296296296297E-4</v>
      </c>
      <c r="L874" s="5">
        <f>1295 / 86400</f>
        <v>1.4988425925925926E-2</v>
      </c>
    </row>
    <row r="875" spans="1:12" x14ac:dyDescent="0.25">
      <c r="A875" s="3">
        <v>45710.26761574074</v>
      </c>
      <c r="B875" t="s">
        <v>138</v>
      </c>
      <c r="C875" s="3">
        <v>45710.275289351848</v>
      </c>
      <c r="D875" t="s">
        <v>202</v>
      </c>
      <c r="E875" s="4">
        <v>2.746</v>
      </c>
      <c r="F875" s="4">
        <v>517248.80300000001</v>
      </c>
      <c r="G875" s="4">
        <v>517251.549</v>
      </c>
      <c r="H875" s="5">
        <f>361 / 86400</f>
        <v>4.178240740740741E-3</v>
      </c>
      <c r="I875" t="s">
        <v>301</v>
      </c>
      <c r="J875" t="s">
        <v>42</v>
      </c>
      <c r="K875" s="5">
        <f>663 / 86400</f>
        <v>7.6736111111111111E-3</v>
      </c>
      <c r="L875" s="5">
        <f>4 / 86400</f>
        <v>4.6296296296296294E-5</v>
      </c>
    </row>
    <row r="876" spans="1:12" x14ac:dyDescent="0.25">
      <c r="A876" s="3">
        <v>45710.275335648148</v>
      </c>
      <c r="B876" t="s">
        <v>202</v>
      </c>
      <c r="C876" s="3">
        <v>45710.298495370371</v>
      </c>
      <c r="D876" t="s">
        <v>216</v>
      </c>
      <c r="E876" s="4">
        <v>11.028</v>
      </c>
      <c r="F876" s="4">
        <v>517251.56099999999</v>
      </c>
      <c r="G876" s="4">
        <v>517262.58899999998</v>
      </c>
      <c r="H876" s="5">
        <f>599 / 86400</f>
        <v>6.9328703703703705E-3</v>
      </c>
      <c r="I876" t="s">
        <v>83</v>
      </c>
      <c r="J876" t="s">
        <v>64</v>
      </c>
      <c r="K876" s="5">
        <f>2001 / 86400</f>
        <v>2.3159722222222224E-2</v>
      </c>
      <c r="L876" s="5">
        <f>7 / 86400</f>
        <v>8.1018518518518516E-5</v>
      </c>
    </row>
    <row r="877" spans="1:12" x14ac:dyDescent="0.25">
      <c r="A877" s="3">
        <v>45710.298576388886</v>
      </c>
      <c r="B877" t="s">
        <v>35</v>
      </c>
      <c r="C877" s="3">
        <v>45710.313101851847</v>
      </c>
      <c r="D877" t="s">
        <v>223</v>
      </c>
      <c r="E877" s="4">
        <v>9.8930000000000007</v>
      </c>
      <c r="F877" s="4">
        <v>517262.66899999999</v>
      </c>
      <c r="G877" s="4">
        <v>517272.56199999998</v>
      </c>
      <c r="H877" s="5">
        <f>480 / 86400</f>
        <v>5.5555555555555558E-3</v>
      </c>
      <c r="I877" t="s">
        <v>194</v>
      </c>
      <c r="J877" t="s">
        <v>56</v>
      </c>
      <c r="K877" s="5">
        <f>1255 / 86400</f>
        <v>1.4525462962962962E-2</v>
      </c>
      <c r="L877" s="5">
        <f>4 / 86400</f>
        <v>4.6296296296296294E-5</v>
      </c>
    </row>
    <row r="878" spans="1:12" x14ac:dyDescent="0.25">
      <c r="A878" s="3">
        <v>45710.313148148147</v>
      </c>
      <c r="B878" t="s">
        <v>223</v>
      </c>
      <c r="C878" s="3">
        <v>45710.336770833332</v>
      </c>
      <c r="D878" t="s">
        <v>229</v>
      </c>
      <c r="E878" s="4">
        <v>9.8450000000000006</v>
      </c>
      <c r="F878" s="4">
        <v>517272.59</v>
      </c>
      <c r="G878" s="4">
        <v>517282.435</v>
      </c>
      <c r="H878" s="5">
        <f>660 / 86400</f>
        <v>7.6388888888888886E-3</v>
      </c>
      <c r="I878" t="s">
        <v>83</v>
      </c>
      <c r="J878" t="s">
        <v>29</v>
      </c>
      <c r="K878" s="5">
        <f>2041 / 86400</f>
        <v>2.3622685185185184E-2</v>
      </c>
      <c r="L878" s="5">
        <f>4 / 86400</f>
        <v>4.6296296296296294E-5</v>
      </c>
    </row>
    <row r="879" spans="1:12" x14ac:dyDescent="0.25">
      <c r="A879" s="3">
        <v>45710.336817129632</v>
      </c>
      <c r="B879" t="s">
        <v>148</v>
      </c>
      <c r="C879" s="3">
        <v>45710.377546296295</v>
      </c>
      <c r="D879" t="s">
        <v>390</v>
      </c>
      <c r="E879" s="4">
        <v>12.879</v>
      </c>
      <c r="F879" s="4">
        <v>517282.45</v>
      </c>
      <c r="G879" s="4">
        <v>517295.32900000003</v>
      </c>
      <c r="H879" s="5">
        <f>1081 / 86400</f>
        <v>1.2511574074074074E-2</v>
      </c>
      <c r="I879" t="s">
        <v>74</v>
      </c>
      <c r="J879" t="s">
        <v>45</v>
      </c>
      <c r="K879" s="5">
        <f>3519 / 86400</f>
        <v>4.0729166666666664E-2</v>
      </c>
      <c r="L879" s="5">
        <f>8 / 86400</f>
        <v>9.2592592592592588E-5</v>
      </c>
    </row>
    <row r="880" spans="1:12" x14ac:dyDescent="0.25">
      <c r="A880" s="3">
        <v>45710.377638888887</v>
      </c>
      <c r="B880" t="s">
        <v>264</v>
      </c>
      <c r="C880" s="3">
        <v>45710.378750000003</v>
      </c>
      <c r="D880" t="s">
        <v>391</v>
      </c>
      <c r="E880" s="4">
        <v>0.59899999999999998</v>
      </c>
      <c r="F880" s="4">
        <v>517295.36099999998</v>
      </c>
      <c r="G880" s="4">
        <v>517295.96</v>
      </c>
      <c r="H880" s="5">
        <f>60 / 86400</f>
        <v>6.9444444444444447E-4</v>
      </c>
      <c r="I880" t="s">
        <v>234</v>
      </c>
      <c r="J880" t="s">
        <v>37</v>
      </c>
      <c r="K880" s="5">
        <f>96 / 86400</f>
        <v>1.1111111111111111E-3</v>
      </c>
      <c r="L880" s="5">
        <f>8 / 86400</f>
        <v>9.2592592592592588E-5</v>
      </c>
    </row>
    <row r="881" spans="1:12" x14ac:dyDescent="0.25">
      <c r="A881" s="3">
        <v>45710.378842592589</v>
      </c>
      <c r="B881" t="s">
        <v>392</v>
      </c>
      <c r="C881" s="3">
        <v>45710.41070601852</v>
      </c>
      <c r="D881" t="s">
        <v>145</v>
      </c>
      <c r="E881" s="4">
        <v>7.1310000000000002</v>
      </c>
      <c r="F881" s="4">
        <v>517296.01199999999</v>
      </c>
      <c r="G881" s="4">
        <v>517303.14299999998</v>
      </c>
      <c r="H881" s="5">
        <f>1170 / 86400</f>
        <v>1.3541666666666667E-2</v>
      </c>
      <c r="I881" t="s">
        <v>244</v>
      </c>
      <c r="J881" t="s">
        <v>132</v>
      </c>
      <c r="K881" s="5">
        <f>2753 / 86400</f>
        <v>3.1863425925925927E-2</v>
      </c>
      <c r="L881" s="5">
        <f>64 / 86400</f>
        <v>7.407407407407407E-4</v>
      </c>
    </row>
    <row r="882" spans="1:12" x14ac:dyDescent="0.25">
      <c r="A882" s="3">
        <v>45710.411446759259</v>
      </c>
      <c r="B882" t="s">
        <v>330</v>
      </c>
      <c r="C882" s="3">
        <v>45710.588842592595</v>
      </c>
      <c r="D882" t="s">
        <v>50</v>
      </c>
      <c r="E882" s="4">
        <v>46.225000000000001</v>
      </c>
      <c r="F882" s="4">
        <v>517303.14299999998</v>
      </c>
      <c r="G882" s="4">
        <v>517349.36800000002</v>
      </c>
      <c r="H882" s="5">
        <f>8313 / 86400</f>
        <v>9.6215277777777775E-2</v>
      </c>
      <c r="I882" t="s">
        <v>176</v>
      </c>
      <c r="J882" t="s">
        <v>61</v>
      </c>
      <c r="K882" s="5">
        <f>15327 / 86400</f>
        <v>0.17739583333333334</v>
      </c>
      <c r="L882" s="5">
        <f>3 / 86400</f>
        <v>3.4722222222222222E-5</v>
      </c>
    </row>
    <row r="883" spans="1:12" x14ac:dyDescent="0.25">
      <c r="A883" s="3">
        <v>45710.588877314818</v>
      </c>
      <c r="B883" t="s">
        <v>50</v>
      </c>
      <c r="C883" s="3">
        <v>45710.589918981481</v>
      </c>
      <c r="D883" t="s">
        <v>50</v>
      </c>
      <c r="E883" s="4">
        <v>0</v>
      </c>
      <c r="F883" s="4">
        <v>517349.36800000002</v>
      </c>
      <c r="G883" s="4">
        <v>517349.36800000002</v>
      </c>
      <c r="H883" s="5">
        <f>81 / 86400</f>
        <v>9.3749999999999997E-4</v>
      </c>
      <c r="I883" t="s">
        <v>77</v>
      </c>
      <c r="J883" t="s">
        <v>77</v>
      </c>
      <c r="K883" s="5">
        <f>90 / 86400</f>
        <v>1.0416666666666667E-3</v>
      </c>
      <c r="L883" s="5">
        <f>3 / 86400</f>
        <v>3.4722222222222222E-5</v>
      </c>
    </row>
    <row r="884" spans="1:12" x14ac:dyDescent="0.25">
      <c r="A884" s="3">
        <v>45710.589953703704</v>
      </c>
      <c r="B884" t="s">
        <v>50</v>
      </c>
      <c r="C884" s="3">
        <v>45710.58997685185</v>
      </c>
      <c r="D884" t="s">
        <v>50</v>
      </c>
      <c r="E884" s="4">
        <v>0</v>
      </c>
      <c r="F884" s="4">
        <v>517349.36800000002</v>
      </c>
      <c r="G884" s="4">
        <v>517349.36800000002</v>
      </c>
      <c r="H884" s="5">
        <f>0 / 86400</f>
        <v>0</v>
      </c>
      <c r="I884" t="s">
        <v>77</v>
      </c>
      <c r="J884" t="s">
        <v>77</v>
      </c>
      <c r="K884" s="5">
        <f>2 / 86400</f>
        <v>2.3148148148148147E-5</v>
      </c>
      <c r="L884" s="5">
        <f>8 / 86400</f>
        <v>9.2592592592592588E-5</v>
      </c>
    </row>
    <row r="885" spans="1:12" x14ac:dyDescent="0.25">
      <c r="A885" s="3">
        <v>45710.590069444443</v>
      </c>
      <c r="B885" t="s">
        <v>50</v>
      </c>
      <c r="C885" s="3">
        <v>45710.590104166666</v>
      </c>
      <c r="D885" t="s">
        <v>50</v>
      </c>
      <c r="E885" s="4">
        <v>0</v>
      </c>
      <c r="F885" s="4">
        <v>517349.36800000002</v>
      </c>
      <c r="G885" s="4">
        <v>517349.36800000002</v>
      </c>
      <c r="H885" s="5">
        <f>0 / 86400</f>
        <v>0</v>
      </c>
      <c r="I885" t="s">
        <v>77</v>
      </c>
      <c r="J885" t="s">
        <v>77</v>
      </c>
      <c r="K885" s="5">
        <f>3 / 86400</f>
        <v>3.4722222222222222E-5</v>
      </c>
      <c r="L885" s="5">
        <f>39 / 86400</f>
        <v>4.5138888888888887E-4</v>
      </c>
    </row>
    <row r="886" spans="1:12" x14ac:dyDescent="0.25">
      <c r="A886" s="3">
        <v>45710.590555555551</v>
      </c>
      <c r="B886" t="s">
        <v>50</v>
      </c>
      <c r="C886" s="3">
        <v>45710.590671296297</v>
      </c>
      <c r="D886" t="s">
        <v>50</v>
      </c>
      <c r="E886" s="4">
        <v>0</v>
      </c>
      <c r="F886" s="4">
        <v>517349.36800000002</v>
      </c>
      <c r="G886" s="4">
        <v>517349.36800000002</v>
      </c>
      <c r="H886" s="5">
        <f>0 / 86400</f>
        <v>0</v>
      </c>
      <c r="I886" t="s">
        <v>124</v>
      </c>
      <c r="J886" t="s">
        <v>77</v>
      </c>
      <c r="K886" s="5">
        <f>10 / 86400</f>
        <v>1.1574074074074075E-4</v>
      </c>
      <c r="L886" s="5">
        <f>9 / 86400</f>
        <v>1.0416666666666667E-4</v>
      </c>
    </row>
    <row r="887" spans="1:12" x14ac:dyDescent="0.25">
      <c r="A887" s="3">
        <v>45710.590775462959</v>
      </c>
      <c r="B887" t="s">
        <v>50</v>
      </c>
      <c r="C887" s="3">
        <v>45710.592233796298</v>
      </c>
      <c r="D887" t="s">
        <v>134</v>
      </c>
      <c r="E887" s="4">
        <v>0.44800000000000001</v>
      </c>
      <c r="F887" s="4">
        <v>517349.37199999997</v>
      </c>
      <c r="G887" s="4">
        <v>517349.82</v>
      </c>
      <c r="H887" s="5">
        <f>0 / 86400</f>
        <v>0</v>
      </c>
      <c r="I887" t="s">
        <v>131</v>
      </c>
      <c r="J887" t="s">
        <v>45</v>
      </c>
      <c r="K887" s="5">
        <f>126 / 86400</f>
        <v>1.4583333333333334E-3</v>
      </c>
      <c r="L887" s="5">
        <f>2 / 86400</f>
        <v>2.3148148148148147E-5</v>
      </c>
    </row>
    <row r="888" spans="1:12" x14ac:dyDescent="0.25">
      <c r="A888" s="3">
        <v>45710.592256944445</v>
      </c>
      <c r="B888" t="s">
        <v>134</v>
      </c>
      <c r="C888" s="3">
        <v>45710.608680555553</v>
      </c>
      <c r="D888" t="s">
        <v>66</v>
      </c>
      <c r="E888" s="4">
        <v>7.01</v>
      </c>
      <c r="F888" s="4">
        <v>517349.821</v>
      </c>
      <c r="G888" s="4">
        <v>517356.83100000001</v>
      </c>
      <c r="H888" s="5">
        <f>210 / 86400</f>
        <v>2.4305555555555556E-3</v>
      </c>
      <c r="I888" t="s">
        <v>224</v>
      </c>
      <c r="J888" t="s">
        <v>20</v>
      </c>
      <c r="K888" s="5">
        <f>1419 / 86400</f>
        <v>1.6423611111111111E-2</v>
      </c>
      <c r="L888" s="5">
        <f>30 / 86400</f>
        <v>3.4722222222222224E-4</v>
      </c>
    </row>
    <row r="889" spans="1:12" x14ac:dyDescent="0.25">
      <c r="A889" s="3">
        <v>45710.609027777777</v>
      </c>
      <c r="B889" t="s">
        <v>66</v>
      </c>
      <c r="C889" s="3">
        <v>45710.905671296292</v>
      </c>
      <c r="D889" t="s">
        <v>81</v>
      </c>
      <c r="E889" s="4">
        <v>95.12</v>
      </c>
      <c r="F889" s="4">
        <v>517357.054</v>
      </c>
      <c r="G889" s="4">
        <v>517452.174</v>
      </c>
      <c r="H889" s="5">
        <f>10050 / 86400</f>
        <v>0.11631944444444445</v>
      </c>
      <c r="I889" t="s">
        <v>194</v>
      </c>
      <c r="J889" t="s">
        <v>45</v>
      </c>
      <c r="K889" s="5">
        <f>25630 / 86400</f>
        <v>0.2966435185185185</v>
      </c>
      <c r="L889" s="5">
        <f>3 / 86400</f>
        <v>3.4722222222222222E-5</v>
      </c>
    </row>
    <row r="890" spans="1:12" x14ac:dyDescent="0.25">
      <c r="A890" s="3">
        <v>45710.905706018515</v>
      </c>
      <c r="B890" t="s">
        <v>81</v>
      </c>
      <c r="C890" s="3">
        <v>45710.923784722225</v>
      </c>
      <c r="D890" t="s">
        <v>50</v>
      </c>
      <c r="E890" s="4">
        <v>0.94099999999999995</v>
      </c>
      <c r="F890" s="4">
        <v>517452.174</v>
      </c>
      <c r="G890" s="4">
        <v>517453.11499999999</v>
      </c>
      <c r="H890" s="5">
        <f>1309 / 86400</f>
        <v>1.5150462962962963E-2</v>
      </c>
      <c r="I890" t="s">
        <v>218</v>
      </c>
      <c r="J890" t="s">
        <v>113</v>
      </c>
      <c r="K890" s="5">
        <f>1562 / 86400</f>
        <v>1.8078703703703704E-2</v>
      </c>
      <c r="L890" s="5">
        <f>6584 / 86400</f>
        <v>7.6203703703703704E-2</v>
      </c>
    </row>
    <row r="891" spans="1:1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</row>
    <row r="892" spans="1:12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</row>
    <row r="893" spans="1:12" s="10" customFormat="1" ht="20.100000000000001" customHeight="1" x14ac:dyDescent="0.35">
      <c r="A893" s="15" t="s">
        <v>451</v>
      </c>
      <c r="B893" s="15"/>
      <c r="C893" s="15"/>
      <c r="D893" s="15"/>
      <c r="E893" s="15"/>
      <c r="F893" s="15"/>
      <c r="G893" s="15"/>
      <c r="H893" s="15"/>
      <c r="I893" s="15"/>
      <c r="J893" s="15"/>
    </row>
    <row r="894" spans="1:12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</row>
    <row r="895" spans="1:12" ht="30" x14ac:dyDescent="0.25">
      <c r="A895" s="2" t="s">
        <v>6</v>
      </c>
      <c r="B895" s="2" t="s">
        <v>7</v>
      </c>
      <c r="C895" s="2" t="s">
        <v>8</v>
      </c>
      <c r="D895" s="2" t="s">
        <v>9</v>
      </c>
      <c r="E895" s="2" t="s">
        <v>10</v>
      </c>
      <c r="F895" s="2" t="s">
        <v>11</v>
      </c>
      <c r="G895" s="2" t="s">
        <v>12</v>
      </c>
      <c r="H895" s="2" t="s">
        <v>13</v>
      </c>
      <c r="I895" s="2" t="s">
        <v>14</v>
      </c>
      <c r="J895" s="2" t="s">
        <v>15</v>
      </c>
      <c r="K895" s="2" t="s">
        <v>16</v>
      </c>
      <c r="L895" s="2" t="s">
        <v>17</v>
      </c>
    </row>
    <row r="896" spans="1:12" x14ac:dyDescent="0.25">
      <c r="A896" s="3">
        <v>45710.243425925924</v>
      </c>
      <c r="B896" t="s">
        <v>84</v>
      </c>
      <c r="C896" s="3">
        <v>45710.850763888884</v>
      </c>
      <c r="D896" t="s">
        <v>85</v>
      </c>
      <c r="E896" s="4">
        <v>203.91800000000001</v>
      </c>
      <c r="F896" s="4">
        <v>506683.495</v>
      </c>
      <c r="G896" s="4">
        <v>506887.413</v>
      </c>
      <c r="H896" s="5">
        <f>21162 / 86400</f>
        <v>0.24493055555555557</v>
      </c>
      <c r="I896" t="s">
        <v>63</v>
      </c>
      <c r="J896" t="s">
        <v>26</v>
      </c>
      <c r="K896" s="5">
        <f>52474 / 86400</f>
        <v>0.60733796296296294</v>
      </c>
      <c r="L896" s="5">
        <f>33925 / 86400</f>
        <v>0.39265046296296297</v>
      </c>
    </row>
    <row r="897" spans="1:12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</row>
    <row r="898" spans="1:1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</row>
    <row r="899" spans="1:12" s="10" customFormat="1" ht="20.100000000000001" customHeight="1" x14ac:dyDescent="0.35">
      <c r="A899" s="15" t="s">
        <v>452</v>
      </c>
      <c r="B899" s="15"/>
      <c r="C899" s="15"/>
      <c r="D899" s="15"/>
      <c r="E899" s="15"/>
      <c r="F899" s="15"/>
      <c r="G899" s="15"/>
      <c r="H899" s="15"/>
      <c r="I899" s="15"/>
      <c r="J899" s="15"/>
    </row>
    <row r="900" spans="1:1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2" ht="30" x14ac:dyDescent="0.25">
      <c r="A901" s="2" t="s">
        <v>6</v>
      </c>
      <c r="B901" s="2" t="s">
        <v>7</v>
      </c>
      <c r="C901" s="2" t="s">
        <v>8</v>
      </c>
      <c r="D901" s="2" t="s">
        <v>9</v>
      </c>
      <c r="E901" s="2" t="s">
        <v>10</v>
      </c>
      <c r="F901" s="2" t="s">
        <v>11</v>
      </c>
      <c r="G901" s="2" t="s">
        <v>12</v>
      </c>
      <c r="H901" s="2" t="s">
        <v>13</v>
      </c>
      <c r="I901" s="2" t="s">
        <v>14</v>
      </c>
      <c r="J901" s="2" t="s">
        <v>15</v>
      </c>
      <c r="K901" s="2" t="s">
        <v>16</v>
      </c>
      <c r="L901" s="2" t="s">
        <v>17</v>
      </c>
    </row>
    <row r="902" spans="1:12" x14ac:dyDescent="0.25">
      <c r="A902" s="3">
        <v>45710</v>
      </c>
      <c r="B902" t="s">
        <v>86</v>
      </c>
      <c r="C902" s="3">
        <v>45710.006898148145</v>
      </c>
      <c r="D902" t="s">
        <v>90</v>
      </c>
      <c r="E902" s="4">
        <v>0.83799999999999997</v>
      </c>
      <c r="F902" s="4">
        <v>353354.08</v>
      </c>
      <c r="G902" s="4">
        <v>353354.91800000001</v>
      </c>
      <c r="H902" s="5">
        <f>300 / 86400</f>
        <v>3.472222222222222E-3</v>
      </c>
      <c r="I902" t="s">
        <v>218</v>
      </c>
      <c r="J902" t="s">
        <v>156</v>
      </c>
      <c r="K902" s="5">
        <f>596 / 86400</f>
        <v>6.898148148148148E-3</v>
      </c>
      <c r="L902" s="5">
        <f>21878 / 86400</f>
        <v>0.25321759259259258</v>
      </c>
    </row>
    <row r="903" spans="1:12" x14ac:dyDescent="0.25">
      <c r="A903" s="3">
        <v>45710.260115740741</v>
      </c>
      <c r="B903" t="s">
        <v>90</v>
      </c>
      <c r="C903" s="3">
        <v>45710.273356481484</v>
      </c>
      <c r="D903" t="s">
        <v>130</v>
      </c>
      <c r="E903" s="4">
        <v>5.4420000000000002</v>
      </c>
      <c r="F903" s="4">
        <v>353354.91800000001</v>
      </c>
      <c r="G903" s="4">
        <v>353360.36</v>
      </c>
      <c r="H903" s="5">
        <f>220 / 86400</f>
        <v>2.5462962962962965E-3</v>
      </c>
      <c r="I903" t="s">
        <v>215</v>
      </c>
      <c r="J903" t="s">
        <v>29</v>
      </c>
      <c r="K903" s="5">
        <f>1144 / 86400</f>
        <v>1.324074074074074E-2</v>
      </c>
      <c r="L903" s="5">
        <f>172 / 86400</f>
        <v>1.9907407407407408E-3</v>
      </c>
    </row>
    <row r="904" spans="1:12" x14ac:dyDescent="0.25">
      <c r="A904" s="3">
        <v>45710.275347222225</v>
      </c>
      <c r="B904" t="s">
        <v>130</v>
      </c>
      <c r="C904" s="3">
        <v>45710.275462962964</v>
      </c>
      <c r="D904" t="s">
        <v>130</v>
      </c>
      <c r="E904" s="4">
        <v>3.0000000000000001E-3</v>
      </c>
      <c r="F904" s="4">
        <v>353360.36</v>
      </c>
      <c r="G904" s="4">
        <v>353360.36300000001</v>
      </c>
      <c r="H904" s="5">
        <f>0 / 86400</f>
        <v>0</v>
      </c>
      <c r="I904" t="s">
        <v>77</v>
      </c>
      <c r="J904" t="s">
        <v>124</v>
      </c>
      <c r="K904" s="5">
        <f>10 / 86400</f>
        <v>1.1574074074074075E-4</v>
      </c>
      <c r="L904" s="5">
        <f>314 / 86400</f>
        <v>3.6342592592592594E-3</v>
      </c>
    </row>
    <row r="905" spans="1:12" x14ac:dyDescent="0.25">
      <c r="A905" s="3">
        <v>45710.279097222221</v>
      </c>
      <c r="B905" t="s">
        <v>130</v>
      </c>
      <c r="C905" s="3">
        <v>45710.279849537037</v>
      </c>
      <c r="D905" t="s">
        <v>130</v>
      </c>
      <c r="E905" s="4">
        <v>1E-3</v>
      </c>
      <c r="F905" s="4">
        <v>353360.36300000001</v>
      </c>
      <c r="G905" s="4">
        <v>353360.364</v>
      </c>
      <c r="H905" s="5">
        <f>59 / 86400</f>
        <v>6.8287037037037036E-4</v>
      </c>
      <c r="I905" t="s">
        <v>77</v>
      </c>
      <c r="J905" t="s">
        <v>77</v>
      </c>
      <c r="K905" s="5">
        <f>65 / 86400</f>
        <v>7.5231481481481482E-4</v>
      </c>
      <c r="L905" s="5">
        <f>48 / 86400</f>
        <v>5.5555555555555556E-4</v>
      </c>
    </row>
    <row r="906" spans="1:12" x14ac:dyDescent="0.25">
      <c r="A906" s="3">
        <v>45710.280405092592</v>
      </c>
      <c r="B906" t="s">
        <v>130</v>
      </c>
      <c r="C906" s="3">
        <v>45710.280578703707</v>
      </c>
      <c r="D906" t="s">
        <v>130</v>
      </c>
      <c r="E906" s="4">
        <v>4.0000000000000001E-3</v>
      </c>
      <c r="F906" s="4">
        <v>353360.364</v>
      </c>
      <c r="G906" s="4">
        <v>353360.36800000002</v>
      </c>
      <c r="H906" s="5">
        <f>0 / 86400</f>
        <v>0</v>
      </c>
      <c r="I906" t="s">
        <v>124</v>
      </c>
      <c r="J906" t="s">
        <v>124</v>
      </c>
      <c r="K906" s="5">
        <f>14 / 86400</f>
        <v>1.6203703703703703E-4</v>
      </c>
      <c r="L906" s="5">
        <f>193 / 86400</f>
        <v>2.2337962962962962E-3</v>
      </c>
    </row>
    <row r="907" spans="1:12" x14ac:dyDescent="0.25">
      <c r="A907" s="3">
        <v>45710.282812500001</v>
      </c>
      <c r="B907" t="s">
        <v>130</v>
      </c>
      <c r="C907" s="3">
        <v>45710.42569444445</v>
      </c>
      <c r="D907" t="s">
        <v>258</v>
      </c>
      <c r="E907" s="4">
        <v>51.201000000000001</v>
      </c>
      <c r="F907" s="4">
        <v>353360.36800000002</v>
      </c>
      <c r="G907" s="4">
        <v>353411.56900000002</v>
      </c>
      <c r="H907" s="5">
        <f>5079 / 86400</f>
        <v>5.8784722222222224E-2</v>
      </c>
      <c r="I907" t="s">
        <v>110</v>
      </c>
      <c r="J907" t="s">
        <v>42</v>
      </c>
      <c r="K907" s="5">
        <f>12345 / 86400</f>
        <v>0.14288194444444444</v>
      </c>
      <c r="L907" s="5">
        <f>24 / 86400</f>
        <v>2.7777777777777778E-4</v>
      </c>
    </row>
    <row r="908" spans="1:12" x14ac:dyDescent="0.25">
      <c r="A908" s="3">
        <v>45710.42597222222</v>
      </c>
      <c r="B908" t="s">
        <v>258</v>
      </c>
      <c r="C908" s="3">
        <v>45710.427361111113</v>
      </c>
      <c r="D908" t="s">
        <v>258</v>
      </c>
      <c r="E908" s="4">
        <v>0</v>
      </c>
      <c r="F908" s="4">
        <v>353411.56900000002</v>
      </c>
      <c r="G908" s="4">
        <v>353411.56900000002</v>
      </c>
      <c r="H908" s="5">
        <f>99 / 86400</f>
        <v>1.1458333333333333E-3</v>
      </c>
      <c r="I908" t="s">
        <v>77</v>
      </c>
      <c r="J908" t="s">
        <v>77</v>
      </c>
      <c r="K908" s="5">
        <f>119 / 86400</f>
        <v>1.3773148148148147E-3</v>
      </c>
      <c r="L908" s="5">
        <f>144 / 86400</f>
        <v>1.6666666666666668E-3</v>
      </c>
    </row>
    <row r="909" spans="1:12" x14ac:dyDescent="0.25">
      <c r="A909" s="3">
        <v>45710.429027777776</v>
      </c>
      <c r="B909" t="s">
        <v>258</v>
      </c>
      <c r="C909" s="3">
        <v>45710.44425925926</v>
      </c>
      <c r="D909" t="s">
        <v>258</v>
      </c>
      <c r="E909" s="4">
        <v>4.9000000000000002E-2</v>
      </c>
      <c r="F909" s="4">
        <v>353411.57</v>
      </c>
      <c r="G909" s="4">
        <v>353411.61900000001</v>
      </c>
      <c r="H909" s="5">
        <f>1259 / 86400</f>
        <v>1.457175925925926E-2</v>
      </c>
      <c r="I909" t="s">
        <v>150</v>
      </c>
      <c r="J909" t="s">
        <v>77</v>
      </c>
      <c r="K909" s="5">
        <f>1315 / 86400</f>
        <v>1.5219907407407408E-2</v>
      </c>
      <c r="L909" s="5">
        <f>63 / 86400</f>
        <v>7.291666666666667E-4</v>
      </c>
    </row>
    <row r="910" spans="1:12" x14ac:dyDescent="0.25">
      <c r="A910" s="3">
        <v>45710.444988425923</v>
      </c>
      <c r="B910" t="s">
        <v>258</v>
      </c>
      <c r="C910" s="3">
        <v>45710.467766203699</v>
      </c>
      <c r="D910" t="s">
        <v>393</v>
      </c>
      <c r="E910" s="4">
        <v>5.79</v>
      </c>
      <c r="F910" s="4">
        <v>353411.61900000001</v>
      </c>
      <c r="G910" s="4">
        <v>353417.40899999999</v>
      </c>
      <c r="H910" s="5">
        <f>879 / 86400</f>
        <v>1.0173611111111111E-2</v>
      </c>
      <c r="I910" t="s">
        <v>219</v>
      </c>
      <c r="J910" t="s">
        <v>61</v>
      </c>
      <c r="K910" s="5">
        <f>1968 / 86400</f>
        <v>2.2777777777777779E-2</v>
      </c>
      <c r="L910" s="5">
        <f>250 / 86400</f>
        <v>2.8935185185185184E-3</v>
      </c>
    </row>
    <row r="911" spans="1:12" x14ac:dyDescent="0.25">
      <c r="A911" s="3">
        <v>45710.470659722225</v>
      </c>
      <c r="B911" t="s">
        <v>393</v>
      </c>
      <c r="C911" s="3">
        <v>45710.510706018518</v>
      </c>
      <c r="D911" t="s">
        <v>258</v>
      </c>
      <c r="E911" s="4">
        <v>6.8440000000000003</v>
      </c>
      <c r="F911" s="4">
        <v>353417.40899999999</v>
      </c>
      <c r="G911" s="4">
        <v>353424.25300000003</v>
      </c>
      <c r="H911" s="5">
        <f>2049 / 86400</f>
        <v>2.3715277777777776E-2</v>
      </c>
      <c r="I911" t="s">
        <v>173</v>
      </c>
      <c r="J911" t="s">
        <v>140</v>
      </c>
      <c r="K911" s="5">
        <f>3460 / 86400</f>
        <v>4.0046296296296295E-2</v>
      </c>
      <c r="L911" s="5">
        <f>126 / 86400</f>
        <v>1.4583333333333334E-3</v>
      </c>
    </row>
    <row r="912" spans="1:12" x14ac:dyDescent="0.25">
      <c r="A912" s="3">
        <v>45710.512164351851</v>
      </c>
      <c r="B912" t="s">
        <v>258</v>
      </c>
      <c r="C912" s="3">
        <v>45710.704166666663</v>
      </c>
      <c r="D912" t="s">
        <v>81</v>
      </c>
      <c r="E912" s="4">
        <v>51.901000000000003</v>
      </c>
      <c r="F912" s="4">
        <v>353424.25300000003</v>
      </c>
      <c r="G912" s="4">
        <v>353476.15399999998</v>
      </c>
      <c r="H912" s="5">
        <f>8197 / 86400</f>
        <v>9.4872685185185185E-2</v>
      </c>
      <c r="I912" t="s">
        <v>60</v>
      </c>
      <c r="J912" t="s">
        <v>61</v>
      </c>
      <c r="K912" s="5">
        <f>16589 / 86400</f>
        <v>0.19200231481481481</v>
      </c>
      <c r="L912" s="5">
        <f>1224 / 86400</f>
        <v>1.4166666666666666E-2</v>
      </c>
    </row>
    <row r="913" spans="1:12" x14ac:dyDescent="0.25">
      <c r="A913" s="3">
        <v>45710.718333333338</v>
      </c>
      <c r="B913" t="s">
        <v>81</v>
      </c>
      <c r="C913" s="3">
        <v>45710.7191087963</v>
      </c>
      <c r="D913" t="s">
        <v>81</v>
      </c>
      <c r="E913" s="4">
        <v>1.2E-2</v>
      </c>
      <c r="F913" s="4">
        <v>353476.15399999998</v>
      </c>
      <c r="G913" s="4">
        <v>353476.16600000003</v>
      </c>
      <c r="H913" s="5">
        <f>40 / 86400</f>
        <v>4.6296296296296298E-4</v>
      </c>
      <c r="I913" t="s">
        <v>156</v>
      </c>
      <c r="J913" t="s">
        <v>124</v>
      </c>
      <c r="K913" s="5">
        <f>67 / 86400</f>
        <v>7.7546296296296293E-4</v>
      </c>
      <c r="L913" s="5">
        <f>90 / 86400</f>
        <v>1.0416666666666667E-3</v>
      </c>
    </row>
    <row r="914" spans="1:12" x14ac:dyDescent="0.25">
      <c r="A914" s="3">
        <v>45710.720150462963</v>
      </c>
      <c r="B914" t="s">
        <v>81</v>
      </c>
      <c r="C914" s="3">
        <v>45710.720925925925</v>
      </c>
      <c r="D914" t="s">
        <v>146</v>
      </c>
      <c r="E914" s="4">
        <v>8.5000000000000006E-2</v>
      </c>
      <c r="F914" s="4">
        <v>353476.16600000003</v>
      </c>
      <c r="G914" s="4">
        <v>353476.25099999999</v>
      </c>
      <c r="H914" s="5">
        <f>39 / 86400</f>
        <v>4.5138888888888887E-4</v>
      </c>
      <c r="I914" t="s">
        <v>139</v>
      </c>
      <c r="J914" t="s">
        <v>156</v>
      </c>
      <c r="K914" s="5">
        <f>67 / 86400</f>
        <v>7.7546296296296293E-4</v>
      </c>
      <c r="L914" s="5">
        <f>68 / 86400</f>
        <v>7.8703703703703705E-4</v>
      </c>
    </row>
    <row r="915" spans="1:12" x14ac:dyDescent="0.25">
      <c r="A915" s="3">
        <v>45710.721712962964</v>
      </c>
      <c r="B915" t="s">
        <v>146</v>
      </c>
      <c r="C915" s="3">
        <v>45710.726840277777</v>
      </c>
      <c r="D915" t="s">
        <v>351</v>
      </c>
      <c r="E915" s="4">
        <v>0.76900000000000002</v>
      </c>
      <c r="F915" s="4">
        <v>353476.25099999999</v>
      </c>
      <c r="G915" s="4">
        <v>353477.02</v>
      </c>
      <c r="H915" s="5">
        <f>279 / 86400</f>
        <v>3.2291666666666666E-3</v>
      </c>
      <c r="I915" t="s">
        <v>218</v>
      </c>
      <c r="J915" t="s">
        <v>31</v>
      </c>
      <c r="K915" s="5">
        <f>443 / 86400</f>
        <v>5.1273148148148146E-3</v>
      </c>
      <c r="L915" s="5">
        <f>270 / 86400</f>
        <v>3.1250000000000002E-3</v>
      </c>
    </row>
    <row r="916" spans="1:12" x14ac:dyDescent="0.25">
      <c r="A916" s="3">
        <v>45710.729965277773</v>
      </c>
      <c r="B916" t="s">
        <v>351</v>
      </c>
      <c r="C916" s="3">
        <v>45710.99998842593</v>
      </c>
      <c r="D916" t="s">
        <v>86</v>
      </c>
      <c r="E916" s="4">
        <v>109.744</v>
      </c>
      <c r="F916" s="4">
        <v>353477.02</v>
      </c>
      <c r="G916" s="4">
        <v>353586.76400000002</v>
      </c>
      <c r="H916" s="5">
        <f>7858 / 86400</f>
        <v>9.0949074074074071E-2</v>
      </c>
      <c r="I916" t="s">
        <v>87</v>
      </c>
      <c r="J916" t="s">
        <v>29</v>
      </c>
      <c r="K916" s="5">
        <f>23330 / 86400</f>
        <v>0.27002314814814815</v>
      </c>
      <c r="L916" s="5">
        <f>0 / 86400</f>
        <v>0</v>
      </c>
    </row>
    <row r="917" spans="1:12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</row>
    <row r="918" spans="1:12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</row>
    <row r="919" spans="1:12" s="10" customFormat="1" ht="20.100000000000001" customHeight="1" x14ac:dyDescent="0.35">
      <c r="A919" s="15" t="s">
        <v>453</v>
      </c>
      <c r="B919" s="15"/>
      <c r="C919" s="15"/>
      <c r="D919" s="15"/>
      <c r="E919" s="15"/>
      <c r="F919" s="15"/>
      <c r="G919" s="15"/>
      <c r="H919" s="15"/>
      <c r="I919" s="15"/>
      <c r="J919" s="15"/>
    </row>
    <row r="920" spans="1:12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</row>
    <row r="921" spans="1:12" ht="30" x14ac:dyDescent="0.25">
      <c r="A921" s="2" t="s">
        <v>6</v>
      </c>
      <c r="B921" s="2" t="s">
        <v>7</v>
      </c>
      <c r="C921" s="2" t="s">
        <v>8</v>
      </c>
      <c r="D921" s="2" t="s">
        <v>9</v>
      </c>
      <c r="E921" s="2" t="s">
        <v>10</v>
      </c>
      <c r="F921" s="2" t="s">
        <v>11</v>
      </c>
      <c r="G921" s="2" t="s">
        <v>12</v>
      </c>
      <c r="H921" s="2" t="s">
        <v>13</v>
      </c>
      <c r="I921" s="2" t="s">
        <v>14</v>
      </c>
      <c r="J921" s="2" t="s">
        <v>15</v>
      </c>
      <c r="K921" s="2" t="s">
        <v>16</v>
      </c>
      <c r="L921" s="2" t="s">
        <v>17</v>
      </c>
    </row>
    <row r="922" spans="1:12" x14ac:dyDescent="0.25">
      <c r="A922" s="3">
        <v>45710.21157407407</v>
      </c>
      <c r="B922" t="s">
        <v>88</v>
      </c>
      <c r="C922" s="3">
        <v>45710.227662037039</v>
      </c>
      <c r="D922" t="s">
        <v>394</v>
      </c>
      <c r="E922" s="4">
        <v>9.734</v>
      </c>
      <c r="F922" s="4">
        <v>412293.27899999998</v>
      </c>
      <c r="G922" s="4">
        <v>412303.01299999998</v>
      </c>
      <c r="H922" s="5">
        <f>359 / 86400</f>
        <v>4.1550925925925922E-3</v>
      </c>
      <c r="I922" t="s">
        <v>74</v>
      </c>
      <c r="J922" t="s">
        <v>131</v>
      </c>
      <c r="K922" s="5">
        <f>1389 / 86400</f>
        <v>1.607638888888889E-2</v>
      </c>
      <c r="L922" s="5">
        <f>19961 / 86400</f>
        <v>0.23103009259259261</v>
      </c>
    </row>
    <row r="923" spans="1:12" x14ac:dyDescent="0.25">
      <c r="A923" s="3">
        <v>45710.247118055559</v>
      </c>
      <c r="B923" t="s">
        <v>394</v>
      </c>
      <c r="C923" s="3">
        <v>45710.453865740739</v>
      </c>
      <c r="D923" t="s">
        <v>81</v>
      </c>
      <c r="E923" s="4">
        <v>85.766000000000005</v>
      </c>
      <c r="F923" s="4">
        <v>412303.01299999998</v>
      </c>
      <c r="G923" s="4">
        <v>412388.77899999998</v>
      </c>
      <c r="H923" s="5">
        <f>5727 / 86400</f>
        <v>6.6284722222222217E-2</v>
      </c>
      <c r="I923" t="s">
        <v>41</v>
      </c>
      <c r="J923" t="s">
        <v>29</v>
      </c>
      <c r="K923" s="5">
        <f>17863 / 86400</f>
        <v>0.20674768518518519</v>
      </c>
      <c r="L923" s="5">
        <f>1504 / 86400</f>
        <v>1.7407407407407406E-2</v>
      </c>
    </row>
    <row r="924" spans="1:12" x14ac:dyDescent="0.25">
      <c r="A924" s="3">
        <v>45710.471273148149</v>
      </c>
      <c r="B924" t="s">
        <v>81</v>
      </c>
      <c r="C924" s="3">
        <v>45710.474398148144</v>
      </c>
      <c r="D924" t="s">
        <v>128</v>
      </c>
      <c r="E924" s="4">
        <v>1.1759999999999999</v>
      </c>
      <c r="F924" s="4">
        <v>412388.77899999998</v>
      </c>
      <c r="G924" s="4">
        <v>412389.95500000002</v>
      </c>
      <c r="H924" s="5">
        <f>0 / 86400</f>
        <v>0</v>
      </c>
      <c r="I924" t="s">
        <v>123</v>
      </c>
      <c r="J924" t="s">
        <v>33</v>
      </c>
      <c r="K924" s="5">
        <f>270 / 86400</f>
        <v>3.1250000000000002E-3</v>
      </c>
      <c r="L924" s="5">
        <f>983 / 86400</f>
        <v>1.1377314814814814E-2</v>
      </c>
    </row>
    <row r="925" spans="1:12" x14ac:dyDescent="0.25">
      <c r="A925" s="3">
        <v>45710.485775462963</v>
      </c>
      <c r="B925" t="s">
        <v>128</v>
      </c>
      <c r="C925" s="3">
        <v>45710.485995370371</v>
      </c>
      <c r="D925" t="s">
        <v>128</v>
      </c>
      <c r="E925" s="4">
        <v>1.0999999999999999E-2</v>
      </c>
      <c r="F925" s="4">
        <v>412389.95500000002</v>
      </c>
      <c r="G925" s="4">
        <v>412389.96600000001</v>
      </c>
      <c r="H925" s="5">
        <f>0 / 86400</f>
        <v>0</v>
      </c>
      <c r="I925" t="s">
        <v>77</v>
      </c>
      <c r="J925" t="s">
        <v>113</v>
      </c>
      <c r="K925" s="5">
        <f>19 / 86400</f>
        <v>2.199074074074074E-4</v>
      </c>
      <c r="L925" s="5">
        <f>521 / 86400</f>
        <v>6.030092592592593E-3</v>
      </c>
    </row>
    <row r="926" spans="1:12" x14ac:dyDescent="0.25">
      <c r="A926" s="3">
        <v>45710.492025462961</v>
      </c>
      <c r="B926" t="s">
        <v>128</v>
      </c>
      <c r="C926" s="3">
        <v>45710.775775462964</v>
      </c>
      <c r="D926" t="s">
        <v>88</v>
      </c>
      <c r="E926" s="4">
        <v>113.755</v>
      </c>
      <c r="F926" s="4">
        <v>412389.96600000001</v>
      </c>
      <c r="G926" s="4">
        <v>412503.72100000002</v>
      </c>
      <c r="H926" s="5">
        <f>8378 / 86400</f>
        <v>9.6967592592592591E-2</v>
      </c>
      <c r="I926" t="s">
        <v>63</v>
      </c>
      <c r="J926" t="s">
        <v>29</v>
      </c>
      <c r="K926" s="5">
        <f>24516 / 86400</f>
        <v>0.28375</v>
      </c>
      <c r="L926" s="5">
        <f>19372 / 86400</f>
        <v>0.22421296296296298</v>
      </c>
    </row>
    <row r="927" spans="1:1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</row>
    <row r="928" spans="1:12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</row>
    <row r="929" spans="1:12" s="10" customFormat="1" ht="20.100000000000001" customHeight="1" x14ac:dyDescent="0.35">
      <c r="A929" s="15" t="s">
        <v>454</v>
      </c>
      <c r="B929" s="15"/>
      <c r="C929" s="15"/>
      <c r="D929" s="15"/>
      <c r="E929" s="15"/>
      <c r="F929" s="15"/>
      <c r="G929" s="15"/>
      <c r="H929" s="15"/>
      <c r="I929" s="15"/>
      <c r="J929" s="15"/>
    </row>
    <row r="930" spans="1:1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</row>
    <row r="931" spans="1:12" ht="30" x14ac:dyDescent="0.25">
      <c r="A931" s="2" t="s">
        <v>6</v>
      </c>
      <c r="B931" s="2" t="s">
        <v>7</v>
      </c>
      <c r="C931" s="2" t="s">
        <v>8</v>
      </c>
      <c r="D931" s="2" t="s">
        <v>9</v>
      </c>
      <c r="E931" s="2" t="s">
        <v>10</v>
      </c>
      <c r="F931" s="2" t="s">
        <v>11</v>
      </c>
      <c r="G931" s="2" t="s">
        <v>12</v>
      </c>
      <c r="H931" s="2" t="s">
        <v>13</v>
      </c>
      <c r="I931" s="2" t="s">
        <v>14</v>
      </c>
      <c r="J931" s="2" t="s">
        <v>15</v>
      </c>
      <c r="K931" s="2" t="s">
        <v>16</v>
      </c>
      <c r="L931" s="2" t="s">
        <v>17</v>
      </c>
    </row>
    <row r="932" spans="1:12" x14ac:dyDescent="0.25">
      <c r="A932" s="3">
        <v>45710.149861111116</v>
      </c>
      <c r="B932" t="s">
        <v>24</v>
      </c>
      <c r="C932" s="3">
        <v>45710.214988425927</v>
      </c>
      <c r="D932" t="s">
        <v>362</v>
      </c>
      <c r="E932" s="4">
        <v>33.948999999999998</v>
      </c>
      <c r="F932" s="4">
        <v>443047.989</v>
      </c>
      <c r="G932" s="4">
        <v>443081.93800000002</v>
      </c>
      <c r="H932" s="5">
        <f>1139 / 86400</f>
        <v>1.3182870370370371E-2</v>
      </c>
      <c r="I932" t="s">
        <v>87</v>
      </c>
      <c r="J932" t="s">
        <v>37</v>
      </c>
      <c r="K932" s="5">
        <f>5627 / 86400</f>
        <v>6.5127314814814818E-2</v>
      </c>
      <c r="L932" s="5">
        <f>13793 / 86400</f>
        <v>0.15964120370370372</v>
      </c>
    </row>
    <row r="933" spans="1:12" x14ac:dyDescent="0.25">
      <c r="A933" s="3">
        <v>45710.224768518514</v>
      </c>
      <c r="B933" t="s">
        <v>362</v>
      </c>
      <c r="C933" s="3">
        <v>45710.335057870368</v>
      </c>
      <c r="D933" t="s">
        <v>138</v>
      </c>
      <c r="E933" s="4">
        <v>49.933999999999997</v>
      </c>
      <c r="F933" s="4">
        <v>443081.93800000002</v>
      </c>
      <c r="G933" s="4">
        <v>443131.87199999997</v>
      </c>
      <c r="H933" s="5">
        <f>3041 / 86400</f>
        <v>3.5196759259259261E-2</v>
      </c>
      <c r="I933" t="s">
        <v>25</v>
      </c>
      <c r="J933" t="s">
        <v>80</v>
      </c>
      <c r="K933" s="5">
        <f>9529 / 86400</f>
        <v>0.11028935185185185</v>
      </c>
      <c r="L933" s="5">
        <f>198 / 86400</f>
        <v>2.2916666666666667E-3</v>
      </c>
    </row>
    <row r="934" spans="1:12" x14ac:dyDescent="0.25">
      <c r="A934" s="3">
        <v>45710.337349537032</v>
      </c>
      <c r="B934" t="s">
        <v>138</v>
      </c>
      <c r="C934" s="3">
        <v>45710.339618055557</v>
      </c>
      <c r="D934" t="s">
        <v>128</v>
      </c>
      <c r="E934" s="4">
        <v>0.71899999999999997</v>
      </c>
      <c r="F934" s="4">
        <v>443131.87199999997</v>
      </c>
      <c r="G934" s="4">
        <v>443132.59100000001</v>
      </c>
      <c r="H934" s="5">
        <f>0 / 86400</f>
        <v>0</v>
      </c>
      <c r="I934" t="s">
        <v>37</v>
      </c>
      <c r="J934" t="s">
        <v>45</v>
      </c>
      <c r="K934" s="5">
        <f>196 / 86400</f>
        <v>2.2685185185185187E-3</v>
      </c>
      <c r="L934" s="5">
        <f>1031 / 86400</f>
        <v>1.193287037037037E-2</v>
      </c>
    </row>
    <row r="935" spans="1:12" x14ac:dyDescent="0.25">
      <c r="A935" s="3">
        <v>45710.35155092593</v>
      </c>
      <c r="B935" t="s">
        <v>128</v>
      </c>
      <c r="C935" s="3">
        <v>45710.474212962959</v>
      </c>
      <c r="D935" t="s">
        <v>155</v>
      </c>
      <c r="E935" s="4">
        <v>51.064</v>
      </c>
      <c r="F935" s="4">
        <v>443132.59100000001</v>
      </c>
      <c r="G935" s="4">
        <v>443183.65500000003</v>
      </c>
      <c r="H935" s="5">
        <f>3340 / 86400</f>
        <v>3.8657407407407404E-2</v>
      </c>
      <c r="I935" t="s">
        <v>89</v>
      </c>
      <c r="J935" t="s">
        <v>29</v>
      </c>
      <c r="K935" s="5">
        <f>10598 / 86400</f>
        <v>0.12266203703703704</v>
      </c>
      <c r="L935" s="5">
        <f>3969 / 86400</f>
        <v>4.5937499999999999E-2</v>
      </c>
    </row>
    <row r="936" spans="1:12" x14ac:dyDescent="0.25">
      <c r="A936" s="3">
        <v>45710.520150462966</v>
      </c>
      <c r="B936" t="s">
        <v>155</v>
      </c>
      <c r="C936" s="3">
        <v>45710.62908564815</v>
      </c>
      <c r="D936" t="s">
        <v>111</v>
      </c>
      <c r="E936" s="4">
        <v>30.837</v>
      </c>
      <c r="F936" s="4">
        <v>443183.65500000003</v>
      </c>
      <c r="G936" s="4">
        <v>443214.49200000003</v>
      </c>
      <c r="H936" s="5">
        <f>3559 / 86400</f>
        <v>4.1192129629629627E-2</v>
      </c>
      <c r="I936" t="s">
        <v>157</v>
      </c>
      <c r="J936" t="s">
        <v>139</v>
      </c>
      <c r="K936" s="5">
        <f>9412 / 86400</f>
        <v>0.10893518518518519</v>
      </c>
      <c r="L936" s="5">
        <f>619 / 86400</f>
        <v>7.1643518518518514E-3</v>
      </c>
    </row>
    <row r="937" spans="1:12" x14ac:dyDescent="0.25">
      <c r="A937" s="3">
        <v>45710.636249999996</v>
      </c>
      <c r="B937" t="s">
        <v>111</v>
      </c>
      <c r="C937" s="3">
        <v>45710.641875000001</v>
      </c>
      <c r="D937" t="s">
        <v>395</v>
      </c>
      <c r="E937" s="4">
        <v>1.982</v>
      </c>
      <c r="F937" s="4">
        <v>443214.49200000003</v>
      </c>
      <c r="G937" s="4">
        <v>443216.47399999999</v>
      </c>
      <c r="H937" s="5">
        <f>81 / 86400</f>
        <v>9.3749999999999997E-4</v>
      </c>
      <c r="I937" t="s">
        <v>190</v>
      </c>
      <c r="J937" t="s">
        <v>42</v>
      </c>
      <c r="K937" s="5">
        <f>486 / 86400</f>
        <v>5.6249999999999998E-3</v>
      </c>
      <c r="L937" s="5">
        <f>356 / 86400</f>
        <v>4.1203703703703706E-3</v>
      </c>
    </row>
    <row r="938" spans="1:12" x14ac:dyDescent="0.25">
      <c r="A938" s="3">
        <v>45710.645995370374</v>
      </c>
      <c r="B938" t="s">
        <v>395</v>
      </c>
      <c r="C938" s="3">
        <v>45710.649664351848</v>
      </c>
      <c r="D938" t="s">
        <v>24</v>
      </c>
      <c r="E938" s="4">
        <v>0.96599999999999997</v>
      </c>
      <c r="F938" s="4">
        <v>443216.47399999999</v>
      </c>
      <c r="G938" s="4">
        <v>443217.44</v>
      </c>
      <c r="H938" s="5">
        <f>120 / 86400</f>
        <v>1.3888888888888889E-3</v>
      </c>
      <c r="I938" t="s">
        <v>199</v>
      </c>
      <c r="J938" t="s">
        <v>61</v>
      </c>
      <c r="K938" s="5">
        <f>316 / 86400</f>
        <v>3.6574074074074074E-3</v>
      </c>
      <c r="L938" s="5">
        <f>199 / 86400</f>
        <v>2.3032407407407407E-3</v>
      </c>
    </row>
    <row r="939" spans="1:12" x14ac:dyDescent="0.25">
      <c r="A939" s="3">
        <v>45710.651967592596</v>
      </c>
      <c r="B939" t="s">
        <v>24</v>
      </c>
      <c r="C939" s="3">
        <v>45710.655104166668</v>
      </c>
      <c r="D939" t="s">
        <v>22</v>
      </c>
      <c r="E939" s="4">
        <v>0.23499999999999999</v>
      </c>
      <c r="F939" s="4">
        <v>443217.44</v>
      </c>
      <c r="G939" s="4">
        <v>443217.67499999999</v>
      </c>
      <c r="H939" s="5">
        <f>79 / 86400</f>
        <v>9.1435185185185185E-4</v>
      </c>
      <c r="I939" t="s">
        <v>150</v>
      </c>
      <c r="J939" t="s">
        <v>143</v>
      </c>
      <c r="K939" s="5">
        <f>270 / 86400</f>
        <v>3.1250000000000002E-3</v>
      </c>
      <c r="L939" s="5">
        <f>65 / 86400</f>
        <v>7.5231481481481482E-4</v>
      </c>
    </row>
    <row r="940" spans="1:12" x14ac:dyDescent="0.25">
      <c r="A940" s="3">
        <v>45710.655856481477</v>
      </c>
      <c r="B940" t="s">
        <v>22</v>
      </c>
      <c r="C940" s="3">
        <v>45710.656226851846</v>
      </c>
      <c r="D940" t="s">
        <v>22</v>
      </c>
      <c r="E940" s="4">
        <v>0</v>
      </c>
      <c r="F940" s="4">
        <v>443217.67499999999</v>
      </c>
      <c r="G940" s="4">
        <v>443217.67499999999</v>
      </c>
      <c r="H940" s="5">
        <f>19 / 86400</f>
        <v>2.199074074074074E-4</v>
      </c>
      <c r="I940" t="s">
        <v>77</v>
      </c>
      <c r="J940" t="s">
        <v>77</v>
      </c>
      <c r="K940" s="5">
        <f>31 / 86400</f>
        <v>3.5879629629629629E-4</v>
      </c>
      <c r="L940" s="5">
        <f>12946 / 86400</f>
        <v>0.14983796296296295</v>
      </c>
    </row>
    <row r="941" spans="1:12" x14ac:dyDescent="0.25">
      <c r="A941" s="3">
        <v>45710.806064814809</v>
      </c>
      <c r="B941" t="s">
        <v>22</v>
      </c>
      <c r="C941" s="3">
        <v>45710.82167824074</v>
      </c>
      <c r="D941" t="s">
        <v>24</v>
      </c>
      <c r="E941" s="4">
        <v>5.2119999999999997</v>
      </c>
      <c r="F941" s="4">
        <v>443217.67499999999</v>
      </c>
      <c r="G941" s="4">
        <v>443222.88699999999</v>
      </c>
      <c r="H941" s="5">
        <f>259 / 86400</f>
        <v>2.9976851851851853E-3</v>
      </c>
      <c r="I941" t="s">
        <v>195</v>
      </c>
      <c r="J941" t="s">
        <v>26</v>
      </c>
      <c r="K941" s="5">
        <f>1348 / 86400</f>
        <v>1.5601851851851851E-2</v>
      </c>
      <c r="L941" s="5">
        <f>15406 / 86400</f>
        <v>0.17831018518518518</v>
      </c>
    </row>
    <row r="942" spans="1:1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</row>
    <row r="943" spans="1:1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</row>
    <row r="944" spans="1:12" s="10" customFormat="1" ht="20.100000000000001" customHeight="1" x14ac:dyDescent="0.35">
      <c r="A944" s="15" t="s">
        <v>455</v>
      </c>
      <c r="B944" s="15"/>
      <c r="C944" s="15"/>
      <c r="D944" s="15"/>
      <c r="E944" s="15"/>
      <c r="F944" s="15"/>
      <c r="G944" s="15"/>
      <c r="H944" s="15"/>
      <c r="I944" s="15"/>
      <c r="J944" s="15"/>
    </row>
    <row r="945" spans="1:12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</row>
    <row r="946" spans="1:12" ht="30" x14ac:dyDescent="0.25">
      <c r="A946" s="2" t="s">
        <v>6</v>
      </c>
      <c r="B946" s="2" t="s">
        <v>7</v>
      </c>
      <c r="C946" s="2" t="s">
        <v>8</v>
      </c>
      <c r="D946" s="2" t="s">
        <v>9</v>
      </c>
      <c r="E946" s="2" t="s">
        <v>10</v>
      </c>
      <c r="F946" s="2" t="s">
        <v>11</v>
      </c>
      <c r="G946" s="2" t="s">
        <v>12</v>
      </c>
      <c r="H946" s="2" t="s">
        <v>13</v>
      </c>
      <c r="I946" s="2" t="s">
        <v>14</v>
      </c>
      <c r="J946" s="2" t="s">
        <v>15</v>
      </c>
      <c r="K946" s="2" t="s">
        <v>16</v>
      </c>
      <c r="L946" s="2" t="s">
        <v>17</v>
      </c>
    </row>
    <row r="947" spans="1:12" x14ac:dyDescent="0.25">
      <c r="A947" s="3">
        <v>45710.649398148147</v>
      </c>
      <c r="B947" t="s">
        <v>90</v>
      </c>
      <c r="C947" s="3">
        <v>45710.649525462963</v>
      </c>
      <c r="D947" t="s">
        <v>90</v>
      </c>
      <c r="E947" s="4">
        <v>1E-3</v>
      </c>
      <c r="F947" s="4">
        <v>475487.397</v>
      </c>
      <c r="G947" s="4">
        <v>475487.39799999999</v>
      </c>
      <c r="H947" s="5">
        <f>0 / 86400</f>
        <v>0</v>
      </c>
      <c r="I947" t="s">
        <v>77</v>
      </c>
      <c r="J947" t="s">
        <v>77</v>
      </c>
      <c r="K947" s="5">
        <f>11 / 86400</f>
        <v>1.273148148148148E-4</v>
      </c>
      <c r="L947" s="5">
        <f>86388 / 86400</f>
        <v>0.99986111111111109</v>
      </c>
    </row>
    <row r="948" spans="1:1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</row>
    <row r="949" spans="1:1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</row>
    <row r="950" spans="1:12" s="10" customFormat="1" ht="20.100000000000001" customHeight="1" x14ac:dyDescent="0.35">
      <c r="A950" s="15" t="s">
        <v>456</v>
      </c>
      <c r="B950" s="15"/>
      <c r="C950" s="15"/>
      <c r="D950" s="15"/>
      <c r="E950" s="15"/>
      <c r="F950" s="15"/>
      <c r="G950" s="15"/>
      <c r="H950" s="15"/>
      <c r="I950" s="15"/>
      <c r="J950" s="15"/>
    </row>
    <row r="951" spans="1:1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</row>
    <row r="952" spans="1:12" ht="30" x14ac:dyDescent="0.25">
      <c r="A952" s="2" t="s">
        <v>6</v>
      </c>
      <c r="B952" s="2" t="s">
        <v>7</v>
      </c>
      <c r="C952" s="2" t="s">
        <v>8</v>
      </c>
      <c r="D952" s="2" t="s">
        <v>9</v>
      </c>
      <c r="E952" s="2" t="s">
        <v>10</v>
      </c>
      <c r="F952" s="2" t="s">
        <v>11</v>
      </c>
      <c r="G952" s="2" t="s">
        <v>12</v>
      </c>
      <c r="H952" s="2" t="s">
        <v>13</v>
      </c>
      <c r="I952" s="2" t="s">
        <v>14</v>
      </c>
      <c r="J952" s="2" t="s">
        <v>15</v>
      </c>
      <c r="K952" s="2" t="s">
        <v>16</v>
      </c>
      <c r="L952" s="2" t="s">
        <v>17</v>
      </c>
    </row>
    <row r="953" spans="1:12" x14ac:dyDescent="0.25">
      <c r="A953" s="3">
        <v>45710.636203703703</v>
      </c>
      <c r="B953" t="s">
        <v>85</v>
      </c>
      <c r="C953" s="3">
        <v>45710.834120370375</v>
      </c>
      <c r="D953" t="s">
        <v>311</v>
      </c>
      <c r="E953" s="4">
        <v>81.260999999999996</v>
      </c>
      <c r="F953" s="4">
        <v>415997.87300000002</v>
      </c>
      <c r="G953" s="4">
        <v>416079.13400000002</v>
      </c>
      <c r="H953" s="5">
        <f>6239 / 86400</f>
        <v>7.2210648148148149E-2</v>
      </c>
      <c r="I953" t="s">
        <v>41</v>
      </c>
      <c r="J953" t="s">
        <v>29</v>
      </c>
      <c r="K953" s="5">
        <f>17100 / 86400</f>
        <v>0.19791666666666666</v>
      </c>
      <c r="L953" s="5">
        <f>55648 / 86400</f>
        <v>0.64407407407407402</v>
      </c>
    </row>
    <row r="954" spans="1:12" x14ac:dyDescent="0.25">
      <c r="A954" s="3">
        <v>45710.841990740737</v>
      </c>
      <c r="B954" t="s">
        <v>311</v>
      </c>
      <c r="C954" s="3">
        <v>45710.98572916667</v>
      </c>
      <c r="D954" t="s">
        <v>84</v>
      </c>
      <c r="E954" s="4">
        <v>70.691999999999993</v>
      </c>
      <c r="F954" s="4">
        <v>416079.13400000002</v>
      </c>
      <c r="G954" s="4">
        <v>416149.826</v>
      </c>
      <c r="H954" s="5">
        <f>3640 / 86400</f>
        <v>4.2129629629629628E-2</v>
      </c>
      <c r="I954" t="s">
        <v>87</v>
      </c>
      <c r="J954" t="s">
        <v>64</v>
      </c>
      <c r="K954" s="5">
        <f>12419 / 86400</f>
        <v>0.14373842592592592</v>
      </c>
      <c r="L954" s="5">
        <f>339 / 86400</f>
        <v>3.9236111111111112E-3</v>
      </c>
    </row>
    <row r="955" spans="1:12" x14ac:dyDescent="0.25">
      <c r="A955" s="3">
        <v>45710.989652777775</v>
      </c>
      <c r="B955" t="s">
        <v>84</v>
      </c>
      <c r="C955" s="3">
        <v>45710.990208333329</v>
      </c>
      <c r="D955" t="s">
        <v>84</v>
      </c>
      <c r="E955" s="4">
        <v>9.8000000000000004E-2</v>
      </c>
      <c r="F955" s="4">
        <v>416149.826</v>
      </c>
      <c r="G955" s="4">
        <v>416149.924</v>
      </c>
      <c r="H955" s="5">
        <f>0 / 86400</f>
        <v>0</v>
      </c>
      <c r="I955" t="s">
        <v>61</v>
      </c>
      <c r="J955" t="s">
        <v>140</v>
      </c>
      <c r="K955" s="5">
        <f>48 / 86400</f>
        <v>5.5555555555555556E-4</v>
      </c>
      <c r="L955" s="5">
        <f>451 / 86400</f>
        <v>5.2199074074074075E-3</v>
      </c>
    </row>
    <row r="956" spans="1:12" x14ac:dyDescent="0.25">
      <c r="A956" s="3">
        <v>45710.995428240742</v>
      </c>
      <c r="B956" t="s">
        <v>84</v>
      </c>
      <c r="C956" s="3">
        <v>45710.999050925922</v>
      </c>
      <c r="D956" t="s">
        <v>85</v>
      </c>
      <c r="E956" s="4">
        <v>1.4890000000000001</v>
      </c>
      <c r="F956" s="4">
        <v>416149.924</v>
      </c>
      <c r="G956" s="4">
        <v>416151.413</v>
      </c>
      <c r="H956" s="5">
        <f>59 / 86400</f>
        <v>6.8287037037037036E-4</v>
      </c>
      <c r="I956" t="s">
        <v>162</v>
      </c>
      <c r="J956" t="s">
        <v>29</v>
      </c>
      <c r="K956" s="5">
        <f>313 / 86400</f>
        <v>3.6226851851851854E-3</v>
      </c>
      <c r="L956" s="5">
        <f>73 / 86400</f>
        <v>8.4490740740740739E-4</v>
      </c>
    </row>
    <row r="957" spans="1:12" x14ac:dyDescent="0.25">
      <c r="A957" s="3">
        <v>45710.999895833331</v>
      </c>
      <c r="B957" t="s">
        <v>85</v>
      </c>
      <c r="C957" s="3">
        <v>45710.99998842593</v>
      </c>
      <c r="D957" t="s">
        <v>85</v>
      </c>
      <c r="E957" s="4">
        <v>5.0000000000000001E-3</v>
      </c>
      <c r="F957" s="4">
        <v>416151.413</v>
      </c>
      <c r="G957" s="4">
        <v>416151.41800000001</v>
      </c>
      <c r="H957" s="5">
        <f>0 / 86400</f>
        <v>0</v>
      </c>
      <c r="I957" t="s">
        <v>140</v>
      </c>
      <c r="J957" t="s">
        <v>113</v>
      </c>
      <c r="K957" s="5">
        <f>8 / 86400</f>
        <v>9.2592592592592588E-5</v>
      </c>
      <c r="L957" s="5">
        <f>0 / 86400</f>
        <v>0</v>
      </c>
    </row>
    <row r="958" spans="1:12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</row>
    <row r="959" spans="1:1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</row>
    <row r="960" spans="1:12" s="10" customFormat="1" ht="20.100000000000001" customHeight="1" x14ac:dyDescent="0.35">
      <c r="A960" s="15" t="s">
        <v>457</v>
      </c>
      <c r="B960" s="15"/>
      <c r="C960" s="15"/>
      <c r="D960" s="15"/>
      <c r="E960" s="15"/>
      <c r="F960" s="15"/>
      <c r="G960" s="15"/>
      <c r="H960" s="15"/>
      <c r="I960" s="15"/>
      <c r="J960" s="15"/>
    </row>
    <row r="961" spans="1:1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</row>
    <row r="962" spans="1:12" ht="30" x14ac:dyDescent="0.25">
      <c r="A962" s="2" t="s">
        <v>6</v>
      </c>
      <c r="B962" s="2" t="s">
        <v>7</v>
      </c>
      <c r="C962" s="2" t="s">
        <v>8</v>
      </c>
      <c r="D962" s="2" t="s">
        <v>9</v>
      </c>
      <c r="E962" s="2" t="s">
        <v>10</v>
      </c>
      <c r="F962" s="2" t="s">
        <v>11</v>
      </c>
      <c r="G962" s="2" t="s">
        <v>12</v>
      </c>
      <c r="H962" s="2" t="s">
        <v>13</v>
      </c>
      <c r="I962" s="2" t="s">
        <v>14</v>
      </c>
      <c r="J962" s="2" t="s">
        <v>15</v>
      </c>
      <c r="K962" s="2" t="s">
        <v>16</v>
      </c>
      <c r="L962" s="2" t="s">
        <v>17</v>
      </c>
    </row>
    <row r="963" spans="1:12" x14ac:dyDescent="0.25">
      <c r="A963" s="3">
        <v>45710.004247685181</v>
      </c>
      <c r="B963" t="s">
        <v>24</v>
      </c>
      <c r="C963" s="3">
        <v>45710.004918981482</v>
      </c>
      <c r="D963" t="s">
        <v>24</v>
      </c>
      <c r="E963" s="4">
        <v>3.6999999999999998E-2</v>
      </c>
      <c r="F963" s="4">
        <v>330096.304</v>
      </c>
      <c r="G963" s="4">
        <v>330096.34100000001</v>
      </c>
      <c r="H963" s="5">
        <f>20 / 86400</f>
        <v>2.3148148148148149E-4</v>
      </c>
      <c r="I963" t="s">
        <v>156</v>
      </c>
      <c r="J963" t="s">
        <v>113</v>
      </c>
      <c r="K963" s="5">
        <f>57 / 86400</f>
        <v>6.5972222222222224E-4</v>
      </c>
      <c r="L963" s="5">
        <f>14621 / 86400</f>
        <v>0.16922453703703705</v>
      </c>
    </row>
    <row r="964" spans="1:12" x14ac:dyDescent="0.25">
      <c r="A964" s="3">
        <v>45710.169895833329</v>
      </c>
      <c r="B964" t="s">
        <v>24</v>
      </c>
      <c r="C964" s="3">
        <v>45710.170717592591</v>
      </c>
      <c r="D964" t="s">
        <v>24</v>
      </c>
      <c r="E964" s="4">
        <v>1.0999999999999999E-2</v>
      </c>
      <c r="F964" s="4">
        <v>330096.34100000001</v>
      </c>
      <c r="G964" s="4">
        <v>330096.35200000001</v>
      </c>
      <c r="H964" s="5">
        <f>19 / 86400</f>
        <v>2.199074074074074E-4</v>
      </c>
      <c r="I964" t="s">
        <v>113</v>
      </c>
      <c r="J964" t="s">
        <v>124</v>
      </c>
      <c r="K964" s="5">
        <f>70 / 86400</f>
        <v>8.1018518518518516E-4</v>
      </c>
      <c r="L964" s="5">
        <f>48 / 86400</f>
        <v>5.5555555555555556E-4</v>
      </c>
    </row>
    <row r="965" spans="1:12" x14ac:dyDescent="0.25">
      <c r="A965" s="3">
        <v>45710.171273148153</v>
      </c>
      <c r="B965" t="s">
        <v>24</v>
      </c>
      <c r="C965" s="3">
        <v>45710.339212962965</v>
      </c>
      <c r="D965" t="s">
        <v>122</v>
      </c>
      <c r="E965" s="4">
        <v>85.42</v>
      </c>
      <c r="F965" s="4">
        <v>330096.35200000001</v>
      </c>
      <c r="G965" s="4">
        <v>330181.772</v>
      </c>
      <c r="H965" s="5">
        <f>3038 / 86400</f>
        <v>3.516203703703704E-2</v>
      </c>
      <c r="I965" t="s">
        <v>89</v>
      </c>
      <c r="J965" t="s">
        <v>135</v>
      </c>
      <c r="K965" s="5">
        <f>14510 / 86400</f>
        <v>0.16793981481481482</v>
      </c>
      <c r="L965" s="5">
        <f>7328 / 86400</f>
        <v>8.4814814814814815E-2</v>
      </c>
    </row>
    <row r="966" spans="1:12" x14ac:dyDescent="0.25">
      <c r="A966" s="3">
        <v>45710.424027777779</v>
      </c>
      <c r="B966" t="s">
        <v>122</v>
      </c>
      <c r="C966" s="3">
        <v>45710.428437499999</v>
      </c>
      <c r="D966" t="s">
        <v>128</v>
      </c>
      <c r="E966" s="4">
        <v>1.149</v>
      </c>
      <c r="F966" s="4">
        <v>330181.772</v>
      </c>
      <c r="G966" s="4">
        <v>330182.92099999997</v>
      </c>
      <c r="H966" s="5">
        <f>0 / 86400</f>
        <v>0</v>
      </c>
      <c r="I966" t="s">
        <v>80</v>
      </c>
      <c r="J966" t="s">
        <v>61</v>
      </c>
      <c r="K966" s="5">
        <f>381 / 86400</f>
        <v>4.409722222222222E-3</v>
      </c>
      <c r="L966" s="5">
        <f>1014 / 86400</f>
        <v>1.173611111111111E-2</v>
      </c>
    </row>
    <row r="967" spans="1:12" x14ac:dyDescent="0.25">
      <c r="A967" s="3">
        <v>45710.44017361111</v>
      </c>
      <c r="B967" t="s">
        <v>128</v>
      </c>
      <c r="C967" s="3">
        <v>45710.694791666669</v>
      </c>
      <c r="D967" t="s">
        <v>22</v>
      </c>
      <c r="E967" s="4">
        <v>86.05</v>
      </c>
      <c r="F967" s="4">
        <v>330182.92099999997</v>
      </c>
      <c r="G967" s="4">
        <v>330268.97100000002</v>
      </c>
      <c r="H967" s="5">
        <f>8859 / 86400</f>
        <v>0.10253472222222222</v>
      </c>
      <c r="I967" t="s">
        <v>28</v>
      </c>
      <c r="J967" t="s">
        <v>26</v>
      </c>
      <c r="K967" s="5">
        <f>21998 / 86400</f>
        <v>0.25460648148148146</v>
      </c>
      <c r="L967" s="5">
        <f>243 / 86400</f>
        <v>2.8124999999999999E-3</v>
      </c>
    </row>
    <row r="968" spans="1:12" x14ac:dyDescent="0.25">
      <c r="A968" s="3">
        <v>45710.697604166664</v>
      </c>
      <c r="B968" t="s">
        <v>22</v>
      </c>
      <c r="C968" s="3">
        <v>45710.699826388889</v>
      </c>
      <c r="D968" t="s">
        <v>24</v>
      </c>
      <c r="E968" s="4">
        <v>0.51400000000000001</v>
      </c>
      <c r="F968" s="4">
        <v>330268.97100000002</v>
      </c>
      <c r="G968" s="4">
        <v>330269.48499999999</v>
      </c>
      <c r="H968" s="5">
        <f>20 / 86400</f>
        <v>2.3148148148148149E-4</v>
      </c>
      <c r="I968" t="s">
        <v>80</v>
      </c>
      <c r="J968" t="s">
        <v>168</v>
      </c>
      <c r="K968" s="5">
        <f>192 / 86400</f>
        <v>2.2222222222222222E-3</v>
      </c>
      <c r="L968" s="5">
        <f>114 / 86400</f>
        <v>1.3194444444444445E-3</v>
      </c>
    </row>
    <row r="969" spans="1:12" x14ac:dyDescent="0.25">
      <c r="A969" s="3">
        <v>45710.701145833329</v>
      </c>
      <c r="B969" t="s">
        <v>24</v>
      </c>
      <c r="C969" s="3">
        <v>45710.792314814811</v>
      </c>
      <c r="D969" t="s">
        <v>161</v>
      </c>
      <c r="E969" s="4">
        <v>42.508000000000003</v>
      </c>
      <c r="F969" s="4">
        <v>330269.48499999999</v>
      </c>
      <c r="G969" s="4">
        <v>330311.99300000002</v>
      </c>
      <c r="H969" s="5">
        <f>2682 / 86400</f>
        <v>3.1041666666666665E-2</v>
      </c>
      <c r="I969" t="s">
        <v>28</v>
      </c>
      <c r="J969" t="s">
        <v>80</v>
      </c>
      <c r="K969" s="5">
        <f>7877 / 86400</f>
        <v>9.1168981481481476E-2</v>
      </c>
      <c r="L969" s="5">
        <f>358 / 86400</f>
        <v>4.1435185185185186E-3</v>
      </c>
    </row>
    <row r="970" spans="1:12" x14ac:dyDescent="0.25">
      <c r="A970" s="3">
        <v>45710.796458333338</v>
      </c>
      <c r="B970" t="s">
        <v>396</v>
      </c>
      <c r="C970" s="3">
        <v>45710.828750000001</v>
      </c>
      <c r="D970" t="s">
        <v>336</v>
      </c>
      <c r="E970" s="4">
        <v>8.0370000000000008</v>
      </c>
      <c r="F970" s="4">
        <v>330311.99300000002</v>
      </c>
      <c r="G970" s="4">
        <v>330320.03000000003</v>
      </c>
      <c r="H970" s="5">
        <f>1399 / 86400</f>
        <v>1.6192129629629629E-2</v>
      </c>
      <c r="I970" t="s">
        <v>74</v>
      </c>
      <c r="J970" t="s">
        <v>168</v>
      </c>
      <c r="K970" s="5">
        <f>2790 / 86400</f>
        <v>3.229166666666667E-2</v>
      </c>
      <c r="L970" s="5">
        <f>162 / 86400</f>
        <v>1.8749999999999999E-3</v>
      </c>
    </row>
    <row r="971" spans="1:12" x14ac:dyDescent="0.25">
      <c r="A971" s="3">
        <v>45710.830625000002</v>
      </c>
      <c r="B971" t="s">
        <v>336</v>
      </c>
      <c r="C971" s="3">
        <v>45710.830821759257</v>
      </c>
      <c r="D971" t="s">
        <v>336</v>
      </c>
      <c r="E971" s="4">
        <v>8.0000000000000002E-3</v>
      </c>
      <c r="F971" s="4">
        <v>330320.03000000003</v>
      </c>
      <c r="G971" s="4">
        <v>330320.038</v>
      </c>
      <c r="H971" s="5">
        <f>0 / 86400</f>
        <v>0</v>
      </c>
      <c r="I971" t="s">
        <v>77</v>
      </c>
      <c r="J971" t="s">
        <v>113</v>
      </c>
      <c r="K971" s="5">
        <f>17 / 86400</f>
        <v>1.9675925925925926E-4</v>
      </c>
      <c r="L971" s="5">
        <f>1235 / 86400</f>
        <v>1.4293981481481482E-2</v>
      </c>
    </row>
    <row r="972" spans="1:12" x14ac:dyDescent="0.25">
      <c r="A972" s="3">
        <v>45710.84511574074</v>
      </c>
      <c r="B972" t="s">
        <v>336</v>
      </c>
      <c r="C972" s="3">
        <v>45710.99998842593</v>
      </c>
      <c r="D972" t="s">
        <v>91</v>
      </c>
      <c r="E972" s="4">
        <v>74.028000000000006</v>
      </c>
      <c r="F972" s="4">
        <v>330320.038</v>
      </c>
      <c r="G972" s="4">
        <v>330394.06599999999</v>
      </c>
      <c r="H972" s="5">
        <f>4536 / 86400</f>
        <v>5.2499999999999998E-2</v>
      </c>
      <c r="I972" t="s">
        <v>44</v>
      </c>
      <c r="J972" t="s">
        <v>64</v>
      </c>
      <c r="K972" s="5">
        <f>13381 / 86400</f>
        <v>0.15487268518518518</v>
      </c>
      <c r="L972" s="5">
        <f>0 / 86400</f>
        <v>0</v>
      </c>
    </row>
    <row r="973" spans="1:1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</row>
    <row r="974" spans="1:1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</row>
    <row r="975" spans="1:12" s="10" customFormat="1" ht="20.100000000000001" customHeight="1" x14ac:dyDescent="0.35">
      <c r="A975" s="15" t="s">
        <v>458</v>
      </c>
      <c r="B975" s="15"/>
      <c r="C975" s="15"/>
      <c r="D975" s="15"/>
      <c r="E975" s="15"/>
      <c r="F975" s="15"/>
      <c r="G975" s="15"/>
      <c r="H975" s="15"/>
      <c r="I975" s="15"/>
      <c r="J975" s="15"/>
    </row>
    <row r="976" spans="1:1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</row>
    <row r="977" spans="1:12" ht="30" x14ac:dyDescent="0.25">
      <c r="A977" s="2" t="s">
        <v>6</v>
      </c>
      <c r="B977" s="2" t="s">
        <v>7</v>
      </c>
      <c r="C977" s="2" t="s">
        <v>8</v>
      </c>
      <c r="D977" s="2" t="s">
        <v>9</v>
      </c>
      <c r="E977" s="2" t="s">
        <v>10</v>
      </c>
      <c r="F977" s="2" t="s">
        <v>11</v>
      </c>
      <c r="G977" s="2" t="s">
        <v>12</v>
      </c>
      <c r="H977" s="2" t="s">
        <v>13</v>
      </c>
      <c r="I977" s="2" t="s">
        <v>14</v>
      </c>
      <c r="J977" s="2" t="s">
        <v>15</v>
      </c>
      <c r="K977" s="2" t="s">
        <v>16</v>
      </c>
      <c r="L977" s="2" t="s">
        <v>17</v>
      </c>
    </row>
    <row r="978" spans="1:12" x14ac:dyDescent="0.25">
      <c r="A978" s="3">
        <v>45710.555034722223</v>
      </c>
      <c r="B978" t="s">
        <v>24</v>
      </c>
      <c r="C978" s="3">
        <v>45710.558472222227</v>
      </c>
      <c r="D978" t="s">
        <v>111</v>
      </c>
      <c r="E978" s="4">
        <v>0.59</v>
      </c>
      <c r="F978" s="4">
        <v>361590.66499999998</v>
      </c>
      <c r="G978" s="4">
        <v>361591.255</v>
      </c>
      <c r="H978" s="5">
        <f>80 / 86400</f>
        <v>9.2592592592592596E-4</v>
      </c>
      <c r="I978" t="s">
        <v>33</v>
      </c>
      <c r="J978" t="s">
        <v>140</v>
      </c>
      <c r="K978" s="5">
        <f>297 / 86400</f>
        <v>3.4375E-3</v>
      </c>
      <c r="L978" s="5">
        <f>48904 / 86400</f>
        <v>0.56601851851851848</v>
      </c>
    </row>
    <row r="979" spans="1:12" x14ac:dyDescent="0.25">
      <c r="A979" s="3">
        <v>45710.569456018522</v>
      </c>
      <c r="B979" t="s">
        <v>111</v>
      </c>
      <c r="C979" s="3">
        <v>45710.961724537032</v>
      </c>
      <c r="D979" t="s">
        <v>24</v>
      </c>
      <c r="E979" s="4">
        <v>127.48</v>
      </c>
      <c r="F979" s="4">
        <v>361591.255</v>
      </c>
      <c r="G979" s="4">
        <v>361718.73499999999</v>
      </c>
      <c r="H979" s="5">
        <f>14420 / 86400</f>
        <v>0.16689814814814816</v>
      </c>
      <c r="I979" t="s">
        <v>59</v>
      </c>
      <c r="J979" t="s">
        <v>26</v>
      </c>
      <c r="K979" s="5">
        <f>33892 / 86400</f>
        <v>0.39226851851851852</v>
      </c>
      <c r="L979" s="5">
        <f>3306 / 86400</f>
        <v>3.8263888888888889E-2</v>
      </c>
    </row>
    <row r="980" spans="1:12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</row>
    <row r="981" spans="1:12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</row>
    <row r="982" spans="1:12" s="10" customFormat="1" ht="20.100000000000001" customHeight="1" x14ac:dyDescent="0.35">
      <c r="A982" s="15" t="s">
        <v>459</v>
      </c>
      <c r="B982" s="15"/>
      <c r="C982" s="15"/>
      <c r="D982" s="15"/>
      <c r="E982" s="15"/>
      <c r="F982" s="15"/>
      <c r="G982" s="15"/>
      <c r="H982" s="15"/>
      <c r="I982" s="15"/>
      <c r="J982" s="15"/>
    </row>
    <row r="983" spans="1:1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</row>
    <row r="984" spans="1:12" ht="30" x14ac:dyDescent="0.25">
      <c r="A984" s="2" t="s">
        <v>6</v>
      </c>
      <c r="B984" s="2" t="s">
        <v>7</v>
      </c>
      <c r="C984" s="2" t="s">
        <v>8</v>
      </c>
      <c r="D984" s="2" t="s">
        <v>9</v>
      </c>
      <c r="E984" s="2" t="s">
        <v>10</v>
      </c>
      <c r="F984" s="2" t="s">
        <v>11</v>
      </c>
      <c r="G984" s="2" t="s">
        <v>12</v>
      </c>
      <c r="H984" s="2" t="s">
        <v>13</v>
      </c>
      <c r="I984" s="2" t="s">
        <v>14</v>
      </c>
      <c r="J984" s="2" t="s">
        <v>15</v>
      </c>
      <c r="K984" s="2" t="s">
        <v>16</v>
      </c>
      <c r="L984" s="2" t="s">
        <v>17</v>
      </c>
    </row>
    <row r="985" spans="1:12" x14ac:dyDescent="0.25">
      <c r="A985" s="3">
        <v>45710.281585648147</v>
      </c>
      <c r="B985" t="s">
        <v>92</v>
      </c>
      <c r="C985" s="3">
        <v>45710.48940972222</v>
      </c>
      <c r="D985" t="s">
        <v>397</v>
      </c>
      <c r="E985" s="4">
        <v>81.837000000000003</v>
      </c>
      <c r="F985" s="4">
        <v>82612.87</v>
      </c>
      <c r="G985" s="4">
        <v>82694.706999999995</v>
      </c>
      <c r="H985" s="5">
        <f>7619 / 86400</f>
        <v>8.818287037037037E-2</v>
      </c>
      <c r="I985" t="s">
        <v>93</v>
      </c>
      <c r="J985" t="s">
        <v>33</v>
      </c>
      <c r="K985" s="5">
        <f>17955 / 86400</f>
        <v>0.20781250000000001</v>
      </c>
      <c r="L985" s="5">
        <f>24491 / 86400</f>
        <v>0.28346064814814814</v>
      </c>
    </row>
    <row r="986" spans="1:12" x14ac:dyDescent="0.25">
      <c r="A986" s="3">
        <v>45710.491284722222</v>
      </c>
      <c r="B986" t="s">
        <v>397</v>
      </c>
      <c r="C986" s="3">
        <v>45710.494745370372</v>
      </c>
      <c r="D986" t="s">
        <v>92</v>
      </c>
      <c r="E986" s="4">
        <v>1.2430000000000001</v>
      </c>
      <c r="F986" s="4">
        <v>82694.706999999995</v>
      </c>
      <c r="G986" s="4">
        <v>82695.95</v>
      </c>
      <c r="H986" s="5">
        <f>39 / 86400</f>
        <v>4.5138888888888887E-4</v>
      </c>
      <c r="I986" t="s">
        <v>211</v>
      </c>
      <c r="J986" t="s">
        <v>42</v>
      </c>
      <c r="K986" s="5">
        <f>298 / 86400</f>
        <v>3.449074074074074E-3</v>
      </c>
      <c r="L986" s="5">
        <f>9798 / 86400</f>
        <v>0.11340277777777778</v>
      </c>
    </row>
    <row r="987" spans="1:12" x14ac:dyDescent="0.25">
      <c r="A987" s="3">
        <v>45710.608148148152</v>
      </c>
      <c r="B987" t="s">
        <v>92</v>
      </c>
      <c r="C987" s="3">
        <v>45710.94831018518</v>
      </c>
      <c r="D987" t="s">
        <v>86</v>
      </c>
      <c r="E987" s="4">
        <v>100.283</v>
      </c>
      <c r="F987" s="4">
        <v>82695.95</v>
      </c>
      <c r="G987" s="4">
        <v>82796.232999999993</v>
      </c>
      <c r="H987" s="5">
        <f>14216 / 86400</f>
        <v>0.16453703703703704</v>
      </c>
      <c r="I987" t="s">
        <v>55</v>
      </c>
      <c r="J987" t="s">
        <v>139</v>
      </c>
      <c r="K987" s="5">
        <f>29389 / 86400</f>
        <v>0.34015046296296297</v>
      </c>
      <c r="L987" s="5">
        <f>16 / 86400</f>
        <v>1.8518518518518518E-4</v>
      </c>
    </row>
    <row r="988" spans="1:12" x14ac:dyDescent="0.25">
      <c r="A988" s="3">
        <v>45710.948495370365</v>
      </c>
      <c r="B988" t="s">
        <v>86</v>
      </c>
      <c r="C988" s="3">
        <v>45710.990312499998</v>
      </c>
      <c r="D988" t="s">
        <v>92</v>
      </c>
      <c r="E988" s="4">
        <v>4.734</v>
      </c>
      <c r="F988" s="4">
        <v>82796.232999999993</v>
      </c>
      <c r="G988" s="4">
        <v>82800.967000000004</v>
      </c>
      <c r="H988" s="5">
        <f>2779 / 86400</f>
        <v>3.2164351851851854E-2</v>
      </c>
      <c r="I988" t="s">
        <v>112</v>
      </c>
      <c r="J988" t="s">
        <v>156</v>
      </c>
      <c r="K988" s="5">
        <f>3613 / 86400</f>
        <v>4.1817129629629628E-2</v>
      </c>
      <c r="L988" s="5">
        <f>836 / 86400</f>
        <v>9.6759259259259264E-3</v>
      </c>
    </row>
    <row r="989" spans="1:1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</row>
    <row r="990" spans="1:12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</row>
    <row r="991" spans="1:12" s="10" customFormat="1" ht="20.100000000000001" customHeight="1" x14ac:dyDescent="0.35">
      <c r="A991" s="15" t="s">
        <v>460</v>
      </c>
      <c r="B991" s="15"/>
      <c r="C991" s="15"/>
      <c r="D991" s="15"/>
      <c r="E991" s="15"/>
      <c r="F991" s="15"/>
      <c r="G991" s="15"/>
      <c r="H991" s="15"/>
      <c r="I991" s="15"/>
      <c r="J991" s="15"/>
    </row>
    <row r="992" spans="1:12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</row>
    <row r="993" spans="1:12" ht="30" x14ac:dyDescent="0.25">
      <c r="A993" s="2" t="s">
        <v>6</v>
      </c>
      <c r="B993" s="2" t="s">
        <v>7</v>
      </c>
      <c r="C993" s="2" t="s">
        <v>8</v>
      </c>
      <c r="D993" s="2" t="s">
        <v>9</v>
      </c>
      <c r="E993" s="2" t="s">
        <v>10</v>
      </c>
      <c r="F993" s="2" t="s">
        <v>11</v>
      </c>
      <c r="G993" s="2" t="s">
        <v>12</v>
      </c>
      <c r="H993" s="2" t="s">
        <v>13</v>
      </c>
      <c r="I993" s="2" t="s">
        <v>14</v>
      </c>
      <c r="J993" s="2" t="s">
        <v>15</v>
      </c>
      <c r="K993" s="2" t="s">
        <v>16</v>
      </c>
      <c r="L993" s="2" t="s">
        <v>17</v>
      </c>
    </row>
    <row r="994" spans="1:12" x14ac:dyDescent="0.25">
      <c r="A994" s="3">
        <v>45710.203981481478</v>
      </c>
      <c r="B994" t="s">
        <v>39</v>
      </c>
      <c r="C994" s="3">
        <v>45710.208773148144</v>
      </c>
      <c r="D994" t="s">
        <v>204</v>
      </c>
      <c r="E994" s="4">
        <v>0.61299999999999999</v>
      </c>
      <c r="F994" s="4">
        <v>471607.37699999998</v>
      </c>
      <c r="G994" s="4">
        <v>471607.99</v>
      </c>
      <c r="H994" s="5">
        <f>219 / 86400</f>
        <v>2.5347222222222221E-3</v>
      </c>
      <c r="I994" t="s">
        <v>192</v>
      </c>
      <c r="J994" t="s">
        <v>156</v>
      </c>
      <c r="K994" s="5">
        <f>413 / 86400</f>
        <v>4.7800925925925927E-3</v>
      </c>
      <c r="L994" s="5">
        <f>17849 / 86400</f>
        <v>0.20658564814814814</v>
      </c>
    </row>
    <row r="995" spans="1:12" x14ac:dyDescent="0.25">
      <c r="A995" s="3">
        <v>45710.211377314816</v>
      </c>
      <c r="B995" t="s">
        <v>204</v>
      </c>
      <c r="C995" s="3">
        <v>45710.211631944447</v>
      </c>
      <c r="D995" t="s">
        <v>130</v>
      </c>
      <c r="E995" s="4">
        <v>2.5000000000000001E-2</v>
      </c>
      <c r="F995" s="4">
        <v>471607.99</v>
      </c>
      <c r="G995" s="4">
        <v>471608.01500000001</v>
      </c>
      <c r="H995" s="5">
        <f>0 / 86400</f>
        <v>0</v>
      </c>
      <c r="I995" t="s">
        <v>31</v>
      </c>
      <c r="J995" t="s">
        <v>75</v>
      </c>
      <c r="K995" s="5">
        <f>21 / 86400</f>
        <v>2.4305555555555555E-4</v>
      </c>
      <c r="L995" s="5">
        <f>53 / 86400</f>
        <v>6.134259259259259E-4</v>
      </c>
    </row>
    <row r="996" spans="1:12" x14ac:dyDescent="0.25">
      <c r="A996" s="3">
        <v>45710.212245370371</v>
      </c>
      <c r="B996" t="s">
        <v>130</v>
      </c>
      <c r="C996" s="3">
        <v>45710.433715277773</v>
      </c>
      <c r="D996" t="s">
        <v>398</v>
      </c>
      <c r="E996" s="4">
        <v>88.748000000000005</v>
      </c>
      <c r="F996" s="4">
        <v>471608.01500000001</v>
      </c>
      <c r="G996" s="4">
        <v>471696.76299999998</v>
      </c>
      <c r="H996" s="5">
        <f>6840 / 86400</f>
        <v>7.9166666666666663E-2</v>
      </c>
      <c r="I996" t="s">
        <v>49</v>
      </c>
      <c r="J996" t="s">
        <v>29</v>
      </c>
      <c r="K996" s="5">
        <f>19134 / 86400</f>
        <v>0.22145833333333334</v>
      </c>
      <c r="L996" s="5">
        <f>224 / 86400</f>
        <v>2.5925925925925925E-3</v>
      </c>
    </row>
    <row r="997" spans="1:12" x14ac:dyDescent="0.25">
      <c r="A997" s="3">
        <v>45710.436307870375</v>
      </c>
      <c r="B997" t="s">
        <v>398</v>
      </c>
      <c r="C997" s="3">
        <v>45710.436932870369</v>
      </c>
      <c r="D997" t="s">
        <v>398</v>
      </c>
      <c r="E997" s="4">
        <v>0.10199999999999999</v>
      </c>
      <c r="F997" s="4">
        <v>471696.76299999998</v>
      </c>
      <c r="G997" s="4">
        <v>471696.86499999999</v>
      </c>
      <c r="H997" s="5">
        <f>0 / 86400</f>
        <v>0</v>
      </c>
      <c r="I997" t="s">
        <v>31</v>
      </c>
      <c r="J997" t="s">
        <v>140</v>
      </c>
      <c r="K997" s="5">
        <f>53 / 86400</f>
        <v>6.134259259259259E-4</v>
      </c>
      <c r="L997" s="5">
        <f>275 / 86400</f>
        <v>3.1828703703703702E-3</v>
      </c>
    </row>
    <row r="998" spans="1:12" x14ac:dyDescent="0.25">
      <c r="A998" s="3">
        <v>45710.440115740741</v>
      </c>
      <c r="B998" t="s">
        <v>398</v>
      </c>
      <c r="C998" s="3">
        <v>45710.474861111114</v>
      </c>
      <c r="D998" t="s">
        <v>166</v>
      </c>
      <c r="E998" s="4">
        <v>16.853999999999999</v>
      </c>
      <c r="F998" s="4">
        <v>471696.86499999999</v>
      </c>
      <c r="G998" s="4">
        <v>471713.71899999998</v>
      </c>
      <c r="H998" s="5">
        <f>639 / 86400</f>
        <v>7.3958333333333333E-3</v>
      </c>
      <c r="I998" t="s">
        <v>221</v>
      </c>
      <c r="J998" t="s">
        <v>64</v>
      </c>
      <c r="K998" s="5">
        <f>3001 / 86400</f>
        <v>3.4733796296296297E-2</v>
      </c>
      <c r="L998" s="5">
        <f>1123 / 86400</f>
        <v>1.2997685185185185E-2</v>
      </c>
    </row>
    <row r="999" spans="1:12" x14ac:dyDescent="0.25">
      <c r="A999" s="3">
        <v>45710.487858796296</v>
      </c>
      <c r="B999" t="s">
        <v>128</v>
      </c>
      <c r="C999" s="3">
        <v>45710.493587962963</v>
      </c>
      <c r="D999" t="s">
        <v>122</v>
      </c>
      <c r="E999" s="4">
        <v>0.97599999999999998</v>
      </c>
      <c r="F999" s="4">
        <v>471713.71899999998</v>
      </c>
      <c r="G999" s="4">
        <v>471714.69500000001</v>
      </c>
      <c r="H999" s="5">
        <f>239 / 86400</f>
        <v>2.7662037037037039E-3</v>
      </c>
      <c r="I999" t="s">
        <v>129</v>
      </c>
      <c r="J999" t="s">
        <v>140</v>
      </c>
      <c r="K999" s="5">
        <f>495 / 86400</f>
        <v>5.7291666666666663E-3</v>
      </c>
      <c r="L999" s="5">
        <f>568 / 86400</f>
        <v>6.5740740740740742E-3</v>
      </c>
    </row>
    <row r="1000" spans="1:12" x14ac:dyDescent="0.25">
      <c r="A1000" s="3">
        <v>45710.500162037039</v>
      </c>
      <c r="B1000" t="s">
        <v>122</v>
      </c>
      <c r="C1000" s="3">
        <v>45710.501296296294</v>
      </c>
      <c r="D1000" t="s">
        <v>122</v>
      </c>
      <c r="E1000" s="4">
        <v>0.153</v>
      </c>
      <c r="F1000" s="4">
        <v>471714.69500000001</v>
      </c>
      <c r="G1000" s="4">
        <v>471714.848</v>
      </c>
      <c r="H1000" s="5">
        <f>19 / 86400</f>
        <v>2.199074074074074E-4</v>
      </c>
      <c r="I1000" t="s">
        <v>139</v>
      </c>
      <c r="J1000" t="s">
        <v>31</v>
      </c>
      <c r="K1000" s="5">
        <f>98 / 86400</f>
        <v>1.1342592592592593E-3</v>
      </c>
      <c r="L1000" s="5">
        <f>2190 / 86400</f>
        <v>2.5347222222222222E-2</v>
      </c>
    </row>
    <row r="1001" spans="1:12" x14ac:dyDescent="0.25">
      <c r="A1001" s="3">
        <v>45710.526643518519</v>
      </c>
      <c r="B1001" t="s">
        <v>122</v>
      </c>
      <c r="C1001" s="3">
        <v>45710.614004629635</v>
      </c>
      <c r="D1001" t="s">
        <v>399</v>
      </c>
      <c r="E1001" s="4">
        <v>39.451000000000001</v>
      </c>
      <c r="F1001" s="4">
        <v>471714.848</v>
      </c>
      <c r="G1001" s="4">
        <v>471754.299</v>
      </c>
      <c r="H1001" s="5">
        <f>2639 / 86400</f>
        <v>3.0543981481481481E-2</v>
      </c>
      <c r="I1001" t="s">
        <v>97</v>
      </c>
      <c r="J1001" t="s">
        <v>80</v>
      </c>
      <c r="K1001" s="5">
        <f>7547 / 86400</f>
        <v>8.7349537037037031E-2</v>
      </c>
      <c r="L1001" s="5">
        <f>282 / 86400</f>
        <v>3.2638888888888891E-3</v>
      </c>
    </row>
    <row r="1002" spans="1:12" x14ac:dyDescent="0.25">
      <c r="A1002" s="3">
        <v>45710.617268518516</v>
      </c>
      <c r="B1002" t="s">
        <v>280</v>
      </c>
      <c r="C1002" s="3">
        <v>45710.748240740737</v>
      </c>
      <c r="D1002" t="s">
        <v>81</v>
      </c>
      <c r="E1002" s="4">
        <v>38.965000000000003</v>
      </c>
      <c r="F1002" s="4">
        <v>471754.299</v>
      </c>
      <c r="G1002" s="4">
        <v>471793.26400000002</v>
      </c>
      <c r="H1002" s="5">
        <f>4999 / 86400</f>
        <v>5.7858796296296297E-2</v>
      </c>
      <c r="I1002" t="s">
        <v>59</v>
      </c>
      <c r="J1002" t="s">
        <v>139</v>
      </c>
      <c r="K1002" s="5">
        <f>11315 / 86400</f>
        <v>0.13096064814814815</v>
      </c>
      <c r="L1002" s="5">
        <f>704 / 86400</f>
        <v>8.1481481481481474E-3</v>
      </c>
    </row>
    <row r="1003" spans="1:12" x14ac:dyDescent="0.25">
      <c r="A1003" s="3">
        <v>45710.756388888884</v>
      </c>
      <c r="B1003" t="s">
        <v>81</v>
      </c>
      <c r="C1003" s="3">
        <v>45710.759155092594</v>
      </c>
      <c r="D1003" t="s">
        <v>204</v>
      </c>
      <c r="E1003" s="4">
        <v>0.82599999999999996</v>
      </c>
      <c r="F1003" s="4">
        <v>471793.26400000002</v>
      </c>
      <c r="G1003" s="4">
        <v>471794.09</v>
      </c>
      <c r="H1003" s="5">
        <f>60 / 86400</f>
        <v>6.9444444444444447E-4</v>
      </c>
      <c r="I1003" t="s">
        <v>123</v>
      </c>
      <c r="J1003" t="s">
        <v>139</v>
      </c>
      <c r="K1003" s="5">
        <f>238 / 86400</f>
        <v>2.7546296296296294E-3</v>
      </c>
      <c r="L1003" s="5">
        <f>27 / 86400</f>
        <v>3.1250000000000001E-4</v>
      </c>
    </row>
    <row r="1004" spans="1:12" x14ac:dyDescent="0.25">
      <c r="A1004" s="3">
        <v>45710.759467592594</v>
      </c>
      <c r="B1004" t="s">
        <v>204</v>
      </c>
      <c r="C1004" s="3">
        <v>45710.759837962964</v>
      </c>
      <c r="D1004" t="s">
        <v>204</v>
      </c>
      <c r="E1004" s="4">
        <v>1E-3</v>
      </c>
      <c r="F1004" s="4">
        <v>471794.09</v>
      </c>
      <c r="G1004" s="4">
        <v>471794.09100000001</v>
      </c>
      <c r="H1004" s="5">
        <f>19 / 86400</f>
        <v>2.199074074074074E-4</v>
      </c>
      <c r="I1004" t="s">
        <v>77</v>
      </c>
      <c r="J1004" t="s">
        <v>77</v>
      </c>
      <c r="K1004" s="5">
        <f>32 / 86400</f>
        <v>3.7037037037037035E-4</v>
      </c>
      <c r="L1004" s="5">
        <f>105 / 86400</f>
        <v>1.2152777777777778E-3</v>
      </c>
    </row>
    <row r="1005" spans="1:12" x14ac:dyDescent="0.25">
      <c r="A1005" s="3">
        <v>45710.761053240742</v>
      </c>
      <c r="B1005" t="s">
        <v>204</v>
      </c>
      <c r="C1005" s="3">
        <v>45710.761388888888</v>
      </c>
      <c r="D1005" t="s">
        <v>130</v>
      </c>
      <c r="E1005" s="4">
        <v>1.4E-2</v>
      </c>
      <c r="F1005" s="4">
        <v>471794.09100000001</v>
      </c>
      <c r="G1005" s="4">
        <v>471794.10499999998</v>
      </c>
      <c r="H1005" s="5">
        <f>20 / 86400</f>
        <v>2.3148148148148149E-4</v>
      </c>
      <c r="I1005" t="s">
        <v>156</v>
      </c>
      <c r="J1005" t="s">
        <v>113</v>
      </c>
      <c r="K1005" s="5">
        <f>29 / 86400</f>
        <v>3.3564814814814812E-4</v>
      </c>
      <c r="L1005" s="5">
        <f>379 / 86400</f>
        <v>4.386574074074074E-3</v>
      </c>
    </row>
    <row r="1006" spans="1:12" x14ac:dyDescent="0.25">
      <c r="A1006" s="3">
        <v>45710.765775462962</v>
      </c>
      <c r="B1006" t="s">
        <v>130</v>
      </c>
      <c r="C1006" s="3">
        <v>45710.765925925924</v>
      </c>
      <c r="D1006" t="s">
        <v>130</v>
      </c>
      <c r="E1006" s="4">
        <v>8.0000000000000002E-3</v>
      </c>
      <c r="F1006" s="4">
        <v>471794.10499999998</v>
      </c>
      <c r="G1006" s="4">
        <v>471794.11300000001</v>
      </c>
      <c r="H1006" s="5">
        <f>0 / 86400</f>
        <v>0</v>
      </c>
      <c r="I1006" t="s">
        <v>77</v>
      </c>
      <c r="J1006" t="s">
        <v>113</v>
      </c>
      <c r="K1006" s="5">
        <f>13 / 86400</f>
        <v>1.5046296296296297E-4</v>
      </c>
      <c r="L1006" s="5">
        <f>306 / 86400</f>
        <v>3.5416666666666665E-3</v>
      </c>
    </row>
    <row r="1007" spans="1:12" x14ac:dyDescent="0.25">
      <c r="A1007" s="3">
        <v>45710.769467592589</v>
      </c>
      <c r="B1007" t="s">
        <v>130</v>
      </c>
      <c r="C1007" s="3">
        <v>45710.774062500001</v>
      </c>
      <c r="D1007" t="s">
        <v>130</v>
      </c>
      <c r="E1007" s="4">
        <v>0.01</v>
      </c>
      <c r="F1007" s="4">
        <v>471794.11300000001</v>
      </c>
      <c r="G1007" s="4">
        <v>471794.12300000002</v>
      </c>
      <c r="H1007" s="5">
        <f>379 / 86400</f>
        <v>4.386574074074074E-3</v>
      </c>
      <c r="I1007" t="s">
        <v>77</v>
      </c>
      <c r="J1007" t="s">
        <v>77</v>
      </c>
      <c r="K1007" s="5">
        <f>397 / 86400</f>
        <v>4.5949074074074078E-3</v>
      </c>
      <c r="L1007" s="5">
        <f>18 / 86400</f>
        <v>2.0833333333333335E-4</v>
      </c>
    </row>
    <row r="1008" spans="1:12" x14ac:dyDescent="0.25">
      <c r="A1008" s="3">
        <v>45710.774270833332</v>
      </c>
      <c r="B1008" t="s">
        <v>130</v>
      </c>
      <c r="C1008" s="3">
        <v>45710.965775462959</v>
      </c>
      <c r="D1008" t="s">
        <v>311</v>
      </c>
      <c r="E1008" s="4">
        <v>89.162000000000006</v>
      </c>
      <c r="F1008" s="4">
        <v>471794.12300000002</v>
      </c>
      <c r="G1008" s="4">
        <v>471883.28499999997</v>
      </c>
      <c r="H1008" s="5">
        <f>5879 / 86400</f>
        <v>6.8043981481481483E-2</v>
      </c>
      <c r="I1008" t="s">
        <v>49</v>
      </c>
      <c r="J1008" t="s">
        <v>80</v>
      </c>
      <c r="K1008" s="5">
        <f>16546 / 86400</f>
        <v>0.19150462962962964</v>
      </c>
      <c r="L1008" s="5">
        <f>6 / 86400</f>
        <v>6.9444444444444444E-5</v>
      </c>
    </row>
    <row r="1009" spans="1:12" x14ac:dyDescent="0.25">
      <c r="A1009" s="3">
        <v>45710.965844907405</v>
      </c>
      <c r="B1009" t="s">
        <v>311</v>
      </c>
      <c r="C1009" s="3">
        <v>45710.966111111113</v>
      </c>
      <c r="D1009" t="s">
        <v>311</v>
      </c>
      <c r="E1009" s="4">
        <v>4.1000000000000002E-2</v>
      </c>
      <c r="F1009" s="4">
        <v>471883.28499999997</v>
      </c>
      <c r="G1009" s="4">
        <v>471883.326</v>
      </c>
      <c r="H1009" s="5">
        <f>0 / 86400</f>
        <v>0</v>
      </c>
      <c r="I1009" t="s">
        <v>156</v>
      </c>
      <c r="J1009" t="s">
        <v>31</v>
      </c>
      <c r="K1009" s="5">
        <f>23 / 86400</f>
        <v>2.6620370370370372E-4</v>
      </c>
      <c r="L1009" s="5">
        <f>314 / 86400</f>
        <v>3.6342592592592594E-3</v>
      </c>
    </row>
    <row r="1010" spans="1:12" x14ac:dyDescent="0.25">
      <c r="A1010" s="3">
        <v>45710.96974537037</v>
      </c>
      <c r="B1010" t="s">
        <v>311</v>
      </c>
      <c r="C1010" s="3">
        <v>45710.99998842593</v>
      </c>
      <c r="D1010" t="s">
        <v>94</v>
      </c>
      <c r="E1010" s="4">
        <v>14.824999999999999</v>
      </c>
      <c r="F1010" s="4">
        <v>471883.326</v>
      </c>
      <c r="G1010" s="4">
        <v>471898.15100000001</v>
      </c>
      <c r="H1010" s="5">
        <f>979 / 86400</f>
        <v>1.1331018518518518E-2</v>
      </c>
      <c r="I1010" t="s">
        <v>149</v>
      </c>
      <c r="J1010" t="s">
        <v>64</v>
      </c>
      <c r="K1010" s="5">
        <f>2613 / 86400</f>
        <v>3.0243055555555554E-2</v>
      </c>
      <c r="L1010" s="5">
        <f>0 / 86400</f>
        <v>0</v>
      </c>
    </row>
    <row r="1011" spans="1:12" x14ac:dyDescent="0.2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</row>
    <row r="1012" spans="1:12" x14ac:dyDescent="0.2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</row>
    <row r="1013" spans="1:12" s="10" customFormat="1" ht="20.100000000000001" customHeight="1" x14ac:dyDescent="0.35">
      <c r="A1013" s="15" t="s">
        <v>461</v>
      </c>
      <c r="B1013" s="15"/>
      <c r="C1013" s="15"/>
      <c r="D1013" s="15"/>
      <c r="E1013" s="15"/>
      <c r="F1013" s="15"/>
      <c r="G1013" s="15"/>
      <c r="H1013" s="15"/>
      <c r="I1013" s="15"/>
      <c r="J1013" s="15"/>
    </row>
    <row r="1014" spans="1:12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</row>
    <row r="1015" spans="1:12" ht="30" x14ac:dyDescent="0.25">
      <c r="A1015" s="2" t="s">
        <v>6</v>
      </c>
      <c r="B1015" s="2" t="s">
        <v>7</v>
      </c>
      <c r="C1015" s="2" t="s">
        <v>8</v>
      </c>
      <c r="D1015" s="2" t="s">
        <v>9</v>
      </c>
      <c r="E1015" s="2" t="s">
        <v>10</v>
      </c>
      <c r="F1015" s="2" t="s">
        <v>11</v>
      </c>
      <c r="G1015" s="2" t="s">
        <v>12</v>
      </c>
      <c r="H1015" s="2" t="s">
        <v>13</v>
      </c>
      <c r="I1015" s="2" t="s">
        <v>14</v>
      </c>
      <c r="J1015" s="2" t="s">
        <v>15</v>
      </c>
      <c r="K1015" s="2" t="s">
        <v>16</v>
      </c>
      <c r="L1015" s="2" t="s">
        <v>17</v>
      </c>
    </row>
    <row r="1016" spans="1:12" x14ac:dyDescent="0.25">
      <c r="A1016" s="3">
        <v>45710.009293981479</v>
      </c>
      <c r="B1016" t="s">
        <v>95</v>
      </c>
      <c r="C1016" s="3">
        <v>45710.013090277775</v>
      </c>
      <c r="D1016" t="s">
        <v>95</v>
      </c>
      <c r="E1016" s="4">
        <v>0</v>
      </c>
      <c r="F1016" s="4">
        <v>428213.33600000001</v>
      </c>
      <c r="G1016" s="4">
        <v>428213.33600000001</v>
      </c>
      <c r="H1016" s="5">
        <f>319 / 86400</f>
        <v>3.6921296296296298E-3</v>
      </c>
      <c r="I1016" t="s">
        <v>77</v>
      </c>
      <c r="J1016" t="s">
        <v>77</v>
      </c>
      <c r="K1016" s="5">
        <f>327 / 86400</f>
        <v>3.7847222222222223E-3</v>
      </c>
      <c r="L1016" s="5">
        <f>21270 / 86400</f>
        <v>0.24618055555555557</v>
      </c>
    </row>
    <row r="1017" spans="1:12" x14ac:dyDescent="0.25">
      <c r="A1017" s="3">
        <v>45710.249976851846</v>
      </c>
      <c r="B1017" t="s">
        <v>95</v>
      </c>
      <c r="C1017" s="3">
        <v>45710.250775462962</v>
      </c>
      <c r="D1017" t="s">
        <v>95</v>
      </c>
      <c r="E1017" s="4">
        <v>0</v>
      </c>
      <c r="F1017" s="4">
        <v>428213.33600000001</v>
      </c>
      <c r="G1017" s="4">
        <v>428213.33600000001</v>
      </c>
      <c r="H1017" s="5">
        <f>59 / 86400</f>
        <v>6.8287037037037036E-4</v>
      </c>
      <c r="I1017" t="s">
        <v>77</v>
      </c>
      <c r="J1017" t="s">
        <v>77</v>
      </c>
      <c r="K1017" s="5">
        <f>69 / 86400</f>
        <v>7.9861111111111116E-4</v>
      </c>
      <c r="L1017" s="5">
        <f>12486 / 86400</f>
        <v>0.14451388888888889</v>
      </c>
    </row>
    <row r="1018" spans="1:12" x14ac:dyDescent="0.25">
      <c r="A1018" s="3">
        <v>45710.395289351851</v>
      </c>
      <c r="B1018" t="s">
        <v>95</v>
      </c>
      <c r="C1018" s="3">
        <v>45710.398668981477</v>
      </c>
      <c r="D1018" t="s">
        <v>95</v>
      </c>
      <c r="E1018" s="4">
        <v>0</v>
      </c>
      <c r="F1018" s="4">
        <v>428213.33600000001</v>
      </c>
      <c r="G1018" s="4">
        <v>428213.33600000001</v>
      </c>
      <c r="H1018" s="5">
        <f>279 / 86400</f>
        <v>3.2291666666666666E-3</v>
      </c>
      <c r="I1018" t="s">
        <v>77</v>
      </c>
      <c r="J1018" t="s">
        <v>77</v>
      </c>
      <c r="K1018" s="5">
        <f>291 / 86400</f>
        <v>3.3680555555555556E-3</v>
      </c>
      <c r="L1018" s="5">
        <f>458 / 86400</f>
        <v>5.3009259259259259E-3</v>
      </c>
    </row>
    <row r="1019" spans="1:12" x14ac:dyDescent="0.25">
      <c r="A1019" s="3">
        <v>45710.403969907406</v>
      </c>
      <c r="B1019" t="s">
        <v>95</v>
      </c>
      <c r="C1019" s="3">
        <v>45710.407118055555</v>
      </c>
      <c r="D1019" t="s">
        <v>95</v>
      </c>
      <c r="E1019" s="4">
        <v>0</v>
      </c>
      <c r="F1019" s="4">
        <v>428213.33600000001</v>
      </c>
      <c r="G1019" s="4">
        <v>428213.33600000001</v>
      </c>
      <c r="H1019" s="5">
        <f>259 / 86400</f>
        <v>2.9976851851851853E-3</v>
      </c>
      <c r="I1019" t="s">
        <v>77</v>
      </c>
      <c r="J1019" t="s">
        <v>77</v>
      </c>
      <c r="K1019" s="5">
        <f>272 / 86400</f>
        <v>3.1481481481481482E-3</v>
      </c>
      <c r="L1019" s="5">
        <f>615 / 86400</f>
        <v>7.1180555555555554E-3</v>
      </c>
    </row>
    <row r="1020" spans="1:12" x14ac:dyDescent="0.25">
      <c r="A1020" s="3">
        <v>45710.414236111115</v>
      </c>
      <c r="B1020" t="s">
        <v>95</v>
      </c>
      <c r="C1020" s="3">
        <v>45710.419525462959</v>
      </c>
      <c r="D1020" t="s">
        <v>95</v>
      </c>
      <c r="E1020" s="4">
        <v>0</v>
      </c>
      <c r="F1020" s="4">
        <v>428213.33600000001</v>
      </c>
      <c r="G1020" s="4">
        <v>428213.33600000001</v>
      </c>
      <c r="H1020" s="5">
        <f>439 / 86400</f>
        <v>5.0810185185185186E-3</v>
      </c>
      <c r="I1020" t="s">
        <v>77</v>
      </c>
      <c r="J1020" t="s">
        <v>77</v>
      </c>
      <c r="K1020" s="5">
        <f>457 / 86400</f>
        <v>5.2893518518518515E-3</v>
      </c>
      <c r="L1020" s="5">
        <f>69 / 86400</f>
        <v>7.9861111111111116E-4</v>
      </c>
    </row>
    <row r="1021" spans="1:12" x14ac:dyDescent="0.25">
      <c r="A1021" s="3">
        <v>45710.420324074075</v>
      </c>
      <c r="B1021" t="s">
        <v>95</v>
      </c>
      <c r="C1021" s="3">
        <v>45710.424421296295</v>
      </c>
      <c r="D1021" t="s">
        <v>95</v>
      </c>
      <c r="E1021" s="4">
        <v>0</v>
      </c>
      <c r="F1021" s="4">
        <v>428213.33600000001</v>
      </c>
      <c r="G1021" s="4">
        <v>428213.33600000001</v>
      </c>
      <c r="H1021" s="5">
        <f>339 / 86400</f>
        <v>3.9236111111111112E-3</v>
      </c>
      <c r="I1021" t="s">
        <v>77</v>
      </c>
      <c r="J1021" t="s">
        <v>77</v>
      </c>
      <c r="K1021" s="5">
        <f>353 / 86400</f>
        <v>4.0856481481481481E-3</v>
      </c>
      <c r="L1021" s="5">
        <f>206 / 86400</f>
        <v>2.3842592592592591E-3</v>
      </c>
    </row>
    <row r="1022" spans="1:12" x14ac:dyDescent="0.25">
      <c r="A1022" s="3">
        <v>45710.426805555559</v>
      </c>
      <c r="B1022" t="s">
        <v>95</v>
      </c>
      <c r="C1022" s="3">
        <v>45710.429733796293</v>
      </c>
      <c r="D1022" t="s">
        <v>95</v>
      </c>
      <c r="E1022" s="4">
        <v>0</v>
      </c>
      <c r="F1022" s="4">
        <v>428213.33600000001</v>
      </c>
      <c r="G1022" s="4">
        <v>428213.33600000001</v>
      </c>
      <c r="H1022" s="5">
        <f>239 / 86400</f>
        <v>2.7662037037037039E-3</v>
      </c>
      <c r="I1022" t="s">
        <v>77</v>
      </c>
      <c r="J1022" t="s">
        <v>77</v>
      </c>
      <c r="K1022" s="5">
        <f>252 / 86400</f>
        <v>2.9166666666666668E-3</v>
      </c>
      <c r="L1022" s="5">
        <f>226 / 86400</f>
        <v>2.6157407407407405E-3</v>
      </c>
    </row>
    <row r="1023" spans="1:12" x14ac:dyDescent="0.25">
      <c r="A1023" s="3">
        <v>45710.432349537034</v>
      </c>
      <c r="B1023" t="s">
        <v>95</v>
      </c>
      <c r="C1023" s="3">
        <v>45710.43586805556</v>
      </c>
      <c r="D1023" t="s">
        <v>95</v>
      </c>
      <c r="E1023" s="4">
        <v>0</v>
      </c>
      <c r="F1023" s="4">
        <v>428213.33600000001</v>
      </c>
      <c r="G1023" s="4">
        <v>428213.33600000001</v>
      </c>
      <c r="H1023" s="5">
        <f>299 / 86400</f>
        <v>3.460648148148148E-3</v>
      </c>
      <c r="I1023" t="s">
        <v>77</v>
      </c>
      <c r="J1023" t="s">
        <v>77</v>
      </c>
      <c r="K1023" s="5">
        <f>303 / 86400</f>
        <v>3.5069444444444445E-3</v>
      </c>
      <c r="L1023" s="5">
        <f>108 / 86400</f>
        <v>1.25E-3</v>
      </c>
    </row>
    <row r="1024" spans="1:12" x14ac:dyDescent="0.25">
      <c r="A1024" s="3">
        <v>45710.437118055561</v>
      </c>
      <c r="B1024" t="s">
        <v>95</v>
      </c>
      <c r="C1024" s="3">
        <v>45710.441122685181</v>
      </c>
      <c r="D1024" t="s">
        <v>95</v>
      </c>
      <c r="E1024" s="4">
        <v>0</v>
      </c>
      <c r="F1024" s="4">
        <v>428213.33600000001</v>
      </c>
      <c r="G1024" s="4">
        <v>428213.33600000001</v>
      </c>
      <c r="H1024" s="5">
        <f>339 / 86400</f>
        <v>3.9236111111111112E-3</v>
      </c>
      <c r="I1024" t="s">
        <v>77</v>
      </c>
      <c r="J1024" t="s">
        <v>77</v>
      </c>
      <c r="K1024" s="5">
        <f>345 / 86400</f>
        <v>3.9930555555555552E-3</v>
      </c>
      <c r="L1024" s="5">
        <f>6 / 86400</f>
        <v>6.9444444444444444E-5</v>
      </c>
    </row>
    <row r="1025" spans="1:12" x14ac:dyDescent="0.25">
      <c r="A1025" s="3">
        <v>45710.441192129627</v>
      </c>
      <c r="B1025" t="s">
        <v>95</v>
      </c>
      <c r="C1025" s="3">
        <v>45710.44131944445</v>
      </c>
      <c r="D1025" t="s">
        <v>95</v>
      </c>
      <c r="E1025" s="4">
        <v>0</v>
      </c>
      <c r="F1025" s="4">
        <v>428213.33600000001</v>
      </c>
      <c r="G1025" s="4">
        <v>428213.33600000001</v>
      </c>
      <c r="H1025" s="5">
        <f>8 / 86400</f>
        <v>9.2592592592592588E-5</v>
      </c>
      <c r="I1025" t="s">
        <v>77</v>
      </c>
      <c r="J1025" t="s">
        <v>77</v>
      </c>
      <c r="K1025" s="5">
        <f>11 / 86400</f>
        <v>1.273148148148148E-4</v>
      </c>
      <c r="L1025" s="5">
        <f>1971 / 86400</f>
        <v>2.2812499999999999E-2</v>
      </c>
    </row>
    <row r="1026" spans="1:12" x14ac:dyDescent="0.25">
      <c r="A1026" s="3">
        <v>45710.464131944449</v>
      </c>
      <c r="B1026" t="s">
        <v>95</v>
      </c>
      <c r="C1026" s="3">
        <v>45710.468888888892</v>
      </c>
      <c r="D1026" t="s">
        <v>95</v>
      </c>
      <c r="E1026" s="4">
        <v>0</v>
      </c>
      <c r="F1026" s="4">
        <v>428213.33600000001</v>
      </c>
      <c r="G1026" s="4">
        <v>428213.33600000001</v>
      </c>
      <c r="H1026" s="5">
        <f>399 / 86400</f>
        <v>4.6180555555555558E-3</v>
      </c>
      <c r="I1026" t="s">
        <v>77</v>
      </c>
      <c r="J1026" t="s">
        <v>77</v>
      </c>
      <c r="K1026" s="5">
        <f>411 / 86400</f>
        <v>4.7569444444444447E-3</v>
      </c>
      <c r="L1026" s="5">
        <f>374 / 86400</f>
        <v>4.3287037037037035E-3</v>
      </c>
    </row>
    <row r="1027" spans="1:12" x14ac:dyDescent="0.25">
      <c r="A1027" s="3">
        <v>45710.473217592589</v>
      </c>
      <c r="B1027" t="s">
        <v>95</v>
      </c>
      <c r="C1027" s="3">
        <v>45710.565821759257</v>
      </c>
      <c r="D1027" t="s">
        <v>95</v>
      </c>
      <c r="E1027" s="4">
        <v>0</v>
      </c>
      <c r="F1027" s="4">
        <v>428213.33600000001</v>
      </c>
      <c r="G1027" s="4">
        <v>428213.33600000001</v>
      </c>
      <c r="H1027" s="5">
        <f>7999 / 86400</f>
        <v>9.2581018518518521E-2</v>
      </c>
      <c r="I1027" t="s">
        <v>77</v>
      </c>
      <c r="J1027" t="s">
        <v>77</v>
      </c>
      <c r="K1027" s="5">
        <f>8001 / 86400</f>
        <v>9.2604166666666668E-2</v>
      </c>
      <c r="L1027" s="5">
        <f>71 / 86400</f>
        <v>8.2175925925925927E-4</v>
      </c>
    </row>
    <row r="1028" spans="1:12" x14ac:dyDescent="0.25">
      <c r="A1028" s="3">
        <v>45710.566643518519</v>
      </c>
      <c r="B1028" t="s">
        <v>95</v>
      </c>
      <c r="C1028" s="3">
        <v>45710.659861111111</v>
      </c>
      <c r="D1028" t="s">
        <v>95</v>
      </c>
      <c r="E1028" s="4">
        <v>0</v>
      </c>
      <c r="F1028" s="4">
        <v>428213.33600000001</v>
      </c>
      <c r="G1028" s="4">
        <v>428213.33600000001</v>
      </c>
      <c r="H1028" s="5">
        <f>8039 / 86400</f>
        <v>9.3043981481481478E-2</v>
      </c>
      <c r="I1028" t="s">
        <v>77</v>
      </c>
      <c r="J1028" t="s">
        <v>77</v>
      </c>
      <c r="K1028" s="5">
        <f>8054 / 86400</f>
        <v>9.3217592592592588E-2</v>
      </c>
      <c r="L1028" s="5">
        <f>267 / 86400</f>
        <v>3.0902777777777777E-3</v>
      </c>
    </row>
    <row r="1029" spans="1:12" x14ac:dyDescent="0.25">
      <c r="A1029" s="3">
        <v>45710.662951388891</v>
      </c>
      <c r="B1029" t="s">
        <v>95</v>
      </c>
      <c r="C1029" s="3">
        <v>45710.665902777779</v>
      </c>
      <c r="D1029" t="s">
        <v>95</v>
      </c>
      <c r="E1029" s="4">
        <v>0</v>
      </c>
      <c r="F1029" s="4">
        <v>428213.33600000001</v>
      </c>
      <c r="G1029" s="4">
        <v>428213.33600000001</v>
      </c>
      <c r="H1029" s="5">
        <f>239 / 86400</f>
        <v>2.7662037037037039E-3</v>
      </c>
      <c r="I1029" t="s">
        <v>77</v>
      </c>
      <c r="J1029" t="s">
        <v>77</v>
      </c>
      <c r="K1029" s="5">
        <f>255 / 86400</f>
        <v>2.9513888888888888E-3</v>
      </c>
      <c r="L1029" s="5">
        <f>312 / 86400</f>
        <v>3.6111111111111109E-3</v>
      </c>
    </row>
    <row r="1030" spans="1:12" x14ac:dyDescent="0.25">
      <c r="A1030" s="3">
        <v>45710.66951388889</v>
      </c>
      <c r="B1030" t="s">
        <v>95</v>
      </c>
      <c r="C1030" s="3">
        <v>45710.671354166669</v>
      </c>
      <c r="D1030" t="s">
        <v>95</v>
      </c>
      <c r="E1030" s="4">
        <v>0</v>
      </c>
      <c r="F1030" s="4">
        <v>428213.33600000001</v>
      </c>
      <c r="G1030" s="4">
        <v>428213.33600000001</v>
      </c>
      <c r="H1030" s="5">
        <f>139 / 86400</f>
        <v>1.6087962962962963E-3</v>
      </c>
      <c r="I1030" t="s">
        <v>77</v>
      </c>
      <c r="J1030" t="s">
        <v>77</v>
      </c>
      <c r="K1030" s="5">
        <f>159 / 86400</f>
        <v>1.8402777777777777E-3</v>
      </c>
      <c r="L1030" s="5">
        <f>6899 / 86400</f>
        <v>7.9849537037037038E-2</v>
      </c>
    </row>
    <row r="1031" spans="1:12" x14ac:dyDescent="0.25">
      <c r="A1031" s="3">
        <v>45710.751203703709</v>
      </c>
      <c r="B1031" t="s">
        <v>95</v>
      </c>
      <c r="C1031" s="3">
        <v>45710.752233796295</v>
      </c>
      <c r="D1031" t="s">
        <v>95</v>
      </c>
      <c r="E1031" s="4">
        <v>0</v>
      </c>
      <c r="F1031" s="4">
        <v>428213.33600000001</v>
      </c>
      <c r="G1031" s="4">
        <v>428213.33600000001</v>
      </c>
      <c r="H1031" s="5">
        <f>79 / 86400</f>
        <v>9.1435185185185185E-4</v>
      </c>
      <c r="I1031" t="s">
        <v>77</v>
      </c>
      <c r="J1031" t="s">
        <v>77</v>
      </c>
      <c r="K1031" s="5">
        <f>89 / 86400</f>
        <v>1.0300925925925926E-3</v>
      </c>
      <c r="L1031" s="5">
        <f>2231 / 86400</f>
        <v>2.582175925925926E-2</v>
      </c>
    </row>
    <row r="1032" spans="1:12" x14ac:dyDescent="0.25">
      <c r="A1032" s="3">
        <v>45710.778055555551</v>
      </c>
      <c r="B1032" t="s">
        <v>95</v>
      </c>
      <c r="C1032" s="3">
        <v>45710.78025462963</v>
      </c>
      <c r="D1032" t="s">
        <v>95</v>
      </c>
      <c r="E1032" s="4">
        <v>0</v>
      </c>
      <c r="F1032" s="4">
        <v>428213.33600000001</v>
      </c>
      <c r="G1032" s="4">
        <v>428213.33600000001</v>
      </c>
      <c r="H1032" s="5">
        <f>179 / 86400</f>
        <v>2.0717592592592593E-3</v>
      </c>
      <c r="I1032" t="s">
        <v>77</v>
      </c>
      <c r="J1032" t="s">
        <v>77</v>
      </c>
      <c r="K1032" s="5">
        <f>190 / 86400</f>
        <v>2.1990740740740742E-3</v>
      </c>
      <c r="L1032" s="5">
        <f>416 / 86400</f>
        <v>4.8148148148148152E-3</v>
      </c>
    </row>
    <row r="1033" spans="1:12" x14ac:dyDescent="0.25">
      <c r="A1033" s="3">
        <v>45710.78506944445</v>
      </c>
      <c r="B1033" t="s">
        <v>95</v>
      </c>
      <c r="C1033" s="3">
        <v>45710.955821759257</v>
      </c>
      <c r="D1033" t="s">
        <v>95</v>
      </c>
      <c r="E1033" s="4">
        <v>0</v>
      </c>
      <c r="F1033" s="4">
        <v>428213.33600000001</v>
      </c>
      <c r="G1033" s="4">
        <v>428213.33600000001</v>
      </c>
      <c r="H1033" s="5">
        <f>14740 / 86400</f>
        <v>0.17060185185185187</v>
      </c>
      <c r="I1033" t="s">
        <v>77</v>
      </c>
      <c r="J1033" t="s">
        <v>77</v>
      </c>
      <c r="K1033" s="5">
        <f>14753 / 86400</f>
        <v>0.17075231481481482</v>
      </c>
      <c r="L1033" s="5">
        <f>468 / 86400</f>
        <v>5.4166666666666669E-3</v>
      </c>
    </row>
    <row r="1034" spans="1:12" x14ac:dyDescent="0.25">
      <c r="A1034" s="3">
        <v>45710.961238425924</v>
      </c>
      <c r="B1034" t="s">
        <v>95</v>
      </c>
      <c r="C1034" s="3">
        <v>45710.966631944444</v>
      </c>
      <c r="D1034" t="s">
        <v>95</v>
      </c>
      <c r="E1034" s="4">
        <v>0</v>
      </c>
      <c r="F1034" s="4">
        <v>428213.33600000001</v>
      </c>
      <c r="G1034" s="4">
        <v>428213.33600000001</v>
      </c>
      <c r="H1034" s="5">
        <f>460 / 86400</f>
        <v>5.324074074074074E-3</v>
      </c>
      <c r="I1034" t="s">
        <v>77</v>
      </c>
      <c r="J1034" t="s">
        <v>77</v>
      </c>
      <c r="K1034" s="5">
        <f>466 / 86400</f>
        <v>5.3935185185185188E-3</v>
      </c>
      <c r="L1034" s="5">
        <f>726 / 86400</f>
        <v>8.4027777777777781E-3</v>
      </c>
    </row>
    <row r="1035" spans="1:12" x14ac:dyDescent="0.25">
      <c r="A1035" s="3">
        <v>45710.975034722222</v>
      </c>
      <c r="B1035" t="s">
        <v>95</v>
      </c>
      <c r="C1035" s="3">
        <v>45710.975428240738</v>
      </c>
      <c r="D1035" t="s">
        <v>95</v>
      </c>
      <c r="E1035" s="4">
        <v>0</v>
      </c>
      <c r="F1035" s="4">
        <v>428213.33600000001</v>
      </c>
      <c r="G1035" s="4">
        <v>428213.33600000001</v>
      </c>
      <c r="H1035" s="5">
        <f>19 / 86400</f>
        <v>2.199074074074074E-4</v>
      </c>
      <c r="I1035" t="s">
        <v>77</v>
      </c>
      <c r="J1035" t="s">
        <v>77</v>
      </c>
      <c r="K1035" s="5">
        <f>33 / 86400</f>
        <v>3.8194444444444446E-4</v>
      </c>
      <c r="L1035" s="5">
        <f>1 / 86400</f>
        <v>1.1574074074074073E-5</v>
      </c>
    </row>
    <row r="1036" spans="1:12" x14ac:dyDescent="0.25">
      <c r="A1036" s="3">
        <v>45710.975439814814</v>
      </c>
      <c r="B1036" t="s">
        <v>95</v>
      </c>
      <c r="C1036" s="3">
        <v>45710.975960648153</v>
      </c>
      <c r="D1036" t="s">
        <v>95</v>
      </c>
      <c r="E1036" s="4">
        <v>0</v>
      </c>
      <c r="F1036" s="4">
        <v>428213.33600000001</v>
      </c>
      <c r="G1036" s="4">
        <v>428213.33600000001</v>
      </c>
      <c r="H1036" s="5">
        <f>25 / 86400</f>
        <v>2.8935185185185184E-4</v>
      </c>
      <c r="I1036" t="s">
        <v>77</v>
      </c>
      <c r="J1036" t="s">
        <v>77</v>
      </c>
      <c r="K1036" s="5">
        <f>45 / 86400</f>
        <v>5.2083333333333333E-4</v>
      </c>
      <c r="L1036" s="5">
        <f>2076 / 86400</f>
        <v>2.4027777777777776E-2</v>
      </c>
    </row>
    <row r="1037" spans="1:12" x14ac:dyDescent="0.2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</row>
    <row r="1038" spans="1:12" x14ac:dyDescent="0.2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</row>
    <row r="1039" spans="1:12" s="10" customFormat="1" ht="20.100000000000001" customHeight="1" x14ac:dyDescent="0.35">
      <c r="A1039" s="15" t="s">
        <v>462</v>
      </c>
      <c r="B1039" s="15"/>
      <c r="C1039" s="15"/>
      <c r="D1039" s="15"/>
      <c r="E1039" s="15"/>
      <c r="F1039" s="15"/>
      <c r="G1039" s="15"/>
      <c r="H1039" s="15"/>
      <c r="I1039" s="15"/>
      <c r="J1039" s="15"/>
    </row>
    <row r="1040" spans="1:12" x14ac:dyDescent="0.2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</row>
    <row r="1041" spans="1:12" ht="30" x14ac:dyDescent="0.25">
      <c r="A1041" s="2" t="s">
        <v>6</v>
      </c>
      <c r="B1041" s="2" t="s">
        <v>7</v>
      </c>
      <c r="C1041" s="2" t="s">
        <v>8</v>
      </c>
      <c r="D1041" s="2" t="s">
        <v>9</v>
      </c>
      <c r="E1041" s="2" t="s">
        <v>10</v>
      </c>
      <c r="F1041" s="2" t="s">
        <v>11</v>
      </c>
      <c r="G1041" s="2" t="s">
        <v>12</v>
      </c>
      <c r="H1041" s="2" t="s">
        <v>13</v>
      </c>
      <c r="I1041" s="2" t="s">
        <v>14</v>
      </c>
      <c r="J1041" s="2" t="s">
        <v>15</v>
      </c>
      <c r="K1041" s="2" t="s">
        <v>16</v>
      </c>
      <c r="L1041" s="2" t="s">
        <v>17</v>
      </c>
    </row>
    <row r="1042" spans="1:12" x14ac:dyDescent="0.25">
      <c r="A1042" s="3">
        <v>45710.269629629634</v>
      </c>
      <c r="B1042" t="s">
        <v>24</v>
      </c>
      <c r="C1042" s="3">
        <v>45710.271250000005</v>
      </c>
      <c r="D1042" t="s">
        <v>400</v>
      </c>
      <c r="E1042" s="4">
        <v>0.16700000000000001</v>
      </c>
      <c r="F1042" s="4">
        <v>576889.36499999999</v>
      </c>
      <c r="G1042" s="4">
        <v>576889.53200000001</v>
      </c>
      <c r="H1042" s="5">
        <f>39 / 86400</f>
        <v>4.5138888888888887E-4</v>
      </c>
      <c r="I1042" t="s">
        <v>26</v>
      </c>
      <c r="J1042" t="s">
        <v>75</v>
      </c>
      <c r="K1042" s="5">
        <f>139 / 86400</f>
        <v>1.6087962962962963E-3</v>
      </c>
      <c r="L1042" s="5">
        <f>24220 / 86400</f>
        <v>0.28032407407407406</v>
      </c>
    </row>
    <row r="1043" spans="1:12" x14ac:dyDescent="0.25">
      <c r="A1043" s="3">
        <v>45710.281944444447</v>
      </c>
      <c r="B1043" t="s">
        <v>400</v>
      </c>
      <c r="C1043" s="3">
        <v>45710.4534837963</v>
      </c>
      <c r="D1043" t="s">
        <v>81</v>
      </c>
      <c r="E1043" s="4">
        <v>76.872</v>
      </c>
      <c r="F1043" s="4">
        <v>576889.53200000001</v>
      </c>
      <c r="G1043" s="4">
        <v>576966.40399999998</v>
      </c>
      <c r="H1043" s="5">
        <f>3374 / 86400</f>
        <v>3.9050925925925926E-2</v>
      </c>
      <c r="I1043" t="s">
        <v>89</v>
      </c>
      <c r="J1043" t="s">
        <v>80</v>
      </c>
      <c r="K1043" s="5">
        <f>14820 / 86400</f>
        <v>0.17152777777777778</v>
      </c>
      <c r="L1043" s="5">
        <f>135 / 86400</f>
        <v>1.5625000000000001E-3</v>
      </c>
    </row>
    <row r="1044" spans="1:12" x14ac:dyDescent="0.25">
      <c r="A1044" s="3">
        <v>45710.455046296294</v>
      </c>
      <c r="B1044" t="s">
        <v>81</v>
      </c>
      <c r="C1044" s="3">
        <v>45710.458831018521</v>
      </c>
      <c r="D1044" t="s">
        <v>71</v>
      </c>
      <c r="E1044" s="4">
        <v>0.93600000000000005</v>
      </c>
      <c r="F1044" s="4">
        <v>576966.40399999998</v>
      </c>
      <c r="G1044" s="4">
        <v>576967.34</v>
      </c>
      <c r="H1044" s="5">
        <f>60 / 86400</f>
        <v>6.9444444444444447E-4</v>
      </c>
      <c r="I1044" t="s">
        <v>56</v>
      </c>
      <c r="J1044" t="s">
        <v>168</v>
      </c>
      <c r="K1044" s="5">
        <f>327 / 86400</f>
        <v>3.7847222222222223E-3</v>
      </c>
      <c r="L1044" s="5">
        <f>3101 / 86400</f>
        <v>3.5891203703703703E-2</v>
      </c>
    </row>
    <row r="1045" spans="1:12" x14ac:dyDescent="0.25">
      <c r="A1045" s="3">
        <v>45710.494722222225</v>
      </c>
      <c r="B1045" t="s">
        <v>71</v>
      </c>
      <c r="C1045" s="3">
        <v>45710.500196759254</v>
      </c>
      <c r="D1045" t="s">
        <v>128</v>
      </c>
      <c r="E1045" s="4">
        <v>0.98199999999999998</v>
      </c>
      <c r="F1045" s="4">
        <v>576967.34</v>
      </c>
      <c r="G1045" s="4">
        <v>576968.32200000004</v>
      </c>
      <c r="H1045" s="5">
        <f>119 / 86400</f>
        <v>1.3773148148148147E-3</v>
      </c>
      <c r="I1045" t="s">
        <v>20</v>
      </c>
      <c r="J1045" t="s">
        <v>140</v>
      </c>
      <c r="K1045" s="5">
        <f>472 / 86400</f>
        <v>5.4629629629629629E-3</v>
      </c>
      <c r="L1045" s="5">
        <f>1866 / 86400</f>
        <v>2.1597222222222223E-2</v>
      </c>
    </row>
    <row r="1046" spans="1:12" x14ac:dyDescent="0.25">
      <c r="A1046" s="3">
        <v>45710.521793981483</v>
      </c>
      <c r="B1046" t="s">
        <v>128</v>
      </c>
      <c r="C1046" s="3">
        <v>45710.522025462968</v>
      </c>
      <c r="D1046" t="s">
        <v>128</v>
      </c>
      <c r="E1046" s="4">
        <v>3.0000000000000001E-3</v>
      </c>
      <c r="F1046" s="4">
        <v>576968.32200000004</v>
      </c>
      <c r="G1046" s="4">
        <v>576968.32499999995</v>
      </c>
      <c r="H1046" s="5">
        <f>0 / 86400</f>
        <v>0</v>
      </c>
      <c r="I1046" t="s">
        <v>77</v>
      </c>
      <c r="J1046" t="s">
        <v>124</v>
      </c>
      <c r="K1046" s="5">
        <f>19 / 86400</f>
        <v>2.199074074074074E-4</v>
      </c>
      <c r="L1046" s="5">
        <f>1423 / 86400</f>
        <v>1.6469907407407409E-2</v>
      </c>
    </row>
    <row r="1047" spans="1:12" x14ac:dyDescent="0.25">
      <c r="A1047" s="3">
        <v>45710.538495370369</v>
      </c>
      <c r="B1047" t="s">
        <v>128</v>
      </c>
      <c r="C1047" s="3">
        <v>45710.932928240742</v>
      </c>
      <c r="D1047" t="s">
        <v>111</v>
      </c>
      <c r="E1047" s="4">
        <v>146.15</v>
      </c>
      <c r="F1047" s="4">
        <v>576968.32499999995</v>
      </c>
      <c r="G1047" s="4">
        <v>577114.47499999998</v>
      </c>
      <c r="H1047" s="5">
        <f>11296 / 86400</f>
        <v>0.13074074074074074</v>
      </c>
      <c r="I1047" t="s">
        <v>149</v>
      </c>
      <c r="J1047" t="s">
        <v>42</v>
      </c>
      <c r="K1047" s="5">
        <f>34079 / 86400</f>
        <v>0.39443287037037039</v>
      </c>
      <c r="L1047" s="5">
        <f>255 / 86400</f>
        <v>2.9513888888888888E-3</v>
      </c>
    </row>
    <row r="1048" spans="1:12" x14ac:dyDescent="0.25">
      <c r="A1048" s="3">
        <v>45710.935879629629</v>
      </c>
      <c r="B1048" t="s">
        <v>111</v>
      </c>
      <c r="C1048" s="3">
        <v>45710.936342592591</v>
      </c>
      <c r="D1048" t="s">
        <v>24</v>
      </c>
      <c r="E1048" s="4">
        <v>1.2999999999999999E-2</v>
      </c>
      <c r="F1048" s="4">
        <v>577114.47499999998</v>
      </c>
      <c r="G1048" s="4">
        <v>577114.48800000001</v>
      </c>
      <c r="H1048" s="5">
        <f>20 / 86400</f>
        <v>2.3148148148148149E-4</v>
      </c>
      <c r="I1048" t="s">
        <v>140</v>
      </c>
      <c r="J1048" t="s">
        <v>124</v>
      </c>
      <c r="K1048" s="5">
        <f>40 / 86400</f>
        <v>4.6296296296296298E-4</v>
      </c>
      <c r="L1048" s="5">
        <f>331 / 86400</f>
        <v>3.8310185185185183E-3</v>
      </c>
    </row>
    <row r="1049" spans="1:12" x14ac:dyDescent="0.25">
      <c r="A1049" s="3">
        <v>45710.94017361111</v>
      </c>
      <c r="B1049" t="s">
        <v>24</v>
      </c>
      <c r="C1049" s="3">
        <v>45710.94767361111</v>
      </c>
      <c r="D1049" t="s">
        <v>24</v>
      </c>
      <c r="E1049" s="4">
        <v>1.784</v>
      </c>
      <c r="F1049" s="4">
        <v>577114.48800000001</v>
      </c>
      <c r="G1049" s="4">
        <v>577116.272</v>
      </c>
      <c r="H1049" s="5">
        <f>179 / 86400</f>
        <v>2.0717592592592593E-3</v>
      </c>
      <c r="I1049" t="s">
        <v>56</v>
      </c>
      <c r="J1049" t="s">
        <v>168</v>
      </c>
      <c r="K1049" s="5">
        <f>648 / 86400</f>
        <v>7.4999999999999997E-3</v>
      </c>
      <c r="L1049" s="5">
        <f>4520 / 86400</f>
        <v>5.2314814814814814E-2</v>
      </c>
    </row>
    <row r="1050" spans="1:12" x14ac:dyDescent="0.25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</row>
    <row r="1051" spans="1:12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</row>
    <row r="1052" spans="1:12" s="10" customFormat="1" ht="20.100000000000001" customHeight="1" x14ac:dyDescent="0.35">
      <c r="A1052" s="15" t="s">
        <v>463</v>
      </c>
      <c r="B1052" s="15"/>
      <c r="C1052" s="15"/>
      <c r="D1052" s="15"/>
      <c r="E1052" s="15"/>
      <c r="F1052" s="15"/>
      <c r="G1052" s="15"/>
      <c r="H1052" s="15"/>
      <c r="I1052" s="15"/>
      <c r="J1052" s="15"/>
    </row>
    <row r="1053" spans="1:12" x14ac:dyDescent="0.2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</row>
    <row r="1054" spans="1:12" ht="30" x14ac:dyDescent="0.25">
      <c r="A1054" s="2" t="s">
        <v>6</v>
      </c>
      <c r="B1054" s="2" t="s">
        <v>7</v>
      </c>
      <c r="C1054" s="2" t="s">
        <v>8</v>
      </c>
      <c r="D1054" s="2" t="s">
        <v>9</v>
      </c>
      <c r="E1054" s="2" t="s">
        <v>10</v>
      </c>
      <c r="F1054" s="2" t="s">
        <v>11</v>
      </c>
      <c r="G1054" s="2" t="s">
        <v>12</v>
      </c>
      <c r="H1054" s="2" t="s">
        <v>13</v>
      </c>
      <c r="I1054" s="2" t="s">
        <v>14</v>
      </c>
      <c r="J1054" s="2" t="s">
        <v>15</v>
      </c>
      <c r="K1054" s="2" t="s">
        <v>16</v>
      </c>
      <c r="L1054" s="2" t="s">
        <v>17</v>
      </c>
    </row>
    <row r="1055" spans="1:12" x14ac:dyDescent="0.25">
      <c r="A1055" s="3">
        <v>45710.23572916667</v>
      </c>
      <c r="B1055" t="s">
        <v>96</v>
      </c>
      <c r="C1055" s="3">
        <v>45710.596250000002</v>
      </c>
      <c r="D1055" t="s">
        <v>81</v>
      </c>
      <c r="E1055" s="4">
        <v>139.041</v>
      </c>
      <c r="F1055" s="4">
        <v>417950.39399999997</v>
      </c>
      <c r="G1055" s="4">
        <v>418089.435</v>
      </c>
      <c r="H1055" s="5">
        <f>11298 / 86400</f>
        <v>0.1307638888888889</v>
      </c>
      <c r="I1055" t="s">
        <v>97</v>
      </c>
      <c r="J1055" t="s">
        <v>33</v>
      </c>
      <c r="K1055" s="5">
        <f>31149 / 86400</f>
        <v>0.36052083333333335</v>
      </c>
      <c r="L1055" s="5">
        <f>20590 / 86400</f>
        <v>0.23831018518518518</v>
      </c>
    </row>
    <row r="1056" spans="1:12" x14ac:dyDescent="0.25">
      <c r="A1056" s="3">
        <v>45710.59883101852</v>
      </c>
      <c r="B1056" t="s">
        <v>81</v>
      </c>
      <c r="C1056" s="3">
        <v>45710.599398148144</v>
      </c>
      <c r="D1056" t="s">
        <v>81</v>
      </c>
      <c r="E1056" s="4">
        <v>2.4E-2</v>
      </c>
      <c r="F1056" s="4">
        <v>418089.435</v>
      </c>
      <c r="G1056" s="4">
        <v>418089.45899999997</v>
      </c>
      <c r="H1056" s="5">
        <f>40 / 86400</f>
        <v>4.6296296296296298E-4</v>
      </c>
      <c r="I1056" t="s">
        <v>31</v>
      </c>
      <c r="J1056" t="s">
        <v>113</v>
      </c>
      <c r="K1056" s="5">
        <f>49 / 86400</f>
        <v>5.6712962962962967E-4</v>
      </c>
      <c r="L1056" s="5">
        <f>727 / 86400</f>
        <v>8.4143518518518517E-3</v>
      </c>
    </row>
    <row r="1057" spans="1:12" x14ac:dyDescent="0.25">
      <c r="A1057" s="3">
        <v>45710.607812499999</v>
      </c>
      <c r="B1057" t="s">
        <v>81</v>
      </c>
      <c r="C1057" s="3">
        <v>45710.835277777776</v>
      </c>
      <c r="D1057" t="s">
        <v>96</v>
      </c>
      <c r="E1057" s="4">
        <v>72.275000000000006</v>
      </c>
      <c r="F1057" s="4">
        <v>418089.45899999997</v>
      </c>
      <c r="G1057" s="4">
        <v>418161.734</v>
      </c>
      <c r="H1057" s="5">
        <f>7941 / 86400</f>
        <v>9.1909722222222226E-2</v>
      </c>
      <c r="I1057" t="s">
        <v>110</v>
      </c>
      <c r="J1057" t="s">
        <v>45</v>
      </c>
      <c r="K1057" s="5">
        <f>19653 / 86400</f>
        <v>0.22746527777777778</v>
      </c>
      <c r="L1057" s="5">
        <f>14231 / 86400</f>
        <v>0.16471064814814815</v>
      </c>
    </row>
    <row r="1058" spans="1:12" x14ac:dyDescent="0.25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</row>
    <row r="1059" spans="1:12" x14ac:dyDescent="0.25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</row>
    <row r="1060" spans="1:12" s="10" customFormat="1" ht="20.100000000000001" customHeight="1" x14ac:dyDescent="0.35">
      <c r="A1060" s="15" t="s">
        <v>464</v>
      </c>
      <c r="B1060" s="15"/>
      <c r="C1060" s="15"/>
      <c r="D1060" s="15"/>
      <c r="E1060" s="15"/>
      <c r="F1060" s="15"/>
      <c r="G1060" s="15"/>
      <c r="H1060" s="15"/>
      <c r="I1060" s="15"/>
      <c r="J1060" s="15"/>
    </row>
    <row r="1061" spans="1:12" x14ac:dyDescent="0.25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</row>
    <row r="1062" spans="1:12" ht="30" x14ac:dyDescent="0.25">
      <c r="A1062" s="2" t="s">
        <v>6</v>
      </c>
      <c r="B1062" s="2" t="s">
        <v>7</v>
      </c>
      <c r="C1062" s="2" t="s">
        <v>8</v>
      </c>
      <c r="D1062" s="2" t="s">
        <v>9</v>
      </c>
      <c r="E1062" s="2" t="s">
        <v>10</v>
      </c>
      <c r="F1062" s="2" t="s">
        <v>11</v>
      </c>
      <c r="G1062" s="2" t="s">
        <v>12</v>
      </c>
      <c r="H1062" s="2" t="s">
        <v>13</v>
      </c>
      <c r="I1062" s="2" t="s">
        <v>14</v>
      </c>
      <c r="J1062" s="2" t="s">
        <v>15</v>
      </c>
      <c r="K1062" s="2" t="s">
        <v>16</v>
      </c>
      <c r="L1062" s="2" t="s">
        <v>17</v>
      </c>
    </row>
    <row r="1063" spans="1:12" x14ac:dyDescent="0.25">
      <c r="A1063" s="3">
        <v>45710.344166666662</v>
      </c>
      <c r="B1063" t="s">
        <v>92</v>
      </c>
      <c r="C1063" s="3">
        <v>45710.344826388886</v>
      </c>
      <c r="D1063" t="s">
        <v>92</v>
      </c>
      <c r="E1063" s="4">
        <v>0</v>
      </c>
      <c r="F1063" s="4">
        <v>401640.065</v>
      </c>
      <c r="G1063" s="4">
        <v>401640.065</v>
      </c>
      <c r="H1063" s="5">
        <f>39 / 86400</f>
        <v>4.5138888888888887E-4</v>
      </c>
      <c r="I1063" t="s">
        <v>77</v>
      </c>
      <c r="J1063" t="s">
        <v>77</v>
      </c>
      <c r="K1063" s="5">
        <f>57 / 86400</f>
        <v>6.5972222222222224E-4</v>
      </c>
      <c r="L1063" s="5">
        <f>31555 / 86400</f>
        <v>0.3652199074074074</v>
      </c>
    </row>
    <row r="1064" spans="1:12" x14ac:dyDescent="0.25">
      <c r="A1064" s="3">
        <v>45710.365879629629</v>
      </c>
      <c r="B1064" t="s">
        <v>92</v>
      </c>
      <c r="C1064" s="3">
        <v>45710.370011574079</v>
      </c>
      <c r="D1064" t="s">
        <v>81</v>
      </c>
      <c r="E1064" s="4">
        <v>1.2999999999999999E-2</v>
      </c>
      <c r="F1064" s="4">
        <v>401640.065</v>
      </c>
      <c r="G1064" s="4">
        <v>401640.07799999998</v>
      </c>
      <c r="H1064" s="5">
        <f>339 / 86400</f>
        <v>3.9236111111111112E-3</v>
      </c>
      <c r="I1064" t="s">
        <v>77</v>
      </c>
      <c r="J1064" t="s">
        <v>77</v>
      </c>
      <c r="K1064" s="5">
        <f>357 / 86400</f>
        <v>4.1319444444444442E-3</v>
      </c>
      <c r="L1064" s="5">
        <f>6416 / 86400</f>
        <v>7.4259259259259261E-2</v>
      </c>
    </row>
    <row r="1065" spans="1:12" x14ac:dyDescent="0.25">
      <c r="A1065" s="3">
        <v>45710.444270833337</v>
      </c>
      <c r="B1065" t="s">
        <v>81</v>
      </c>
      <c r="C1065" s="3">
        <v>45710.452546296292</v>
      </c>
      <c r="D1065" t="s">
        <v>81</v>
      </c>
      <c r="E1065" s="4">
        <v>0</v>
      </c>
      <c r="F1065" s="4">
        <v>401640.07799999998</v>
      </c>
      <c r="G1065" s="4">
        <v>401640.07799999998</v>
      </c>
      <c r="H1065" s="5">
        <f>699 / 86400</f>
        <v>8.0902777777777778E-3</v>
      </c>
      <c r="I1065" t="s">
        <v>77</v>
      </c>
      <c r="J1065" t="s">
        <v>77</v>
      </c>
      <c r="K1065" s="5">
        <f>714 / 86400</f>
        <v>8.2638888888888883E-3</v>
      </c>
      <c r="L1065" s="5">
        <f>555 / 86400</f>
        <v>6.4236111111111108E-3</v>
      </c>
    </row>
    <row r="1066" spans="1:12" x14ac:dyDescent="0.25">
      <c r="A1066" s="3">
        <v>45710.458969907406</v>
      </c>
      <c r="B1066" t="s">
        <v>81</v>
      </c>
      <c r="C1066" s="3">
        <v>45710.460428240738</v>
      </c>
      <c r="D1066" t="s">
        <v>81</v>
      </c>
      <c r="E1066" s="4">
        <v>0</v>
      </c>
      <c r="F1066" s="4">
        <v>401640.07799999998</v>
      </c>
      <c r="G1066" s="4">
        <v>401640.07799999998</v>
      </c>
      <c r="H1066" s="5">
        <f>119 / 86400</f>
        <v>1.3773148148148147E-3</v>
      </c>
      <c r="I1066" t="s">
        <v>77</v>
      </c>
      <c r="J1066" t="s">
        <v>77</v>
      </c>
      <c r="K1066" s="5">
        <f>125 / 86400</f>
        <v>1.4467592592592592E-3</v>
      </c>
      <c r="L1066" s="5">
        <f>1942 / 86400</f>
        <v>2.2476851851851852E-2</v>
      </c>
    </row>
    <row r="1067" spans="1:12" x14ac:dyDescent="0.25">
      <c r="A1067" s="3">
        <v>45710.482905092591</v>
      </c>
      <c r="B1067" t="s">
        <v>81</v>
      </c>
      <c r="C1067" s="3">
        <v>45710.485520833332</v>
      </c>
      <c r="D1067" t="s">
        <v>81</v>
      </c>
      <c r="E1067" s="4">
        <v>0</v>
      </c>
      <c r="F1067" s="4">
        <v>401640.07799999998</v>
      </c>
      <c r="G1067" s="4">
        <v>401640.07799999998</v>
      </c>
      <c r="H1067" s="5">
        <f>219 / 86400</f>
        <v>2.5347222222222221E-3</v>
      </c>
      <c r="I1067" t="s">
        <v>77</v>
      </c>
      <c r="J1067" t="s">
        <v>77</v>
      </c>
      <c r="K1067" s="5">
        <f>226 / 86400</f>
        <v>2.6157407407407405E-3</v>
      </c>
      <c r="L1067" s="5">
        <f>18027 / 86400</f>
        <v>0.20864583333333334</v>
      </c>
    </row>
    <row r="1068" spans="1:12" x14ac:dyDescent="0.25">
      <c r="A1068" s="3">
        <v>45710.694166666668</v>
      </c>
      <c r="B1068" t="s">
        <v>81</v>
      </c>
      <c r="C1068" s="3">
        <v>45710.696643518517</v>
      </c>
      <c r="D1068" t="s">
        <v>81</v>
      </c>
      <c r="E1068" s="4">
        <v>0</v>
      </c>
      <c r="F1068" s="4">
        <v>401640.07799999998</v>
      </c>
      <c r="G1068" s="4">
        <v>401640.07799999998</v>
      </c>
      <c r="H1068" s="5">
        <f>199 / 86400</f>
        <v>2.3032407407407407E-3</v>
      </c>
      <c r="I1068" t="s">
        <v>77</v>
      </c>
      <c r="J1068" t="s">
        <v>77</v>
      </c>
      <c r="K1068" s="5">
        <f>213 / 86400</f>
        <v>2.4652777777777776E-3</v>
      </c>
      <c r="L1068" s="5">
        <f>214 / 86400</f>
        <v>2.476851851851852E-3</v>
      </c>
    </row>
    <row r="1069" spans="1:12" x14ac:dyDescent="0.25">
      <c r="A1069" s="3">
        <v>45710.699120370366</v>
      </c>
      <c r="B1069" t="s">
        <v>81</v>
      </c>
      <c r="C1069" s="3">
        <v>45710.699710648143</v>
      </c>
      <c r="D1069" t="s">
        <v>81</v>
      </c>
      <c r="E1069" s="4">
        <v>0</v>
      </c>
      <c r="F1069" s="4">
        <v>401640.07799999998</v>
      </c>
      <c r="G1069" s="4">
        <v>401640.07799999998</v>
      </c>
      <c r="H1069" s="5">
        <f>39 / 86400</f>
        <v>4.5138888888888887E-4</v>
      </c>
      <c r="I1069" t="s">
        <v>77</v>
      </c>
      <c r="J1069" t="s">
        <v>77</v>
      </c>
      <c r="K1069" s="5">
        <f>50 / 86400</f>
        <v>5.7870370370370367E-4</v>
      </c>
      <c r="L1069" s="5">
        <f>2478 / 86400</f>
        <v>2.8680555555555556E-2</v>
      </c>
    </row>
    <row r="1070" spans="1:12" x14ac:dyDescent="0.25">
      <c r="A1070" s="3">
        <v>45710.728391203702</v>
      </c>
      <c r="B1070" t="s">
        <v>81</v>
      </c>
      <c r="C1070" s="3">
        <v>45710.732349537036</v>
      </c>
      <c r="D1070" t="s">
        <v>81</v>
      </c>
      <c r="E1070" s="4">
        <v>0</v>
      </c>
      <c r="F1070" s="4">
        <v>401640.07799999998</v>
      </c>
      <c r="G1070" s="4">
        <v>401640.07799999998</v>
      </c>
      <c r="H1070" s="5">
        <f>339 / 86400</f>
        <v>3.9236111111111112E-3</v>
      </c>
      <c r="I1070" t="s">
        <v>77</v>
      </c>
      <c r="J1070" t="s">
        <v>77</v>
      </c>
      <c r="K1070" s="5">
        <f>342 / 86400</f>
        <v>3.9583333333333337E-3</v>
      </c>
      <c r="L1070" s="5">
        <f>850 / 86400</f>
        <v>9.8379629629629633E-3</v>
      </c>
    </row>
    <row r="1071" spans="1:12" x14ac:dyDescent="0.25">
      <c r="A1071" s="3">
        <v>45710.7421875</v>
      </c>
      <c r="B1071" t="s">
        <v>81</v>
      </c>
      <c r="C1071" s="3">
        <v>45710.743101851855</v>
      </c>
      <c r="D1071" t="s">
        <v>81</v>
      </c>
      <c r="E1071" s="4">
        <v>0</v>
      </c>
      <c r="F1071" s="4">
        <v>401640.07799999998</v>
      </c>
      <c r="G1071" s="4">
        <v>401640.07799999998</v>
      </c>
      <c r="H1071" s="5">
        <f>59 / 86400</f>
        <v>6.8287037037037036E-4</v>
      </c>
      <c r="I1071" t="s">
        <v>77</v>
      </c>
      <c r="J1071" t="s">
        <v>77</v>
      </c>
      <c r="K1071" s="5">
        <f>79 / 86400</f>
        <v>9.1435185185185185E-4</v>
      </c>
      <c r="L1071" s="5">
        <f>364 / 86400</f>
        <v>4.2129629629629626E-3</v>
      </c>
    </row>
    <row r="1072" spans="1:12" x14ac:dyDescent="0.25">
      <c r="A1072" s="3">
        <v>45710.747314814813</v>
      </c>
      <c r="B1072" t="s">
        <v>81</v>
      </c>
      <c r="C1072" s="3">
        <v>45710.75708333333</v>
      </c>
      <c r="D1072" t="s">
        <v>81</v>
      </c>
      <c r="E1072" s="4">
        <v>3.3490000000000002</v>
      </c>
      <c r="F1072" s="4">
        <v>401640.07799999998</v>
      </c>
      <c r="G1072" s="4">
        <v>401643.42700000003</v>
      </c>
      <c r="H1072" s="5">
        <f>159 / 86400</f>
        <v>1.8402777777777777E-3</v>
      </c>
      <c r="I1072" t="s">
        <v>112</v>
      </c>
      <c r="J1072" t="s">
        <v>26</v>
      </c>
      <c r="K1072" s="5">
        <f>843 / 86400</f>
        <v>9.7569444444444448E-3</v>
      </c>
      <c r="L1072" s="5">
        <f>1006 / 86400</f>
        <v>1.1643518518518518E-2</v>
      </c>
    </row>
    <row r="1073" spans="1:12" x14ac:dyDescent="0.25">
      <c r="A1073" s="3">
        <v>45710.768726851849</v>
      </c>
      <c r="B1073" t="s">
        <v>81</v>
      </c>
      <c r="C1073" s="3">
        <v>45710.768877314811</v>
      </c>
      <c r="D1073" t="s">
        <v>81</v>
      </c>
      <c r="E1073" s="4">
        <v>0</v>
      </c>
      <c r="F1073" s="4">
        <v>401643.42700000003</v>
      </c>
      <c r="G1073" s="4">
        <v>401643.42700000003</v>
      </c>
      <c r="H1073" s="5">
        <f>0 / 86400</f>
        <v>0</v>
      </c>
      <c r="I1073" t="s">
        <v>77</v>
      </c>
      <c r="J1073" t="s">
        <v>77</v>
      </c>
      <c r="K1073" s="5">
        <f>13 / 86400</f>
        <v>1.5046296296296297E-4</v>
      </c>
      <c r="L1073" s="5">
        <f>2180 / 86400</f>
        <v>2.5231481481481483E-2</v>
      </c>
    </row>
    <row r="1074" spans="1:12" x14ac:dyDescent="0.25">
      <c r="A1074" s="3">
        <v>45710.794108796297</v>
      </c>
      <c r="B1074" t="s">
        <v>146</v>
      </c>
      <c r="C1074" s="3">
        <v>45710.794293981482</v>
      </c>
      <c r="D1074" t="s">
        <v>146</v>
      </c>
      <c r="E1074" s="4">
        <v>0</v>
      </c>
      <c r="F1074" s="4">
        <v>401643.42700000003</v>
      </c>
      <c r="G1074" s="4">
        <v>401643.42700000003</v>
      </c>
      <c r="H1074" s="5">
        <f>0 / 86400</f>
        <v>0</v>
      </c>
      <c r="I1074" t="s">
        <v>77</v>
      </c>
      <c r="J1074" t="s">
        <v>77</v>
      </c>
      <c r="K1074" s="5">
        <f>15 / 86400</f>
        <v>1.7361111111111112E-4</v>
      </c>
      <c r="L1074" s="5">
        <f>181 / 86400</f>
        <v>2.0949074074074073E-3</v>
      </c>
    </row>
    <row r="1075" spans="1:12" x14ac:dyDescent="0.25">
      <c r="A1075" s="3">
        <v>45710.796388888892</v>
      </c>
      <c r="B1075" t="s">
        <v>146</v>
      </c>
      <c r="C1075" s="3">
        <v>45710.810046296298</v>
      </c>
      <c r="D1075" t="s">
        <v>98</v>
      </c>
      <c r="E1075" s="4">
        <v>8.9719999999999995</v>
      </c>
      <c r="F1075" s="4">
        <v>401643.42700000003</v>
      </c>
      <c r="G1075" s="4">
        <v>401652.39899999998</v>
      </c>
      <c r="H1075" s="5">
        <f>198 / 86400</f>
        <v>2.2916666666666667E-3</v>
      </c>
      <c r="I1075" t="s">
        <v>99</v>
      </c>
      <c r="J1075" t="s">
        <v>30</v>
      </c>
      <c r="K1075" s="5">
        <f>1179 / 86400</f>
        <v>1.3645833333333333E-2</v>
      </c>
      <c r="L1075" s="5">
        <f>16411 / 86400</f>
        <v>0.18994212962962964</v>
      </c>
    </row>
    <row r="1076" spans="1:12" x14ac:dyDescent="0.25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</row>
    <row r="1077" spans="1:12" x14ac:dyDescent="0.2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</row>
    <row r="1078" spans="1:12" s="10" customFormat="1" ht="20.100000000000001" customHeight="1" x14ac:dyDescent="0.35">
      <c r="A1078" s="15" t="s">
        <v>465</v>
      </c>
      <c r="B1078" s="15"/>
      <c r="C1078" s="15"/>
      <c r="D1078" s="15"/>
      <c r="E1078" s="15"/>
      <c r="F1078" s="15"/>
      <c r="G1078" s="15"/>
      <c r="H1078" s="15"/>
      <c r="I1078" s="15"/>
      <c r="J1078" s="15"/>
    </row>
    <row r="1079" spans="1:12" x14ac:dyDescent="0.25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</row>
    <row r="1080" spans="1:12" ht="30" x14ac:dyDescent="0.25">
      <c r="A1080" s="2" t="s">
        <v>6</v>
      </c>
      <c r="B1080" s="2" t="s">
        <v>7</v>
      </c>
      <c r="C1080" s="2" t="s">
        <v>8</v>
      </c>
      <c r="D1080" s="2" t="s">
        <v>9</v>
      </c>
      <c r="E1080" s="2" t="s">
        <v>10</v>
      </c>
      <c r="F1080" s="2" t="s">
        <v>11</v>
      </c>
      <c r="G1080" s="2" t="s">
        <v>12</v>
      </c>
      <c r="H1080" s="2" t="s">
        <v>13</v>
      </c>
      <c r="I1080" s="2" t="s">
        <v>14</v>
      </c>
      <c r="J1080" s="2" t="s">
        <v>15</v>
      </c>
      <c r="K1080" s="2" t="s">
        <v>16</v>
      </c>
      <c r="L1080" s="2" t="s">
        <v>17</v>
      </c>
    </row>
    <row r="1081" spans="1:12" x14ac:dyDescent="0.25">
      <c r="A1081" s="3">
        <v>45710.212766203702</v>
      </c>
      <c r="B1081" t="s">
        <v>24</v>
      </c>
      <c r="C1081" s="3">
        <v>45710.29184027778</v>
      </c>
      <c r="D1081" t="s">
        <v>258</v>
      </c>
      <c r="E1081" s="4">
        <v>41.063000000000002</v>
      </c>
      <c r="F1081" s="4">
        <v>383678.83500000002</v>
      </c>
      <c r="G1081" s="4">
        <v>383719.89799999999</v>
      </c>
      <c r="H1081" s="5">
        <f>1679 / 86400</f>
        <v>1.9432870370370371E-2</v>
      </c>
      <c r="I1081" t="s">
        <v>110</v>
      </c>
      <c r="J1081" t="s">
        <v>37</v>
      </c>
      <c r="K1081" s="5">
        <f>6831 / 86400</f>
        <v>7.9062499999999994E-2</v>
      </c>
      <c r="L1081" s="5">
        <f>18423 / 86400</f>
        <v>0.21322916666666666</v>
      </c>
    </row>
    <row r="1082" spans="1:12" x14ac:dyDescent="0.25">
      <c r="A1082" s="3">
        <v>45710.292303240742</v>
      </c>
      <c r="B1082" t="s">
        <v>258</v>
      </c>
      <c r="C1082" s="3">
        <v>45710.321712962963</v>
      </c>
      <c r="D1082" t="s">
        <v>375</v>
      </c>
      <c r="E1082" s="4">
        <v>6.2830000000000004</v>
      </c>
      <c r="F1082" s="4">
        <v>383719.89799999999</v>
      </c>
      <c r="G1082" s="4">
        <v>383726.18099999998</v>
      </c>
      <c r="H1082" s="5">
        <f>1579 / 86400</f>
        <v>1.8275462962962962E-2</v>
      </c>
      <c r="I1082" t="s">
        <v>181</v>
      </c>
      <c r="J1082" t="s">
        <v>132</v>
      </c>
      <c r="K1082" s="5">
        <f>2541 / 86400</f>
        <v>2.9409722222222223E-2</v>
      </c>
      <c r="L1082" s="5">
        <f>34 / 86400</f>
        <v>3.9351851851851852E-4</v>
      </c>
    </row>
    <row r="1083" spans="1:12" x14ac:dyDescent="0.25">
      <c r="A1083" s="3">
        <v>45710.322106481486</v>
      </c>
      <c r="B1083" t="s">
        <v>363</v>
      </c>
      <c r="C1083" s="3">
        <v>45710.441458333335</v>
      </c>
      <c r="D1083" t="s">
        <v>50</v>
      </c>
      <c r="E1083" s="4">
        <v>50.07</v>
      </c>
      <c r="F1083" s="4">
        <v>383726.18099999998</v>
      </c>
      <c r="G1083" s="4">
        <v>383776.25099999999</v>
      </c>
      <c r="H1083" s="5">
        <f>3360 / 86400</f>
        <v>3.888888888888889E-2</v>
      </c>
      <c r="I1083" t="s">
        <v>87</v>
      </c>
      <c r="J1083" t="s">
        <v>29</v>
      </c>
      <c r="K1083" s="5">
        <f>10312 / 86400</f>
        <v>0.11935185185185185</v>
      </c>
      <c r="L1083" s="5">
        <f>2395 / 86400</f>
        <v>2.7719907407407408E-2</v>
      </c>
    </row>
    <row r="1084" spans="1:12" x14ac:dyDescent="0.25">
      <c r="A1084" s="3">
        <v>45710.469178240739</v>
      </c>
      <c r="B1084" t="s">
        <v>50</v>
      </c>
      <c r="C1084" s="3">
        <v>45710.471157407403</v>
      </c>
      <c r="D1084" t="s">
        <v>81</v>
      </c>
      <c r="E1084" s="4">
        <v>0.70199999999999996</v>
      </c>
      <c r="F1084" s="4">
        <v>383776.25099999999</v>
      </c>
      <c r="G1084" s="4">
        <v>383776.95299999998</v>
      </c>
      <c r="H1084" s="5">
        <f>40 / 86400</f>
        <v>4.6296296296296298E-4</v>
      </c>
      <c r="I1084" t="s">
        <v>190</v>
      </c>
      <c r="J1084" t="s">
        <v>42</v>
      </c>
      <c r="K1084" s="5">
        <f>171 / 86400</f>
        <v>1.9791666666666668E-3</v>
      </c>
      <c r="L1084" s="5">
        <f>416 / 86400</f>
        <v>4.8148148148148152E-3</v>
      </c>
    </row>
    <row r="1085" spans="1:12" x14ac:dyDescent="0.25">
      <c r="A1085" s="3">
        <v>45710.475972222222</v>
      </c>
      <c r="B1085" t="s">
        <v>81</v>
      </c>
      <c r="C1085" s="3">
        <v>45710.485115740739</v>
      </c>
      <c r="D1085" t="s">
        <v>166</v>
      </c>
      <c r="E1085" s="4">
        <v>1.4510000000000001</v>
      </c>
      <c r="F1085" s="4">
        <v>383776.95299999998</v>
      </c>
      <c r="G1085" s="4">
        <v>383778.40399999998</v>
      </c>
      <c r="H1085" s="5">
        <f>379 / 86400</f>
        <v>4.386574074074074E-3</v>
      </c>
      <c r="I1085" t="s">
        <v>224</v>
      </c>
      <c r="J1085" t="s">
        <v>140</v>
      </c>
      <c r="K1085" s="5">
        <f>790 / 86400</f>
        <v>9.1435185185185178E-3</v>
      </c>
      <c r="L1085" s="5">
        <f>2794 / 86400</f>
        <v>3.2337962962962964E-2</v>
      </c>
    </row>
    <row r="1086" spans="1:12" x14ac:dyDescent="0.25">
      <c r="A1086" s="3">
        <v>45710.517453703702</v>
      </c>
      <c r="B1086" t="s">
        <v>166</v>
      </c>
      <c r="C1086" s="3">
        <v>45710.602025462962</v>
      </c>
      <c r="D1086" t="s">
        <v>245</v>
      </c>
      <c r="E1086" s="4">
        <v>41.491999999999997</v>
      </c>
      <c r="F1086" s="4">
        <v>383778.40399999998</v>
      </c>
      <c r="G1086" s="4">
        <v>383819.89600000001</v>
      </c>
      <c r="H1086" s="5">
        <f>1981 / 86400</f>
        <v>2.2928240740740742E-2</v>
      </c>
      <c r="I1086" t="s">
        <v>89</v>
      </c>
      <c r="J1086" t="s">
        <v>64</v>
      </c>
      <c r="K1086" s="5">
        <f>7306 / 86400</f>
        <v>8.4560185185185183E-2</v>
      </c>
      <c r="L1086" s="5">
        <f>37 / 86400</f>
        <v>4.2824074074074075E-4</v>
      </c>
    </row>
    <row r="1087" spans="1:12" x14ac:dyDescent="0.25">
      <c r="A1087" s="3">
        <v>45710.602453703701</v>
      </c>
      <c r="B1087" t="s">
        <v>245</v>
      </c>
      <c r="C1087" s="3">
        <v>45710.64061342593</v>
      </c>
      <c r="D1087" t="s">
        <v>118</v>
      </c>
      <c r="E1087" s="4">
        <v>5.819</v>
      </c>
      <c r="F1087" s="4">
        <v>383819.89600000001</v>
      </c>
      <c r="G1087" s="4">
        <v>383825.71500000003</v>
      </c>
      <c r="H1087" s="5">
        <f>1960 / 86400</f>
        <v>2.2685185185185187E-2</v>
      </c>
      <c r="I1087" t="s">
        <v>260</v>
      </c>
      <c r="J1087" t="s">
        <v>31</v>
      </c>
      <c r="K1087" s="5">
        <f>3296 / 86400</f>
        <v>3.8148148148148146E-2</v>
      </c>
      <c r="L1087" s="5">
        <f>56 / 86400</f>
        <v>6.4814814814814813E-4</v>
      </c>
    </row>
    <row r="1088" spans="1:12" x14ac:dyDescent="0.25">
      <c r="A1088" s="3">
        <v>45710.64126157407</v>
      </c>
      <c r="B1088" t="s">
        <v>118</v>
      </c>
      <c r="C1088" s="3">
        <v>45710.76734953704</v>
      </c>
      <c r="D1088" t="s">
        <v>95</v>
      </c>
      <c r="E1088" s="4">
        <v>23.573</v>
      </c>
      <c r="F1088" s="4">
        <v>383825.71500000003</v>
      </c>
      <c r="G1088" s="4">
        <v>383849.288</v>
      </c>
      <c r="H1088" s="5">
        <f>5781 / 86400</f>
        <v>6.6909722222222218E-2</v>
      </c>
      <c r="I1088" t="s">
        <v>301</v>
      </c>
      <c r="J1088" t="s">
        <v>150</v>
      </c>
      <c r="K1088" s="5">
        <f>10894 / 86400</f>
        <v>0.12608796296296296</v>
      </c>
      <c r="L1088" s="5">
        <f>190 / 86400</f>
        <v>2.1990740740740742E-3</v>
      </c>
    </row>
    <row r="1089" spans="1:12" x14ac:dyDescent="0.25">
      <c r="A1089" s="3">
        <v>45710.769548611112</v>
      </c>
      <c r="B1089" t="s">
        <v>95</v>
      </c>
      <c r="C1089" s="3">
        <v>45710.804398148146</v>
      </c>
      <c r="D1089" t="s">
        <v>185</v>
      </c>
      <c r="E1089" s="4">
        <v>14.07</v>
      </c>
      <c r="F1089" s="4">
        <v>383849.288</v>
      </c>
      <c r="G1089" s="4">
        <v>383863.35800000001</v>
      </c>
      <c r="H1089" s="5">
        <f>1040 / 86400</f>
        <v>1.2037037037037037E-2</v>
      </c>
      <c r="I1089" t="s">
        <v>181</v>
      </c>
      <c r="J1089" t="s">
        <v>29</v>
      </c>
      <c r="K1089" s="5">
        <f>3010 / 86400</f>
        <v>3.4837962962962966E-2</v>
      </c>
      <c r="L1089" s="5">
        <f>59 / 86400</f>
        <v>6.8287037037037036E-4</v>
      </c>
    </row>
    <row r="1090" spans="1:12" x14ac:dyDescent="0.25">
      <c r="A1090" s="3">
        <v>45710.805081018523</v>
      </c>
      <c r="B1090" t="s">
        <v>185</v>
      </c>
      <c r="C1090" s="3">
        <v>45710.818472222221</v>
      </c>
      <c r="D1090" t="s">
        <v>401</v>
      </c>
      <c r="E1090" s="4">
        <v>8.3580000000000005</v>
      </c>
      <c r="F1090" s="4">
        <v>383863.35800000001</v>
      </c>
      <c r="G1090" s="4">
        <v>383871.71600000001</v>
      </c>
      <c r="H1090" s="5">
        <f>220 / 86400</f>
        <v>2.5462962962962965E-3</v>
      </c>
      <c r="I1090" t="s">
        <v>99</v>
      </c>
      <c r="J1090" t="s">
        <v>158</v>
      </c>
      <c r="K1090" s="5">
        <f>1156 / 86400</f>
        <v>1.337962962962963E-2</v>
      </c>
      <c r="L1090" s="5">
        <f>1059 / 86400</f>
        <v>1.2256944444444445E-2</v>
      </c>
    </row>
    <row r="1091" spans="1:12" x14ac:dyDescent="0.25">
      <c r="A1091" s="3">
        <v>45710.830729166672</v>
      </c>
      <c r="B1091" t="s">
        <v>401</v>
      </c>
      <c r="C1091" s="3">
        <v>45710.835474537038</v>
      </c>
      <c r="D1091" t="s">
        <v>24</v>
      </c>
      <c r="E1091" s="4">
        <v>0.48899999999999999</v>
      </c>
      <c r="F1091" s="4">
        <v>383871.71600000001</v>
      </c>
      <c r="G1091" s="4">
        <v>383872.20500000002</v>
      </c>
      <c r="H1091" s="5">
        <f>200 / 86400</f>
        <v>2.3148148148148147E-3</v>
      </c>
      <c r="I1091" t="s">
        <v>61</v>
      </c>
      <c r="J1091" t="s">
        <v>75</v>
      </c>
      <c r="K1091" s="5">
        <f>410 / 86400</f>
        <v>4.7453703703703703E-3</v>
      </c>
      <c r="L1091" s="5">
        <f>14214 / 86400</f>
        <v>0.16451388888888888</v>
      </c>
    </row>
    <row r="1092" spans="1:12" x14ac:dyDescent="0.25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</row>
    <row r="1093" spans="1:12" x14ac:dyDescent="0.25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</row>
    <row r="1094" spans="1:12" s="10" customFormat="1" ht="20.100000000000001" customHeight="1" x14ac:dyDescent="0.35">
      <c r="A1094" s="15" t="s">
        <v>466</v>
      </c>
      <c r="B1094" s="15"/>
      <c r="C1094" s="15"/>
      <c r="D1094" s="15"/>
      <c r="E1094" s="15"/>
      <c r="F1094" s="15"/>
      <c r="G1094" s="15"/>
      <c r="H1094" s="15"/>
      <c r="I1094" s="15"/>
      <c r="J1094" s="15"/>
    </row>
    <row r="1095" spans="1:1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</row>
    <row r="1096" spans="1:12" ht="30" x14ac:dyDescent="0.25">
      <c r="A1096" s="2" t="s">
        <v>6</v>
      </c>
      <c r="B1096" s="2" t="s">
        <v>7</v>
      </c>
      <c r="C1096" s="2" t="s">
        <v>8</v>
      </c>
      <c r="D1096" s="2" t="s">
        <v>9</v>
      </c>
      <c r="E1096" s="2" t="s">
        <v>10</v>
      </c>
      <c r="F1096" s="2" t="s">
        <v>11</v>
      </c>
      <c r="G1096" s="2" t="s">
        <v>12</v>
      </c>
      <c r="H1096" s="2" t="s">
        <v>13</v>
      </c>
      <c r="I1096" s="2" t="s">
        <v>14</v>
      </c>
      <c r="J1096" s="2" t="s">
        <v>15</v>
      </c>
      <c r="K1096" s="2" t="s">
        <v>16</v>
      </c>
      <c r="L1096" s="2" t="s">
        <v>17</v>
      </c>
    </row>
    <row r="1097" spans="1:12" x14ac:dyDescent="0.25">
      <c r="A1097" s="3">
        <v>45710.317766203705</v>
      </c>
      <c r="B1097" t="s">
        <v>100</v>
      </c>
      <c r="C1097" s="3">
        <v>45710.581759259258</v>
      </c>
      <c r="D1097" t="s">
        <v>81</v>
      </c>
      <c r="E1097" s="4">
        <v>102.95</v>
      </c>
      <c r="F1097" s="4">
        <v>547689.50899999996</v>
      </c>
      <c r="G1097" s="4">
        <v>547792.45900000003</v>
      </c>
      <c r="H1097" s="5">
        <f>8018 / 86400</f>
        <v>9.2800925925925926E-2</v>
      </c>
      <c r="I1097" t="s">
        <v>36</v>
      </c>
      <c r="J1097" t="s">
        <v>33</v>
      </c>
      <c r="K1097" s="5">
        <f>22808 / 86400</f>
        <v>0.26398148148148148</v>
      </c>
      <c r="L1097" s="5">
        <f>27614 / 86400</f>
        <v>0.31960648148148146</v>
      </c>
    </row>
    <row r="1098" spans="1:12" x14ac:dyDescent="0.25">
      <c r="A1098" s="3">
        <v>45710.583599537036</v>
      </c>
      <c r="B1098" t="s">
        <v>81</v>
      </c>
      <c r="C1098" s="3">
        <v>45710.585243055553</v>
      </c>
      <c r="D1098" t="s">
        <v>402</v>
      </c>
      <c r="E1098" s="4">
        <v>0.308</v>
      </c>
      <c r="F1098" s="4">
        <v>547792.45900000003</v>
      </c>
      <c r="G1098" s="4">
        <v>547792.76699999999</v>
      </c>
      <c r="H1098" s="5">
        <f>20 / 86400</f>
        <v>2.3148148148148149E-4</v>
      </c>
      <c r="I1098" t="s">
        <v>135</v>
      </c>
      <c r="J1098" t="s">
        <v>150</v>
      </c>
      <c r="K1098" s="5">
        <f>141 / 86400</f>
        <v>1.6319444444444445E-3</v>
      </c>
      <c r="L1098" s="5">
        <f>526 / 86400</f>
        <v>6.0879629629629626E-3</v>
      </c>
    </row>
    <row r="1099" spans="1:12" x14ac:dyDescent="0.25">
      <c r="A1099" s="3">
        <v>45710.591331018513</v>
      </c>
      <c r="B1099" t="s">
        <v>402</v>
      </c>
      <c r="C1099" s="3">
        <v>45710.591481481482</v>
      </c>
      <c r="D1099" t="s">
        <v>402</v>
      </c>
      <c r="E1099" s="4">
        <v>1E-3</v>
      </c>
      <c r="F1099" s="4">
        <v>547792.76699999999</v>
      </c>
      <c r="G1099" s="4">
        <v>547792.76800000004</v>
      </c>
      <c r="H1099" s="5">
        <f>0 / 86400</f>
        <v>0</v>
      </c>
      <c r="I1099" t="s">
        <v>77</v>
      </c>
      <c r="J1099" t="s">
        <v>77</v>
      </c>
      <c r="K1099" s="5">
        <f>12 / 86400</f>
        <v>1.3888888888888889E-4</v>
      </c>
      <c r="L1099" s="5">
        <f>687 / 86400</f>
        <v>7.951388888888888E-3</v>
      </c>
    </row>
    <row r="1100" spans="1:12" x14ac:dyDescent="0.25">
      <c r="A1100" s="3">
        <v>45710.599432870367</v>
      </c>
      <c r="B1100" t="s">
        <v>402</v>
      </c>
      <c r="C1100" s="3">
        <v>45710.601736111115</v>
      </c>
      <c r="D1100" t="s">
        <v>48</v>
      </c>
      <c r="E1100" s="4">
        <v>0.40500000000000003</v>
      </c>
      <c r="F1100" s="4">
        <v>547792.76800000004</v>
      </c>
      <c r="G1100" s="4">
        <v>547793.17299999995</v>
      </c>
      <c r="H1100" s="5">
        <f>40 / 86400</f>
        <v>4.6296296296296298E-4</v>
      </c>
      <c r="I1100" t="s">
        <v>56</v>
      </c>
      <c r="J1100" t="s">
        <v>140</v>
      </c>
      <c r="K1100" s="5">
        <f>199 / 86400</f>
        <v>2.3032407407407407E-3</v>
      </c>
      <c r="L1100" s="5">
        <f>13509 / 86400</f>
        <v>0.15635416666666666</v>
      </c>
    </row>
    <row r="1101" spans="1:12" x14ac:dyDescent="0.25">
      <c r="A1101" s="3">
        <v>45710.758090277777</v>
      </c>
      <c r="B1101" t="s">
        <v>48</v>
      </c>
      <c r="C1101" s="3">
        <v>45710.99998842593</v>
      </c>
      <c r="D1101" t="s">
        <v>101</v>
      </c>
      <c r="E1101" s="4">
        <v>113.086</v>
      </c>
      <c r="F1101" s="4">
        <v>547793.17299999995</v>
      </c>
      <c r="G1101" s="4">
        <v>547906.25899999996</v>
      </c>
      <c r="H1101" s="5">
        <f>6378 / 86400</f>
        <v>7.3819444444444438E-2</v>
      </c>
      <c r="I1101" t="s">
        <v>36</v>
      </c>
      <c r="J1101" t="s">
        <v>80</v>
      </c>
      <c r="K1101" s="5">
        <f>20900 / 86400</f>
        <v>0.24189814814814814</v>
      </c>
      <c r="L1101" s="5">
        <f>0 / 86400</f>
        <v>0</v>
      </c>
    </row>
    <row r="1102" spans="1:12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</row>
    <row r="1103" spans="1:12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</row>
    <row r="1104" spans="1:12" s="10" customFormat="1" ht="20.100000000000001" customHeight="1" x14ac:dyDescent="0.35">
      <c r="A1104" s="15" t="s">
        <v>467</v>
      </c>
      <c r="B1104" s="15"/>
      <c r="C1104" s="15"/>
      <c r="D1104" s="15"/>
      <c r="E1104" s="15"/>
      <c r="F1104" s="15"/>
      <c r="G1104" s="15"/>
      <c r="H1104" s="15"/>
      <c r="I1104" s="15"/>
      <c r="J1104" s="15"/>
    </row>
    <row r="1105" spans="1:12" x14ac:dyDescent="0.2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</row>
    <row r="1106" spans="1:12" ht="30" x14ac:dyDescent="0.25">
      <c r="A1106" s="2" t="s">
        <v>6</v>
      </c>
      <c r="B1106" s="2" t="s">
        <v>7</v>
      </c>
      <c r="C1106" s="2" t="s">
        <v>8</v>
      </c>
      <c r="D1106" s="2" t="s">
        <v>9</v>
      </c>
      <c r="E1106" s="2" t="s">
        <v>10</v>
      </c>
      <c r="F1106" s="2" t="s">
        <v>11</v>
      </c>
      <c r="G1106" s="2" t="s">
        <v>12</v>
      </c>
      <c r="H1106" s="2" t="s">
        <v>13</v>
      </c>
      <c r="I1106" s="2" t="s">
        <v>14</v>
      </c>
      <c r="J1106" s="2" t="s">
        <v>15</v>
      </c>
      <c r="K1106" s="2" t="s">
        <v>16</v>
      </c>
      <c r="L1106" s="2" t="s">
        <v>17</v>
      </c>
    </row>
    <row r="1107" spans="1:12" x14ac:dyDescent="0.25">
      <c r="A1107" s="3">
        <v>45710</v>
      </c>
      <c r="B1107" t="s">
        <v>102</v>
      </c>
      <c r="C1107" s="3">
        <v>45710.134664351848</v>
      </c>
      <c r="D1107" t="s">
        <v>86</v>
      </c>
      <c r="E1107" s="4">
        <v>61.033999999999999</v>
      </c>
      <c r="F1107" s="4">
        <v>106088.38499999999</v>
      </c>
      <c r="G1107" s="4">
        <v>106149.41899999999</v>
      </c>
      <c r="H1107" s="5">
        <f>4781 / 86400</f>
        <v>5.5335648148148148E-2</v>
      </c>
      <c r="I1107" t="s">
        <v>403</v>
      </c>
      <c r="J1107" t="s">
        <v>80</v>
      </c>
      <c r="K1107" s="5">
        <f>11635 / 86400</f>
        <v>0.13466435185185185</v>
      </c>
      <c r="L1107" s="5">
        <f>81 / 86400</f>
        <v>9.3749999999999997E-4</v>
      </c>
    </row>
    <row r="1108" spans="1:12" x14ac:dyDescent="0.25">
      <c r="A1108" s="3">
        <v>45710.135601851856</v>
      </c>
      <c r="B1108" t="s">
        <v>86</v>
      </c>
      <c r="C1108" s="3">
        <v>45710.14880787037</v>
      </c>
      <c r="D1108" t="s">
        <v>404</v>
      </c>
      <c r="E1108" s="4">
        <v>4.3470000000000004</v>
      </c>
      <c r="F1108" s="4">
        <v>106149.41899999999</v>
      </c>
      <c r="G1108" s="4">
        <v>106153.766</v>
      </c>
      <c r="H1108" s="5">
        <f>697 / 86400</f>
        <v>8.067129629629629E-3</v>
      </c>
      <c r="I1108" t="s">
        <v>320</v>
      </c>
      <c r="J1108" t="s">
        <v>26</v>
      </c>
      <c r="K1108" s="5">
        <f>1141 / 86400</f>
        <v>1.3206018518518518E-2</v>
      </c>
      <c r="L1108" s="5">
        <f>246 / 86400</f>
        <v>2.8472222222222223E-3</v>
      </c>
    </row>
    <row r="1109" spans="1:12" x14ac:dyDescent="0.25">
      <c r="A1109" s="3">
        <v>45710.151655092588</v>
      </c>
      <c r="B1109" t="s">
        <v>404</v>
      </c>
      <c r="C1109" s="3">
        <v>45710.153668981482</v>
      </c>
      <c r="D1109" t="s">
        <v>109</v>
      </c>
      <c r="E1109" s="4">
        <v>0.56100000000000005</v>
      </c>
      <c r="F1109" s="4">
        <v>106153.766</v>
      </c>
      <c r="G1109" s="4">
        <v>106154.327</v>
      </c>
      <c r="H1109" s="5">
        <f>60 / 86400</f>
        <v>6.9444444444444447E-4</v>
      </c>
      <c r="I1109" t="s">
        <v>74</v>
      </c>
      <c r="J1109" t="s">
        <v>139</v>
      </c>
      <c r="K1109" s="5">
        <f>174 / 86400</f>
        <v>2.0138888888888888E-3</v>
      </c>
      <c r="L1109" s="5">
        <f>329 / 86400</f>
        <v>3.8078703703703703E-3</v>
      </c>
    </row>
    <row r="1110" spans="1:12" x14ac:dyDescent="0.25">
      <c r="A1110" s="3">
        <v>45710.157476851848</v>
      </c>
      <c r="B1110" t="s">
        <v>109</v>
      </c>
      <c r="C1110" s="3">
        <v>45710.158148148148</v>
      </c>
      <c r="D1110" t="s">
        <v>109</v>
      </c>
      <c r="E1110" s="4">
        <v>0.06</v>
      </c>
      <c r="F1110" s="4">
        <v>106154.327</v>
      </c>
      <c r="G1110" s="4">
        <v>106154.387</v>
      </c>
      <c r="H1110" s="5">
        <f>20 / 86400</f>
        <v>2.3148148148148149E-4</v>
      </c>
      <c r="I1110" t="s">
        <v>20</v>
      </c>
      <c r="J1110" t="s">
        <v>75</v>
      </c>
      <c r="K1110" s="5">
        <f>58 / 86400</f>
        <v>6.7129629629629625E-4</v>
      </c>
      <c r="L1110" s="5">
        <f>8366 / 86400</f>
        <v>9.6828703703703708E-2</v>
      </c>
    </row>
    <row r="1111" spans="1:12" x14ac:dyDescent="0.25">
      <c r="A1111" s="3">
        <v>45710.254976851851</v>
      </c>
      <c r="B1111" t="s">
        <v>109</v>
      </c>
      <c r="C1111" s="3">
        <v>45710.256597222222</v>
      </c>
      <c r="D1111" t="s">
        <v>109</v>
      </c>
      <c r="E1111" s="4">
        <v>0.17499999999999999</v>
      </c>
      <c r="F1111" s="4">
        <v>106154.387</v>
      </c>
      <c r="G1111" s="4">
        <v>106154.56200000001</v>
      </c>
      <c r="H1111" s="5">
        <f>77 / 86400</f>
        <v>8.9120370370370373E-4</v>
      </c>
      <c r="I1111" t="s">
        <v>135</v>
      </c>
      <c r="J1111" t="s">
        <v>156</v>
      </c>
      <c r="K1111" s="5">
        <f>140 / 86400</f>
        <v>1.6203703703703703E-3</v>
      </c>
      <c r="L1111" s="5">
        <f>4768 / 86400</f>
        <v>5.5185185185185184E-2</v>
      </c>
    </row>
    <row r="1112" spans="1:12" x14ac:dyDescent="0.25">
      <c r="A1112" s="3">
        <v>45710.311782407407</v>
      </c>
      <c r="B1112" t="s">
        <v>109</v>
      </c>
      <c r="C1112" s="3">
        <v>45710.419976851852</v>
      </c>
      <c r="D1112" t="s">
        <v>101</v>
      </c>
      <c r="E1112" s="4">
        <v>50.307000000000002</v>
      </c>
      <c r="F1112" s="4">
        <v>106154.56200000001</v>
      </c>
      <c r="G1112" s="4">
        <v>106204.86900000001</v>
      </c>
      <c r="H1112" s="5">
        <f>3258 / 86400</f>
        <v>3.7708333333333337E-2</v>
      </c>
      <c r="I1112" t="s">
        <v>106</v>
      </c>
      <c r="J1112" t="s">
        <v>80</v>
      </c>
      <c r="K1112" s="5">
        <f>9348 / 86400</f>
        <v>0.10819444444444444</v>
      </c>
      <c r="L1112" s="5">
        <f>47 / 86400</f>
        <v>5.4398148148148144E-4</v>
      </c>
    </row>
    <row r="1113" spans="1:12" x14ac:dyDescent="0.25">
      <c r="A1113" s="3">
        <v>45710.42052083333</v>
      </c>
      <c r="B1113" t="s">
        <v>101</v>
      </c>
      <c r="C1113" s="3">
        <v>45710.474131944444</v>
      </c>
      <c r="D1113" t="s">
        <v>71</v>
      </c>
      <c r="E1113" s="4">
        <v>27.199000000000002</v>
      </c>
      <c r="F1113" s="4">
        <v>106204.86900000001</v>
      </c>
      <c r="G1113" s="4">
        <v>106232.068</v>
      </c>
      <c r="H1113" s="5">
        <f>1299 / 86400</f>
        <v>1.5034722222222222E-2</v>
      </c>
      <c r="I1113" t="s">
        <v>152</v>
      </c>
      <c r="J1113" t="s">
        <v>135</v>
      </c>
      <c r="K1113" s="5">
        <f>4632 / 86400</f>
        <v>5.3611111111111109E-2</v>
      </c>
      <c r="L1113" s="5">
        <f>1751 / 86400</f>
        <v>2.0266203703703703E-2</v>
      </c>
    </row>
    <row r="1114" spans="1:12" x14ac:dyDescent="0.25">
      <c r="A1114" s="3">
        <v>45710.494398148148</v>
      </c>
      <c r="B1114" t="s">
        <v>71</v>
      </c>
      <c r="C1114" s="3">
        <v>45710.500138888892</v>
      </c>
      <c r="D1114" t="s">
        <v>128</v>
      </c>
      <c r="E1114" s="4">
        <v>1.0589999999999999</v>
      </c>
      <c r="F1114" s="4">
        <v>106232.068</v>
      </c>
      <c r="G1114" s="4">
        <v>106233.12699999999</v>
      </c>
      <c r="H1114" s="5">
        <f>257 / 86400</f>
        <v>2.9745370370370373E-3</v>
      </c>
      <c r="I1114" t="s">
        <v>195</v>
      </c>
      <c r="J1114" t="s">
        <v>150</v>
      </c>
      <c r="K1114" s="5">
        <f>496 / 86400</f>
        <v>5.7407407407407407E-3</v>
      </c>
      <c r="L1114" s="5">
        <f>1181 / 86400</f>
        <v>1.3668981481481482E-2</v>
      </c>
    </row>
    <row r="1115" spans="1:12" x14ac:dyDescent="0.25">
      <c r="A1115" s="3">
        <v>45710.513807870375</v>
      </c>
      <c r="B1115" t="s">
        <v>128</v>
      </c>
      <c r="C1115" s="3">
        <v>45710.688946759255</v>
      </c>
      <c r="D1115" t="s">
        <v>299</v>
      </c>
      <c r="E1115" s="4">
        <v>66.811000000000007</v>
      </c>
      <c r="F1115" s="4">
        <v>106233.12699999999</v>
      </c>
      <c r="G1115" s="4">
        <v>106299.93799999999</v>
      </c>
      <c r="H1115" s="5">
        <f>5979 / 86400</f>
        <v>6.9201388888888896E-2</v>
      </c>
      <c r="I1115" t="s">
        <v>403</v>
      </c>
      <c r="J1115" t="s">
        <v>33</v>
      </c>
      <c r="K1115" s="5">
        <f>15132 / 86400</f>
        <v>0.1751388888888889</v>
      </c>
      <c r="L1115" s="5">
        <f>235 / 86400</f>
        <v>2.7199074074074074E-3</v>
      </c>
    </row>
    <row r="1116" spans="1:12" x14ac:dyDescent="0.25">
      <c r="A1116" s="3">
        <v>45710.691666666666</v>
      </c>
      <c r="B1116" t="s">
        <v>299</v>
      </c>
      <c r="C1116" s="3">
        <v>45710.760370370372</v>
      </c>
      <c r="D1116" t="s">
        <v>122</v>
      </c>
      <c r="E1116" s="4">
        <v>31.734999999999999</v>
      </c>
      <c r="F1116" s="4">
        <v>106299.93799999999</v>
      </c>
      <c r="G1116" s="4">
        <v>106331.673</v>
      </c>
      <c r="H1116" s="5">
        <f>2097 / 86400</f>
        <v>2.4270833333333332E-2</v>
      </c>
      <c r="I1116" t="s">
        <v>63</v>
      </c>
      <c r="J1116" t="s">
        <v>80</v>
      </c>
      <c r="K1116" s="5">
        <f>5936 / 86400</f>
        <v>6.8703703703703697E-2</v>
      </c>
      <c r="L1116" s="5">
        <f>206 / 86400</f>
        <v>2.3842592592592591E-3</v>
      </c>
    </row>
    <row r="1117" spans="1:12" x14ac:dyDescent="0.25">
      <c r="A1117" s="3">
        <v>45710.762754629628</v>
      </c>
      <c r="B1117" t="s">
        <v>122</v>
      </c>
      <c r="C1117" s="3">
        <v>45710.845891203702</v>
      </c>
      <c r="D1117" t="s">
        <v>278</v>
      </c>
      <c r="E1117" s="4">
        <v>41.021999999999998</v>
      </c>
      <c r="F1117" s="4">
        <v>106331.673</v>
      </c>
      <c r="G1117" s="4">
        <v>106372.69500000001</v>
      </c>
      <c r="H1117" s="5">
        <f>2397 / 86400</f>
        <v>2.7743055555555556E-2</v>
      </c>
      <c r="I1117" t="s">
        <v>104</v>
      </c>
      <c r="J1117" t="s">
        <v>135</v>
      </c>
      <c r="K1117" s="5">
        <f>7183 / 86400</f>
        <v>8.3136574074074071E-2</v>
      </c>
      <c r="L1117" s="5">
        <f>179 / 86400</f>
        <v>2.0717592592592593E-3</v>
      </c>
    </row>
    <row r="1118" spans="1:12" x14ac:dyDescent="0.25">
      <c r="A1118" s="3">
        <v>45710.847962962958</v>
      </c>
      <c r="B1118" t="s">
        <v>278</v>
      </c>
      <c r="C1118" s="3">
        <v>45710.924699074079</v>
      </c>
      <c r="D1118" t="s">
        <v>312</v>
      </c>
      <c r="E1118" s="4">
        <v>35.991999999999997</v>
      </c>
      <c r="F1118" s="4">
        <v>106372.69500000001</v>
      </c>
      <c r="G1118" s="4">
        <v>106408.68700000001</v>
      </c>
      <c r="H1118" s="5">
        <f>2119 / 86400</f>
        <v>2.4525462962962964E-2</v>
      </c>
      <c r="I1118" t="s">
        <v>149</v>
      </c>
      <c r="J1118" t="s">
        <v>64</v>
      </c>
      <c r="K1118" s="5">
        <f>6630 / 86400</f>
        <v>7.6736111111111116E-2</v>
      </c>
      <c r="L1118" s="5">
        <f>438 / 86400</f>
        <v>5.0694444444444441E-3</v>
      </c>
    </row>
    <row r="1119" spans="1:12" x14ac:dyDescent="0.25">
      <c r="A1119" s="3">
        <v>45710.929768518516</v>
      </c>
      <c r="B1119" t="s">
        <v>312</v>
      </c>
      <c r="C1119" s="3">
        <v>45710.99998842593</v>
      </c>
      <c r="D1119" t="s">
        <v>103</v>
      </c>
      <c r="E1119" s="4">
        <v>34.787999999999997</v>
      </c>
      <c r="F1119" s="4">
        <v>106408.68700000001</v>
      </c>
      <c r="G1119" s="4">
        <v>106443.47500000001</v>
      </c>
      <c r="H1119" s="5">
        <f>1898 / 86400</f>
        <v>2.1967592592592594E-2</v>
      </c>
      <c r="I1119" t="s">
        <v>59</v>
      </c>
      <c r="J1119" t="s">
        <v>135</v>
      </c>
      <c r="K1119" s="5">
        <f>6067 / 86400</f>
        <v>7.0219907407407411E-2</v>
      </c>
      <c r="L1119" s="5">
        <f>0 / 86400</f>
        <v>0</v>
      </c>
    </row>
    <row r="1120" spans="1:12" x14ac:dyDescent="0.25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</row>
    <row r="1121" spans="1:12" x14ac:dyDescent="0.25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</row>
    <row r="1122" spans="1:12" s="10" customFormat="1" ht="20.100000000000001" customHeight="1" x14ac:dyDescent="0.35">
      <c r="A1122" s="15" t="s">
        <v>468</v>
      </c>
      <c r="B1122" s="15"/>
      <c r="C1122" s="15"/>
      <c r="D1122" s="15"/>
      <c r="E1122" s="15"/>
      <c r="F1122" s="15"/>
      <c r="G1122" s="15"/>
      <c r="H1122" s="15"/>
      <c r="I1122" s="15"/>
      <c r="J1122" s="15"/>
    </row>
    <row r="1123" spans="1:12" x14ac:dyDescent="0.25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</row>
    <row r="1124" spans="1:12" ht="30" x14ac:dyDescent="0.25">
      <c r="A1124" s="2" t="s">
        <v>6</v>
      </c>
      <c r="B1124" s="2" t="s">
        <v>7</v>
      </c>
      <c r="C1124" s="2" t="s">
        <v>8</v>
      </c>
      <c r="D1124" s="2" t="s">
        <v>9</v>
      </c>
      <c r="E1124" s="2" t="s">
        <v>10</v>
      </c>
      <c r="F1124" s="2" t="s">
        <v>11</v>
      </c>
      <c r="G1124" s="2" t="s">
        <v>12</v>
      </c>
      <c r="H1124" s="2" t="s">
        <v>13</v>
      </c>
      <c r="I1124" s="2" t="s">
        <v>14</v>
      </c>
      <c r="J1124" s="2" t="s">
        <v>15</v>
      </c>
      <c r="K1124" s="2" t="s">
        <v>16</v>
      </c>
      <c r="L1124" s="2" t="s">
        <v>17</v>
      </c>
    </row>
    <row r="1125" spans="1:12" x14ac:dyDescent="0.25">
      <c r="A1125" s="3">
        <v>45710.175717592589</v>
      </c>
      <c r="B1125" t="s">
        <v>105</v>
      </c>
      <c r="C1125" s="3">
        <v>45710.280474537038</v>
      </c>
      <c r="D1125" t="s">
        <v>363</v>
      </c>
      <c r="E1125" s="4">
        <v>53.161000000000001</v>
      </c>
      <c r="F1125" s="4">
        <v>47078.58</v>
      </c>
      <c r="G1125" s="4">
        <v>47131.741000000002</v>
      </c>
      <c r="H1125" s="5">
        <f>2801 / 86400</f>
        <v>3.2418981481481479E-2</v>
      </c>
      <c r="I1125" t="s">
        <v>106</v>
      </c>
      <c r="J1125" t="s">
        <v>135</v>
      </c>
      <c r="K1125" s="5">
        <f>9051 / 86400</f>
        <v>0.10475694444444444</v>
      </c>
      <c r="L1125" s="5">
        <f>15205 / 86400</f>
        <v>0.17598379629629629</v>
      </c>
    </row>
    <row r="1126" spans="1:12" x14ac:dyDescent="0.25">
      <c r="A1126" s="3">
        <v>45710.280740740738</v>
      </c>
      <c r="B1126" t="s">
        <v>363</v>
      </c>
      <c r="C1126" s="3">
        <v>45710.2809375</v>
      </c>
      <c r="D1126" t="s">
        <v>363</v>
      </c>
      <c r="E1126" s="4">
        <v>1.6E-2</v>
      </c>
      <c r="F1126" s="4">
        <v>47131.741000000002</v>
      </c>
      <c r="G1126" s="4">
        <v>47131.756999999998</v>
      </c>
      <c r="H1126" s="5">
        <f>0 / 86400</f>
        <v>0</v>
      </c>
      <c r="I1126" t="s">
        <v>156</v>
      </c>
      <c r="J1126" t="s">
        <v>143</v>
      </c>
      <c r="K1126" s="5">
        <f>17 / 86400</f>
        <v>1.9675925925925926E-4</v>
      </c>
      <c r="L1126" s="5">
        <f>317 / 86400</f>
        <v>3.6689814814814814E-3</v>
      </c>
    </row>
    <row r="1127" spans="1:12" x14ac:dyDescent="0.25">
      <c r="A1127" s="3">
        <v>45710.28460648148</v>
      </c>
      <c r="B1127" t="s">
        <v>363</v>
      </c>
      <c r="C1127" s="3">
        <v>45710.284791666665</v>
      </c>
      <c r="D1127" t="s">
        <v>363</v>
      </c>
      <c r="E1127" s="4">
        <v>0</v>
      </c>
      <c r="F1127" s="4">
        <v>47131.756999999998</v>
      </c>
      <c r="G1127" s="4">
        <v>47131.756999999998</v>
      </c>
      <c r="H1127" s="5">
        <f>0 / 86400</f>
        <v>0</v>
      </c>
      <c r="I1127" t="s">
        <v>77</v>
      </c>
      <c r="J1127" t="s">
        <v>77</v>
      </c>
      <c r="K1127" s="5">
        <f>16 / 86400</f>
        <v>1.8518518518518518E-4</v>
      </c>
      <c r="L1127" s="5">
        <f>263 / 86400</f>
        <v>3.0439814814814813E-3</v>
      </c>
    </row>
    <row r="1128" spans="1:12" x14ac:dyDescent="0.25">
      <c r="A1128" s="3">
        <v>45710.287835648152</v>
      </c>
      <c r="B1128" t="s">
        <v>363</v>
      </c>
      <c r="C1128" s="3">
        <v>45710.28842592593</v>
      </c>
      <c r="D1128" t="s">
        <v>363</v>
      </c>
      <c r="E1128" s="4">
        <v>0</v>
      </c>
      <c r="F1128" s="4">
        <v>47131.756999999998</v>
      </c>
      <c r="G1128" s="4">
        <v>47131.756999999998</v>
      </c>
      <c r="H1128" s="5">
        <f>38 / 86400</f>
        <v>4.3981481481481481E-4</v>
      </c>
      <c r="I1128" t="s">
        <v>77</v>
      </c>
      <c r="J1128" t="s">
        <v>77</v>
      </c>
      <c r="K1128" s="5">
        <f>51 / 86400</f>
        <v>5.9027777777777778E-4</v>
      </c>
      <c r="L1128" s="5">
        <f>14 / 86400</f>
        <v>1.6203703703703703E-4</v>
      </c>
    </row>
    <row r="1129" spans="1:12" x14ac:dyDescent="0.25">
      <c r="A1129" s="3">
        <v>45710.288587962961</v>
      </c>
      <c r="B1129" t="s">
        <v>363</v>
      </c>
      <c r="C1129" s="3">
        <v>45710.28875</v>
      </c>
      <c r="D1129" t="s">
        <v>363</v>
      </c>
      <c r="E1129" s="4">
        <v>0</v>
      </c>
      <c r="F1129" s="4">
        <v>47131.756999999998</v>
      </c>
      <c r="G1129" s="4">
        <v>47131.756999999998</v>
      </c>
      <c r="H1129" s="5">
        <f>0 / 86400</f>
        <v>0</v>
      </c>
      <c r="I1129" t="s">
        <v>77</v>
      </c>
      <c r="J1129" t="s">
        <v>77</v>
      </c>
      <c r="K1129" s="5">
        <f>14 / 86400</f>
        <v>1.6203703703703703E-4</v>
      </c>
      <c r="L1129" s="5">
        <f>32 / 86400</f>
        <v>3.7037037037037035E-4</v>
      </c>
    </row>
    <row r="1130" spans="1:12" x14ac:dyDescent="0.25">
      <c r="A1130" s="3">
        <v>45710.289120370369</v>
      </c>
      <c r="B1130" t="s">
        <v>363</v>
      </c>
      <c r="C1130" s="3">
        <v>45710.289664351847</v>
      </c>
      <c r="D1130" t="s">
        <v>363</v>
      </c>
      <c r="E1130" s="4">
        <v>0</v>
      </c>
      <c r="F1130" s="4">
        <v>47131.756999999998</v>
      </c>
      <c r="G1130" s="4">
        <v>47131.756999999998</v>
      </c>
      <c r="H1130" s="5">
        <f>38 / 86400</f>
        <v>4.3981481481481481E-4</v>
      </c>
      <c r="I1130" t="s">
        <v>77</v>
      </c>
      <c r="J1130" t="s">
        <v>77</v>
      </c>
      <c r="K1130" s="5">
        <f>47 / 86400</f>
        <v>5.4398148148148144E-4</v>
      </c>
      <c r="L1130" s="5">
        <f>89 / 86400</f>
        <v>1.0300925925925926E-3</v>
      </c>
    </row>
    <row r="1131" spans="1:12" x14ac:dyDescent="0.25">
      <c r="A1131" s="3">
        <v>45710.29069444444</v>
      </c>
      <c r="B1131" t="s">
        <v>363</v>
      </c>
      <c r="C1131" s="3">
        <v>45710.408518518518</v>
      </c>
      <c r="D1131" t="s">
        <v>50</v>
      </c>
      <c r="E1131" s="4">
        <v>50.156999999999996</v>
      </c>
      <c r="F1131" s="4">
        <v>47131.756999999998</v>
      </c>
      <c r="G1131" s="4">
        <v>47181.913999999997</v>
      </c>
      <c r="H1131" s="5">
        <f>3576 / 86400</f>
        <v>4.1388888888888892E-2</v>
      </c>
      <c r="I1131" t="s">
        <v>110</v>
      </c>
      <c r="J1131" t="s">
        <v>20</v>
      </c>
      <c r="K1131" s="5">
        <f>10180 / 86400</f>
        <v>0.11782407407407407</v>
      </c>
      <c r="L1131" s="5">
        <f>37 / 86400</f>
        <v>4.2824074074074075E-4</v>
      </c>
    </row>
    <row r="1132" spans="1:12" x14ac:dyDescent="0.25">
      <c r="A1132" s="3">
        <v>45710.408946759257</v>
      </c>
      <c r="B1132" t="s">
        <v>50</v>
      </c>
      <c r="C1132" s="3">
        <v>45710.409571759257</v>
      </c>
      <c r="D1132" t="s">
        <v>50</v>
      </c>
      <c r="E1132" s="4">
        <v>0.02</v>
      </c>
      <c r="F1132" s="4">
        <v>47181.913999999997</v>
      </c>
      <c r="G1132" s="4">
        <v>47181.934000000001</v>
      </c>
      <c r="H1132" s="5">
        <f>20 / 86400</f>
        <v>2.3148148148148149E-4</v>
      </c>
      <c r="I1132" t="s">
        <v>156</v>
      </c>
      <c r="J1132" t="s">
        <v>124</v>
      </c>
      <c r="K1132" s="5">
        <f>54 / 86400</f>
        <v>6.2500000000000001E-4</v>
      </c>
      <c r="L1132" s="5">
        <f>2316 / 86400</f>
        <v>2.6805555555555555E-2</v>
      </c>
    </row>
    <row r="1133" spans="1:12" x14ac:dyDescent="0.25">
      <c r="A1133" s="3">
        <v>45710.436377314814</v>
      </c>
      <c r="B1133" t="s">
        <v>50</v>
      </c>
      <c r="C1133" s="3">
        <v>45710.734259259261</v>
      </c>
      <c r="D1133" t="s">
        <v>81</v>
      </c>
      <c r="E1133" s="4">
        <v>102.12</v>
      </c>
      <c r="F1133" s="4">
        <v>47181.934000000001</v>
      </c>
      <c r="G1133" s="4">
        <v>47284.053999999996</v>
      </c>
      <c r="H1133" s="5">
        <f>12064 / 86400</f>
        <v>0.13962962962962963</v>
      </c>
      <c r="I1133" t="s">
        <v>89</v>
      </c>
      <c r="J1133" t="s">
        <v>26</v>
      </c>
      <c r="K1133" s="5">
        <f>25737 / 86400</f>
        <v>0.29788194444444444</v>
      </c>
      <c r="L1133" s="5">
        <f>413 / 86400</f>
        <v>4.7800925925925927E-3</v>
      </c>
    </row>
    <row r="1134" spans="1:12" x14ac:dyDescent="0.25">
      <c r="A1134" s="3">
        <v>45710.739039351851</v>
      </c>
      <c r="B1134" t="s">
        <v>81</v>
      </c>
      <c r="C1134" s="3">
        <v>45710.7418287037</v>
      </c>
      <c r="D1134" t="s">
        <v>107</v>
      </c>
      <c r="E1134" s="4">
        <v>1.0549999999999999</v>
      </c>
      <c r="F1134" s="4">
        <v>47284.053999999996</v>
      </c>
      <c r="G1134" s="4">
        <v>47285.108999999997</v>
      </c>
      <c r="H1134" s="5">
        <f>60 / 86400</f>
        <v>6.9444444444444447E-4</v>
      </c>
      <c r="I1134" t="s">
        <v>184</v>
      </c>
      <c r="J1134" t="s">
        <v>33</v>
      </c>
      <c r="K1134" s="5">
        <f>241 / 86400</f>
        <v>2.7893518518518519E-3</v>
      </c>
      <c r="L1134" s="5">
        <f>86 / 86400</f>
        <v>9.9537037037037042E-4</v>
      </c>
    </row>
    <row r="1135" spans="1:12" x14ac:dyDescent="0.25">
      <c r="A1135" s="3">
        <v>45710.74282407407</v>
      </c>
      <c r="B1135" t="s">
        <v>107</v>
      </c>
      <c r="C1135" s="3">
        <v>45710.745219907403</v>
      </c>
      <c r="D1135" t="s">
        <v>105</v>
      </c>
      <c r="E1135" s="4">
        <v>0.77600000000000002</v>
      </c>
      <c r="F1135" s="4">
        <v>47285.108999999997</v>
      </c>
      <c r="G1135" s="4">
        <v>47285.885000000002</v>
      </c>
      <c r="H1135" s="5">
        <f>20 / 86400</f>
        <v>2.3148148148148149E-4</v>
      </c>
      <c r="I1135" t="s">
        <v>56</v>
      </c>
      <c r="J1135" t="s">
        <v>45</v>
      </c>
      <c r="K1135" s="5">
        <f>207 / 86400</f>
        <v>2.3958333333333331E-3</v>
      </c>
      <c r="L1135" s="5">
        <f>8666 / 86400</f>
        <v>0.10030092592592593</v>
      </c>
    </row>
    <row r="1136" spans="1:12" x14ac:dyDescent="0.25">
      <c r="A1136" s="3">
        <v>45710.845520833333</v>
      </c>
      <c r="B1136" t="s">
        <v>107</v>
      </c>
      <c r="C1136" s="3">
        <v>45710.849351851852</v>
      </c>
      <c r="D1136" t="s">
        <v>404</v>
      </c>
      <c r="E1136" s="4">
        <v>0.64500000000000002</v>
      </c>
      <c r="F1136" s="4">
        <v>47285.885000000002</v>
      </c>
      <c r="G1136" s="4">
        <v>47286.53</v>
      </c>
      <c r="H1136" s="5">
        <f>180 / 86400</f>
        <v>2.0833333333333333E-3</v>
      </c>
      <c r="I1136" t="s">
        <v>137</v>
      </c>
      <c r="J1136" t="s">
        <v>140</v>
      </c>
      <c r="K1136" s="5">
        <f>331 / 86400</f>
        <v>3.8310185185185183E-3</v>
      </c>
      <c r="L1136" s="5">
        <f>573 / 86400</f>
        <v>6.6319444444444446E-3</v>
      </c>
    </row>
    <row r="1137" spans="1:12" x14ac:dyDescent="0.25">
      <c r="A1137" s="3">
        <v>45710.855983796297</v>
      </c>
      <c r="B1137" t="s">
        <v>404</v>
      </c>
      <c r="C1137" s="3">
        <v>45710.861851851849</v>
      </c>
      <c r="D1137" t="s">
        <v>105</v>
      </c>
      <c r="E1137" s="4">
        <v>1.448</v>
      </c>
      <c r="F1137" s="4">
        <v>47286.53</v>
      </c>
      <c r="G1137" s="4">
        <v>47287.978000000003</v>
      </c>
      <c r="H1137" s="5">
        <f>140 / 86400</f>
        <v>1.6203703703703703E-3</v>
      </c>
      <c r="I1137" t="s">
        <v>30</v>
      </c>
      <c r="J1137" t="s">
        <v>168</v>
      </c>
      <c r="K1137" s="5">
        <f>507 / 86400</f>
        <v>5.8680555555555552E-3</v>
      </c>
      <c r="L1137" s="5">
        <f>11935 / 86400</f>
        <v>0.13813657407407406</v>
      </c>
    </row>
    <row r="1138" spans="1:12" x14ac:dyDescent="0.2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</row>
    <row r="1139" spans="1:12" x14ac:dyDescent="0.25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</row>
    <row r="1140" spans="1:12" s="10" customFormat="1" ht="20.100000000000001" customHeight="1" x14ac:dyDescent="0.35">
      <c r="A1140" s="15" t="s">
        <v>469</v>
      </c>
      <c r="B1140" s="15"/>
      <c r="C1140" s="15"/>
      <c r="D1140" s="15"/>
      <c r="E1140" s="15"/>
      <c r="F1140" s="15"/>
      <c r="G1140" s="15"/>
      <c r="H1140" s="15"/>
      <c r="I1140" s="15"/>
      <c r="J1140" s="15"/>
    </row>
    <row r="1141" spans="1:12" x14ac:dyDescent="0.2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</row>
    <row r="1142" spans="1:12" ht="30" x14ac:dyDescent="0.25">
      <c r="A1142" s="2" t="s">
        <v>6</v>
      </c>
      <c r="B1142" s="2" t="s">
        <v>7</v>
      </c>
      <c r="C1142" s="2" t="s">
        <v>8</v>
      </c>
      <c r="D1142" s="2" t="s">
        <v>9</v>
      </c>
      <c r="E1142" s="2" t="s">
        <v>10</v>
      </c>
      <c r="F1142" s="2" t="s">
        <v>11</v>
      </c>
      <c r="G1142" s="2" t="s">
        <v>12</v>
      </c>
      <c r="H1142" s="2" t="s">
        <v>13</v>
      </c>
      <c r="I1142" s="2" t="s">
        <v>14</v>
      </c>
      <c r="J1142" s="2" t="s">
        <v>15</v>
      </c>
      <c r="K1142" s="2" t="s">
        <v>16</v>
      </c>
      <c r="L1142" s="2" t="s">
        <v>17</v>
      </c>
    </row>
    <row r="1143" spans="1:12" x14ac:dyDescent="0.25">
      <c r="A1143" s="3">
        <v>45710.157442129625</v>
      </c>
      <c r="B1143" t="s">
        <v>107</v>
      </c>
      <c r="C1143" s="3">
        <v>45710.165949074071</v>
      </c>
      <c r="D1143" t="s">
        <v>397</v>
      </c>
      <c r="E1143" s="4">
        <v>0.46500000000000002</v>
      </c>
      <c r="F1143" s="4">
        <v>81099.517000000007</v>
      </c>
      <c r="G1143" s="4">
        <v>81099.982000000004</v>
      </c>
      <c r="H1143" s="5">
        <f>638 / 86400</f>
        <v>7.3842592592592597E-3</v>
      </c>
      <c r="I1143" t="s">
        <v>186</v>
      </c>
      <c r="J1143" t="s">
        <v>113</v>
      </c>
      <c r="K1143" s="5">
        <f>735 / 86400</f>
        <v>8.5069444444444437E-3</v>
      </c>
      <c r="L1143" s="5">
        <f>13777 / 86400</f>
        <v>0.15945601851851851</v>
      </c>
    </row>
    <row r="1144" spans="1:12" x14ac:dyDescent="0.25">
      <c r="A1144" s="3">
        <v>45710.167962962965</v>
      </c>
      <c r="B1144" t="s">
        <v>397</v>
      </c>
      <c r="C1144" s="3">
        <v>45710.170034722221</v>
      </c>
      <c r="D1144" t="s">
        <v>202</v>
      </c>
      <c r="E1144" s="4">
        <v>1.8520000000000001</v>
      </c>
      <c r="F1144" s="4">
        <v>81099.982000000004</v>
      </c>
      <c r="G1144" s="4">
        <v>81101.834000000003</v>
      </c>
      <c r="H1144" s="5">
        <f>0 / 86400</f>
        <v>0</v>
      </c>
      <c r="I1144" t="s">
        <v>244</v>
      </c>
      <c r="J1144" t="s">
        <v>112</v>
      </c>
      <c r="K1144" s="5">
        <f>179 / 86400</f>
        <v>2.0717592592592593E-3</v>
      </c>
      <c r="L1144" s="5">
        <f>157 / 86400</f>
        <v>1.8171296296296297E-3</v>
      </c>
    </row>
    <row r="1145" spans="1:12" x14ac:dyDescent="0.25">
      <c r="A1145" s="3">
        <v>45710.171851851846</v>
      </c>
      <c r="B1145" t="s">
        <v>202</v>
      </c>
      <c r="C1145" s="3">
        <v>45710.178460648152</v>
      </c>
      <c r="D1145" t="s">
        <v>107</v>
      </c>
      <c r="E1145" s="4">
        <v>2.5259999999999998</v>
      </c>
      <c r="F1145" s="4">
        <v>81101.834000000003</v>
      </c>
      <c r="G1145" s="4">
        <v>81104.36</v>
      </c>
      <c r="H1145" s="5">
        <f>218 / 86400</f>
        <v>2.5231481481481481E-3</v>
      </c>
      <c r="I1145" t="s">
        <v>186</v>
      </c>
      <c r="J1145" t="s">
        <v>33</v>
      </c>
      <c r="K1145" s="5">
        <f>571 / 86400</f>
        <v>6.6087962962962966E-3</v>
      </c>
      <c r="L1145" s="5">
        <f>28997 / 86400</f>
        <v>0.33561342592592591</v>
      </c>
    </row>
    <row r="1146" spans="1:12" x14ac:dyDescent="0.25">
      <c r="A1146" s="3">
        <v>45710.514074074075</v>
      </c>
      <c r="B1146" t="s">
        <v>107</v>
      </c>
      <c r="C1146" s="3">
        <v>45710.763645833329</v>
      </c>
      <c r="D1146" t="s">
        <v>81</v>
      </c>
      <c r="E1146" s="4">
        <v>94.52</v>
      </c>
      <c r="F1146" s="4">
        <v>81104.36</v>
      </c>
      <c r="G1146" s="4">
        <v>81198.880000000005</v>
      </c>
      <c r="H1146" s="5">
        <f>8634 / 86400</f>
        <v>9.993055555555555E-2</v>
      </c>
      <c r="I1146" t="s">
        <v>63</v>
      </c>
      <c r="J1146" t="s">
        <v>33</v>
      </c>
      <c r="K1146" s="5">
        <f>21563 / 86400</f>
        <v>0.24957175925925926</v>
      </c>
      <c r="L1146" s="5">
        <f>540 / 86400</f>
        <v>6.2500000000000003E-3</v>
      </c>
    </row>
    <row r="1147" spans="1:12" x14ac:dyDescent="0.25">
      <c r="A1147" s="3">
        <v>45710.769895833335</v>
      </c>
      <c r="B1147" t="s">
        <v>81</v>
      </c>
      <c r="C1147" s="3">
        <v>45710.775000000001</v>
      </c>
      <c r="D1147" t="s">
        <v>107</v>
      </c>
      <c r="E1147" s="4">
        <v>0.67400000000000004</v>
      </c>
      <c r="F1147" s="4">
        <v>81198.880000000005</v>
      </c>
      <c r="G1147" s="4">
        <v>81199.554000000004</v>
      </c>
      <c r="H1147" s="5">
        <f>278 / 86400</f>
        <v>3.2175925925925926E-3</v>
      </c>
      <c r="I1147" t="s">
        <v>123</v>
      </c>
      <c r="J1147" t="s">
        <v>31</v>
      </c>
      <c r="K1147" s="5">
        <f>441 / 86400</f>
        <v>5.1041666666666666E-3</v>
      </c>
      <c r="L1147" s="5">
        <f>174 / 86400</f>
        <v>2.0138888888888888E-3</v>
      </c>
    </row>
    <row r="1148" spans="1:12" x14ac:dyDescent="0.25">
      <c r="A1148" s="3">
        <v>45710.777013888888</v>
      </c>
      <c r="B1148" t="s">
        <v>107</v>
      </c>
      <c r="C1148" s="3">
        <v>45710.777581018519</v>
      </c>
      <c r="D1148" t="s">
        <v>107</v>
      </c>
      <c r="E1148" s="4">
        <v>0</v>
      </c>
      <c r="F1148" s="4">
        <v>81199.554000000004</v>
      </c>
      <c r="G1148" s="4">
        <v>81199.554000000004</v>
      </c>
      <c r="H1148" s="5">
        <f>38 / 86400</f>
        <v>4.3981481481481481E-4</v>
      </c>
      <c r="I1148" t="s">
        <v>77</v>
      </c>
      <c r="J1148" t="s">
        <v>77</v>
      </c>
      <c r="K1148" s="5">
        <f>49 / 86400</f>
        <v>5.6712962962962967E-4</v>
      </c>
      <c r="L1148" s="5">
        <f>19216 / 86400</f>
        <v>0.22240740740740741</v>
      </c>
    </row>
    <row r="1149" spans="1:12" x14ac:dyDescent="0.25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</row>
    <row r="1150" spans="1:12" x14ac:dyDescent="0.25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</row>
    <row r="1151" spans="1:12" s="10" customFormat="1" ht="20.100000000000001" customHeight="1" x14ac:dyDescent="0.35">
      <c r="A1151" s="15" t="s">
        <v>470</v>
      </c>
      <c r="B1151" s="15"/>
      <c r="C1151" s="15"/>
      <c r="D1151" s="15"/>
      <c r="E1151" s="15"/>
      <c r="F1151" s="15"/>
      <c r="G1151" s="15"/>
      <c r="H1151" s="15"/>
      <c r="I1151" s="15"/>
      <c r="J1151" s="15"/>
    </row>
    <row r="1152" spans="1:12" x14ac:dyDescent="0.25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</row>
    <row r="1153" spans="1:12" ht="30" x14ac:dyDescent="0.25">
      <c r="A1153" s="2" t="s">
        <v>6</v>
      </c>
      <c r="B1153" s="2" t="s">
        <v>7</v>
      </c>
      <c r="C1153" s="2" t="s">
        <v>8</v>
      </c>
      <c r="D1153" s="2" t="s">
        <v>9</v>
      </c>
      <c r="E1153" s="2" t="s">
        <v>10</v>
      </c>
      <c r="F1153" s="2" t="s">
        <v>11</v>
      </c>
      <c r="G1153" s="2" t="s">
        <v>12</v>
      </c>
      <c r="H1153" s="2" t="s">
        <v>13</v>
      </c>
      <c r="I1153" s="2" t="s">
        <v>14</v>
      </c>
      <c r="J1153" s="2" t="s">
        <v>15</v>
      </c>
      <c r="K1153" s="2" t="s">
        <v>16</v>
      </c>
      <c r="L1153" s="2" t="s">
        <v>17</v>
      </c>
    </row>
    <row r="1154" spans="1:12" x14ac:dyDescent="0.25">
      <c r="A1154" s="3">
        <v>45710</v>
      </c>
      <c r="B1154" t="s">
        <v>108</v>
      </c>
      <c r="C1154" s="3">
        <v>45710.026203703703</v>
      </c>
      <c r="D1154" t="s">
        <v>223</v>
      </c>
      <c r="E1154" s="4">
        <v>14.88</v>
      </c>
      <c r="F1154" s="4">
        <v>42802.675999999999</v>
      </c>
      <c r="G1154" s="4">
        <v>42817.555999999997</v>
      </c>
      <c r="H1154" s="5">
        <f>510 / 86400</f>
        <v>5.9027777777777776E-3</v>
      </c>
      <c r="I1154" t="s">
        <v>25</v>
      </c>
      <c r="J1154" t="s">
        <v>137</v>
      </c>
      <c r="K1154" s="5">
        <f>2264 / 86400</f>
        <v>2.6203703703703705E-2</v>
      </c>
      <c r="L1154" s="5">
        <f>735 / 86400</f>
        <v>8.5069444444444437E-3</v>
      </c>
    </row>
    <row r="1155" spans="1:12" x14ac:dyDescent="0.25">
      <c r="A1155" s="3">
        <v>45710.034710648149</v>
      </c>
      <c r="B1155" t="s">
        <v>223</v>
      </c>
      <c r="C1155" s="3">
        <v>45710.042199074072</v>
      </c>
      <c r="D1155" t="s">
        <v>405</v>
      </c>
      <c r="E1155" s="4">
        <v>3.39</v>
      </c>
      <c r="F1155" s="4">
        <v>42817.555999999997</v>
      </c>
      <c r="G1155" s="4">
        <v>42820.946000000004</v>
      </c>
      <c r="H1155" s="5">
        <f>150 / 86400</f>
        <v>1.736111111111111E-3</v>
      </c>
      <c r="I1155" t="s">
        <v>99</v>
      </c>
      <c r="J1155" t="s">
        <v>80</v>
      </c>
      <c r="K1155" s="5">
        <f>647 / 86400</f>
        <v>7.4884259259259262E-3</v>
      </c>
      <c r="L1155" s="5">
        <f>13405 / 86400</f>
        <v>0.15515046296296298</v>
      </c>
    </row>
    <row r="1156" spans="1:12" x14ac:dyDescent="0.25">
      <c r="A1156" s="3">
        <v>45710.197349537033</v>
      </c>
      <c r="B1156" t="s">
        <v>405</v>
      </c>
      <c r="C1156" s="3">
        <v>45710.390335648146</v>
      </c>
      <c r="D1156" t="s">
        <v>72</v>
      </c>
      <c r="E1156" s="4">
        <v>89.49</v>
      </c>
      <c r="F1156" s="4">
        <v>42820.946000000004</v>
      </c>
      <c r="G1156" s="4">
        <v>42910.436000000002</v>
      </c>
      <c r="H1156" s="5">
        <f>4768 / 86400</f>
        <v>5.5185185185185184E-2</v>
      </c>
      <c r="I1156" t="s">
        <v>55</v>
      </c>
      <c r="J1156" t="s">
        <v>80</v>
      </c>
      <c r="K1156" s="5">
        <f>16674 / 86400</f>
        <v>0.19298611111111111</v>
      </c>
      <c r="L1156" s="5">
        <f>1917 / 86400</f>
        <v>2.2187499999999999E-2</v>
      </c>
    </row>
    <row r="1157" spans="1:12" x14ac:dyDescent="0.25">
      <c r="A1157" s="3">
        <v>45710.412523148145</v>
      </c>
      <c r="B1157" t="s">
        <v>406</v>
      </c>
      <c r="C1157" s="3">
        <v>45710.416134259256</v>
      </c>
      <c r="D1157" t="s">
        <v>122</v>
      </c>
      <c r="E1157" s="4">
        <v>0.45700000000000002</v>
      </c>
      <c r="F1157" s="4">
        <v>42910.436000000002</v>
      </c>
      <c r="G1157" s="4">
        <v>42910.892999999996</v>
      </c>
      <c r="H1157" s="5">
        <f>149 / 86400</f>
        <v>1.724537037037037E-3</v>
      </c>
      <c r="I1157" t="s">
        <v>45</v>
      </c>
      <c r="J1157" t="s">
        <v>156</v>
      </c>
      <c r="K1157" s="5">
        <f>312 / 86400</f>
        <v>3.6111111111111109E-3</v>
      </c>
      <c r="L1157" s="5">
        <f>832 / 86400</f>
        <v>9.6296296296296303E-3</v>
      </c>
    </row>
    <row r="1158" spans="1:12" x14ac:dyDescent="0.25">
      <c r="A1158" s="3">
        <v>45710.425763888888</v>
      </c>
      <c r="B1158" t="s">
        <v>122</v>
      </c>
      <c r="C1158" s="3">
        <v>45710.429525462961</v>
      </c>
      <c r="D1158" t="s">
        <v>407</v>
      </c>
      <c r="E1158" s="4">
        <v>0.83</v>
      </c>
      <c r="F1158" s="4">
        <v>42910.892999999996</v>
      </c>
      <c r="G1158" s="4">
        <v>42911.722999999998</v>
      </c>
      <c r="H1158" s="5">
        <f>91 / 86400</f>
        <v>1.0532407407407407E-3</v>
      </c>
      <c r="I1158" t="s">
        <v>129</v>
      </c>
      <c r="J1158" t="s">
        <v>132</v>
      </c>
      <c r="K1158" s="5">
        <f>325 / 86400</f>
        <v>3.7615740740740739E-3</v>
      </c>
      <c r="L1158" s="5">
        <f>4065 / 86400</f>
        <v>4.704861111111111E-2</v>
      </c>
    </row>
    <row r="1159" spans="1:12" x14ac:dyDescent="0.25">
      <c r="A1159" s="3">
        <v>45710.47657407407</v>
      </c>
      <c r="B1159" t="s">
        <v>92</v>
      </c>
      <c r="C1159" s="3">
        <v>45710.480856481481</v>
      </c>
      <c r="D1159" t="s">
        <v>166</v>
      </c>
      <c r="E1159" s="4">
        <v>1.31</v>
      </c>
      <c r="F1159" s="4">
        <v>42911.722999999998</v>
      </c>
      <c r="G1159" s="4">
        <v>42913.033000000003</v>
      </c>
      <c r="H1159" s="5">
        <f>89 / 86400</f>
        <v>1.0300925925925926E-3</v>
      </c>
      <c r="I1159" t="s">
        <v>188</v>
      </c>
      <c r="J1159" t="s">
        <v>45</v>
      </c>
      <c r="K1159" s="5">
        <f>370 / 86400</f>
        <v>4.2824074074074075E-3</v>
      </c>
      <c r="L1159" s="5">
        <f>1895 / 86400</f>
        <v>2.193287037037037E-2</v>
      </c>
    </row>
    <row r="1160" spans="1:12" x14ac:dyDescent="0.25">
      <c r="A1160" s="3">
        <v>45710.502789351856</v>
      </c>
      <c r="B1160" t="s">
        <v>166</v>
      </c>
      <c r="C1160" s="3">
        <v>45710.741770833338</v>
      </c>
      <c r="D1160" t="s">
        <v>86</v>
      </c>
      <c r="E1160" s="4">
        <v>95.171000000000006</v>
      </c>
      <c r="F1160" s="4">
        <v>42913.033000000003</v>
      </c>
      <c r="G1160" s="4">
        <v>43008.203999999998</v>
      </c>
      <c r="H1160" s="5">
        <f>7349 / 86400</f>
        <v>8.5057870370370367E-2</v>
      </c>
      <c r="I1160" t="s">
        <v>97</v>
      </c>
      <c r="J1160" t="s">
        <v>29</v>
      </c>
      <c r="K1160" s="5">
        <f>20648 / 86400</f>
        <v>0.23898148148148149</v>
      </c>
      <c r="L1160" s="5">
        <f>288 / 86400</f>
        <v>3.3333333333333335E-3</v>
      </c>
    </row>
    <row r="1161" spans="1:12" x14ac:dyDescent="0.25">
      <c r="A1161" s="3">
        <v>45710.745104166665</v>
      </c>
      <c r="B1161" t="s">
        <v>86</v>
      </c>
      <c r="C1161" s="3">
        <v>45710.99998842593</v>
      </c>
      <c r="D1161" t="s">
        <v>78</v>
      </c>
      <c r="E1161" s="4">
        <v>116.90900000000001</v>
      </c>
      <c r="F1161" s="4">
        <v>43008.203999999998</v>
      </c>
      <c r="G1161" s="4">
        <v>43125.112999999998</v>
      </c>
      <c r="H1161" s="5">
        <f>7650 / 86400</f>
        <v>8.8541666666666671E-2</v>
      </c>
      <c r="I1161" t="s">
        <v>97</v>
      </c>
      <c r="J1161" t="s">
        <v>80</v>
      </c>
      <c r="K1161" s="5">
        <f>22022 / 86400</f>
        <v>0.25488425925925928</v>
      </c>
      <c r="L1161" s="5">
        <f>0 / 86400</f>
        <v>0</v>
      </c>
    </row>
    <row r="1162" spans="1:12" x14ac:dyDescent="0.25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</row>
    <row r="1163" spans="1:12" x14ac:dyDescent="0.25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</row>
    <row r="1164" spans="1:12" s="10" customFormat="1" ht="20.100000000000001" customHeight="1" x14ac:dyDescent="0.35">
      <c r="A1164" s="15" t="s">
        <v>471</v>
      </c>
      <c r="B1164" s="15"/>
      <c r="C1164" s="15"/>
      <c r="D1164" s="15"/>
      <c r="E1164" s="15"/>
      <c r="F1164" s="15"/>
      <c r="G1164" s="15"/>
      <c r="H1164" s="15"/>
      <c r="I1164" s="15"/>
      <c r="J1164" s="15"/>
    </row>
    <row r="1165" spans="1:12" x14ac:dyDescent="0.2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</row>
    <row r="1166" spans="1:12" ht="30" x14ac:dyDescent="0.25">
      <c r="A1166" s="2" t="s">
        <v>6</v>
      </c>
      <c r="B1166" s="2" t="s">
        <v>7</v>
      </c>
      <c r="C1166" s="2" t="s">
        <v>8</v>
      </c>
      <c r="D1166" s="2" t="s">
        <v>9</v>
      </c>
      <c r="E1166" s="2" t="s">
        <v>10</v>
      </c>
      <c r="F1166" s="2" t="s">
        <v>11</v>
      </c>
      <c r="G1166" s="2" t="s">
        <v>12</v>
      </c>
      <c r="H1166" s="2" t="s">
        <v>13</v>
      </c>
      <c r="I1166" s="2" t="s">
        <v>14</v>
      </c>
      <c r="J1166" s="2" t="s">
        <v>15</v>
      </c>
      <c r="K1166" s="2" t="s">
        <v>16</v>
      </c>
      <c r="L1166" s="2" t="s">
        <v>17</v>
      </c>
    </row>
    <row r="1167" spans="1:12" x14ac:dyDescent="0.25">
      <c r="A1167" s="3">
        <v>45710.365439814814</v>
      </c>
      <c r="B1167" t="s">
        <v>92</v>
      </c>
      <c r="C1167" s="3">
        <v>45710.369814814811</v>
      </c>
      <c r="D1167" t="s">
        <v>408</v>
      </c>
      <c r="E1167" s="4">
        <v>3.5070000000000001</v>
      </c>
      <c r="F1167" s="4">
        <v>525139.72900000005</v>
      </c>
      <c r="G1167" s="4">
        <v>525143.23600000003</v>
      </c>
      <c r="H1167" s="5">
        <f>20 / 86400</f>
        <v>2.3148148148148149E-4</v>
      </c>
      <c r="I1167" t="s">
        <v>260</v>
      </c>
      <c r="J1167" t="s">
        <v>182</v>
      </c>
      <c r="K1167" s="5">
        <f>378 / 86400</f>
        <v>4.3750000000000004E-3</v>
      </c>
      <c r="L1167" s="5">
        <f>51401 / 86400</f>
        <v>0.59491898148148148</v>
      </c>
    </row>
    <row r="1168" spans="1:12" x14ac:dyDescent="0.25">
      <c r="A1168" s="3">
        <v>45710.599293981482</v>
      </c>
      <c r="B1168" t="s">
        <v>408</v>
      </c>
      <c r="C1168" s="3">
        <v>45710.606631944444</v>
      </c>
      <c r="D1168" t="s">
        <v>81</v>
      </c>
      <c r="E1168" s="4">
        <v>3.5439999999403953</v>
      </c>
      <c r="F1168" s="4">
        <v>525143.23600000003</v>
      </c>
      <c r="G1168" s="4">
        <v>525146.78</v>
      </c>
      <c r="H1168" s="5">
        <f>239 / 86400</f>
        <v>2.7662037037037039E-3</v>
      </c>
      <c r="I1168" t="s">
        <v>58</v>
      </c>
      <c r="J1168" t="s">
        <v>64</v>
      </c>
      <c r="K1168" s="5">
        <f>634 / 86400</f>
        <v>7.3379629629629628E-3</v>
      </c>
      <c r="L1168" s="5">
        <f>1433 / 86400</f>
        <v>1.6585648148148148E-2</v>
      </c>
    </row>
    <row r="1169" spans="1:12" x14ac:dyDescent="0.25">
      <c r="A1169" s="3">
        <v>45710.623217592598</v>
      </c>
      <c r="B1169" t="s">
        <v>81</v>
      </c>
      <c r="C1169" s="3">
        <v>45710.623425925922</v>
      </c>
      <c r="D1169" t="s">
        <v>81</v>
      </c>
      <c r="E1169" s="4">
        <v>0</v>
      </c>
      <c r="F1169" s="4">
        <v>525146.78</v>
      </c>
      <c r="G1169" s="4">
        <v>525146.78</v>
      </c>
      <c r="H1169" s="5">
        <f>0 / 86400</f>
        <v>0</v>
      </c>
      <c r="I1169" t="s">
        <v>77</v>
      </c>
      <c r="J1169" t="s">
        <v>77</v>
      </c>
      <c r="K1169" s="5">
        <f>18 / 86400</f>
        <v>2.0833333333333335E-4</v>
      </c>
      <c r="L1169" s="5">
        <f>154 / 86400</f>
        <v>1.7824074074074075E-3</v>
      </c>
    </row>
    <row r="1170" spans="1:12" x14ac:dyDescent="0.25">
      <c r="A1170" s="3">
        <v>45710.625208333338</v>
      </c>
      <c r="B1170" t="s">
        <v>81</v>
      </c>
      <c r="C1170" s="3">
        <v>45710.626226851848</v>
      </c>
      <c r="D1170" t="s">
        <v>81</v>
      </c>
      <c r="E1170" s="4">
        <v>3.7999999999999999E-2</v>
      </c>
      <c r="F1170" s="4">
        <v>525146.78</v>
      </c>
      <c r="G1170" s="4">
        <v>525146.81799999997</v>
      </c>
      <c r="H1170" s="5">
        <f>79 / 86400</f>
        <v>9.1435185185185185E-4</v>
      </c>
      <c r="I1170" t="s">
        <v>156</v>
      </c>
      <c r="J1170" t="s">
        <v>113</v>
      </c>
      <c r="K1170" s="5">
        <f>88 / 86400</f>
        <v>1.0185185185185184E-3</v>
      </c>
      <c r="L1170" s="5">
        <f>10952 / 86400</f>
        <v>0.12675925925925927</v>
      </c>
    </row>
    <row r="1171" spans="1:12" x14ac:dyDescent="0.25">
      <c r="A1171" s="3">
        <v>45710.752986111111</v>
      </c>
      <c r="B1171" t="s">
        <v>81</v>
      </c>
      <c r="C1171" s="3">
        <v>45710.754548611112</v>
      </c>
      <c r="D1171" t="s">
        <v>81</v>
      </c>
      <c r="E1171" s="4">
        <v>3.6999999999999998E-2</v>
      </c>
      <c r="F1171" s="4">
        <v>525146.81799999997</v>
      </c>
      <c r="G1171" s="4">
        <v>525146.85499999998</v>
      </c>
      <c r="H1171" s="5">
        <f>79 / 86400</f>
        <v>9.1435185185185185E-4</v>
      </c>
      <c r="I1171" t="s">
        <v>31</v>
      </c>
      <c r="J1171" t="s">
        <v>124</v>
      </c>
      <c r="K1171" s="5">
        <f>134 / 86400</f>
        <v>1.5509259259259259E-3</v>
      </c>
      <c r="L1171" s="5">
        <f>612 / 86400</f>
        <v>7.083333333333333E-3</v>
      </c>
    </row>
    <row r="1172" spans="1:12" x14ac:dyDescent="0.25">
      <c r="A1172" s="3">
        <v>45710.76163194445</v>
      </c>
      <c r="B1172" t="s">
        <v>92</v>
      </c>
      <c r="C1172" s="3">
        <v>45710.764282407406</v>
      </c>
      <c r="D1172" t="s">
        <v>92</v>
      </c>
      <c r="E1172" s="4">
        <v>0.17499999999999999</v>
      </c>
      <c r="F1172" s="4">
        <v>525146.85499999998</v>
      </c>
      <c r="G1172" s="4">
        <v>525147.03</v>
      </c>
      <c r="H1172" s="5">
        <f>100 / 86400</f>
        <v>1.1574074074074073E-3</v>
      </c>
      <c r="I1172" t="s">
        <v>132</v>
      </c>
      <c r="J1172" t="s">
        <v>143</v>
      </c>
      <c r="K1172" s="5">
        <f>228 / 86400</f>
        <v>2.638888888888889E-3</v>
      </c>
      <c r="L1172" s="5">
        <f>20365 / 86400</f>
        <v>0.23570601851851852</v>
      </c>
    </row>
    <row r="1173" spans="1:12" x14ac:dyDescent="0.25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</row>
    <row r="1174" spans="1:12" x14ac:dyDescent="0.25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</row>
    <row r="1175" spans="1:12" s="10" customFormat="1" ht="20.100000000000001" customHeight="1" x14ac:dyDescent="0.35">
      <c r="A1175" s="15" t="s">
        <v>472</v>
      </c>
      <c r="B1175" s="15"/>
      <c r="C1175" s="15"/>
      <c r="D1175" s="15"/>
      <c r="E1175" s="15"/>
      <c r="F1175" s="15"/>
      <c r="G1175" s="15"/>
      <c r="H1175" s="15"/>
      <c r="I1175" s="15"/>
      <c r="J1175" s="15"/>
    </row>
    <row r="1176" spans="1:12" x14ac:dyDescent="0.25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</row>
    <row r="1177" spans="1:12" ht="30" x14ac:dyDescent="0.25">
      <c r="A1177" s="2" t="s">
        <v>6</v>
      </c>
      <c r="B1177" s="2" t="s">
        <v>7</v>
      </c>
      <c r="C1177" s="2" t="s">
        <v>8</v>
      </c>
      <c r="D1177" s="2" t="s">
        <v>9</v>
      </c>
      <c r="E1177" s="2" t="s">
        <v>10</v>
      </c>
      <c r="F1177" s="2" t="s">
        <v>11</v>
      </c>
      <c r="G1177" s="2" t="s">
        <v>12</v>
      </c>
      <c r="H1177" s="2" t="s">
        <v>13</v>
      </c>
      <c r="I1177" s="2" t="s">
        <v>14</v>
      </c>
      <c r="J1177" s="2" t="s">
        <v>15</v>
      </c>
      <c r="K1177" s="2" t="s">
        <v>16</v>
      </c>
      <c r="L1177" s="2" t="s">
        <v>17</v>
      </c>
    </row>
    <row r="1178" spans="1:12" x14ac:dyDescent="0.25">
      <c r="A1178" s="3">
        <v>45710.24900462963</v>
      </c>
      <c r="B1178" t="s">
        <v>109</v>
      </c>
      <c r="C1178" s="3">
        <v>45710.250208333338</v>
      </c>
      <c r="D1178" t="s">
        <v>109</v>
      </c>
      <c r="E1178" s="4">
        <v>6.3E-2</v>
      </c>
      <c r="F1178" s="4">
        <v>24568.154999999999</v>
      </c>
      <c r="G1178" s="4">
        <v>24568.218000000001</v>
      </c>
      <c r="H1178" s="5">
        <f>19 / 86400</f>
        <v>2.199074074074074E-4</v>
      </c>
      <c r="I1178" t="s">
        <v>150</v>
      </c>
      <c r="J1178" t="s">
        <v>113</v>
      </c>
      <c r="K1178" s="5">
        <f>104 / 86400</f>
        <v>1.2037037037037038E-3</v>
      </c>
      <c r="L1178" s="5">
        <f>21930 / 86400</f>
        <v>0.25381944444444443</v>
      </c>
    </row>
    <row r="1179" spans="1:12" x14ac:dyDescent="0.25">
      <c r="A1179" s="3">
        <v>45710.255023148144</v>
      </c>
      <c r="B1179" t="s">
        <v>109</v>
      </c>
      <c r="C1179" s="3">
        <v>45710.255509259259</v>
      </c>
      <c r="D1179" t="s">
        <v>48</v>
      </c>
      <c r="E1179" s="4">
        <v>6.4000000000000001E-2</v>
      </c>
      <c r="F1179" s="4">
        <v>24568.218000000001</v>
      </c>
      <c r="G1179" s="4">
        <v>24568.281999999999</v>
      </c>
      <c r="H1179" s="5">
        <f>0 / 86400</f>
        <v>0</v>
      </c>
      <c r="I1179" t="s">
        <v>140</v>
      </c>
      <c r="J1179" t="s">
        <v>156</v>
      </c>
      <c r="K1179" s="5">
        <f>42 / 86400</f>
        <v>4.861111111111111E-4</v>
      </c>
      <c r="L1179" s="5">
        <f>1834 / 86400</f>
        <v>2.1226851851851851E-2</v>
      </c>
    </row>
    <row r="1180" spans="1:12" x14ac:dyDescent="0.25">
      <c r="A1180" s="3">
        <v>45710.276736111111</v>
      </c>
      <c r="B1180" t="s">
        <v>203</v>
      </c>
      <c r="C1180" s="3">
        <v>45710.282708333332</v>
      </c>
      <c r="D1180" t="s">
        <v>128</v>
      </c>
      <c r="E1180" s="4">
        <v>2.0659999999999998</v>
      </c>
      <c r="F1180" s="4">
        <v>24568.281999999999</v>
      </c>
      <c r="G1180" s="4">
        <v>24570.348000000002</v>
      </c>
      <c r="H1180" s="5">
        <f>40 / 86400</f>
        <v>4.6296296296296298E-4</v>
      </c>
      <c r="I1180" t="s">
        <v>123</v>
      </c>
      <c r="J1180" t="s">
        <v>26</v>
      </c>
      <c r="K1180" s="5">
        <f>515 / 86400</f>
        <v>5.9606481481481481E-3</v>
      </c>
      <c r="L1180" s="5">
        <f>708 / 86400</f>
        <v>8.1944444444444452E-3</v>
      </c>
    </row>
    <row r="1181" spans="1:12" x14ac:dyDescent="0.25">
      <c r="A1181" s="3">
        <v>45710.290902777779</v>
      </c>
      <c r="B1181" t="s">
        <v>128</v>
      </c>
      <c r="C1181" s="3">
        <v>45710.294293981482</v>
      </c>
      <c r="D1181" t="s">
        <v>146</v>
      </c>
      <c r="E1181" s="4">
        <v>1.2330000000000001</v>
      </c>
      <c r="F1181" s="4">
        <v>24570.348000000002</v>
      </c>
      <c r="G1181" s="4">
        <v>24571.580999999998</v>
      </c>
      <c r="H1181" s="5">
        <f>0 / 86400</f>
        <v>0</v>
      </c>
      <c r="I1181" t="s">
        <v>56</v>
      </c>
      <c r="J1181" t="s">
        <v>42</v>
      </c>
      <c r="K1181" s="5">
        <f>292 / 86400</f>
        <v>3.3796296296296296E-3</v>
      </c>
      <c r="L1181" s="5">
        <f>766 / 86400</f>
        <v>8.86574074074074E-3</v>
      </c>
    </row>
    <row r="1182" spans="1:12" x14ac:dyDescent="0.25">
      <c r="A1182" s="3">
        <v>45710.303159722222</v>
      </c>
      <c r="B1182" t="s">
        <v>146</v>
      </c>
      <c r="C1182" s="3">
        <v>45710.568749999999</v>
      </c>
      <c r="D1182" t="s">
        <v>122</v>
      </c>
      <c r="E1182" s="4">
        <v>100.21</v>
      </c>
      <c r="F1182" s="4">
        <v>24571.580999999998</v>
      </c>
      <c r="G1182" s="4">
        <v>24671.791000000001</v>
      </c>
      <c r="H1182" s="5">
        <f>7319 / 86400</f>
        <v>8.4710648148148146E-2</v>
      </c>
      <c r="I1182" t="s">
        <v>110</v>
      </c>
      <c r="J1182" t="s">
        <v>33</v>
      </c>
      <c r="K1182" s="5">
        <f>22947 / 86400</f>
        <v>0.26559027777777777</v>
      </c>
      <c r="L1182" s="5">
        <f>1410 / 86400</f>
        <v>1.6319444444444445E-2</v>
      </c>
    </row>
    <row r="1183" spans="1:12" x14ac:dyDescent="0.25">
      <c r="A1183" s="3">
        <v>45710.585069444445</v>
      </c>
      <c r="B1183" t="s">
        <v>122</v>
      </c>
      <c r="C1183" s="3">
        <v>45710.869606481487</v>
      </c>
      <c r="D1183" t="s">
        <v>165</v>
      </c>
      <c r="E1183" s="4">
        <v>95.322000000000003</v>
      </c>
      <c r="F1183" s="4">
        <v>24671.791000000001</v>
      </c>
      <c r="G1183" s="4">
        <v>24767.113000000001</v>
      </c>
      <c r="H1183" s="5">
        <f>8960 / 86400</f>
        <v>0.1037037037037037</v>
      </c>
      <c r="I1183" t="s">
        <v>221</v>
      </c>
      <c r="J1183" t="s">
        <v>26</v>
      </c>
      <c r="K1183" s="5">
        <f>24583 / 86400</f>
        <v>0.28452546296296294</v>
      </c>
      <c r="L1183" s="5">
        <f>466 / 86400</f>
        <v>5.3935185185185188E-3</v>
      </c>
    </row>
    <row r="1184" spans="1:12" x14ac:dyDescent="0.25">
      <c r="A1184" s="3">
        <v>45710.875</v>
      </c>
      <c r="B1184" t="s">
        <v>165</v>
      </c>
      <c r="C1184" s="3">
        <v>45710.876782407402</v>
      </c>
      <c r="D1184" t="s">
        <v>81</v>
      </c>
      <c r="E1184" s="4">
        <v>0.51800000000000002</v>
      </c>
      <c r="F1184" s="4">
        <v>24767.113000000001</v>
      </c>
      <c r="G1184" s="4">
        <v>24767.631000000001</v>
      </c>
      <c r="H1184" s="5">
        <f>59 / 86400</f>
        <v>6.8287037037037036E-4</v>
      </c>
      <c r="I1184" t="s">
        <v>192</v>
      </c>
      <c r="J1184" t="s">
        <v>139</v>
      </c>
      <c r="K1184" s="5">
        <f>153 / 86400</f>
        <v>1.7708333333333332E-3</v>
      </c>
      <c r="L1184" s="5">
        <f>227 / 86400</f>
        <v>2.627314814814815E-3</v>
      </c>
    </row>
    <row r="1185" spans="1:12" x14ac:dyDescent="0.25">
      <c r="A1185" s="3">
        <v>45710.879409722227</v>
      </c>
      <c r="B1185" t="s">
        <v>72</v>
      </c>
      <c r="C1185" s="3">
        <v>45710.880833333329</v>
      </c>
      <c r="D1185" t="s">
        <v>81</v>
      </c>
      <c r="E1185" s="4">
        <v>0.189</v>
      </c>
      <c r="F1185" s="4">
        <v>24767.631000000001</v>
      </c>
      <c r="G1185" s="4">
        <v>24767.82</v>
      </c>
      <c r="H1185" s="5">
        <f>40 / 86400</f>
        <v>4.6296296296296298E-4</v>
      </c>
      <c r="I1185" t="s">
        <v>45</v>
      </c>
      <c r="J1185" t="s">
        <v>31</v>
      </c>
      <c r="K1185" s="5">
        <f>122 / 86400</f>
        <v>1.4120370370370369E-3</v>
      </c>
      <c r="L1185" s="5">
        <f>183 / 86400</f>
        <v>2.1180555555555558E-3</v>
      </c>
    </row>
    <row r="1186" spans="1:12" x14ac:dyDescent="0.25">
      <c r="A1186" s="3">
        <v>45710.882951388892</v>
      </c>
      <c r="B1186" t="s">
        <v>81</v>
      </c>
      <c r="C1186" s="3">
        <v>45710.885740740741</v>
      </c>
      <c r="D1186" t="s">
        <v>109</v>
      </c>
      <c r="E1186" s="4">
        <v>0.755</v>
      </c>
      <c r="F1186" s="4">
        <v>24767.82</v>
      </c>
      <c r="G1186" s="4">
        <v>24768.575000000001</v>
      </c>
      <c r="H1186" s="5">
        <f>40 / 86400</f>
        <v>4.6296296296296298E-4</v>
      </c>
      <c r="I1186" t="s">
        <v>192</v>
      </c>
      <c r="J1186" t="s">
        <v>61</v>
      </c>
      <c r="K1186" s="5">
        <f>241 / 86400</f>
        <v>2.7893518518518519E-3</v>
      </c>
      <c r="L1186" s="5">
        <f>9871 / 86400</f>
        <v>0.11424768518518519</v>
      </c>
    </row>
    <row r="1187" spans="1:12" x14ac:dyDescent="0.25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</row>
    <row r="1188" spans="1:12" x14ac:dyDescent="0.2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</row>
    <row r="1189" spans="1:12" s="10" customFormat="1" ht="20.100000000000001" customHeight="1" x14ac:dyDescent="0.35">
      <c r="A1189" s="15" t="s">
        <v>473</v>
      </c>
      <c r="B1189" s="15"/>
      <c r="C1189" s="15"/>
      <c r="D1189" s="15"/>
      <c r="E1189" s="15"/>
      <c r="F1189" s="15"/>
      <c r="G1189" s="15"/>
      <c r="H1189" s="15"/>
      <c r="I1189" s="15"/>
      <c r="J1189" s="15"/>
    </row>
    <row r="1190" spans="1:12" x14ac:dyDescent="0.25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</row>
    <row r="1191" spans="1:12" ht="30" x14ac:dyDescent="0.25">
      <c r="A1191" s="2" t="s">
        <v>6</v>
      </c>
      <c r="B1191" s="2" t="s">
        <v>7</v>
      </c>
      <c r="C1191" s="2" t="s">
        <v>8</v>
      </c>
      <c r="D1191" s="2" t="s">
        <v>9</v>
      </c>
      <c r="E1191" s="2" t="s">
        <v>10</v>
      </c>
      <c r="F1191" s="2" t="s">
        <v>11</v>
      </c>
      <c r="G1191" s="2" t="s">
        <v>12</v>
      </c>
      <c r="H1191" s="2" t="s">
        <v>13</v>
      </c>
      <c r="I1191" s="2" t="s">
        <v>14</v>
      </c>
      <c r="J1191" s="2" t="s">
        <v>15</v>
      </c>
      <c r="K1191" s="2" t="s">
        <v>16</v>
      </c>
      <c r="L1191" s="2" t="s">
        <v>17</v>
      </c>
    </row>
    <row r="1192" spans="1:12" x14ac:dyDescent="0.25">
      <c r="A1192" s="3">
        <v>45710.217824074076</v>
      </c>
      <c r="B1192" t="s">
        <v>38</v>
      </c>
      <c r="C1192" s="3">
        <v>45710.447245370371</v>
      </c>
      <c r="D1192" t="s">
        <v>81</v>
      </c>
      <c r="E1192" s="4">
        <v>81.658999999992545</v>
      </c>
      <c r="F1192" s="4">
        <v>65549.323000000004</v>
      </c>
      <c r="G1192" s="4">
        <v>65630.982000000004</v>
      </c>
      <c r="H1192" s="5">
        <f>8360 / 86400</f>
        <v>9.6759259259259253E-2</v>
      </c>
      <c r="I1192" t="s">
        <v>47</v>
      </c>
      <c r="J1192" t="s">
        <v>42</v>
      </c>
      <c r="K1192" s="5">
        <f>19822 / 86400</f>
        <v>0.22942129629629629</v>
      </c>
      <c r="L1192" s="5">
        <f>19042 / 86400</f>
        <v>0.22039351851851852</v>
      </c>
    </row>
    <row r="1193" spans="1:12" x14ac:dyDescent="0.25">
      <c r="A1193" s="3">
        <v>45710.449814814812</v>
      </c>
      <c r="B1193" t="s">
        <v>81</v>
      </c>
      <c r="C1193" s="3">
        <v>45710.450509259259</v>
      </c>
      <c r="D1193" t="s">
        <v>81</v>
      </c>
      <c r="E1193" s="4">
        <v>1.200000000745058E-2</v>
      </c>
      <c r="F1193" s="4">
        <v>65630.982000000004</v>
      </c>
      <c r="G1193" s="4">
        <v>65630.994000000006</v>
      </c>
      <c r="H1193" s="5">
        <f>39 / 86400</f>
        <v>4.5138888888888887E-4</v>
      </c>
      <c r="I1193" t="s">
        <v>77</v>
      </c>
      <c r="J1193" t="s">
        <v>124</v>
      </c>
      <c r="K1193" s="5">
        <f>59 / 86400</f>
        <v>6.8287037037037036E-4</v>
      </c>
      <c r="L1193" s="5">
        <f>1716 / 86400</f>
        <v>1.9861111111111111E-2</v>
      </c>
    </row>
    <row r="1194" spans="1:12" x14ac:dyDescent="0.25">
      <c r="A1194" s="3">
        <v>45710.470370370371</v>
      </c>
      <c r="B1194" t="s">
        <v>81</v>
      </c>
      <c r="C1194" s="3">
        <v>45710.472627314812</v>
      </c>
      <c r="D1194" t="s">
        <v>409</v>
      </c>
      <c r="E1194" s="4">
        <v>0.46200000000000002</v>
      </c>
      <c r="F1194" s="4">
        <v>65630.994000000006</v>
      </c>
      <c r="G1194" s="4">
        <v>65631.456000000006</v>
      </c>
      <c r="H1194" s="5">
        <f>59 / 86400</f>
        <v>6.8287037037037036E-4</v>
      </c>
      <c r="I1194" t="s">
        <v>158</v>
      </c>
      <c r="J1194" t="s">
        <v>132</v>
      </c>
      <c r="K1194" s="5">
        <f>194 / 86400</f>
        <v>2.2453703703703702E-3</v>
      </c>
      <c r="L1194" s="5">
        <f>284 / 86400</f>
        <v>3.2870370370370371E-3</v>
      </c>
    </row>
    <row r="1195" spans="1:12" x14ac:dyDescent="0.25">
      <c r="A1195" s="3">
        <v>45710.475914351853</v>
      </c>
      <c r="B1195" t="s">
        <v>409</v>
      </c>
      <c r="C1195" s="3">
        <v>45710.751608796301</v>
      </c>
      <c r="D1195" t="s">
        <v>38</v>
      </c>
      <c r="E1195" s="4">
        <v>105.87699999999255</v>
      </c>
      <c r="F1195" s="4">
        <v>65631.456000000006</v>
      </c>
      <c r="G1195" s="4">
        <v>65737.332999999999</v>
      </c>
      <c r="H1195" s="5">
        <f>8281 / 86400</f>
        <v>9.5844907407407406E-2</v>
      </c>
      <c r="I1195" t="s">
        <v>97</v>
      </c>
      <c r="J1195" t="s">
        <v>33</v>
      </c>
      <c r="K1195" s="5">
        <f>23819 / 86400</f>
        <v>0.27568287037037037</v>
      </c>
      <c r="L1195" s="5">
        <f>279 / 86400</f>
        <v>3.2291666666666666E-3</v>
      </c>
    </row>
    <row r="1196" spans="1:12" x14ac:dyDescent="0.25">
      <c r="A1196" s="3">
        <v>45710.754837962959</v>
      </c>
      <c r="B1196" t="s">
        <v>38</v>
      </c>
      <c r="C1196" s="3">
        <v>45710.755162037036</v>
      </c>
      <c r="D1196" t="s">
        <v>410</v>
      </c>
      <c r="E1196" s="4">
        <v>3.1E-2</v>
      </c>
      <c r="F1196" s="4">
        <v>65737.332999999999</v>
      </c>
      <c r="G1196" s="4">
        <v>65737.364000000001</v>
      </c>
      <c r="H1196" s="5">
        <f>0 / 86400</f>
        <v>0</v>
      </c>
      <c r="I1196" t="s">
        <v>31</v>
      </c>
      <c r="J1196" t="s">
        <v>75</v>
      </c>
      <c r="K1196" s="5">
        <f>27 / 86400</f>
        <v>3.1250000000000001E-4</v>
      </c>
      <c r="L1196" s="5">
        <f>1066 / 86400</f>
        <v>1.2337962962962964E-2</v>
      </c>
    </row>
    <row r="1197" spans="1:12" x14ac:dyDescent="0.25">
      <c r="A1197" s="3">
        <v>45710.767500000002</v>
      </c>
      <c r="B1197" t="s">
        <v>410</v>
      </c>
      <c r="C1197" s="3">
        <v>45710.771539351852</v>
      </c>
      <c r="D1197" t="s">
        <v>38</v>
      </c>
      <c r="E1197" s="4">
        <v>1.363</v>
      </c>
      <c r="F1197" s="4">
        <v>65737.364000000001</v>
      </c>
      <c r="G1197" s="4">
        <v>65738.726999999999</v>
      </c>
      <c r="H1197" s="5">
        <f>159 / 86400</f>
        <v>1.8402777777777777E-3</v>
      </c>
      <c r="I1197" t="s">
        <v>153</v>
      </c>
      <c r="J1197" t="s">
        <v>26</v>
      </c>
      <c r="K1197" s="5">
        <f>349 / 86400</f>
        <v>4.0393518518518521E-3</v>
      </c>
      <c r="L1197" s="5">
        <f>19738 / 86400</f>
        <v>0.22844907407407408</v>
      </c>
    </row>
    <row r="1198" spans="1:12" x14ac:dyDescent="0.25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</row>
    <row r="1199" spans="1:12" x14ac:dyDescent="0.25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</row>
    <row r="1200" spans="1:12" s="10" customFormat="1" ht="20.100000000000001" customHeight="1" x14ac:dyDescent="0.35">
      <c r="A1200" s="15" t="s">
        <v>474</v>
      </c>
      <c r="B1200" s="15"/>
      <c r="C1200" s="15"/>
      <c r="D1200" s="15"/>
      <c r="E1200" s="15"/>
      <c r="F1200" s="15"/>
      <c r="G1200" s="15"/>
      <c r="H1200" s="15"/>
      <c r="I1200" s="15"/>
      <c r="J1200" s="15"/>
    </row>
    <row r="1201" spans="1:12" x14ac:dyDescent="0.25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</row>
    <row r="1202" spans="1:12" ht="30" x14ac:dyDescent="0.25">
      <c r="A1202" s="2" t="s">
        <v>6</v>
      </c>
      <c r="B1202" s="2" t="s">
        <v>7</v>
      </c>
      <c r="C1202" s="2" t="s">
        <v>8</v>
      </c>
      <c r="D1202" s="2" t="s">
        <v>9</v>
      </c>
      <c r="E1202" s="2" t="s">
        <v>10</v>
      </c>
      <c r="F1202" s="2" t="s">
        <v>11</v>
      </c>
      <c r="G1202" s="2" t="s">
        <v>12</v>
      </c>
      <c r="H1202" s="2" t="s">
        <v>13</v>
      </c>
      <c r="I1202" s="2" t="s">
        <v>14</v>
      </c>
      <c r="J1202" s="2" t="s">
        <v>15</v>
      </c>
      <c r="K1202" s="2" t="s">
        <v>16</v>
      </c>
      <c r="L1202" s="2" t="s">
        <v>17</v>
      </c>
    </row>
    <row r="1203" spans="1:12" x14ac:dyDescent="0.25">
      <c r="A1203" s="3">
        <v>45710.409895833334</v>
      </c>
      <c r="B1203" t="s">
        <v>111</v>
      </c>
      <c r="C1203" s="3">
        <v>45710.456817129627</v>
      </c>
      <c r="D1203" t="s">
        <v>111</v>
      </c>
      <c r="E1203" s="4">
        <v>0</v>
      </c>
      <c r="F1203" s="4">
        <v>11544.852000000001</v>
      </c>
      <c r="G1203" s="4">
        <v>11544.852000000001</v>
      </c>
      <c r="H1203" s="5">
        <f>4040 / 86400</f>
        <v>4.6759259259259257E-2</v>
      </c>
      <c r="I1203" t="s">
        <v>77</v>
      </c>
      <c r="J1203" t="s">
        <v>77</v>
      </c>
      <c r="K1203" s="5">
        <f>4054 / 86400</f>
        <v>4.6921296296296294E-2</v>
      </c>
      <c r="L1203" s="5">
        <f>35417 / 86400</f>
        <v>0.40991898148148148</v>
      </c>
    </row>
    <row r="1204" spans="1:12" x14ac:dyDescent="0.25">
      <c r="A1204" s="3">
        <v>45710.45684027778</v>
      </c>
      <c r="B1204" t="s">
        <v>111</v>
      </c>
      <c r="C1204" s="3">
        <v>45710.45689814815</v>
      </c>
      <c r="D1204" t="s">
        <v>111</v>
      </c>
      <c r="E1204" s="4">
        <v>0</v>
      </c>
      <c r="F1204" s="4">
        <v>11544.852000000001</v>
      </c>
      <c r="G1204" s="4">
        <v>11544.852000000001</v>
      </c>
      <c r="H1204" s="5">
        <f>4 / 86400</f>
        <v>4.6296296296296294E-5</v>
      </c>
      <c r="I1204" t="s">
        <v>77</v>
      </c>
      <c r="J1204" t="s">
        <v>77</v>
      </c>
      <c r="K1204" s="5">
        <f>5 / 86400</f>
        <v>5.7870370370370373E-5</v>
      </c>
      <c r="L1204" s="5">
        <f>71 / 86400</f>
        <v>8.2175925925925927E-4</v>
      </c>
    </row>
    <row r="1205" spans="1:12" x14ac:dyDescent="0.25">
      <c r="A1205" s="3">
        <v>45710.457719907412</v>
      </c>
      <c r="B1205" t="s">
        <v>111</v>
      </c>
      <c r="C1205" s="3">
        <v>45710.459085648152</v>
      </c>
      <c r="D1205" t="s">
        <v>111</v>
      </c>
      <c r="E1205" s="4">
        <v>0</v>
      </c>
      <c r="F1205" s="4">
        <v>11544.852000000001</v>
      </c>
      <c r="G1205" s="4">
        <v>11544.852000000001</v>
      </c>
      <c r="H1205" s="5">
        <f>99 / 86400</f>
        <v>1.1458333333333333E-3</v>
      </c>
      <c r="I1205" t="s">
        <v>77</v>
      </c>
      <c r="J1205" t="s">
        <v>77</v>
      </c>
      <c r="K1205" s="5">
        <f>117 / 86400</f>
        <v>1.3541666666666667E-3</v>
      </c>
      <c r="L1205" s="5">
        <f>74 / 86400</f>
        <v>8.564814814814815E-4</v>
      </c>
    </row>
    <row r="1206" spans="1:12" x14ac:dyDescent="0.25">
      <c r="A1206" s="3">
        <v>45710.45994212963</v>
      </c>
      <c r="B1206" t="s">
        <v>111</v>
      </c>
      <c r="C1206" s="3">
        <v>45710.473611111112</v>
      </c>
      <c r="D1206" t="s">
        <v>111</v>
      </c>
      <c r="E1206" s="4">
        <v>0</v>
      </c>
      <c r="F1206" s="4">
        <v>11544.852000000001</v>
      </c>
      <c r="G1206" s="4">
        <v>11544.852000000001</v>
      </c>
      <c r="H1206" s="5">
        <f>1179 / 86400</f>
        <v>1.3645833333333333E-2</v>
      </c>
      <c r="I1206" t="s">
        <v>77</v>
      </c>
      <c r="J1206" t="s">
        <v>77</v>
      </c>
      <c r="K1206" s="5">
        <f>1181 / 86400</f>
        <v>1.3668981481481482E-2</v>
      </c>
      <c r="L1206" s="5">
        <f>724 / 86400</f>
        <v>8.3796296296296292E-3</v>
      </c>
    </row>
    <row r="1207" spans="1:12" x14ac:dyDescent="0.25">
      <c r="A1207" s="3">
        <v>45710.481990740736</v>
      </c>
      <c r="B1207" t="s">
        <v>111</v>
      </c>
      <c r="C1207" s="3">
        <v>45710.484328703707</v>
      </c>
      <c r="D1207" t="s">
        <v>111</v>
      </c>
      <c r="E1207" s="4">
        <v>0</v>
      </c>
      <c r="F1207" s="4">
        <v>11544.852000000001</v>
      </c>
      <c r="G1207" s="4">
        <v>11544.852000000001</v>
      </c>
      <c r="H1207" s="5">
        <f>199 / 86400</f>
        <v>2.3032407407407407E-3</v>
      </c>
      <c r="I1207" t="s">
        <v>77</v>
      </c>
      <c r="J1207" t="s">
        <v>77</v>
      </c>
      <c r="K1207" s="5">
        <f>202 / 86400</f>
        <v>2.3379629629629631E-3</v>
      </c>
      <c r="L1207" s="5">
        <f>1078 / 86400</f>
        <v>1.2476851851851852E-2</v>
      </c>
    </row>
    <row r="1208" spans="1:12" x14ac:dyDescent="0.25">
      <c r="A1208" s="3">
        <v>45710.496805555551</v>
      </c>
      <c r="B1208" t="s">
        <v>411</v>
      </c>
      <c r="C1208" s="3">
        <v>45710.496990740736</v>
      </c>
      <c r="D1208" t="s">
        <v>111</v>
      </c>
      <c r="E1208" s="4">
        <v>0</v>
      </c>
      <c r="F1208" s="4">
        <v>11544.852000000001</v>
      </c>
      <c r="G1208" s="4">
        <v>11544.852000000001</v>
      </c>
      <c r="H1208" s="5">
        <f>0 / 86400</f>
        <v>0</v>
      </c>
      <c r="I1208" t="s">
        <v>77</v>
      </c>
      <c r="J1208" t="s">
        <v>77</v>
      </c>
      <c r="K1208" s="5">
        <f>15 / 86400</f>
        <v>1.7361111111111112E-4</v>
      </c>
      <c r="L1208" s="5">
        <f>4708 / 86400</f>
        <v>5.4490740740740742E-2</v>
      </c>
    </row>
    <row r="1209" spans="1:12" x14ac:dyDescent="0.25">
      <c r="A1209" s="3">
        <v>45710.551481481481</v>
      </c>
      <c r="B1209" t="s">
        <v>111</v>
      </c>
      <c r="C1209" s="3">
        <v>45710.55369212963</v>
      </c>
      <c r="D1209" t="s">
        <v>111</v>
      </c>
      <c r="E1209" s="4">
        <v>1.4E-2</v>
      </c>
      <c r="F1209" s="4">
        <v>11544.852000000001</v>
      </c>
      <c r="G1209" s="4">
        <v>11544.866</v>
      </c>
      <c r="H1209" s="5">
        <f>159 / 86400</f>
        <v>1.8402777777777777E-3</v>
      </c>
      <c r="I1209" t="s">
        <v>113</v>
      </c>
      <c r="J1209" t="s">
        <v>77</v>
      </c>
      <c r="K1209" s="5">
        <f>191 / 86400</f>
        <v>2.2106481481481482E-3</v>
      </c>
      <c r="L1209" s="5">
        <f>35880 / 86400</f>
        <v>0.4152777777777778</v>
      </c>
    </row>
    <row r="1210" spans="1:12" x14ac:dyDescent="0.25">
      <c r="A1210" s="3">
        <v>45710.968969907408</v>
      </c>
      <c r="B1210" t="s">
        <v>111</v>
      </c>
      <c r="C1210" s="3">
        <v>45710.9690625</v>
      </c>
      <c r="D1210" t="s">
        <v>111</v>
      </c>
      <c r="E1210" s="4">
        <v>0</v>
      </c>
      <c r="F1210" s="4">
        <v>11544.866</v>
      </c>
      <c r="G1210" s="4">
        <v>11544.866</v>
      </c>
      <c r="H1210" s="5">
        <f>0 / 86400</f>
        <v>0</v>
      </c>
      <c r="I1210" t="s">
        <v>77</v>
      </c>
      <c r="J1210" t="s">
        <v>77</v>
      </c>
      <c r="K1210" s="5">
        <f>8 / 86400</f>
        <v>9.2592592592592588E-5</v>
      </c>
      <c r="L1210" s="5">
        <f>378 / 86400</f>
        <v>4.3750000000000004E-3</v>
      </c>
    </row>
    <row r="1211" spans="1:12" x14ac:dyDescent="0.25">
      <c r="A1211" s="3">
        <v>45710.973437499997</v>
      </c>
      <c r="B1211" t="s">
        <v>111</v>
      </c>
      <c r="C1211" s="3">
        <v>45710.991377314815</v>
      </c>
      <c r="D1211" t="s">
        <v>85</v>
      </c>
      <c r="E1211" s="4">
        <v>3.7639999999999998</v>
      </c>
      <c r="F1211" s="4">
        <v>11544.866</v>
      </c>
      <c r="G1211" s="4">
        <v>11548.63</v>
      </c>
      <c r="H1211" s="5">
        <f>679 / 86400</f>
        <v>7.858796296296296E-3</v>
      </c>
      <c r="I1211" t="s">
        <v>112</v>
      </c>
      <c r="J1211" t="s">
        <v>132</v>
      </c>
      <c r="K1211" s="5">
        <f>1550 / 86400</f>
        <v>1.7939814814814815E-2</v>
      </c>
      <c r="L1211" s="5">
        <f>744 / 86400</f>
        <v>8.611111111111111E-3</v>
      </c>
    </row>
    <row r="1212" spans="1:12" x14ac:dyDescent="0.25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</row>
    <row r="1213" spans="1:12" x14ac:dyDescent="0.25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</row>
    <row r="1214" spans="1:12" s="10" customFormat="1" ht="20.100000000000001" customHeight="1" x14ac:dyDescent="0.35">
      <c r="A1214" s="15" t="s">
        <v>475</v>
      </c>
      <c r="B1214" s="15"/>
      <c r="C1214" s="15"/>
      <c r="D1214" s="15"/>
      <c r="E1214" s="15"/>
      <c r="F1214" s="15"/>
      <c r="G1214" s="15"/>
      <c r="H1214" s="15"/>
      <c r="I1214" s="15"/>
      <c r="J1214" s="15"/>
    </row>
    <row r="1215" spans="1:12" x14ac:dyDescent="0.2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</row>
    <row r="1216" spans="1:12" ht="30" x14ac:dyDescent="0.25">
      <c r="A1216" s="2" t="s">
        <v>6</v>
      </c>
      <c r="B1216" s="2" t="s">
        <v>7</v>
      </c>
      <c r="C1216" s="2" t="s">
        <v>8</v>
      </c>
      <c r="D1216" s="2" t="s">
        <v>9</v>
      </c>
      <c r="E1216" s="2" t="s">
        <v>10</v>
      </c>
      <c r="F1216" s="2" t="s">
        <v>11</v>
      </c>
      <c r="G1216" s="2" t="s">
        <v>12</v>
      </c>
      <c r="H1216" s="2" t="s">
        <v>13</v>
      </c>
      <c r="I1216" s="2" t="s">
        <v>14</v>
      </c>
      <c r="J1216" s="2" t="s">
        <v>15</v>
      </c>
      <c r="K1216" s="2" t="s">
        <v>16</v>
      </c>
      <c r="L1216" s="2" t="s">
        <v>17</v>
      </c>
    </row>
    <row r="1217" spans="1:12" x14ac:dyDescent="0.25">
      <c r="A1217" s="3">
        <v>45710.261666666665</v>
      </c>
      <c r="B1217" t="s">
        <v>114</v>
      </c>
      <c r="C1217" s="3">
        <v>45710.337337962963</v>
      </c>
      <c r="D1217" t="s">
        <v>412</v>
      </c>
      <c r="E1217" s="4">
        <v>41.070999999999998</v>
      </c>
      <c r="F1217" s="4">
        <v>5986.44</v>
      </c>
      <c r="G1217" s="4">
        <v>6027.5110000000004</v>
      </c>
      <c r="H1217" s="5">
        <f>2098 / 86400</f>
        <v>2.4282407407407409E-2</v>
      </c>
      <c r="I1217" t="s">
        <v>110</v>
      </c>
      <c r="J1217" t="s">
        <v>129</v>
      </c>
      <c r="K1217" s="5">
        <f>6537 / 86400</f>
        <v>7.5659722222222225E-2</v>
      </c>
      <c r="L1217" s="5">
        <f>23966 / 86400</f>
        <v>0.27738425925925925</v>
      </c>
    </row>
    <row r="1218" spans="1:12" x14ac:dyDescent="0.25">
      <c r="A1218" s="3">
        <v>45710.353055555555</v>
      </c>
      <c r="B1218" t="s">
        <v>412</v>
      </c>
      <c r="C1218" s="3">
        <v>45710.355150462958</v>
      </c>
      <c r="D1218" t="s">
        <v>412</v>
      </c>
      <c r="E1218" s="4">
        <v>0.01</v>
      </c>
      <c r="F1218" s="4">
        <v>6027.5110000000004</v>
      </c>
      <c r="G1218" s="4">
        <v>6027.5209999999997</v>
      </c>
      <c r="H1218" s="5">
        <f>160 / 86400</f>
        <v>1.8518518518518519E-3</v>
      </c>
      <c r="I1218" t="s">
        <v>150</v>
      </c>
      <c r="J1218" t="s">
        <v>77</v>
      </c>
      <c r="K1218" s="5">
        <f>180 / 86400</f>
        <v>2.0833333333333333E-3</v>
      </c>
      <c r="L1218" s="5">
        <f>74 / 86400</f>
        <v>8.564814814814815E-4</v>
      </c>
    </row>
    <row r="1219" spans="1:12" x14ac:dyDescent="0.25">
      <c r="A1219" s="3">
        <v>45710.356006944443</v>
      </c>
      <c r="B1219" t="s">
        <v>412</v>
      </c>
      <c r="C1219" s="3">
        <v>45710.408865740741</v>
      </c>
      <c r="D1219" t="s">
        <v>413</v>
      </c>
      <c r="E1219" s="4">
        <v>32.07</v>
      </c>
      <c r="F1219" s="4">
        <v>6027.5209999999997</v>
      </c>
      <c r="G1219" s="4">
        <v>6059.5910000000003</v>
      </c>
      <c r="H1219" s="5">
        <f>1260 / 86400</f>
        <v>1.4583333333333334E-2</v>
      </c>
      <c r="I1219" t="s">
        <v>36</v>
      </c>
      <c r="J1219" t="s">
        <v>131</v>
      </c>
      <c r="K1219" s="5">
        <f>4567 / 86400</f>
        <v>5.28587962962963E-2</v>
      </c>
      <c r="L1219" s="5">
        <f>947 / 86400</f>
        <v>1.0960648148148148E-2</v>
      </c>
    </row>
    <row r="1220" spans="1:12" x14ac:dyDescent="0.25">
      <c r="A1220" s="3">
        <v>45710.41982638889</v>
      </c>
      <c r="B1220" t="s">
        <v>413</v>
      </c>
      <c r="C1220" s="3">
        <v>45710.443831018521</v>
      </c>
      <c r="D1220" t="s">
        <v>414</v>
      </c>
      <c r="E1220" s="4">
        <v>16.556000000000001</v>
      </c>
      <c r="F1220" s="4">
        <v>6059.5910000000003</v>
      </c>
      <c r="G1220" s="4">
        <v>6076.1469999999999</v>
      </c>
      <c r="H1220" s="5">
        <f>340 / 86400</f>
        <v>3.9351851851851848E-3</v>
      </c>
      <c r="I1220" t="s">
        <v>221</v>
      </c>
      <c r="J1220" t="s">
        <v>167</v>
      </c>
      <c r="K1220" s="5">
        <f>2074 / 86400</f>
        <v>2.4004629629629629E-2</v>
      </c>
      <c r="L1220" s="5">
        <f>687 / 86400</f>
        <v>7.951388888888888E-3</v>
      </c>
    </row>
    <row r="1221" spans="1:12" x14ac:dyDescent="0.25">
      <c r="A1221" s="3">
        <v>45710.451782407406</v>
      </c>
      <c r="B1221" t="s">
        <v>414</v>
      </c>
      <c r="C1221" s="3">
        <v>45710.499398148153</v>
      </c>
      <c r="D1221" t="s">
        <v>351</v>
      </c>
      <c r="E1221" s="4">
        <v>20.460999999999999</v>
      </c>
      <c r="F1221" s="4">
        <v>6076.1469999999999</v>
      </c>
      <c r="G1221" s="4">
        <v>6096.6080000000002</v>
      </c>
      <c r="H1221" s="5">
        <f>1079 / 86400</f>
        <v>1.2488425925925925E-2</v>
      </c>
      <c r="I1221" t="s">
        <v>63</v>
      </c>
      <c r="J1221" t="s">
        <v>20</v>
      </c>
      <c r="K1221" s="5">
        <f>4114 / 86400</f>
        <v>4.7615740740740743E-2</v>
      </c>
      <c r="L1221" s="5">
        <f>2360 / 86400</f>
        <v>2.7314814814814816E-2</v>
      </c>
    </row>
    <row r="1222" spans="1:12" x14ac:dyDescent="0.25">
      <c r="A1222" s="3">
        <v>45710.526712962965</v>
      </c>
      <c r="B1222" t="s">
        <v>351</v>
      </c>
      <c r="C1222" s="3">
        <v>45710.534560185188</v>
      </c>
      <c r="D1222" t="s">
        <v>81</v>
      </c>
      <c r="E1222" s="4">
        <v>0.96</v>
      </c>
      <c r="F1222" s="4">
        <v>6096.6080000000002</v>
      </c>
      <c r="G1222" s="4">
        <v>6097.5680000000002</v>
      </c>
      <c r="H1222" s="5">
        <f>499 / 86400</f>
        <v>5.7754629629629631E-3</v>
      </c>
      <c r="I1222" t="s">
        <v>154</v>
      </c>
      <c r="J1222" t="s">
        <v>156</v>
      </c>
      <c r="K1222" s="5">
        <f>678 / 86400</f>
        <v>7.8472222222222224E-3</v>
      </c>
      <c r="L1222" s="5">
        <f>269 / 86400</f>
        <v>3.1134259259259257E-3</v>
      </c>
    </row>
    <row r="1223" spans="1:12" x14ac:dyDescent="0.25">
      <c r="A1223" s="3">
        <v>45710.537673611107</v>
      </c>
      <c r="B1223" t="s">
        <v>81</v>
      </c>
      <c r="C1223" s="3">
        <v>45710.538518518515</v>
      </c>
      <c r="D1223" t="s">
        <v>81</v>
      </c>
      <c r="E1223" s="4">
        <v>2.8000000000000001E-2</v>
      </c>
      <c r="F1223" s="4">
        <v>6097.5680000000002</v>
      </c>
      <c r="G1223" s="4">
        <v>6097.5959999999995</v>
      </c>
      <c r="H1223" s="5">
        <f>39 / 86400</f>
        <v>4.5138888888888887E-4</v>
      </c>
      <c r="I1223" t="s">
        <v>156</v>
      </c>
      <c r="J1223" t="s">
        <v>124</v>
      </c>
      <c r="K1223" s="5">
        <f>72 / 86400</f>
        <v>8.3333333333333339E-4</v>
      </c>
      <c r="L1223" s="5">
        <f>533 / 86400</f>
        <v>6.1689814814814819E-3</v>
      </c>
    </row>
    <row r="1224" spans="1:12" x14ac:dyDescent="0.25">
      <c r="A1224" s="3">
        <v>45710.544687500005</v>
      </c>
      <c r="B1224" t="s">
        <v>81</v>
      </c>
      <c r="C1224" s="3">
        <v>45710.548726851848</v>
      </c>
      <c r="D1224" t="s">
        <v>166</v>
      </c>
      <c r="E1224" s="4">
        <v>1.423</v>
      </c>
      <c r="F1224" s="4">
        <v>6097.5959999999995</v>
      </c>
      <c r="G1224" s="4">
        <v>6099.0190000000002</v>
      </c>
      <c r="H1224" s="5">
        <f>20 / 86400</f>
        <v>2.3148148148148149E-4</v>
      </c>
      <c r="I1224" t="s">
        <v>123</v>
      </c>
      <c r="J1224" t="s">
        <v>42</v>
      </c>
      <c r="K1224" s="5">
        <f>348 / 86400</f>
        <v>4.0277777777777777E-3</v>
      </c>
      <c r="L1224" s="5">
        <f>1758 / 86400</f>
        <v>2.0347222222222221E-2</v>
      </c>
    </row>
    <row r="1225" spans="1:12" x14ac:dyDescent="0.25">
      <c r="A1225" s="3">
        <v>45710.569074074076</v>
      </c>
      <c r="B1225" t="s">
        <v>166</v>
      </c>
      <c r="C1225" s="3">
        <v>45710.679456018523</v>
      </c>
      <c r="D1225" t="s">
        <v>118</v>
      </c>
      <c r="E1225" s="4">
        <v>47.95</v>
      </c>
      <c r="F1225" s="4">
        <v>6099.0190000000002</v>
      </c>
      <c r="G1225" s="4">
        <v>6146.9690000000001</v>
      </c>
      <c r="H1225" s="5">
        <f>3460 / 86400</f>
        <v>4.0046296296296295E-2</v>
      </c>
      <c r="I1225" t="s">
        <v>32</v>
      </c>
      <c r="J1225" t="s">
        <v>20</v>
      </c>
      <c r="K1225" s="5">
        <f>9536 / 86400</f>
        <v>0.11037037037037037</v>
      </c>
      <c r="L1225" s="5">
        <f>46 / 86400</f>
        <v>5.3240740740740744E-4</v>
      </c>
    </row>
    <row r="1226" spans="1:12" x14ac:dyDescent="0.25">
      <c r="A1226" s="3">
        <v>45710.679988425924</v>
      </c>
      <c r="B1226" t="s">
        <v>118</v>
      </c>
      <c r="C1226" s="3">
        <v>45710.843124999999</v>
      </c>
      <c r="D1226" t="s">
        <v>141</v>
      </c>
      <c r="E1226" s="4">
        <v>62.594000000000001</v>
      </c>
      <c r="F1226" s="4">
        <v>6146.9690000000001</v>
      </c>
      <c r="G1226" s="4">
        <v>6209.5630000000001</v>
      </c>
      <c r="H1226" s="5">
        <f>5661 / 86400</f>
        <v>6.5520833333333334E-2</v>
      </c>
      <c r="I1226" t="s">
        <v>87</v>
      </c>
      <c r="J1226" t="s">
        <v>33</v>
      </c>
      <c r="K1226" s="5">
        <f>14095 / 86400</f>
        <v>0.16313657407407409</v>
      </c>
      <c r="L1226" s="5">
        <f>469 / 86400</f>
        <v>5.4282407407407404E-3</v>
      </c>
    </row>
    <row r="1227" spans="1:12" x14ac:dyDescent="0.25">
      <c r="A1227" s="3">
        <v>45710.848553240736</v>
      </c>
      <c r="B1227" t="s">
        <v>141</v>
      </c>
      <c r="C1227" s="3">
        <v>45710.848726851851</v>
      </c>
      <c r="D1227" t="s">
        <v>142</v>
      </c>
      <c r="E1227" s="4">
        <v>0.02</v>
      </c>
      <c r="F1227" s="4">
        <v>6209.5630000000001</v>
      </c>
      <c r="G1227" s="4">
        <v>6209.5829999999996</v>
      </c>
      <c r="H1227" s="5">
        <f>0 / 86400</f>
        <v>0</v>
      </c>
      <c r="I1227" t="s">
        <v>150</v>
      </c>
      <c r="J1227" t="s">
        <v>156</v>
      </c>
      <c r="K1227" s="5">
        <f>14 / 86400</f>
        <v>1.6203703703703703E-4</v>
      </c>
      <c r="L1227" s="5">
        <f>187 / 86400</f>
        <v>2.1643518518518518E-3</v>
      </c>
    </row>
    <row r="1228" spans="1:12" x14ac:dyDescent="0.25">
      <c r="A1228" s="3">
        <v>45710.850891203707</v>
      </c>
      <c r="B1228" t="s">
        <v>142</v>
      </c>
      <c r="C1228" s="3">
        <v>45710.866539351853</v>
      </c>
      <c r="D1228" t="s">
        <v>114</v>
      </c>
      <c r="E1228" s="4">
        <v>1.44</v>
      </c>
      <c r="F1228" s="4">
        <v>6209.5829999999996</v>
      </c>
      <c r="G1228" s="4">
        <v>6211.0230000000001</v>
      </c>
      <c r="H1228" s="5">
        <f>840 / 86400</f>
        <v>9.7222222222222224E-3</v>
      </c>
      <c r="I1228" t="s">
        <v>158</v>
      </c>
      <c r="J1228" t="s">
        <v>75</v>
      </c>
      <c r="K1228" s="5">
        <f>1352 / 86400</f>
        <v>1.5648148148148147E-2</v>
      </c>
      <c r="L1228" s="5">
        <f>11530 / 86400</f>
        <v>0.13344907407407408</v>
      </c>
    </row>
    <row r="1229" spans="1:12" x14ac:dyDescent="0.25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</row>
    <row r="1230" spans="1:12" x14ac:dyDescent="0.25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</row>
    <row r="1231" spans="1:12" s="10" customFormat="1" ht="20.100000000000001" customHeight="1" x14ac:dyDescent="0.35">
      <c r="A1231" s="15" t="s">
        <v>476</v>
      </c>
      <c r="B1231" s="15"/>
      <c r="C1231" s="15"/>
      <c r="D1231" s="15"/>
      <c r="E1231" s="15"/>
      <c r="F1231" s="15"/>
      <c r="G1231" s="15"/>
      <c r="H1231" s="15"/>
      <c r="I1231" s="15"/>
      <c r="J1231" s="15"/>
    </row>
    <row r="1232" spans="1:12" x14ac:dyDescent="0.25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</row>
    <row r="1233" spans="1:12" ht="30" x14ac:dyDescent="0.25">
      <c r="A1233" s="2" t="s">
        <v>6</v>
      </c>
      <c r="B1233" s="2" t="s">
        <v>7</v>
      </c>
      <c r="C1233" s="2" t="s">
        <v>8</v>
      </c>
      <c r="D1233" s="2" t="s">
        <v>9</v>
      </c>
      <c r="E1233" s="2" t="s">
        <v>10</v>
      </c>
      <c r="F1233" s="2" t="s">
        <v>11</v>
      </c>
      <c r="G1233" s="2" t="s">
        <v>12</v>
      </c>
      <c r="H1233" s="2" t="s">
        <v>13</v>
      </c>
      <c r="I1233" s="2" t="s">
        <v>14</v>
      </c>
      <c r="J1233" s="2" t="s">
        <v>15</v>
      </c>
      <c r="K1233" s="2" t="s">
        <v>16</v>
      </c>
      <c r="L1233" s="2" t="s">
        <v>17</v>
      </c>
    </row>
    <row r="1234" spans="1:12" x14ac:dyDescent="0.25">
      <c r="A1234" s="3">
        <v>45710</v>
      </c>
      <c r="B1234" t="s">
        <v>101</v>
      </c>
      <c r="C1234" s="3">
        <v>45710.009108796294</v>
      </c>
      <c r="D1234" t="s">
        <v>225</v>
      </c>
      <c r="E1234" s="4">
        <v>2.1160000000000001</v>
      </c>
      <c r="F1234" s="4">
        <v>409753.288</v>
      </c>
      <c r="G1234" s="4">
        <v>409755.40399999998</v>
      </c>
      <c r="H1234" s="5">
        <f>560 / 86400</f>
        <v>6.4814814814814813E-3</v>
      </c>
      <c r="I1234" t="s">
        <v>181</v>
      </c>
      <c r="J1234" t="s">
        <v>168</v>
      </c>
      <c r="K1234" s="5">
        <f>787 / 86400</f>
        <v>9.1087962962962971E-3</v>
      </c>
      <c r="L1234" s="5">
        <f>95 / 86400</f>
        <v>1.0995370370370371E-3</v>
      </c>
    </row>
    <row r="1235" spans="1:12" x14ac:dyDescent="0.25">
      <c r="A1235" s="3">
        <v>45710.010208333333</v>
      </c>
      <c r="B1235" t="s">
        <v>225</v>
      </c>
      <c r="C1235" s="3">
        <v>45710.11418981482</v>
      </c>
      <c r="D1235" t="s">
        <v>415</v>
      </c>
      <c r="E1235" s="4">
        <v>54.155000000000001</v>
      </c>
      <c r="F1235" s="4">
        <v>409755.40399999998</v>
      </c>
      <c r="G1235" s="4">
        <v>409809.55900000001</v>
      </c>
      <c r="H1235" s="5">
        <f>2239 / 86400</f>
        <v>2.5914351851851852E-2</v>
      </c>
      <c r="I1235" t="s">
        <v>97</v>
      </c>
      <c r="J1235" t="s">
        <v>37</v>
      </c>
      <c r="K1235" s="5">
        <f>8983 / 86400</f>
        <v>0.10396990740740741</v>
      </c>
      <c r="L1235" s="5">
        <f>979 / 86400</f>
        <v>1.1331018518518518E-2</v>
      </c>
    </row>
    <row r="1236" spans="1:12" x14ac:dyDescent="0.25">
      <c r="A1236" s="3">
        <v>45710.125520833331</v>
      </c>
      <c r="B1236" t="s">
        <v>415</v>
      </c>
      <c r="C1236" s="3">
        <v>45710.126099537039</v>
      </c>
      <c r="D1236" t="s">
        <v>416</v>
      </c>
      <c r="E1236" s="4">
        <v>7.0000000000000007E-2</v>
      </c>
      <c r="F1236" s="4">
        <v>409809.55900000001</v>
      </c>
      <c r="G1236" s="4">
        <v>409809.62900000002</v>
      </c>
      <c r="H1236" s="5">
        <f>0 / 86400</f>
        <v>0</v>
      </c>
      <c r="I1236" t="s">
        <v>26</v>
      </c>
      <c r="J1236" t="s">
        <v>156</v>
      </c>
      <c r="K1236" s="5">
        <f>50 / 86400</f>
        <v>5.7870370370370367E-4</v>
      </c>
      <c r="L1236" s="5">
        <f>1476 / 86400</f>
        <v>1.7083333333333332E-2</v>
      </c>
    </row>
    <row r="1237" spans="1:12" x14ac:dyDescent="0.25">
      <c r="A1237" s="3">
        <v>45710.143182870372</v>
      </c>
      <c r="B1237" t="s">
        <v>416</v>
      </c>
      <c r="C1237" s="3">
        <v>45710.145555555559</v>
      </c>
      <c r="D1237" t="s">
        <v>24</v>
      </c>
      <c r="E1237" s="4">
        <v>0.874</v>
      </c>
      <c r="F1237" s="4">
        <v>409809.62900000002</v>
      </c>
      <c r="G1237" s="4">
        <v>409810.50300000003</v>
      </c>
      <c r="H1237" s="5">
        <f>0 / 86400</f>
        <v>0</v>
      </c>
      <c r="I1237" t="s">
        <v>158</v>
      </c>
      <c r="J1237" t="s">
        <v>42</v>
      </c>
      <c r="K1237" s="5">
        <f>205 / 86400</f>
        <v>2.3726851851851851E-3</v>
      </c>
      <c r="L1237" s="5">
        <f>506 / 86400</f>
        <v>5.8564814814814816E-3</v>
      </c>
    </row>
    <row r="1238" spans="1:12" x14ac:dyDescent="0.25">
      <c r="A1238" s="3">
        <v>45710.151412037041</v>
      </c>
      <c r="B1238" t="s">
        <v>24</v>
      </c>
      <c r="C1238" s="3">
        <v>45710.157268518524</v>
      </c>
      <c r="D1238" t="s">
        <v>223</v>
      </c>
      <c r="E1238" s="4">
        <v>2.6709999999999998</v>
      </c>
      <c r="F1238" s="4">
        <v>409810.50300000003</v>
      </c>
      <c r="G1238" s="4">
        <v>409813.174</v>
      </c>
      <c r="H1238" s="5">
        <f>80 / 86400</f>
        <v>9.2592592592592596E-4</v>
      </c>
      <c r="I1238" t="s">
        <v>67</v>
      </c>
      <c r="J1238" t="s">
        <v>80</v>
      </c>
      <c r="K1238" s="5">
        <f>505 / 86400</f>
        <v>5.8449074074074072E-3</v>
      </c>
      <c r="L1238" s="5">
        <f>996 / 86400</f>
        <v>1.1527777777777777E-2</v>
      </c>
    </row>
    <row r="1239" spans="1:12" x14ac:dyDescent="0.25">
      <c r="A1239" s="3">
        <v>45710.168796296297</v>
      </c>
      <c r="B1239" t="s">
        <v>223</v>
      </c>
      <c r="C1239" s="3">
        <v>45710.173263888893</v>
      </c>
      <c r="D1239" t="s">
        <v>111</v>
      </c>
      <c r="E1239" s="4">
        <v>2.5870000000000002</v>
      </c>
      <c r="F1239" s="4">
        <v>409813.174</v>
      </c>
      <c r="G1239" s="4">
        <v>409815.761</v>
      </c>
      <c r="H1239" s="5">
        <f>0 / 86400</f>
        <v>0</v>
      </c>
      <c r="I1239" t="s">
        <v>190</v>
      </c>
      <c r="J1239" t="s">
        <v>137</v>
      </c>
      <c r="K1239" s="5">
        <f>385 / 86400</f>
        <v>4.4560185185185189E-3</v>
      </c>
      <c r="L1239" s="5">
        <f>79 / 86400</f>
        <v>9.1435185185185185E-4</v>
      </c>
    </row>
    <row r="1240" spans="1:12" x14ac:dyDescent="0.25">
      <c r="A1240" s="3">
        <v>45710.174178240741</v>
      </c>
      <c r="B1240" t="s">
        <v>111</v>
      </c>
      <c r="C1240" s="3">
        <v>45710.175659722227</v>
      </c>
      <c r="D1240" t="s">
        <v>111</v>
      </c>
      <c r="E1240" s="4">
        <v>0.69499999999999995</v>
      </c>
      <c r="F1240" s="4">
        <v>409815.761</v>
      </c>
      <c r="G1240" s="4">
        <v>409816.45600000001</v>
      </c>
      <c r="H1240" s="5">
        <f>0 / 86400</f>
        <v>0</v>
      </c>
      <c r="I1240" t="s">
        <v>131</v>
      </c>
      <c r="J1240" t="s">
        <v>64</v>
      </c>
      <c r="K1240" s="5">
        <f>128 / 86400</f>
        <v>1.4814814814814814E-3</v>
      </c>
      <c r="L1240" s="5">
        <f>36 / 86400</f>
        <v>4.1666666666666669E-4</v>
      </c>
    </row>
    <row r="1241" spans="1:12" x14ac:dyDescent="0.25">
      <c r="A1241" s="3">
        <v>45710.176076388889</v>
      </c>
      <c r="B1241" t="s">
        <v>111</v>
      </c>
      <c r="C1241" s="3">
        <v>45710.180891203709</v>
      </c>
      <c r="D1241" t="s">
        <v>24</v>
      </c>
      <c r="E1241" s="4">
        <v>2.1629999999999998</v>
      </c>
      <c r="F1241" s="4">
        <v>409816.45600000001</v>
      </c>
      <c r="G1241" s="4">
        <v>409818.61900000001</v>
      </c>
      <c r="H1241" s="5">
        <f>20 / 86400</f>
        <v>2.3148148148148149E-4</v>
      </c>
      <c r="I1241" t="s">
        <v>244</v>
      </c>
      <c r="J1241" t="s">
        <v>80</v>
      </c>
      <c r="K1241" s="5">
        <f>415 / 86400</f>
        <v>4.8032407407407407E-3</v>
      </c>
      <c r="L1241" s="5">
        <f>3465 / 86400</f>
        <v>4.010416666666667E-2</v>
      </c>
    </row>
    <row r="1242" spans="1:12" x14ac:dyDescent="0.25">
      <c r="A1242" s="3">
        <v>45710.220995370371</v>
      </c>
      <c r="B1242" t="s">
        <v>24</v>
      </c>
      <c r="C1242" s="3">
        <v>45710.228182870371</v>
      </c>
      <c r="D1242" t="s">
        <v>111</v>
      </c>
      <c r="E1242" s="4">
        <v>2.06</v>
      </c>
      <c r="F1242" s="4">
        <v>409818.61900000001</v>
      </c>
      <c r="G1242" s="4">
        <v>409820.679</v>
      </c>
      <c r="H1242" s="5">
        <f>239 / 86400</f>
        <v>2.7662037037037039E-3</v>
      </c>
      <c r="I1242" t="s">
        <v>184</v>
      </c>
      <c r="J1242" t="s">
        <v>139</v>
      </c>
      <c r="K1242" s="5">
        <f>621 / 86400</f>
        <v>7.1875000000000003E-3</v>
      </c>
      <c r="L1242" s="5">
        <f>17 / 86400</f>
        <v>1.9675925925925926E-4</v>
      </c>
    </row>
    <row r="1243" spans="1:12" x14ac:dyDescent="0.25">
      <c r="A1243" s="3">
        <v>45710.228379629625</v>
      </c>
      <c r="B1243" t="s">
        <v>111</v>
      </c>
      <c r="C1243" s="3">
        <v>45710.228541666671</v>
      </c>
      <c r="D1243" t="s">
        <v>111</v>
      </c>
      <c r="E1243" s="4">
        <v>1.4E-2</v>
      </c>
      <c r="F1243" s="4">
        <v>409820.679</v>
      </c>
      <c r="G1243" s="4">
        <v>409820.69300000003</v>
      </c>
      <c r="H1243" s="5">
        <f>0 / 86400</f>
        <v>0</v>
      </c>
      <c r="I1243" t="s">
        <v>77</v>
      </c>
      <c r="J1243" t="s">
        <v>75</v>
      </c>
      <c r="K1243" s="5">
        <f>13 / 86400</f>
        <v>1.5046296296296297E-4</v>
      </c>
      <c r="L1243" s="5">
        <f>145 / 86400</f>
        <v>1.6782407407407408E-3</v>
      </c>
    </row>
    <row r="1244" spans="1:12" x14ac:dyDescent="0.25">
      <c r="A1244" s="3">
        <v>45710.230219907404</v>
      </c>
      <c r="B1244" t="s">
        <v>111</v>
      </c>
      <c r="C1244" s="3">
        <v>45710.298680555556</v>
      </c>
      <c r="D1244" t="s">
        <v>417</v>
      </c>
      <c r="E1244" s="4">
        <v>30.856999999999999</v>
      </c>
      <c r="F1244" s="4">
        <v>409820.69300000003</v>
      </c>
      <c r="G1244" s="4">
        <v>409851.55</v>
      </c>
      <c r="H1244" s="5">
        <f>1820 / 86400</f>
        <v>2.1064814814814814E-2</v>
      </c>
      <c r="I1244" t="s">
        <v>70</v>
      </c>
      <c r="J1244" t="s">
        <v>80</v>
      </c>
      <c r="K1244" s="5">
        <f>5914 / 86400</f>
        <v>6.8449074074074079E-2</v>
      </c>
      <c r="L1244" s="5">
        <f>139 / 86400</f>
        <v>1.6087962962962963E-3</v>
      </c>
    </row>
    <row r="1245" spans="1:12" x14ac:dyDescent="0.25">
      <c r="A1245" s="3">
        <v>45710.300289351857</v>
      </c>
      <c r="B1245" t="s">
        <v>417</v>
      </c>
      <c r="C1245" s="3">
        <v>45710.388425925921</v>
      </c>
      <c r="D1245" t="s">
        <v>128</v>
      </c>
      <c r="E1245" s="4">
        <v>44.335000000000001</v>
      </c>
      <c r="F1245" s="4">
        <v>409851.55</v>
      </c>
      <c r="G1245" s="4">
        <v>409895.88500000001</v>
      </c>
      <c r="H1245" s="5">
        <f>1902 / 86400</f>
        <v>2.2013888888888888E-2</v>
      </c>
      <c r="I1245" t="s">
        <v>221</v>
      </c>
      <c r="J1245" t="s">
        <v>135</v>
      </c>
      <c r="K1245" s="5">
        <f>7614 / 86400</f>
        <v>8.8124999999999995E-2</v>
      </c>
      <c r="L1245" s="5">
        <f>1815 / 86400</f>
        <v>2.1006944444444446E-2</v>
      </c>
    </row>
    <row r="1246" spans="1:12" x14ac:dyDescent="0.25">
      <c r="A1246" s="3">
        <v>45710.409432870365</v>
      </c>
      <c r="B1246" t="s">
        <v>128</v>
      </c>
      <c r="C1246" s="3">
        <v>45710.411851851852</v>
      </c>
      <c r="D1246" t="s">
        <v>50</v>
      </c>
      <c r="E1246" s="4">
        <v>0.752</v>
      </c>
      <c r="F1246" s="4">
        <v>409895.88500000001</v>
      </c>
      <c r="G1246" s="4">
        <v>409896.63699999999</v>
      </c>
      <c r="H1246" s="5">
        <f>0 / 86400</f>
        <v>0</v>
      </c>
      <c r="I1246" t="s">
        <v>80</v>
      </c>
      <c r="J1246" t="s">
        <v>45</v>
      </c>
      <c r="K1246" s="5">
        <f>208 / 86400</f>
        <v>2.4074074074074076E-3</v>
      </c>
      <c r="L1246" s="5">
        <f>965 / 86400</f>
        <v>1.1168981481481481E-2</v>
      </c>
    </row>
    <row r="1247" spans="1:12" x14ac:dyDescent="0.25">
      <c r="A1247" s="3">
        <v>45710.423020833332</v>
      </c>
      <c r="B1247" t="s">
        <v>50</v>
      </c>
      <c r="C1247" s="3">
        <v>45710.423425925925</v>
      </c>
      <c r="D1247" t="s">
        <v>50</v>
      </c>
      <c r="E1247" s="4">
        <v>5.0000000000000001E-3</v>
      </c>
      <c r="F1247" s="4">
        <v>409896.63699999999</v>
      </c>
      <c r="G1247" s="4">
        <v>409896.64199999999</v>
      </c>
      <c r="H1247" s="5">
        <f>19 / 86400</f>
        <v>2.199074074074074E-4</v>
      </c>
      <c r="I1247" t="s">
        <v>77</v>
      </c>
      <c r="J1247" t="s">
        <v>124</v>
      </c>
      <c r="K1247" s="5">
        <f>34 / 86400</f>
        <v>3.9351851851851852E-4</v>
      </c>
      <c r="L1247" s="5">
        <f>1177 / 86400</f>
        <v>1.3622685185185186E-2</v>
      </c>
    </row>
    <row r="1248" spans="1:12" x14ac:dyDescent="0.25">
      <c r="A1248" s="3">
        <v>45710.437048611115</v>
      </c>
      <c r="B1248" t="s">
        <v>50</v>
      </c>
      <c r="C1248" s="3">
        <v>45710.439583333333</v>
      </c>
      <c r="D1248" t="s">
        <v>122</v>
      </c>
      <c r="E1248" s="4">
        <v>0.47</v>
      </c>
      <c r="F1248" s="4">
        <v>409896.64199999999</v>
      </c>
      <c r="G1248" s="4">
        <v>409897.11200000002</v>
      </c>
      <c r="H1248" s="5">
        <f>66 / 86400</f>
        <v>7.6388888888888893E-4</v>
      </c>
      <c r="I1248" t="s">
        <v>37</v>
      </c>
      <c r="J1248" t="s">
        <v>150</v>
      </c>
      <c r="K1248" s="5">
        <f>218 / 86400</f>
        <v>2.5231481481481481E-3</v>
      </c>
      <c r="L1248" s="5">
        <f>15798 / 86400</f>
        <v>0.18284722222222222</v>
      </c>
    </row>
    <row r="1249" spans="1:12" x14ac:dyDescent="0.25">
      <c r="A1249" s="3">
        <v>45710.622430555552</v>
      </c>
      <c r="B1249" t="s">
        <v>122</v>
      </c>
      <c r="C1249" s="3">
        <v>45710.627835648149</v>
      </c>
      <c r="D1249" t="s">
        <v>122</v>
      </c>
      <c r="E1249" s="4">
        <v>0</v>
      </c>
      <c r="F1249" s="4">
        <v>409897.11200000002</v>
      </c>
      <c r="G1249" s="4">
        <v>409897.11200000002</v>
      </c>
      <c r="H1249" s="5">
        <f>459 / 86400</f>
        <v>5.3125000000000004E-3</v>
      </c>
      <c r="I1249" t="s">
        <v>77</v>
      </c>
      <c r="J1249" t="s">
        <v>77</v>
      </c>
      <c r="K1249" s="5">
        <f>467 / 86400</f>
        <v>5.4050925925925924E-3</v>
      </c>
      <c r="L1249" s="5">
        <f>1558 / 86400</f>
        <v>1.8032407407407407E-2</v>
      </c>
    </row>
    <row r="1250" spans="1:12" x14ac:dyDescent="0.25">
      <c r="A1250" s="3">
        <v>45710.645868055552</v>
      </c>
      <c r="B1250" t="s">
        <v>122</v>
      </c>
      <c r="C1250" s="3">
        <v>45710.646180555559</v>
      </c>
      <c r="D1250" t="s">
        <v>122</v>
      </c>
      <c r="E1250" s="4">
        <v>0</v>
      </c>
      <c r="F1250" s="4">
        <v>409897.11200000002</v>
      </c>
      <c r="G1250" s="4">
        <v>409897.11200000002</v>
      </c>
      <c r="H1250" s="5">
        <f>19 / 86400</f>
        <v>2.199074074074074E-4</v>
      </c>
      <c r="I1250" t="s">
        <v>77</v>
      </c>
      <c r="J1250" t="s">
        <v>77</v>
      </c>
      <c r="K1250" s="5">
        <f>27 / 86400</f>
        <v>3.1250000000000001E-4</v>
      </c>
      <c r="L1250" s="5">
        <f>376 / 86400</f>
        <v>4.3518518518518515E-3</v>
      </c>
    </row>
    <row r="1251" spans="1:12" x14ac:dyDescent="0.25">
      <c r="A1251" s="3">
        <v>45710.65053240741</v>
      </c>
      <c r="B1251" t="s">
        <v>122</v>
      </c>
      <c r="C1251" s="3">
        <v>45710.653298611112</v>
      </c>
      <c r="D1251" t="s">
        <v>122</v>
      </c>
      <c r="E1251" s="4">
        <v>0</v>
      </c>
      <c r="F1251" s="4">
        <v>409897.11200000002</v>
      </c>
      <c r="G1251" s="4">
        <v>409897.11200000002</v>
      </c>
      <c r="H1251" s="5">
        <f>219 / 86400</f>
        <v>2.5347222222222221E-3</v>
      </c>
      <c r="I1251" t="s">
        <v>77</v>
      </c>
      <c r="J1251" t="s">
        <v>77</v>
      </c>
      <c r="K1251" s="5">
        <f>239 / 86400</f>
        <v>2.7662037037037039E-3</v>
      </c>
      <c r="L1251" s="5">
        <f>368 / 86400</f>
        <v>4.2592592592592595E-3</v>
      </c>
    </row>
    <row r="1252" spans="1:12" x14ac:dyDescent="0.25">
      <c r="A1252" s="3">
        <v>45710.657557870371</v>
      </c>
      <c r="B1252" t="s">
        <v>122</v>
      </c>
      <c r="C1252" s="3">
        <v>45710.668136574073</v>
      </c>
      <c r="D1252" t="s">
        <v>122</v>
      </c>
      <c r="E1252" s="4">
        <v>1.621</v>
      </c>
      <c r="F1252" s="4">
        <v>409897.11200000002</v>
      </c>
      <c r="G1252" s="4">
        <v>409898.73300000001</v>
      </c>
      <c r="H1252" s="5">
        <f>499 / 86400</f>
        <v>5.7754629629629631E-3</v>
      </c>
      <c r="I1252" t="s">
        <v>112</v>
      </c>
      <c r="J1252" t="s">
        <v>31</v>
      </c>
      <c r="K1252" s="5">
        <f>914 / 86400</f>
        <v>1.0578703703703703E-2</v>
      </c>
      <c r="L1252" s="5">
        <f>690 / 86400</f>
        <v>7.9861111111111105E-3</v>
      </c>
    </row>
    <row r="1253" spans="1:12" x14ac:dyDescent="0.25">
      <c r="A1253" s="3">
        <v>45710.676122685181</v>
      </c>
      <c r="B1253" t="s">
        <v>122</v>
      </c>
      <c r="C1253" s="3">
        <v>45710.676805555559</v>
      </c>
      <c r="D1253" t="s">
        <v>122</v>
      </c>
      <c r="E1253" s="4">
        <v>6.5000000000000002E-2</v>
      </c>
      <c r="F1253" s="4">
        <v>409898.73300000001</v>
      </c>
      <c r="G1253" s="4">
        <v>409898.79800000001</v>
      </c>
      <c r="H1253" s="5">
        <f>19 / 86400</f>
        <v>2.199074074074074E-4</v>
      </c>
      <c r="I1253" t="s">
        <v>61</v>
      </c>
      <c r="J1253" t="s">
        <v>75</v>
      </c>
      <c r="K1253" s="5">
        <f>58 / 86400</f>
        <v>6.7129629629629625E-4</v>
      </c>
      <c r="L1253" s="5">
        <f>696 / 86400</f>
        <v>8.0555555555555554E-3</v>
      </c>
    </row>
    <row r="1254" spans="1:12" x14ac:dyDescent="0.25">
      <c r="A1254" s="3">
        <v>45710.684861111113</v>
      </c>
      <c r="B1254" t="s">
        <v>122</v>
      </c>
      <c r="C1254" s="3">
        <v>45710.687974537039</v>
      </c>
      <c r="D1254" t="s">
        <v>130</v>
      </c>
      <c r="E1254" s="4">
        <v>1.081</v>
      </c>
      <c r="F1254" s="4">
        <v>409898.79800000001</v>
      </c>
      <c r="G1254" s="4">
        <v>409899.87900000002</v>
      </c>
      <c r="H1254" s="5">
        <f>20 / 86400</f>
        <v>2.3148148148148149E-4</v>
      </c>
      <c r="I1254" t="s">
        <v>173</v>
      </c>
      <c r="J1254" t="s">
        <v>26</v>
      </c>
      <c r="K1254" s="5">
        <f>269 / 86400</f>
        <v>3.1134259259259257E-3</v>
      </c>
      <c r="L1254" s="5">
        <f>219 / 86400</f>
        <v>2.5347222222222221E-3</v>
      </c>
    </row>
    <row r="1255" spans="1:12" x14ac:dyDescent="0.25">
      <c r="A1255" s="3">
        <v>45710.690509259264</v>
      </c>
      <c r="B1255" t="s">
        <v>130</v>
      </c>
      <c r="C1255" s="3">
        <v>45710.690914351857</v>
      </c>
      <c r="D1255" t="s">
        <v>130</v>
      </c>
      <c r="E1255" s="4">
        <v>4.0000000000000001E-3</v>
      </c>
      <c r="F1255" s="4">
        <v>409899.87900000002</v>
      </c>
      <c r="G1255" s="4">
        <v>409899.88299999997</v>
      </c>
      <c r="H1255" s="5">
        <f>19 / 86400</f>
        <v>2.199074074074074E-4</v>
      </c>
      <c r="I1255" t="s">
        <v>77</v>
      </c>
      <c r="J1255" t="s">
        <v>77</v>
      </c>
      <c r="K1255" s="5">
        <f>34 / 86400</f>
        <v>3.9351851851851852E-4</v>
      </c>
      <c r="L1255" s="5">
        <f>275 / 86400</f>
        <v>3.1828703703703702E-3</v>
      </c>
    </row>
    <row r="1256" spans="1:12" x14ac:dyDescent="0.25">
      <c r="A1256" s="3">
        <v>45710.694097222222</v>
      </c>
      <c r="B1256" t="s">
        <v>130</v>
      </c>
      <c r="C1256" s="3">
        <v>45710.694224537037</v>
      </c>
      <c r="D1256" t="s">
        <v>130</v>
      </c>
      <c r="E1256" s="4">
        <v>8.0000000000000002E-3</v>
      </c>
      <c r="F1256" s="4">
        <v>409899.88299999997</v>
      </c>
      <c r="G1256" s="4">
        <v>409899.891</v>
      </c>
      <c r="H1256" s="5">
        <f>0 / 86400</f>
        <v>0</v>
      </c>
      <c r="I1256" t="s">
        <v>77</v>
      </c>
      <c r="J1256" t="s">
        <v>143</v>
      </c>
      <c r="K1256" s="5">
        <f>10 / 86400</f>
        <v>1.1574074074074075E-4</v>
      </c>
      <c r="L1256" s="5">
        <f>226 / 86400</f>
        <v>2.6157407407407405E-3</v>
      </c>
    </row>
    <row r="1257" spans="1:12" x14ac:dyDescent="0.25">
      <c r="A1257" s="3">
        <v>45710.696840277778</v>
      </c>
      <c r="B1257" t="s">
        <v>130</v>
      </c>
      <c r="C1257" s="3">
        <v>45710.696921296301</v>
      </c>
      <c r="D1257" t="s">
        <v>130</v>
      </c>
      <c r="E1257" s="4">
        <v>1E-3</v>
      </c>
      <c r="F1257" s="4">
        <v>409899.891</v>
      </c>
      <c r="G1257" s="4">
        <v>409899.89199999999</v>
      </c>
      <c r="H1257" s="5">
        <f>0 / 86400</f>
        <v>0</v>
      </c>
      <c r="I1257" t="s">
        <v>77</v>
      </c>
      <c r="J1257" t="s">
        <v>124</v>
      </c>
      <c r="K1257" s="5">
        <f>6 / 86400</f>
        <v>6.9444444444444444E-5</v>
      </c>
      <c r="L1257" s="5">
        <f>42 / 86400</f>
        <v>4.861111111111111E-4</v>
      </c>
    </row>
    <row r="1258" spans="1:12" x14ac:dyDescent="0.25">
      <c r="A1258" s="3">
        <v>45710.69740740741</v>
      </c>
      <c r="B1258" t="s">
        <v>130</v>
      </c>
      <c r="C1258" s="3">
        <v>45710.748055555552</v>
      </c>
      <c r="D1258" t="s">
        <v>111</v>
      </c>
      <c r="E1258" s="4">
        <v>25.847999999999999</v>
      </c>
      <c r="F1258" s="4">
        <v>409899.89199999999</v>
      </c>
      <c r="G1258" s="4">
        <v>409925.74</v>
      </c>
      <c r="H1258" s="5">
        <f>1160 / 86400</f>
        <v>1.3425925925925926E-2</v>
      </c>
      <c r="I1258" t="s">
        <v>25</v>
      </c>
      <c r="J1258" t="s">
        <v>135</v>
      </c>
      <c r="K1258" s="5">
        <f>4375 / 86400</f>
        <v>5.0636574074074077E-2</v>
      </c>
      <c r="L1258" s="5">
        <f>158 / 86400</f>
        <v>1.8287037037037037E-3</v>
      </c>
    </row>
    <row r="1259" spans="1:12" x14ac:dyDescent="0.25">
      <c r="A1259" s="3">
        <v>45710.749884259261</v>
      </c>
      <c r="B1259" t="s">
        <v>111</v>
      </c>
      <c r="C1259" s="3">
        <v>45710.750428240739</v>
      </c>
      <c r="D1259" t="s">
        <v>111</v>
      </c>
      <c r="E1259" s="4">
        <v>0.14799999999999999</v>
      </c>
      <c r="F1259" s="4">
        <v>409925.74</v>
      </c>
      <c r="G1259" s="4">
        <v>409925.88799999998</v>
      </c>
      <c r="H1259" s="5">
        <f>0 / 86400</f>
        <v>0</v>
      </c>
      <c r="I1259" t="s">
        <v>64</v>
      </c>
      <c r="J1259" t="s">
        <v>61</v>
      </c>
      <c r="K1259" s="5">
        <f>47 / 86400</f>
        <v>5.4398148148148144E-4</v>
      </c>
      <c r="L1259" s="5">
        <f>223 / 86400</f>
        <v>2.5810185185185185E-3</v>
      </c>
    </row>
    <row r="1260" spans="1:12" x14ac:dyDescent="0.25">
      <c r="A1260" s="3">
        <v>45710.753009259264</v>
      </c>
      <c r="B1260" t="s">
        <v>111</v>
      </c>
      <c r="C1260" s="3">
        <v>45710.947766203702</v>
      </c>
      <c r="D1260" t="s">
        <v>311</v>
      </c>
      <c r="E1260" s="4">
        <v>79.813000000000002</v>
      </c>
      <c r="F1260" s="4">
        <v>409925.88799999998</v>
      </c>
      <c r="G1260" s="4">
        <v>410005.701</v>
      </c>
      <c r="H1260" s="5">
        <f>5240 / 86400</f>
        <v>6.0648148148148145E-2</v>
      </c>
      <c r="I1260" t="s">
        <v>49</v>
      </c>
      <c r="J1260" t="s">
        <v>29</v>
      </c>
      <c r="K1260" s="5">
        <f>16827 / 86400</f>
        <v>0.19475694444444444</v>
      </c>
      <c r="L1260" s="5">
        <f>63 / 86400</f>
        <v>7.291666666666667E-4</v>
      </c>
    </row>
    <row r="1261" spans="1:12" x14ac:dyDescent="0.25">
      <c r="A1261" s="3">
        <v>45710.948495370365</v>
      </c>
      <c r="B1261" t="s">
        <v>311</v>
      </c>
      <c r="C1261" s="3">
        <v>45710.948622685188</v>
      </c>
      <c r="D1261" t="s">
        <v>311</v>
      </c>
      <c r="E1261" s="4">
        <v>0.01</v>
      </c>
      <c r="F1261" s="4">
        <v>410005.701</v>
      </c>
      <c r="G1261" s="4">
        <v>410005.71100000001</v>
      </c>
      <c r="H1261" s="5">
        <f>0 / 86400</f>
        <v>0</v>
      </c>
      <c r="I1261" t="s">
        <v>77</v>
      </c>
      <c r="J1261" t="s">
        <v>75</v>
      </c>
      <c r="K1261" s="5">
        <f>10 / 86400</f>
        <v>1.1574074074074075E-4</v>
      </c>
      <c r="L1261" s="5">
        <f>287 / 86400</f>
        <v>3.3217592592592591E-3</v>
      </c>
    </row>
    <row r="1262" spans="1:12" x14ac:dyDescent="0.25">
      <c r="A1262" s="3">
        <v>45710.951944444445</v>
      </c>
      <c r="B1262" t="s">
        <v>311</v>
      </c>
      <c r="C1262" s="3">
        <v>45710.952060185184</v>
      </c>
      <c r="D1262" t="s">
        <v>311</v>
      </c>
      <c r="E1262" s="4">
        <v>4.0000000000000001E-3</v>
      </c>
      <c r="F1262" s="4">
        <v>410005.71100000001</v>
      </c>
      <c r="G1262" s="4">
        <v>410005.71500000003</v>
      </c>
      <c r="H1262" s="5">
        <f>0 / 86400</f>
        <v>0</v>
      </c>
      <c r="I1262" t="s">
        <v>77</v>
      </c>
      <c r="J1262" t="s">
        <v>113</v>
      </c>
      <c r="K1262" s="5">
        <f>9 / 86400</f>
        <v>1.0416666666666667E-4</v>
      </c>
      <c r="L1262" s="5">
        <f>74 / 86400</f>
        <v>8.564814814814815E-4</v>
      </c>
    </row>
    <row r="1263" spans="1:12" x14ac:dyDescent="0.25">
      <c r="A1263" s="3">
        <v>45710.952916666662</v>
      </c>
      <c r="B1263" t="s">
        <v>311</v>
      </c>
      <c r="C1263" s="3">
        <v>45710.952986111108</v>
      </c>
      <c r="D1263" t="s">
        <v>311</v>
      </c>
      <c r="E1263" s="4">
        <v>1E-3</v>
      </c>
      <c r="F1263" s="4">
        <v>410005.71500000003</v>
      </c>
      <c r="G1263" s="4">
        <v>410005.71600000001</v>
      </c>
      <c r="H1263" s="5">
        <f>0 / 86400</f>
        <v>0</v>
      </c>
      <c r="I1263" t="s">
        <v>113</v>
      </c>
      <c r="J1263" t="s">
        <v>124</v>
      </c>
      <c r="K1263" s="5">
        <f>6 / 86400</f>
        <v>6.9444444444444444E-5</v>
      </c>
      <c r="L1263" s="5">
        <f>16 / 86400</f>
        <v>1.8518518518518518E-4</v>
      </c>
    </row>
    <row r="1264" spans="1:12" x14ac:dyDescent="0.25">
      <c r="A1264" s="3">
        <v>45710.953171296293</v>
      </c>
      <c r="B1264" t="s">
        <v>311</v>
      </c>
      <c r="C1264" s="3">
        <v>45710.953287037039</v>
      </c>
      <c r="D1264" t="s">
        <v>311</v>
      </c>
      <c r="E1264" s="4">
        <v>0</v>
      </c>
      <c r="F1264" s="4">
        <v>410005.71600000001</v>
      </c>
      <c r="G1264" s="4">
        <v>410005.71600000001</v>
      </c>
      <c r="H1264" s="5">
        <f>0 / 86400</f>
        <v>0</v>
      </c>
      <c r="I1264" t="s">
        <v>77</v>
      </c>
      <c r="J1264" t="s">
        <v>77</v>
      </c>
      <c r="K1264" s="5">
        <f>10 / 86400</f>
        <v>1.1574074074074075E-4</v>
      </c>
      <c r="L1264" s="5">
        <f>110 / 86400</f>
        <v>1.2731481481481483E-3</v>
      </c>
    </row>
    <row r="1265" spans="1:12" x14ac:dyDescent="0.25">
      <c r="A1265" s="3">
        <v>45710.954560185186</v>
      </c>
      <c r="B1265" t="s">
        <v>311</v>
      </c>
      <c r="C1265" s="3">
        <v>45710.99998842593</v>
      </c>
      <c r="D1265" t="s">
        <v>115</v>
      </c>
      <c r="E1265" s="4">
        <v>26.545999999999999</v>
      </c>
      <c r="F1265" s="4">
        <v>410005.71600000001</v>
      </c>
      <c r="G1265" s="4">
        <v>410032.26199999999</v>
      </c>
      <c r="H1265" s="5">
        <f>1318 / 86400</f>
        <v>1.525462962962963E-2</v>
      </c>
      <c r="I1265" t="s">
        <v>87</v>
      </c>
      <c r="J1265" t="s">
        <v>137</v>
      </c>
      <c r="K1265" s="5">
        <f>3925 / 86400</f>
        <v>4.5428240740740741E-2</v>
      </c>
      <c r="L1265" s="5">
        <f>0 / 86400</f>
        <v>0</v>
      </c>
    </row>
    <row r="1266" spans="1:12" x14ac:dyDescent="0.25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</row>
    <row r="1267" spans="1:12" x14ac:dyDescent="0.25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</row>
    <row r="1268" spans="1:12" s="10" customFormat="1" ht="20.100000000000001" customHeight="1" x14ac:dyDescent="0.35">
      <c r="A1268" s="15" t="s">
        <v>477</v>
      </c>
      <c r="B1268" s="15"/>
      <c r="C1268" s="15"/>
      <c r="D1268" s="15"/>
      <c r="E1268" s="15"/>
      <c r="F1268" s="15"/>
      <c r="G1268" s="15"/>
      <c r="H1268" s="15"/>
      <c r="I1268" s="15"/>
      <c r="J1268" s="15"/>
    </row>
    <row r="1269" spans="1:12" x14ac:dyDescent="0.25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</row>
    <row r="1270" spans="1:12" ht="30" x14ac:dyDescent="0.25">
      <c r="A1270" s="2" t="s">
        <v>6</v>
      </c>
      <c r="B1270" s="2" t="s">
        <v>7</v>
      </c>
      <c r="C1270" s="2" t="s">
        <v>8</v>
      </c>
      <c r="D1270" s="2" t="s">
        <v>9</v>
      </c>
      <c r="E1270" s="2" t="s">
        <v>10</v>
      </c>
      <c r="F1270" s="2" t="s">
        <v>11</v>
      </c>
      <c r="G1270" s="2" t="s">
        <v>12</v>
      </c>
      <c r="H1270" s="2" t="s">
        <v>13</v>
      </c>
      <c r="I1270" s="2" t="s">
        <v>14</v>
      </c>
      <c r="J1270" s="2" t="s">
        <v>15</v>
      </c>
      <c r="K1270" s="2" t="s">
        <v>16</v>
      </c>
      <c r="L1270" s="2" t="s">
        <v>17</v>
      </c>
    </row>
    <row r="1271" spans="1:12" x14ac:dyDescent="0.25">
      <c r="A1271" s="3">
        <v>45710</v>
      </c>
      <c r="B1271" t="s">
        <v>116</v>
      </c>
      <c r="C1271" s="3">
        <v>45710.02107638889</v>
      </c>
      <c r="D1271" t="s">
        <v>84</v>
      </c>
      <c r="E1271" s="4">
        <v>10.268000000000001</v>
      </c>
      <c r="F1271" s="4">
        <v>552312.73</v>
      </c>
      <c r="G1271" s="4">
        <v>552322.99800000002</v>
      </c>
      <c r="H1271" s="5">
        <f>460 / 86400</f>
        <v>5.324074074074074E-3</v>
      </c>
      <c r="I1271" t="s">
        <v>152</v>
      </c>
      <c r="J1271" t="s">
        <v>64</v>
      </c>
      <c r="K1271" s="5">
        <f>1821 / 86400</f>
        <v>2.1076388888888888E-2</v>
      </c>
      <c r="L1271" s="5">
        <f>603 / 86400</f>
        <v>6.9791666666666665E-3</v>
      </c>
    </row>
    <row r="1272" spans="1:12" x14ac:dyDescent="0.25">
      <c r="A1272" s="3">
        <v>45710.028055555551</v>
      </c>
      <c r="B1272" t="s">
        <v>84</v>
      </c>
      <c r="C1272" s="3">
        <v>45710.028796296298</v>
      </c>
      <c r="D1272" t="s">
        <v>84</v>
      </c>
      <c r="E1272" s="4">
        <v>5.6000000000000001E-2</v>
      </c>
      <c r="F1272" s="4">
        <v>552322.99800000002</v>
      </c>
      <c r="G1272" s="4">
        <v>552323.054</v>
      </c>
      <c r="H1272" s="5">
        <f>20 / 86400</f>
        <v>2.3148148148148149E-4</v>
      </c>
      <c r="I1272" t="s">
        <v>140</v>
      </c>
      <c r="J1272" t="s">
        <v>143</v>
      </c>
      <c r="K1272" s="5">
        <f>64 / 86400</f>
        <v>7.407407407407407E-4</v>
      </c>
      <c r="L1272" s="5">
        <f>1352 / 86400</f>
        <v>1.5648148148148147E-2</v>
      </c>
    </row>
    <row r="1273" spans="1:12" x14ac:dyDescent="0.25">
      <c r="A1273" s="3">
        <v>45710.044444444444</v>
      </c>
      <c r="B1273" t="s">
        <v>84</v>
      </c>
      <c r="C1273" s="3">
        <v>45710.048391203702</v>
      </c>
      <c r="D1273" t="s">
        <v>85</v>
      </c>
      <c r="E1273" s="4">
        <v>0.745</v>
      </c>
      <c r="F1273" s="4">
        <v>552323.054</v>
      </c>
      <c r="G1273" s="4">
        <v>552323.799</v>
      </c>
      <c r="H1273" s="5">
        <f>119 / 86400</f>
        <v>1.3773148148148147E-3</v>
      </c>
      <c r="I1273" t="s">
        <v>173</v>
      </c>
      <c r="J1273" t="s">
        <v>150</v>
      </c>
      <c r="K1273" s="5">
        <f>340 / 86400</f>
        <v>3.9351851851851848E-3</v>
      </c>
      <c r="L1273" s="5">
        <f>16557 / 86400</f>
        <v>0.19163194444444445</v>
      </c>
    </row>
    <row r="1274" spans="1:12" x14ac:dyDescent="0.25">
      <c r="A1274" s="3">
        <v>45710.240023148144</v>
      </c>
      <c r="B1274" t="s">
        <v>85</v>
      </c>
      <c r="C1274" s="3">
        <v>45710.252708333333</v>
      </c>
      <c r="D1274" t="s">
        <v>35</v>
      </c>
      <c r="E1274" s="4">
        <v>8.4260000000000002</v>
      </c>
      <c r="F1274" s="4">
        <v>552323.799</v>
      </c>
      <c r="G1274" s="4">
        <v>552332.22499999998</v>
      </c>
      <c r="H1274" s="5">
        <f>199 / 86400</f>
        <v>2.3032407407407407E-3</v>
      </c>
      <c r="I1274" t="s">
        <v>60</v>
      </c>
      <c r="J1274" t="s">
        <v>56</v>
      </c>
      <c r="K1274" s="5">
        <f>1095 / 86400</f>
        <v>1.2673611111111111E-2</v>
      </c>
      <c r="L1274" s="5">
        <f>2427 / 86400</f>
        <v>2.8090277777777777E-2</v>
      </c>
    </row>
    <row r="1275" spans="1:12" x14ac:dyDescent="0.25">
      <c r="A1275" s="3">
        <v>45710.280798611115</v>
      </c>
      <c r="B1275" t="s">
        <v>35</v>
      </c>
      <c r="C1275" s="3">
        <v>45710.424895833334</v>
      </c>
      <c r="D1275" t="s">
        <v>402</v>
      </c>
      <c r="E1275" s="4">
        <v>70.02</v>
      </c>
      <c r="F1275" s="4">
        <v>552332.22499999998</v>
      </c>
      <c r="G1275" s="4">
        <v>552402.245</v>
      </c>
      <c r="H1275" s="5">
        <f>3480 / 86400</f>
        <v>4.027777777777778E-2</v>
      </c>
      <c r="I1275" t="s">
        <v>41</v>
      </c>
      <c r="J1275" t="s">
        <v>64</v>
      </c>
      <c r="K1275" s="5">
        <f>12450 / 86400</f>
        <v>0.14409722222222221</v>
      </c>
      <c r="L1275" s="5">
        <f>18819 / 86400</f>
        <v>0.21781249999999999</v>
      </c>
    </row>
    <row r="1276" spans="1:12" x14ac:dyDescent="0.25">
      <c r="A1276" s="3">
        <v>45710.642708333333</v>
      </c>
      <c r="B1276" t="s">
        <v>402</v>
      </c>
      <c r="C1276" s="3">
        <v>45710.904224537036</v>
      </c>
      <c r="D1276" t="s">
        <v>305</v>
      </c>
      <c r="E1276" s="4">
        <v>87.394000000000005</v>
      </c>
      <c r="F1276" s="4">
        <v>552402.245</v>
      </c>
      <c r="G1276" s="4">
        <v>552489.63899999997</v>
      </c>
      <c r="H1276" s="5">
        <f>8059 / 86400</f>
        <v>9.3275462962962963E-2</v>
      </c>
      <c r="I1276" t="s">
        <v>97</v>
      </c>
      <c r="J1276" t="s">
        <v>26</v>
      </c>
      <c r="K1276" s="5">
        <f>22594 / 86400</f>
        <v>0.26150462962962961</v>
      </c>
      <c r="L1276" s="5">
        <f>222 / 86400</f>
        <v>2.5694444444444445E-3</v>
      </c>
    </row>
    <row r="1277" spans="1:12" x14ac:dyDescent="0.25">
      <c r="A1277" s="3">
        <v>45710.906793981485</v>
      </c>
      <c r="B1277" t="s">
        <v>305</v>
      </c>
      <c r="C1277" s="3">
        <v>45710.921932870369</v>
      </c>
      <c r="D1277" t="s">
        <v>223</v>
      </c>
      <c r="E1277" s="4">
        <v>8.0709999999999997</v>
      </c>
      <c r="F1277" s="4">
        <v>552489.63899999997</v>
      </c>
      <c r="G1277" s="4">
        <v>552497.71</v>
      </c>
      <c r="H1277" s="5">
        <f>340 / 86400</f>
        <v>3.9351851851851848E-3</v>
      </c>
      <c r="I1277" t="s">
        <v>286</v>
      </c>
      <c r="J1277" t="s">
        <v>37</v>
      </c>
      <c r="K1277" s="5">
        <f>1307 / 86400</f>
        <v>1.5127314814814816E-2</v>
      </c>
      <c r="L1277" s="5">
        <f>778 / 86400</f>
        <v>9.0046296296296298E-3</v>
      </c>
    </row>
    <row r="1278" spans="1:12" x14ac:dyDescent="0.25">
      <c r="A1278" s="3">
        <v>45710.930937500001</v>
      </c>
      <c r="B1278" t="s">
        <v>223</v>
      </c>
      <c r="C1278" s="3">
        <v>45710.931446759263</v>
      </c>
      <c r="D1278" t="s">
        <v>84</v>
      </c>
      <c r="E1278" s="4">
        <v>5.2999999999999999E-2</v>
      </c>
      <c r="F1278" s="4">
        <v>552497.71</v>
      </c>
      <c r="G1278" s="4">
        <v>552497.76300000004</v>
      </c>
      <c r="H1278" s="5">
        <f>0 / 86400</f>
        <v>0</v>
      </c>
      <c r="I1278" t="s">
        <v>140</v>
      </c>
      <c r="J1278" t="s">
        <v>75</v>
      </c>
      <c r="K1278" s="5">
        <f>43 / 86400</f>
        <v>4.9768518518518521E-4</v>
      </c>
      <c r="L1278" s="5">
        <f>1317 / 86400</f>
        <v>1.5243055555555555E-2</v>
      </c>
    </row>
    <row r="1279" spans="1:12" x14ac:dyDescent="0.25">
      <c r="A1279" s="3">
        <v>45710.946689814809</v>
      </c>
      <c r="B1279" t="s">
        <v>223</v>
      </c>
      <c r="C1279" s="3">
        <v>45710.959861111114</v>
      </c>
      <c r="D1279" t="s">
        <v>85</v>
      </c>
      <c r="E1279" s="4">
        <v>1.452</v>
      </c>
      <c r="F1279" s="4">
        <v>552497.76300000004</v>
      </c>
      <c r="G1279" s="4">
        <v>552499.21499999997</v>
      </c>
      <c r="H1279" s="5">
        <f>299 / 86400</f>
        <v>3.460648148148148E-3</v>
      </c>
      <c r="I1279" t="s">
        <v>168</v>
      </c>
      <c r="J1279" t="s">
        <v>156</v>
      </c>
      <c r="K1279" s="5">
        <f>1138 / 86400</f>
        <v>1.3171296296296296E-2</v>
      </c>
      <c r="L1279" s="5">
        <f>3467 / 86400</f>
        <v>4.0127314814814817E-2</v>
      </c>
    </row>
    <row r="1280" spans="1:12" x14ac:dyDescent="0.25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</row>
    <row r="1281" spans="1:12" x14ac:dyDescent="0.25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</row>
    <row r="1282" spans="1:12" s="10" customFormat="1" ht="20.100000000000001" customHeight="1" x14ac:dyDescent="0.35">
      <c r="A1282" s="15" t="s">
        <v>478</v>
      </c>
      <c r="B1282" s="15"/>
      <c r="C1282" s="15"/>
      <c r="D1282" s="15"/>
      <c r="E1282" s="15"/>
      <c r="F1282" s="15"/>
      <c r="G1282" s="15"/>
      <c r="H1282" s="15"/>
      <c r="I1282" s="15"/>
      <c r="J1282" s="15"/>
    </row>
    <row r="1283" spans="1:12" x14ac:dyDescent="0.25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</row>
    <row r="1284" spans="1:12" ht="30" x14ac:dyDescent="0.25">
      <c r="A1284" s="2" t="s">
        <v>6</v>
      </c>
      <c r="B1284" s="2" t="s">
        <v>7</v>
      </c>
      <c r="C1284" s="2" t="s">
        <v>8</v>
      </c>
      <c r="D1284" s="2" t="s">
        <v>9</v>
      </c>
      <c r="E1284" s="2" t="s">
        <v>10</v>
      </c>
      <c r="F1284" s="2" t="s">
        <v>11</v>
      </c>
      <c r="G1284" s="2" t="s">
        <v>12</v>
      </c>
      <c r="H1284" s="2" t="s">
        <v>13</v>
      </c>
      <c r="I1284" s="2" t="s">
        <v>14</v>
      </c>
      <c r="J1284" s="2" t="s">
        <v>15</v>
      </c>
      <c r="K1284" s="2" t="s">
        <v>16</v>
      </c>
      <c r="L1284" s="2" t="s">
        <v>17</v>
      </c>
    </row>
    <row r="1285" spans="1:12" x14ac:dyDescent="0.25">
      <c r="A1285" s="3">
        <v>45710.367106481484</v>
      </c>
      <c r="B1285" t="s">
        <v>24</v>
      </c>
      <c r="C1285" s="3">
        <v>45710.36791666667</v>
      </c>
      <c r="D1285" t="s">
        <v>24</v>
      </c>
      <c r="E1285" s="4">
        <v>0.59</v>
      </c>
      <c r="F1285" s="4">
        <v>858.75</v>
      </c>
      <c r="G1285" s="4">
        <v>859.34</v>
      </c>
      <c r="H1285" s="5">
        <f>20 / 86400</f>
        <v>2.3148148148148149E-4</v>
      </c>
      <c r="I1285" t="s">
        <v>140</v>
      </c>
      <c r="J1285" t="s">
        <v>192</v>
      </c>
      <c r="K1285" s="5">
        <f>69 / 86400</f>
        <v>7.9861111111111116E-4</v>
      </c>
      <c r="L1285" s="5">
        <f>37970 / 86400</f>
        <v>0.4394675925925926</v>
      </c>
    </row>
    <row r="1286" spans="1:12" x14ac:dyDescent="0.25">
      <c r="A1286" s="3">
        <v>45710.44027777778</v>
      </c>
      <c r="B1286" t="s">
        <v>418</v>
      </c>
      <c r="C1286" s="3">
        <v>45710.450115740736</v>
      </c>
      <c r="D1286" t="s">
        <v>418</v>
      </c>
      <c r="E1286" s="4">
        <v>0.1</v>
      </c>
      <c r="F1286" s="4">
        <v>859.34</v>
      </c>
      <c r="G1286" s="4">
        <v>859.44</v>
      </c>
      <c r="H1286" s="5">
        <f>799 / 86400</f>
        <v>9.2476851851851852E-3</v>
      </c>
      <c r="I1286" t="s">
        <v>143</v>
      </c>
      <c r="J1286" t="s">
        <v>77</v>
      </c>
      <c r="K1286" s="5">
        <f>850 / 86400</f>
        <v>9.8379629629629633E-3</v>
      </c>
      <c r="L1286" s="5">
        <f>1 / 86400</f>
        <v>1.1574074074074073E-5</v>
      </c>
    </row>
    <row r="1287" spans="1:12" x14ac:dyDescent="0.25">
      <c r="A1287" s="3">
        <v>45710.45012731482</v>
      </c>
      <c r="B1287" t="s">
        <v>418</v>
      </c>
      <c r="C1287" s="3">
        <v>45710.549074074079</v>
      </c>
      <c r="D1287" t="s">
        <v>171</v>
      </c>
      <c r="E1287" s="4">
        <v>246.52</v>
      </c>
      <c r="F1287" s="4">
        <v>859.44500000000005</v>
      </c>
      <c r="G1287" s="4">
        <v>1105.9649999999999</v>
      </c>
      <c r="H1287" s="5">
        <f>2120 / 86400</f>
        <v>2.4537037037037038E-2</v>
      </c>
      <c r="I1287" t="s">
        <v>63</v>
      </c>
      <c r="J1287" t="s">
        <v>419</v>
      </c>
      <c r="K1287" s="5">
        <f>8549 / 86400</f>
        <v>9.8946759259259262E-2</v>
      </c>
      <c r="L1287" s="5">
        <f>921 / 86400</f>
        <v>1.0659722222222221E-2</v>
      </c>
    </row>
    <row r="1288" spans="1:12" x14ac:dyDescent="0.25">
      <c r="A1288" s="3">
        <v>45710.559733796297</v>
      </c>
      <c r="B1288" t="s">
        <v>171</v>
      </c>
      <c r="C1288" s="3">
        <v>45710.563067129631</v>
      </c>
      <c r="D1288" t="s">
        <v>169</v>
      </c>
      <c r="E1288" s="4">
        <v>1.365</v>
      </c>
      <c r="F1288" s="4">
        <v>1105.9649999999999</v>
      </c>
      <c r="G1288" s="4">
        <v>1107.33</v>
      </c>
      <c r="H1288" s="5">
        <f>140 / 86400</f>
        <v>1.6203703703703703E-3</v>
      </c>
      <c r="I1288" t="s">
        <v>139</v>
      </c>
      <c r="J1288" t="s">
        <v>29</v>
      </c>
      <c r="K1288" s="5">
        <f>287 / 86400</f>
        <v>3.3217592592592591E-3</v>
      </c>
      <c r="L1288" s="5">
        <f>3949 / 86400</f>
        <v>4.5706018518518521E-2</v>
      </c>
    </row>
    <row r="1289" spans="1:12" x14ac:dyDescent="0.25">
      <c r="A1289" s="3">
        <v>45710.608773148153</v>
      </c>
      <c r="B1289" t="s">
        <v>34</v>
      </c>
      <c r="C1289" s="3">
        <v>45710.625428240739</v>
      </c>
      <c r="D1289" t="s">
        <v>420</v>
      </c>
      <c r="E1289" s="4">
        <v>24.254999999999999</v>
      </c>
      <c r="F1289" s="4">
        <v>1107.33</v>
      </c>
      <c r="G1289" s="4">
        <v>1131.585</v>
      </c>
      <c r="H1289" s="5">
        <f>759 / 86400</f>
        <v>8.7847222222222215E-3</v>
      </c>
      <c r="I1289" t="s">
        <v>149</v>
      </c>
      <c r="J1289" t="s">
        <v>176</v>
      </c>
      <c r="K1289" s="5">
        <f>1439 / 86400</f>
        <v>1.6655092592592593E-2</v>
      </c>
      <c r="L1289" s="5">
        <f>12572 / 86400</f>
        <v>0.14550925925925925</v>
      </c>
    </row>
    <row r="1290" spans="1:12" x14ac:dyDescent="0.25">
      <c r="A1290" s="3">
        <v>45710.770937499998</v>
      </c>
      <c r="B1290" t="s">
        <v>420</v>
      </c>
      <c r="C1290" s="3">
        <v>45710.78329861111</v>
      </c>
      <c r="D1290" t="s">
        <v>24</v>
      </c>
      <c r="E1290" s="4">
        <v>24.33</v>
      </c>
      <c r="F1290" s="4">
        <v>1131.585</v>
      </c>
      <c r="G1290" s="4">
        <v>1155.915</v>
      </c>
      <c r="H1290" s="5">
        <f>359 / 86400</f>
        <v>4.1550925925925922E-3</v>
      </c>
      <c r="I1290" t="s">
        <v>157</v>
      </c>
      <c r="J1290" t="s">
        <v>28</v>
      </c>
      <c r="K1290" s="5">
        <f>1067 / 86400</f>
        <v>1.2349537037037037E-2</v>
      </c>
      <c r="L1290" s="5">
        <f>1091 / 86400</f>
        <v>1.2627314814814815E-2</v>
      </c>
    </row>
    <row r="1291" spans="1:12" x14ac:dyDescent="0.25">
      <c r="A1291" s="3">
        <v>45710.795925925922</v>
      </c>
      <c r="B1291" t="s">
        <v>24</v>
      </c>
      <c r="C1291" s="3">
        <v>45710.797685185185</v>
      </c>
      <c r="D1291" t="s">
        <v>416</v>
      </c>
      <c r="E1291" s="4">
        <v>1.78</v>
      </c>
      <c r="F1291" s="4">
        <v>1155.915</v>
      </c>
      <c r="G1291" s="4">
        <v>1157.6949999999999</v>
      </c>
      <c r="H1291" s="5">
        <f>0 / 86400</f>
        <v>0</v>
      </c>
      <c r="I1291" t="s">
        <v>139</v>
      </c>
      <c r="J1291" t="s">
        <v>154</v>
      </c>
      <c r="K1291" s="5">
        <f>152 / 86400</f>
        <v>1.7592592592592592E-3</v>
      </c>
      <c r="L1291" s="5">
        <f>124 / 86400</f>
        <v>1.4351851851851852E-3</v>
      </c>
    </row>
    <row r="1292" spans="1:12" x14ac:dyDescent="0.25">
      <c r="A1292" s="3">
        <v>45710.799120370371</v>
      </c>
      <c r="B1292" t="s">
        <v>416</v>
      </c>
      <c r="C1292" s="3">
        <v>45710.800937499997</v>
      </c>
      <c r="D1292" t="s">
        <v>24</v>
      </c>
      <c r="E1292" s="4">
        <v>2.050000000000233</v>
      </c>
      <c r="F1292" s="4">
        <v>1157.6949999999999</v>
      </c>
      <c r="G1292" s="4">
        <v>1159.7450000000003</v>
      </c>
      <c r="H1292" s="5">
        <f>0 / 86400</f>
        <v>0</v>
      </c>
      <c r="I1292" t="s">
        <v>135</v>
      </c>
      <c r="J1292" t="s">
        <v>211</v>
      </c>
      <c r="K1292" s="5">
        <f>156 / 86400</f>
        <v>1.8055555555555555E-3</v>
      </c>
      <c r="L1292" s="5">
        <f>17198 / 86400</f>
        <v>0.19905092592592594</v>
      </c>
    </row>
    <row r="1293" spans="1:12" x14ac:dyDescent="0.25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</row>
    <row r="1294" spans="1:12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</row>
    <row r="1295" spans="1:12" s="10" customFormat="1" ht="20.100000000000001" customHeight="1" x14ac:dyDescent="0.35">
      <c r="A1295" s="15" t="s">
        <v>479</v>
      </c>
      <c r="B1295" s="15"/>
      <c r="C1295" s="15"/>
      <c r="D1295" s="15"/>
      <c r="E1295" s="15"/>
      <c r="F1295" s="15"/>
      <c r="G1295" s="15"/>
      <c r="H1295" s="15"/>
      <c r="I1295" s="15"/>
      <c r="J1295" s="15"/>
    </row>
    <row r="1296" spans="1:12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</row>
    <row r="1297" spans="1:12" ht="30" x14ac:dyDescent="0.25">
      <c r="A1297" s="2" t="s">
        <v>6</v>
      </c>
      <c r="B1297" s="2" t="s">
        <v>7</v>
      </c>
      <c r="C1297" s="2" t="s">
        <v>8</v>
      </c>
      <c r="D1297" s="2" t="s">
        <v>9</v>
      </c>
      <c r="E1297" s="2" t="s">
        <v>10</v>
      </c>
      <c r="F1297" s="2" t="s">
        <v>11</v>
      </c>
      <c r="G1297" s="2" t="s">
        <v>12</v>
      </c>
      <c r="H1297" s="2" t="s">
        <v>13</v>
      </c>
      <c r="I1297" s="2" t="s">
        <v>14</v>
      </c>
      <c r="J1297" s="2" t="s">
        <v>15</v>
      </c>
      <c r="K1297" s="2" t="s">
        <v>16</v>
      </c>
      <c r="L1297" s="2" t="s">
        <v>17</v>
      </c>
    </row>
    <row r="1298" spans="1:12" x14ac:dyDescent="0.25">
      <c r="A1298" s="3">
        <v>45710</v>
      </c>
      <c r="B1298" t="s">
        <v>117</v>
      </c>
      <c r="C1298" s="3">
        <v>45710.069224537037</v>
      </c>
      <c r="D1298" t="s">
        <v>205</v>
      </c>
      <c r="E1298" s="4">
        <v>39.895000000000003</v>
      </c>
      <c r="F1298" s="4">
        <v>61782.582999999999</v>
      </c>
      <c r="G1298" s="4">
        <v>61822.478000000003</v>
      </c>
      <c r="H1298" s="5">
        <f>1160 / 86400</f>
        <v>1.3425925925925926E-2</v>
      </c>
      <c r="I1298" t="s">
        <v>83</v>
      </c>
      <c r="J1298" t="s">
        <v>137</v>
      </c>
      <c r="K1298" s="5">
        <f>5981 / 86400</f>
        <v>6.9224537037037043E-2</v>
      </c>
      <c r="L1298" s="5">
        <f>537 / 86400</f>
        <v>6.2152777777777779E-3</v>
      </c>
    </row>
    <row r="1299" spans="1:12" x14ac:dyDescent="0.25">
      <c r="A1299" s="3">
        <v>45710.075439814813</v>
      </c>
      <c r="B1299" t="s">
        <v>205</v>
      </c>
      <c r="C1299" s="3">
        <v>45710.076562499999</v>
      </c>
      <c r="D1299" t="s">
        <v>384</v>
      </c>
      <c r="E1299" s="4">
        <v>0.27700000000000002</v>
      </c>
      <c r="F1299" s="4">
        <v>61822.478000000003</v>
      </c>
      <c r="G1299" s="4">
        <v>61822.754999999997</v>
      </c>
      <c r="H1299" s="5">
        <f>0 / 86400</f>
        <v>0</v>
      </c>
      <c r="I1299" t="s">
        <v>131</v>
      </c>
      <c r="J1299" t="s">
        <v>168</v>
      </c>
      <c r="K1299" s="5">
        <f>97 / 86400</f>
        <v>1.1226851851851851E-3</v>
      </c>
      <c r="L1299" s="5">
        <f>199 / 86400</f>
        <v>2.3032407407407407E-3</v>
      </c>
    </row>
    <row r="1300" spans="1:12" x14ac:dyDescent="0.25">
      <c r="A1300" s="3">
        <v>45710.078865740739</v>
      </c>
      <c r="B1300" t="s">
        <v>384</v>
      </c>
      <c r="C1300" s="3">
        <v>45710.079525462963</v>
      </c>
      <c r="D1300" t="s">
        <v>384</v>
      </c>
      <c r="E1300" s="4">
        <v>3.4000000000000002E-2</v>
      </c>
      <c r="F1300" s="4">
        <v>61822.754999999997</v>
      </c>
      <c r="G1300" s="4">
        <v>61822.788999999997</v>
      </c>
      <c r="H1300" s="5">
        <f>0 / 86400</f>
        <v>0</v>
      </c>
      <c r="I1300" t="s">
        <v>156</v>
      </c>
      <c r="J1300" t="s">
        <v>113</v>
      </c>
      <c r="K1300" s="5">
        <f>57 / 86400</f>
        <v>6.5972222222222224E-4</v>
      </c>
      <c r="L1300" s="5">
        <f>7766 / 86400</f>
        <v>8.9884259259259261E-2</v>
      </c>
    </row>
    <row r="1301" spans="1:12" x14ac:dyDescent="0.25">
      <c r="A1301" s="3">
        <v>45710.169409722221</v>
      </c>
      <c r="B1301" t="s">
        <v>384</v>
      </c>
      <c r="C1301" s="3">
        <v>45710.272349537037</v>
      </c>
      <c r="D1301" t="s">
        <v>362</v>
      </c>
      <c r="E1301" s="4">
        <v>52.966000000000001</v>
      </c>
      <c r="F1301" s="4">
        <v>61822.788999999997</v>
      </c>
      <c r="G1301" s="4">
        <v>61875.754999999997</v>
      </c>
      <c r="H1301" s="5">
        <f>2125 / 86400</f>
        <v>2.4594907407407409E-2</v>
      </c>
      <c r="I1301" t="s">
        <v>32</v>
      </c>
      <c r="J1301" t="s">
        <v>135</v>
      </c>
      <c r="K1301" s="5">
        <f>8894 / 86400</f>
        <v>0.10293981481481482</v>
      </c>
      <c r="L1301" s="5">
        <f>132 / 86400</f>
        <v>1.5277777777777779E-3</v>
      </c>
    </row>
    <row r="1302" spans="1:12" x14ac:dyDescent="0.25">
      <c r="A1302" s="3">
        <v>45710.273877314816</v>
      </c>
      <c r="B1302" t="s">
        <v>362</v>
      </c>
      <c r="C1302" s="3">
        <v>45710.396284722221</v>
      </c>
      <c r="D1302" t="s">
        <v>128</v>
      </c>
      <c r="E1302" s="4">
        <v>53.241999999999997</v>
      </c>
      <c r="F1302" s="4">
        <v>61875.754999999997</v>
      </c>
      <c r="G1302" s="4">
        <v>61928.997000000003</v>
      </c>
      <c r="H1302" s="5">
        <f>3178 / 86400</f>
        <v>3.6782407407407409E-2</v>
      </c>
      <c r="I1302" t="s">
        <v>89</v>
      </c>
      <c r="J1302" t="s">
        <v>20</v>
      </c>
      <c r="K1302" s="5">
        <f>10575 / 86400</f>
        <v>0.12239583333333333</v>
      </c>
      <c r="L1302" s="5">
        <f>529 / 86400</f>
        <v>6.122685185185185E-3</v>
      </c>
    </row>
    <row r="1303" spans="1:12" x14ac:dyDescent="0.25">
      <c r="A1303" s="3">
        <v>45710.402407407411</v>
      </c>
      <c r="B1303" t="s">
        <v>128</v>
      </c>
      <c r="C1303" s="3">
        <v>45710.405844907407</v>
      </c>
      <c r="D1303" t="s">
        <v>81</v>
      </c>
      <c r="E1303" s="4">
        <v>1.1599999999999999</v>
      </c>
      <c r="F1303" s="4">
        <v>61928.997000000003</v>
      </c>
      <c r="G1303" s="4">
        <v>61930.156999999999</v>
      </c>
      <c r="H1303" s="5">
        <f>0 / 86400</f>
        <v>0</v>
      </c>
      <c r="I1303" t="s">
        <v>167</v>
      </c>
      <c r="J1303" t="s">
        <v>26</v>
      </c>
      <c r="K1303" s="5">
        <f>297 / 86400</f>
        <v>3.4375E-3</v>
      </c>
      <c r="L1303" s="5">
        <f>123 / 86400</f>
        <v>1.4236111111111112E-3</v>
      </c>
    </row>
    <row r="1304" spans="1:12" x14ac:dyDescent="0.25">
      <c r="A1304" s="3">
        <v>45710.407268518524</v>
      </c>
      <c r="B1304" t="s">
        <v>81</v>
      </c>
      <c r="C1304" s="3">
        <v>45710.407395833332</v>
      </c>
      <c r="D1304" t="s">
        <v>72</v>
      </c>
      <c r="E1304" s="4">
        <v>1.2E-2</v>
      </c>
      <c r="F1304" s="4">
        <v>61930.156999999999</v>
      </c>
      <c r="G1304" s="4">
        <v>61930.169000000002</v>
      </c>
      <c r="H1304" s="5">
        <f>0 / 86400</f>
        <v>0</v>
      </c>
      <c r="I1304" t="s">
        <v>77</v>
      </c>
      <c r="J1304" t="s">
        <v>75</v>
      </c>
      <c r="K1304" s="5">
        <f>10 / 86400</f>
        <v>1.1574074074074075E-4</v>
      </c>
      <c r="L1304" s="5">
        <f>1104 / 86400</f>
        <v>1.2777777777777779E-2</v>
      </c>
    </row>
    <row r="1305" spans="1:12" x14ac:dyDescent="0.25">
      <c r="A1305" s="3">
        <v>45710.420173611114</v>
      </c>
      <c r="B1305" t="s">
        <v>72</v>
      </c>
      <c r="C1305" s="3">
        <v>45710.516921296294</v>
      </c>
      <c r="D1305" t="s">
        <v>328</v>
      </c>
      <c r="E1305" s="4">
        <v>43.707999999999998</v>
      </c>
      <c r="F1305" s="4">
        <v>61930.169000000002</v>
      </c>
      <c r="G1305" s="4">
        <v>61973.877</v>
      </c>
      <c r="H1305" s="5">
        <f>2601 / 86400</f>
        <v>3.0104166666666668E-2</v>
      </c>
      <c r="I1305" t="s">
        <v>23</v>
      </c>
      <c r="J1305" t="s">
        <v>80</v>
      </c>
      <c r="K1305" s="5">
        <f>8359 / 86400</f>
        <v>9.6747685185185187E-2</v>
      </c>
      <c r="L1305" s="5">
        <f>49 / 86400</f>
        <v>5.6712962962962967E-4</v>
      </c>
    </row>
    <row r="1306" spans="1:12" x14ac:dyDescent="0.25">
      <c r="A1306" s="3">
        <v>45710.517488425925</v>
      </c>
      <c r="B1306" t="s">
        <v>328</v>
      </c>
      <c r="C1306" s="3">
        <v>45710.587222222224</v>
      </c>
      <c r="D1306" t="s">
        <v>101</v>
      </c>
      <c r="E1306" s="4">
        <v>22.553999999999998</v>
      </c>
      <c r="F1306" s="4">
        <v>61973.877</v>
      </c>
      <c r="G1306" s="4">
        <v>61996.430999999997</v>
      </c>
      <c r="H1306" s="5">
        <f>2459 / 86400</f>
        <v>2.8460648148148148E-2</v>
      </c>
      <c r="I1306" t="s">
        <v>83</v>
      </c>
      <c r="J1306" t="s">
        <v>45</v>
      </c>
      <c r="K1306" s="5">
        <f>6024 / 86400</f>
        <v>6.9722222222222227E-2</v>
      </c>
      <c r="L1306" s="5">
        <f>38 / 86400</f>
        <v>4.3981481481481481E-4</v>
      </c>
    </row>
    <row r="1307" spans="1:12" x14ac:dyDescent="0.25">
      <c r="A1307" s="3">
        <v>45710.58766203704</v>
      </c>
      <c r="B1307" t="s">
        <v>101</v>
      </c>
      <c r="C1307" s="3">
        <v>45710.626041666663</v>
      </c>
      <c r="D1307" t="s">
        <v>72</v>
      </c>
      <c r="E1307" s="4">
        <v>27.27</v>
      </c>
      <c r="F1307" s="4">
        <v>61996.430999999997</v>
      </c>
      <c r="G1307" s="4">
        <v>62023.701000000001</v>
      </c>
      <c r="H1307" s="5">
        <f>500 / 86400</f>
        <v>5.7870370370370367E-3</v>
      </c>
      <c r="I1307" t="s">
        <v>89</v>
      </c>
      <c r="J1307" t="s">
        <v>188</v>
      </c>
      <c r="K1307" s="5">
        <f>3316 / 86400</f>
        <v>3.8379629629629632E-2</v>
      </c>
      <c r="L1307" s="5">
        <f>672 / 86400</f>
        <v>7.7777777777777776E-3</v>
      </c>
    </row>
    <row r="1308" spans="1:12" x14ac:dyDescent="0.25">
      <c r="A1308" s="3">
        <v>45710.63381944444</v>
      </c>
      <c r="B1308" t="s">
        <v>72</v>
      </c>
      <c r="C1308" s="3">
        <v>45710.635729166665</v>
      </c>
      <c r="D1308" t="s">
        <v>81</v>
      </c>
      <c r="E1308" s="4">
        <v>0.3</v>
      </c>
      <c r="F1308" s="4">
        <v>62023.701000000001</v>
      </c>
      <c r="G1308" s="4">
        <v>62024.000999999997</v>
      </c>
      <c r="H1308" s="5">
        <f>59 / 86400</f>
        <v>6.8287037037037036E-4</v>
      </c>
      <c r="I1308" t="s">
        <v>20</v>
      </c>
      <c r="J1308" t="s">
        <v>140</v>
      </c>
      <c r="K1308" s="5">
        <f>165 / 86400</f>
        <v>1.9097222222222222E-3</v>
      </c>
      <c r="L1308" s="5">
        <f>309 / 86400</f>
        <v>3.5763888888888889E-3</v>
      </c>
    </row>
    <row r="1309" spans="1:12" x14ac:dyDescent="0.25">
      <c r="A1309" s="3">
        <v>45710.639305555553</v>
      </c>
      <c r="B1309" t="s">
        <v>81</v>
      </c>
      <c r="C1309" s="3">
        <v>45710.640162037038</v>
      </c>
      <c r="D1309" t="s">
        <v>81</v>
      </c>
      <c r="E1309" s="4">
        <v>0.11700000000000001</v>
      </c>
      <c r="F1309" s="4">
        <v>62024.000999999997</v>
      </c>
      <c r="G1309" s="4">
        <v>62024.118000000002</v>
      </c>
      <c r="H1309" s="5">
        <f>39 / 86400</f>
        <v>4.5138888888888887E-4</v>
      </c>
      <c r="I1309" t="s">
        <v>31</v>
      </c>
      <c r="J1309" t="s">
        <v>31</v>
      </c>
      <c r="K1309" s="5">
        <f>73 / 86400</f>
        <v>8.4490740740740739E-4</v>
      </c>
      <c r="L1309" s="5">
        <f>410 / 86400</f>
        <v>4.7453703703703703E-3</v>
      </c>
    </row>
    <row r="1310" spans="1:12" x14ac:dyDescent="0.25">
      <c r="A1310" s="3">
        <v>45710.644907407404</v>
      </c>
      <c r="B1310" t="s">
        <v>81</v>
      </c>
      <c r="C1310" s="3">
        <v>45710.647175925929</v>
      </c>
      <c r="D1310" t="s">
        <v>384</v>
      </c>
      <c r="E1310" s="4">
        <v>0.29599999999999999</v>
      </c>
      <c r="F1310" s="4">
        <v>62024.118000000002</v>
      </c>
      <c r="G1310" s="4">
        <v>62024.413999999997</v>
      </c>
      <c r="H1310" s="5">
        <f>59 / 86400</f>
        <v>6.8287037037037036E-4</v>
      </c>
      <c r="I1310" t="s">
        <v>37</v>
      </c>
      <c r="J1310" t="s">
        <v>156</v>
      </c>
      <c r="K1310" s="5">
        <f>195 / 86400</f>
        <v>2.2569444444444442E-3</v>
      </c>
      <c r="L1310" s="5">
        <f>116 / 86400</f>
        <v>1.3425925925925925E-3</v>
      </c>
    </row>
    <row r="1311" spans="1:12" x14ac:dyDescent="0.25">
      <c r="A1311" s="3">
        <v>45710.648518518516</v>
      </c>
      <c r="B1311" t="s">
        <v>384</v>
      </c>
      <c r="C1311" s="3">
        <v>45710.649305555555</v>
      </c>
      <c r="D1311" t="s">
        <v>384</v>
      </c>
      <c r="E1311" s="4">
        <v>4.2000000000000003E-2</v>
      </c>
      <c r="F1311" s="4">
        <v>62024.413999999997</v>
      </c>
      <c r="G1311" s="4">
        <v>62024.455999999998</v>
      </c>
      <c r="H1311" s="5">
        <f>20 / 86400</f>
        <v>2.3148148148148149E-4</v>
      </c>
      <c r="I1311" t="s">
        <v>156</v>
      </c>
      <c r="J1311" t="s">
        <v>113</v>
      </c>
      <c r="K1311" s="5">
        <f>67 / 86400</f>
        <v>7.7546296296296293E-4</v>
      </c>
      <c r="L1311" s="5">
        <f>3781 / 86400</f>
        <v>4.3761574074074071E-2</v>
      </c>
    </row>
    <row r="1312" spans="1:12" x14ac:dyDescent="0.25">
      <c r="A1312" s="3">
        <v>45710.693067129629</v>
      </c>
      <c r="B1312" t="s">
        <v>384</v>
      </c>
      <c r="C1312" s="3">
        <v>45710.893460648149</v>
      </c>
      <c r="D1312" t="s">
        <v>311</v>
      </c>
      <c r="E1312" s="4">
        <v>82.852999999999994</v>
      </c>
      <c r="F1312" s="4">
        <v>62024.455999999998</v>
      </c>
      <c r="G1312" s="4">
        <v>62107.309000000001</v>
      </c>
      <c r="H1312" s="5">
        <f>5801 / 86400</f>
        <v>6.7141203703703703E-2</v>
      </c>
      <c r="I1312" t="s">
        <v>87</v>
      </c>
      <c r="J1312" t="s">
        <v>29</v>
      </c>
      <c r="K1312" s="5">
        <f>17314 / 86400</f>
        <v>0.20039351851851853</v>
      </c>
      <c r="L1312" s="5">
        <f>144 / 86400</f>
        <v>1.6666666666666668E-3</v>
      </c>
    </row>
    <row r="1313" spans="1:12" x14ac:dyDescent="0.25">
      <c r="A1313" s="3">
        <v>45710.895127314812</v>
      </c>
      <c r="B1313" t="s">
        <v>311</v>
      </c>
      <c r="C1313" s="3">
        <v>45710.895277777774</v>
      </c>
      <c r="D1313" t="s">
        <v>311</v>
      </c>
      <c r="E1313" s="4">
        <v>8.9999999999999993E-3</v>
      </c>
      <c r="F1313" s="4">
        <v>62107.309000000001</v>
      </c>
      <c r="G1313" s="4">
        <v>62107.317999999999</v>
      </c>
      <c r="H1313" s="5">
        <f>0 / 86400</f>
        <v>0</v>
      </c>
      <c r="I1313" t="s">
        <v>77</v>
      </c>
      <c r="J1313" t="s">
        <v>143</v>
      </c>
      <c r="K1313" s="5">
        <f>12 / 86400</f>
        <v>1.3888888888888889E-4</v>
      </c>
      <c r="L1313" s="5">
        <f>77 / 86400</f>
        <v>8.9120370370370373E-4</v>
      </c>
    </row>
    <row r="1314" spans="1:12" x14ac:dyDescent="0.25">
      <c r="A1314" s="3">
        <v>45710.896168981482</v>
      </c>
      <c r="B1314" t="s">
        <v>311</v>
      </c>
      <c r="C1314" s="3">
        <v>45710.951539351852</v>
      </c>
      <c r="D1314" t="s">
        <v>163</v>
      </c>
      <c r="E1314" s="4">
        <v>27.681000000000001</v>
      </c>
      <c r="F1314" s="4">
        <v>62107.317999999999</v>
      </c>
      <c r="G1314" s="4">
        <v>62134.999000000003</v>
      </c>
      <c r="H1314" s="5">
        <f>2119 / 86400</f>
        <v>2.4525462962962964E-2</v>
      </c>
      <c r="I1314" t="s">
        <v>44</v>
      </c>
      <c r="J1314" t="s">
        <v>135</v>
      </c>
      <c r="K1314" s="5">
        <f>4783 / 86400</f>
        <v>5.5358796296296295E-2</v>
      </c>
      <c r="L1314" s="5">
        <f>36 / 86400</f>
        <v>4.1666666666666669E-4</v>
      </c>
    </row>
    <row r="1315" spans="1:12" x14ac:dyDescent="0.25">
      <c r="A1315" s="3">
        <v>45710.951956018514</v>
      </c>
      <c r="B1315" t="s">
        <v>163</v>
      </c>
      <c r="C1315" s="3">
        <v>45710.968530092592</v>
      </c>
      <c r="D1315" t="s">
        <v>103</v>
      </c>
      <c r="E1315" s="4">
        <v>7.1440000000000001</v>
      </c>
      <c r="F1315" s="4">
        <v>62134.999000000003</v>
      </c>
      <c r="G1315" s="4">
        <v>62142.142999999996</v>
      </c>
      <c r="H1315" s="5">
        <f>540 / 86400</f>
        <v>6.2500000000000003E-3</v>
      </c>
      <c r="I1315" t="s">
        <v>162</v>
      </c>
      <c r="J1315" t="s">
        <v>20</v>
      </c>
      <c r="K1315" s="5">
        <f>1432 / 86400</f>
        <v>1.6574074074074074E-2</v>
      </c>
      <c r="L1315" s="5">
        <f>21 / 86400</f>
        <v>2.4305555555555555E-4</v>
      </c>
    </row>
    <row r="1316" spans="1:12" x14ac:dyDescent="0.25">
      <c r="A1316" s="3">
        <v>45710.968773148154</v>
      </c>
      <c r="B1316" t="s">
        <v>103</v>
      </c>
      <c r="C1316" s="3">
        <v>45710.988043981481</v>
      </c>
      <c r="D1316" t="s">
        <v>379</v>
      </c>
      <c r="E1316" s="4">
        <v>7.8970000000000002</v>
      </c>
      <c r="F1316" s="4">
        <v>62142.142999999996</v>
      </c>
      <c r="G1316" s="4">
        <v>62150.04</v>
      </c>
      <c r="H1316" s="5">
        <f>459 / 86400</f>
        <v>5.3125000000000004E-3</v>
      </c>
      <c r="I1316" t="s">
        <v>301</v>
      </c>
      <c r="J1316" t="s">
        <v>29</v>
      </c>
      <c r="K1316" s="5">
        <f>1664 / 86400</f>
        <v>1.9259259259259261E-2</v>
      </c>
      <c r="L1316" s="5">
        <f>73 / 86400</f>
        <v>8.4490740740740739E-4</v>
      </c>
    </row>
    <row r="1317" spans="1:12" x14ac:dyDescent="0.25">
      <c r="A1317" s="3">
        <v>45710.988888888889</v>
      </c>
      <c r="B1317" t="s">
        <v>379</v>
      </c>
      <c r="C1317" s="3">
        <v>45710.989050925928</v>
      </c>
      <c r="D1317" t="s">
        <v>379</v>
      </c>
      <c r="E1317" s="4">
        <v>3.0000000000000001E-3</v>
      </c>
      <c r="F1317" s="4">
        <v>62150.04</v>
      </c>
      <c r="G1317" s="4">
        <v>62150.042999999998</v>
      </c>
      <c r="H1317" s="5">
        <f>0 / 86400</f>
        <v>0</v>
      </c>
      <c r="I1317" t="s">
        <v>77</v>
      </c>
      <c r="J1317" t="s">
        <v>124</v>
      </c>
      <c r="K1317" s="5">
        <f>13 / 86400</f>
        <v>1.5046296296296297E-4</v>
      </c>
      <c r="L1317" s="5">
        <f>221 / 86400</f>
        <v>2.5578703703703705E-3</v>
      </c>
    </row>
    <row r="1318" spans="1:12" x14ac:dyDescent="0.25">
      <c r="A1318" s="3">
        <v>45710.991608796292</v>
      </c>
      <c r="B1318" t="s">
        <v>379</v>
      </c>
      <c r="C1318" s="3">
        <v>45710.991724537038</v>
      </c>
      <c r="D1318" t="s">
        <v>118</v>
      </c>
      <c r="E1318" s="4">
        <v>4.0000000000000001E-3</v>
      </c>
      <c r="F1318" s="4">
        <v>62150.042999999998</v>
      </c>
      <c r="G1318" s="4">
        <v>62150.046999999999</v>
      </c>
      <c r="H1318" s="5">
        <f>0 / 86400</f>
        <v>0</v>
      </c>
      <c r="I1318" t="s">
        <v>77</v>
      </c>
      <c r="J1318" t="s">
        <v>124</v>
      </c>
      <c r="K1318" s="5">
        <f>10 / 86400</f>
        <v>1.1574074074074075E-4</v>
      </c>
      <c r="L1318" s="5">
        <f>509 / 86400</f>
        <v>5.8912037037037041E-3</v>
      </c>
    </row>
    <row r="1319" spans="1:12" x14ac:dyDescent="0.25">
      <c r="A1319" s="3">
        <v>45710.997615740736</v>
      </c>
      <c r="B1319" t="s">
        <v>118</v>
      </c>
      <c r="C1319" s="3">
        <v>45710.997696759259</v>
      </c>
      <c r="D1319" t="s">
        <v>118</v>
      </c>
      <c r="E1319" s="4">
        <v>6.0000000000000001E-3</v>
      </c>
      <c r="F1319" s="4">
        <v>62150.046999999999</v>
      </c>
      <c r="G1319" s="4">
        <v>62150.053</v>
      </c>
      <c r="H1319" s="5">
        <f>0 / 86400</f>
        <v>0</v>
      </c>
      <c r="I1319" t="s">
        <v>156</v>
      </c>
      <c r="J1319" t="s">
        <v>75</v>
      </c>
      <c r="K1319" s="5">
        <f>6 / 86400</f>
        <v>6.9444444444444444E-5</v>
      </c>
      <c r="L1319" s="5">
        <f>198 / 86400</f>
        <v>2.2916666666666667E-3</v>
      </c>
    </row>
    <row r="1320" spans="1:12" x14ac:dyDescent="0.25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</row>
    <row r="1321" spans="1:12" x14ac:dyDescent="0.2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</row>
    <row r="1322" spans="1:12" s="10" customFormat="1" ht="20.100000000000001" customHeight="1" x14ac:dyDescent="0.35">
      <c r="A1322" s="15" t="s">
        <v>480</v>
      </c>
      <c r="B1322" s="15"/>
      <c r="C1322" s="15"/>
      <c r="D1322" s="15"/>
      <c r="E1322" s="15"/>
      <c r="F1322" s="15"/>
      <c r="G1322" s="15"/>
      <c r="H1322" s="15"/>
      <c r="I1322" s="15"/>
      <c r="J1322" s="15"/>
    </row>
    <row r="1323" spans="1:12" x14ac:dyDescent="0.25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</row>
    <row r="1324" spans="1:12" ht="30" x14ac:dyDescent="0.25">
      <c r="A1324" s="2" t="s">
        <v>6</v>
      </c>
      <c r="B1324" s="2" t="s">
        <v>7</v>
      </c>
      <c r="C1324" s="2" t="s">
        <v>8</v>
      </c>
      <c r="D1324" s="2" t="s">
        <v>9</v>
      </c>
      <c r="E1324" s="2" t="s">
        <v>10</v>
      </c>
      <c r="F1324" s="2" t="s">
        <v>11</v>
      </c>
      <c r="G1324" s="2" t="s">
        <v>12</v>
      </c>
      <c r="H1324" s="2" t="s">
        <v>13</v>
      </c>
      <c r="I1324" s="2" t="s">
        <v>14</v>
      </c>
      <c r="J1324" s="2" t="s">
        <v>15</v>
      </c>
      <c r="K1324" s="2" t="s">
        <v>16</v>
      </c>
      <c r="L1324" s="2" t="s">
        <v>17</v>
      </c>
    </row>
    <row r="1325" spans="1:12" x14ac:dyDescent="0.25">
      <c r="A1325" s="3">
        <v>45710</v>
      </c>
      <c r="B1325" t="s">
        <v>119</v>
      </c>
      <c r="C1325" s="3">
        <v>45710.006481481483</v>
      </c>
      <c r="D1325" t="s">
        <v>100</v>
      </c>
      <c r="E1325" s="4">
        <v>2.6009999999925495</v>
      </c>
      <c r="F1325" s="4">
        <v>65657.648000000001</v>
      </c>
      <c r="G1325" s="4">
        <v>65660.248999999996</v>
      </c>
      <c r="H1325" s="5">
        <f>200 / 86400</f>
        <v>2.3148148148148147E-3</v>
      </c>
      <c r="I1325" t="s">
        <v>173</v>
      </c>
      <c r="J1325" t="s">
        <v>29</v>
      </c>
      <c r="K1325" s="5">
        <f>560 / 86400</f>
        <v>6.4814814814814813E-3</v>
      </c>
      <c r="L1325" s="5">
        <f>664 / 86400</f>
        <v>7.6851851851851855E-3</v>
      </c>
    </row>
    <row r="1326" spans="1:12" x14ac:dyDescent="0.25">
      <c r="A1326" s="3">
        <v>45710.014166666668</v>
      </c>
      <c r="B1326" t="s">
        <v>100</v>
      </c>
      <c r="C1326" s="3">
        <v>45710.019594907411</v>
      </c>
      <c r="D1326" t="s">
        <v>122</v>
      </c>
      <c r="E1326" s="4">
        <v>1.5740000000149013</v>
      </c>
      <c r="F1326" s="4">
        <v>65660.248999999996</v>
      </c>
      <c r="G1326" s="4">
        <v>65661.823000000004</v>
      </c>
      <c r="H1326" s="5">
        <f>119 / 86400</f>
        <v>1.3773148148148147E-3</v>
      </c>
      <c r="I1326" t="s">
        <v>123</v>
      </c>
      <c r="J1326" t="s">
        <v>139</v>
      </c>
      <c r="K1326" s="5">
        <f>468 / 86400</f>
        <v>5.4166666666666669E-3</v>
      </c>
      <c r="L1326" s="5">
        <f>52334 / 86400</f>
        <v>0.60571759259259261</v>
      </c>
    </row>
    <row r="1327" spans="1:12" x14ac:dyDescent="0.25">
      <c r="A1327" s="3">
        <v>45710.6253125</v>
      </c>
      <c r="B1327" t="s">
        <v>122</v>
      </c>
      <c r="C1327" s="3">
        <v>45710.630787037036</v>
      </c>
      <c r="D1327" t="s">
        <v>146</v>
      </c>
      <c r="E1327" s="4">
        <v>0.92899999998509886</v>
      </c>
      <c r="F1327" s="4">
        <v>65661.823000000004</v>
      </c>
      <c r="G1327" s="4">
        <v>65662.751999999993</v>
      </c>
      <c r="H1327" s="5">
        <f>199 / 86400</f>
        <v>2.3032407407407407E-3</v>
      </c>
      <c r="I1327" t="s">
        <v>30</v>
      </c>
      <c r="J1327" t="s">
        <v>140</v>
      </c>
      <c r="K1327" s="5">
        <f>473 / 86400</f>
        <v>5.4745370370370373E-3</v>
      </c>
      <c r="L1327" s="5">
        <f>253 / 86400</f>
        <v>2.9282407407407408E-3</v>
      </c>
    </row>
    <row r="1328" spans="1:12" x14ac:dyDescent="0.25">
      <c r="A1328" s="3">
        <v>45710.633715277778</v>
      </c>
      <c r="B1328" t="s">
        <v>146</v>
      </c>
      <c r="C1328" s="3">
        <v>45710.647592592592</v>
      </c>
      <c r="D1328" t="s">
        <v>213</v>
      </c>
      <c r="E1328" s="4">
        <v>4.6910000000074508</v>
      </c>
      <c r="F1328" s="4">
        <v>65662.751999999993</v>
      </c>
      <c r="G1328" s="4">
        <v>65667.442999999999</v>
      </c>
      <c r="H1328" s="5">
        <f>454 / 86400</f>
        <v>5.2546296296296299E-3</v>
      </c>
      <c r="I1328" t="s">
        <v>99</v>
      </c>
      <c r="J1328" t="s">
        <v>26</v>
      </c>
      <c r="K1328" s="5">
        <f>1199 / 86400</f>
        <v>1.3877314814814815E-2</v>
      </c>
      <c r="L1328" s="5">
        <f>1379 / 86400</f>
        <v>1.5960648148148147E-2</v>
      </c>
    </row>
    <row r="1329" spans="1:12" x14ac:dyDescent="0.25">
      <c r="A1329" s="3">
        <v>45710.663553240738</v>
      </c>
      <c r="B1329" t="s">
        <v>213</v>
      </c>
      <c r="C1329" s="3">
        <v>45710.99998842593</v>
      </c>
      <c r="D1329" t="s">
        <v>120</v>
      </c>
      <c r="E1329" s="4">
        <v>130.55500000000745</v>
      </c>
      <c r="F1329" s="4">
        <v>65667.442999999999</v>
      </c>
      <c r="G1329" s="4">
        <v>65797.998000000007</v>
      </c>
      <c r="H1329" s="5">
        <f>12222 / 86400</f>
        <v>0.14145833333333332</v>
      </c>
      <c r="I1329" t="s">
        <v>121</v>
      </c>
      <c r="J1329" t="s">
        <v>33</v>
      </c>
      <c r="K1329" s="5">
        <f>29068 / 86400</f>
        <v>0.33643518518518517</v>
      </c>
      <c r="L1329" s="5">
        <f>0 / 86400</f>
        <v>0</v>
      </c>
    </row>
    <row r="1330" spans="1:12" x14ac:dyDescent="0.25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</row>
    <row r="1331" spans="1:12" x14ac:dyDescent="0.25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</row>
    <row r="1332" spans="1:12" s="10" customFormat="1" ht="20.100000000000001" customHeight="1" x14ac:dyDescent="0.35">
      <c r="A1332" s="15" t="s">
        <v>481</v>
      </c>
      <c r="B1332" s="15"/>
      <c r="C1332" s="15"/>
      <c r="D1332" s="15"/>
      <c r="E1332" s="15"/>
      <c r="F1332" s="15"/>
      <c r="G1332" s="15"/>
      <c r="H1332" s="15"/>
      <c r="I1332" s="15"/>
      <c r="J1332" s="15"/>
    </row>
    <row r="1333" spans="1:12" x14ac:dyDescent="0.2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</row>
    <row r="1334" spans="1:12" ht="30" x14ac:dyDescent="0.25">
      <c r="A1334" s="2" t="s">
        <v>6</v>
      </c>
      <c r="B1334" s="2" t="s">
        <v>7</v>
      </c>
      <c r="C1334" s="2" t="s">
        <v>8</v>
      </c>
      <c r="D1334" s="2" t="s">
        <v>9</v>
      </c>
      <c r="E1334" s="2" t="s">
        <v>10</v>
      </c>
      <c r="F1334" s="2" t="s">
        <v>11</v>
      </c>
      <c r="G1334" s="2" t="s">
        <v>12</v>
      </c>
      <c r="H1334" s="2" t="s">
        <v>13</v>
      </c>
      <c r="I1334" s="2" t="s">
        <v>14</v>
      </c>
      <c r="J1334" s="2" t="s">
        <v>15</v>
      </c>
      <c r="K1334" s="2" t="s">
        <v>16</v>
      </c>
      <c r="L1334" s="2" t="s">
        <v>17</v>
      </c>
    </row>
    <row r="1335" spans="1:12" x14ac:dyDescent="0.25">
      <c r="A1335" s="3">
        <v>45710.371157407411</v>
      </c>
      <c r="B1335" t="s">
        <v>122</v>
      </c>
      <c r="C1335" s="3">
        <v>45710.378148148149</v>
      </c>
      <c r="D1335" t="s">
        <v>39</v>
      </c>
      <c r="E1335" s="4">
        <v>0.60599999999999998</v>
      </c>
      <c r="F1335" s="4">
        <v>293508.02899999998</v>
      </c>
      <c r="G1335" s="4">
        <v>293508.63500000001</v>
      </c>
      <c r="H1335" s="5">
        <f>319 / 86400</f>
        <v>3.6921296296296298E-3</v>
      </c>
      <c r="I1335" t="s">
        <v>188</v>
      </c>
      <c r="J1335" t="s">
        <v>75</v>
      </c>
      <c r="K1335" s="5">
        <f>603 / 86400</f>
        <v>6.9791666666666665E-3</v>
      </c>
      <c r="L1335" s="5">
        <f>43953 / 86400</f>
        <v>0.50871527777777781</v>
      </c>
    </row>
    <row r="1336" spans="1:12" x14ac:dyDescent="0.25">
      <c r="A1336" s="3">
        <v>45710.515706018516</v>
      </c>
      <c r="B1336" t="s">
        <v>39</v>
      </c>
      <c r="C1336" s="3">
        <v>45710.60637731482</v>
      </c>
      <c r="D1336" t="s">
        <v>122</v>
      </c>
      <c r="E1336" s="4">
        <v>1.57</v>
      </c>
      <c r="F1336" s="4">
        <v>293508.63500000001</v>
      </c>
      <c r="G1336" s="4">
        <v>293510.20500000002</v>
      </c>
      <c r="H1336" s="5">
        <f>7019 / 86400</f>
        <v>8.1238425925925922E-2</v>
      </c>
      <c r="I1336" t="s">
        <v>123</v>
      </c>
      <c r="J1336" t="s">
        <v>124</v>
      </c>
      <c r="K1336" s="5">
        <f>7833 / 86400</f>
        <v>9.0659722222222225E-2</v>
      </c>
      <c r="L1336" s="5">
        <f>34008 / 86400</f>
        <v>0.39361111111111113</v>
      </c>
    </row>
    <row r="1337" spans="1:12" x14ac:dyDescent="0.25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</row>
    <row r="1338" spans="1:12" x14ac:dyDescent="0.25">
      <c r="A1338" s="12" t="s">
        <v>126</v>
      </c>
      <c r="B1338" s="12"/>
      <c r="C1338" s="12"/>
      <c r="D1338" s="12"/>
      <c r="E1338" s="12"/>
      <c r="F1338" s="12"/>
      <c r="G1338" s="12"/>
      <c r="H1338" s="12"/>
      <c r="I1338" s="12"/>
      <c r="J1338" s="12"/>
    </row>
  </sheetData>
  <mergeCells count="254">
    <mergeCell ref="A1333:J1333"/>
    <mergeCell ref="A1337:J1337"/>
    <mergeCell ref="A1338:J1338"/>
    <mergeCell ref="A1295:J1295"/>
    <mergeCell ref="A1296:J1296"/>
    <mergeCell ref="A1320:J1320"/>
    <mergeCell ref="A1321:J1321"/>
    <mergeCell ref="A1322:J1322"/>
    <mergeCell ref="A1323:J1323"/>
    <mergeCell ref="A1330:J1330"/>
    <mergeCell ref="A1331:J1331"/>
    <mergeCell ref="A1332:J1332"/>
    <mergeCell ref="A1267:J1267"/>
    <mergeCell ref="A1268:J1268"/>
    <mergeCell ref="A1269:J1269"/>
    <mergeCell ref="A1280:J1280"/>
    <mergeCell ref="A1281:J1281"/>
    <mergeCell ref="A1282:J1282"/>
    <mergeCell ref="A1283:J1283"/>
    <mergeCell ref="A1293:J1293"/>
    <mergeCell ref="A1294:J1294"/>
    <mergeCell ref="A1212:J1212"/>
    <mergeCell ref="A1213:J1213"/>
    <mergeCell ref="A1214:J1214"/>
    <mergeCell ref="A1215:J1215"/>
    <mergeCell ref="A1229:J1229"/>
    <mergeCell ref="A1230:J1230"/>
    <mergeCell ref="A1231:J1231"/>
    <mergeCell ref="A1232:J1232"/>
    <mergeCell ref="A1266:J1266"/>
    <mergeCell ref="A1176:J1176"/>
    <mergeCell ref="A1187:J1187"/>
    <mergeCell ref="A1188:J1188"/>
    <mergeCell ref="A1189:J1189"/>
    <mergeCell ref="A1190:J1190"/>
    <mergeCell ref="A1198:J1198"/>
    <mergeCell ref="A1199:J1199"/>
    <mergeCell ref="A1200:J1200"/>
    <mergeCell ref="A1201:J1201"/>
    <mergeCell ref="A1151:J1151"/>
    <mergeCell ref="A1152:J1152"/>
    <mergeCell ref="A1162:J1162"/>
    <mergeCell ref="A1163:J1163"/>
    <mergeCell ref="A1164:J1164"/>
    <mergeCell ref="A1165:J1165"/>
    <mergeCell ref="A1173:J1173"/>
    <mergeCell ref="A1174:J1174"/>
    <mergeCell ref="A1175:J1175"/>
    <mergeCell ref="A1121:J1121"/>
    <mergeCell ref="A1122:J1122"/>
    <mergeCell ref="A1123:J1123"/>
    <mergeCell ref="A1138:J1138"/>
    <mergeCell ref="A1139:J1139"/>
    <mergeCell ref="A1140:J1140"/>
    <mergeCell ref="A1141:J1141"/>
    <mergeCell ref="A1149:J1149"/>
    <mergeCell ref="A1150:J1150"/>
    <mergeCell ref="A1092:J1092"/>
    <mergeCell ref="A1093:J1093"/>
    <mergeCell ref="A1094:J1094"/>
    <mergeCell ref="A1095:J1095"/>
    <mergeCell ref="A1102:J1102"/>
    <mergeCell ref="A1103:J1103"/>
    <mergeCell ref="A1104:J1104"/>
    <mergeCell ref="A1105:J1105"/>
    <mergeCell ref="A1120:J1120"/>
    <mergeCell ref="A1053:J1053"/>
    <mergeCell ref="A1058:J1058"/>
    <mergeCell ref="A1059:J1059"/>
    <mergeCell ref="A1060:J1060"/>
    <mergeCell ref="A1061:J1061"/>
    <mergeCell ref="A1076:J1076"/>
    <mergeCell ref="A1077:J1077"/>
    <mergeCell ref="A1078:J1078"/>
    <mergeCell ref="A1079:J1079"/>
    <mergeCell ref="A1013:J1013"/>
    <mergeCell ref="A1014:J1014"/>
    <mergeCell ref="A1037:J1037"/>
    <mergeCell ref="A1038:J1038"/>
    <mergeCell ref="A1039:J1039"/>
    <mergeCell ref="A1040:J1040"/>
    <mergeCell ref="A1050:J1050"/>
    <mergeCell ref="A1051:J1051"/>
    <mergeCell ref="A1052:J1052"/>
    <mergeCell ref="A981:J981"/>
    <mergeCell ref="A982:J982"/>
    <mergeCell ref="A983:J983"/>
    <mergeCell ref="A989:J989"/>
    <mergeCell ref="A990:J990"/>
    <mergeCell ref="A991:J991"/>
    <mergeCell ref="A992:J992"/>
    <mergeCell ref="A1011:J1011"/>
    <mergeCell ref="A1012:J1012"/>
    <mergeCell ref="A958:J958"/>
    <mergeCell ref="A959:J959"/>
    <mergeCell ref="A960:J960"/>
    <mergeCell ref="A961:J961"/>
    <mergeCell ref="A973:J973"/>
    <mergeCell ref="A974:J974"/>
    <mergeCell ref="A975:J975"/>
    <mergeCell ref="A976:J976"/>
    <mergeCell ref="A980:J980"/>
    <mergeCell ref="A930:J930"/>
    <mergeCell ref="A942:J942"/>
    <mergeCell ref="A943:J943"/>
    <mergeCell ref="A944:J944"/>
    <mergeCell ref="A945:J945"/>
    <mergeCell ref="A948:J948"/>
    <mergeCell ref="A949:J949"/>
    <mergeCell ref="A950:J950"/>
    <mergeCell ref="A951:J951"/>
    <mergeCell ref="A899:J899"/>
    <mergeCell ref="A900:J900"/>
    <mergeCell ref="A917:J917"/>
    <mergeCell ref="A918:J918"/>
    <mergeCell ref="A919:J919"/>
    <mergeCell ref="A920:J920"/>
    <mergeCell ref="A927:J927"/>
    <mergeCell ref="A928:J928"/>
    <mergeCell ref="A929:J929"/>
    <mergeCell ref="A865:J865"/>
    <mergeCell ref="A866:J866"/>
    <mergeCell ref="A867:J867"/>
    <mergeCell ref="A891:J891"/>
    <mergeCell ref="A892:J892"/>
    <mergeCell ref="A893:J893"/>
    <mergeCell ref="A894:J894"/>
    <mergeCell ref="A897:J897"/>
    <mergeCell ref="A898:J898"/>
    <mergeCell ref="A827:J827"/>
    <mergeCell ref="A828:J828"/>
    <mergeCell ref="A829:J829"/>
    <mergeCell ref="A830:J830"/>
    <mergeCell ref="A850:J850"/>
    <mergeCell ref="A851:J851"/>
    <mergeCell ref="A852:J852"/>
    <mergeCell ref="A853:J853"/>
    <mergeCell ref="A864:J864"/>
    <mergeCell ref="A787:J787"/>
    <mergeCell ref="A790:J790"/>
    <mergeCell ref="A791:J791"/>
    <mergeCell ref="A792:J792"/>
    <mergeCell ref="A793:J793"/>
    <mergeCell ref="A804:J804"/>
    <mergeCell ref="A805:J805"/>
    <mergeCell ref="A806:J806"/>
    <mergeCell ref="A807:J807"/>
    <mergeCell ref="A764:J764"/>
    <mergeCell ref="A765:J765"/>
    <mergeCell ref="A776:J776"/>
    <mergeCell ref="A777:J777"/>
    <mergeCell ref="A778:J778"/>
    <mergeCell ref="A779:J779"/>
    <mergeCell ref="A784:J784"/>
    <mergeCell ref="A785:J785"/>
    <mergeCell ref="A786:J786"/>
    <mergeCell ref="A732:J732"/>
    <mergeCell ref="A733:J733"/>
    <mergeCell ref="A734:J734"/>
    <mergeCell ref="A745:J745"/>
    <mergeCell ref="A746:J746"/>
    <mergeCell ref="A747:J747"/>
    <mergeCell ref="A748:J748"/>
    <mergeCell ref="A762:J762"/>
    <mergeCell ref="A763:J763"/>
    <mergeCell ref="A703:J703"/>
    <mergeCell ref="A704:J704"/>
    <mergeCell ref="A705:J705"/>
    <mergeCell ref="A706:J706"/>
    <mergeCell ref="A715:J715"/>
    <mergeCell ref="A716:J716"/>
    <mergeCell ref="A717:J717"/>
    <mergeCell ref="A718:J718"/>
    <mergeCell ref="A731:J731"/>
    <mergeCell ref="A656:J656"/>
    <mergeCell ref="A674:J674"/>
    <mergeCell ref="A675:J675"/>
    <mergeCell ref="A676:J676"/>
    <mergeCell ref="A677:J677"/>
    <mergeCell ref="A694:J694"/>
    <mergeCell ref="A695:J695"/>
    <mergeCell ref="A696:J696"/>
    <mergeCell ref="A697:J697"/>
    <mergeCell ref="A628:J628"/>
    <mergeCell ref="A629:J629"/>
    <mergeCell ref="A638:J638"/>
    <mergeCell ref="A639:J639"/>
    <mergeCell ref="A640:J640"/>
    <mergeCell ref="A641:J641"/>
    <mergeCell ref="A653:J653"/>
    <mergeCell ref="A654:J654"/>
    <mergeCell ref="A655:J655"/>
    <mergeCell ref="A596:J596"/>
    <mergeCell ref="A597:J597"/>
    <mergeCell ref="A598:J598"/>
    <mergeCell ref="A609:J609"/>
    <mergeCell ref="A610:J610"/>
    <mergeCell ref="A611:J611"/>
    <mergeCell ref="A612:J612"/>
    <mergeCell ref="A626:J626"/>
    <mergeCell ref="A627:J627"/>
    <mergeCell ref="A554:J554"/>
    <mergeCell ref="A555:J555"/>
    <mergeCell ref="A556:J556"/>
    <mergeCell ref="A557:J557"/>
    <mergeCell ref="A585:J585"/>
    <mergeCell ref="A586:J586"/>
    <mergeCell ref="A587:J587"/>
    <mergeCell ref="A588:J588"/>
    <mergeCell ref="A595:J595"/>
    <mergeCell ref="A168:J168"/>
    <mergeCell ref="A534:J534"/>
    <mergeCell ref="A535:J535"/>
    <mergeCell ref="A536:J536"/>
    <mergeCell ref="A537:J537"/>
    <mergeCell ref="A542:J542"/>
    <mergeCell ref="A543:J543"/>
    <mergeCell ref="A544:J544"/>
    <mergeCell ref="A545:J545"/>
    <mergeCell ref="A142:J142"/>
    <mergeCell ref="A143:J143"/>
    <mergeCell ref="A149:J149"/>
    <mergeCell ref="A150:J150"/>
    <mergeCell ref="A151:J151"/>
    <mergeCell ref="A152:J152"/>
    <mergeCell ref="A165:J165"/>
    <mergeCell ref="A166:J166"/>
    <mergeCell ref="A167:J167"/>
    <mergeCell ref="A113:J113"/>
    <mergeCell ref="A114:J114"/>
    <mergeCell ref="A115:J115"/>
    <mergeCell ref="A124:J124"/>
    <mergeCell ref="A125:J125"/>
    <mergeCell ref="A126:J126"/>
    <mergeCell ref="A127:J127"/>
    <mergeCell ref="A140:J140"/>
    <mergeCell ref="A141:J141"/>
    <mergeCell ref="A72:J72"/>
    <mergeCell ref="A73:J73"/>
    <mergeCell ref="A74:J74"/>
    <mergeCell ref="A75:J75"/>
    <mergeCell ref="A95:J95"/>
    <mergeCell ref="A96:J96"/>
    <mergeCell ref="A97:J97"/>
    <mergeCell ref="A98:J98"/>
    <mergeCell ref="A112:J112"/>
    <mergeCell ref="A1:J1"/>
    <mergeCell ref="A2:J2"/>
    <mergeCell ref="A3:J3"/>
    <mergeCell ref="A4:J4"/>
    <mergeCell ref="A5:J5"/>
    <mergeCell ref="A6:J6"/>
    <mergeCell ref="A70:J70"/>
    <mergeCell ref="A71:J71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2025-09-22T19:53:01Z</dcterms:created>
  <dcterms:modified xsi:type="dcterms:W3CDTF">2025-09-23T05:40:35Z</dcterms:modified>
</cp:coreProperties>
</file>