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codeName="ThisWorkbook"/>
  <xr:revisionPtr revIDLastSave="0" documentId="13_ncr:1_{668E5584-CE5E-4540-901A-C93FC164D769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L1126" i="1" l="1"/>
  <c r="K1126" i="1"/>
  <c r="H1126" i="1"/>
  <c r="L1125" i="1"/>
  <c r="K1125" i="1"/>
  <c r="H1125" i="1"/>
  <c r="L1124" i="1"/>
  <c r="K1124" i="1"/>
  <c r="H1124" i="1"/>
  <c r="L1123" i="1"/>
  <c r="K1123" i="1"/>
  <c r="H1123" i="1"/>
  <c r="L1117" i="1"/>
  <c r="K1117" i="1"/>
  <c r="H1117" i="1"/>
  <c r="L1116" i="1"/>
  <c r="K1116" i="1"/>
  <c r="H1116" i="1"/>
  <c r="L1115" i="1"/>
  <c r="K1115" i="1"/>
  <c r="H1115" i="1"/>
  <c r="L1114" i="1"/>
  <c r="K1114" i="1"/>
  <c r="H1114" i="1"/>
  <c r="L1113" i="1"/>
  <c r="K1113" i="1"/>
  <c r="H1113" i="1"/>
  <c r="L1112" i="1"/>
  <c r="K1112" i="1"/>
  <c r="H1112" i="1"/>
  <c r="L1111" i="1"/>
  <c r="K1111" i="1"/>
  <c r="H1111" i="1"/>
  <c r="L1110" i="1"/>
  <c r="K1110" i="1"/>
  <c r="H1110" i="1"/>
  <c r="L1109" i="1"/>
  <c r="K1109" i="1"/>
  <c r="H1109" i="1"/>
  <c r="L1103" i="1"/>
  <c r="K1103" i="1"/>
  <c r="H1103" i="1"/>
  <c r="L1102" i="1"/>
  <c r="K1102" i="1"/>
  <c r="H1102" i="1"/>
  <c r="L1101" i="1"/>
  <c r="K1101" i="1"/>
  <c r="H1101" i="1"/>
  <c r="L1100" i="1"/>
  <c r="K1100" i="1"/>
  <c r="H1100" i="1"/>
  <c r="L1099" i="1"/>
  <c r="K1099" i="1"/>
  <c r="H1099" i="1"/>
  <c r="L1098" i="1"/>
  <c r="K1098" i="1"/>
  <c r="H1098" i="1"/>
  <c r="L1097" i="1"/>
  <c r="K1097" i="1"/>
  <c r="H1097" i="1"/>
  <c r="L1096" i="1"/>
  <c r="K1096" i="1"/>
  <c r="H1096" i="1"/>
  <c r="L1095" i="1"/>
  <c r="K1095" i="1"/>
  <c r="H1095" i="1"/>
  <c r="L1094" i="1"/>
  <c r="K1094" i="1"/>
  <c r="H1094" i="1"/>
  <c r="L1093" i="1"/>
  <c r="K1093" i="1"/>
  <c r="H1093" i="1"/>
  <c r="L1092" i="1"/>
  <c r="K1092" i="1"/>
  <c r="H1092" i="1"/>
  <c r="L1091" i="1"/>
  <c r="K1091" i="1"/>
  <c r="H1091" i="1"/>
  <c r="L1090" i="1"/>
  <c r="K1090" i="1"/>
  <c r="H1090" i="1"/>
  <c r="L1089" i="1"/>
  <c r="K1089" i="1"/>
  <c r="H1089" i="1"/>
  <c r="L1088" i="1"/>
  <c r="K1088" i="1"/>
  <c r="H1088" i="1"/>
  <c r="L1087" i="1"/>
  <c r="K1087" i="1"/>
  <c r="H1087" i="1"/>
  <c r="L1086" i="1"/>
  <c r="K1086" i="1"/>
  <c r="H1086" i="1"/>
  <c r="L1085" i="1"/>
  <c r="K1085" i="1"/>
  <c r="H1085" i="1"/>
  <c r="L1084" i="1"/>
  <c r="K1084" i="1"/>
  <c r="H1084" i="1"/>
  <c r="L1083" i="1"/>
  <c r="K1083" i="1"/>
  <c r="H1083" i="1"/>
  <c r="L1082" i="1"/>
  <c r="K1082" i="1"/>
  <c r="H1082" i="1"/>
  <c r="L1081" i="1"/>
  <c r="K1081" i="1"/>
  <c r="H1081" i="1"/>
  <c r="L1080" i="1"/>
  <c r="K1080" i="1"/>
  <c r="H1080" i="1"/>
  <c r="L1079" i="1"/>
  <c r="K1079" i="1"/>
  <c r="H1079" i="1"/>
  <c r="L1073" i="1"/>
  <c r="K1073" i="1"/>
  <c r="H1073" i="1"/>
  <c r="L1072" i="1"/>
  <c r="K1072" i="1"/>
  <c r="H1072" i="1"/>
  <c r="L1071" i="1"/>
  <c r="K1071" i="1"/>
  <c r="H1071" i="1"/>
  <c r="L1070" i="1"/>
  <c r="K1070" i="1"/>
  <c r="H1070" i="1"/>
  <c r="L1064" i="1"/>
  <c r="K1064" i="1"/>
  <c r="H1064" i="1"/>
  <c r="L1063" i="1"/>
  <c r="K1063" i="1"/>
  <c r="H1063" i="1"/>
  <c r="L1062" i="1"/>
  <c r="K1062" i="1"/>
  <c r="H1062" i="1"/>
  <c r="L1056" i="1"/>
  <c r="K1056" i="1"/>
  <c r="H1056" i="1"/>
  <c r="L1055" i="1"/>
  <c r="K1055" i="1"/>
  <c r="H1055" i="1"/>
  <c r="L1054" i="1"/>
  <c r="K1054" i="1"/>
  <c r="H1054" i="1"/>
  <c r="L1053" i="1"/>
  <c r="K1053" i="1"/>
  <c r="H1053" i="1"/>
  <c r="L1052" i="1"/>
  <c r="K1052" i="1"/>
  <c r="H1052" i="1"/>
  <c r="L1051" i="1"/>
  <c r="K1051" i="1"/>
  <c r="H1051" i="1"/>
  <c r="L1050" i="1"/>
  <c r="K1050" i="1"/>
  <c r="H1050" i="1"/>
  <c r="L1049" i="1"/>
  <c r="K1049" i="1"/>
  <c r="H1049" i="1"/>
  <c r="L1048" i="1"/>
  <c r="K1048" i="1"/>
  <c r="H1048" i="1"/>
  <c r="L1047" i="1"/>
  <c r="K1047" i="1"/>
  <c r="H1047" i="1"/>
  <c r="L1046" i="1"/>
  <c r="K1046" i="1"/>
  <c r="H1046" i="1"/>
  <c r="L1045" i="1"/>
  <c r="K1045" i="1"/>
  <c r="H1045" i="1"/>
  <c r="L1044" i="1"/>
  <c r="K1044" i="1"/>
  <c r="H1044" i="1"/>
  <c r="L1038" i="1"/>
  <c r="K1038" i="1"/>
  <c r="H1038" i="1"/>
  <c r="L1037" i="1"/>
  <c r="K1037" i="1"/>
  <c r="H1037" i="1"/>
  <c r="L1036" i="1"/>
  <c r="K1036" i="1"/>
  <c r="H1036" i="1"/>
  <c r="L1035" i="1"/>
  <c r="K1035" i="1"/>
  <c r="H1035" i="1"/>
  <c r="L1029" i="1"/>
  <c r="K1029" i="1"/>
  <c r="H1029" i="1"/>
  <c r="L1028" i="1"/>
  <c r="K1028" i="1"/>
  <c r="H1028" i="1"/>
  <c r="L1027" i="1"/>
  <c r="K1027" i="1"/>
  <c r="H1027" i="1"/>
  <c r="L1026" i="1"/>
  <c r="K1026" i="1"/>
  <c r="H1026" i="1"/>
  <c r="L1025" i="1"/>
  <c r="K1025" i="1"/>
  <c r="H1025" i="1"/>
  <c r="L1024" i="1"/>
  <c r="K1024" i="1"/>
  <c r="H1024" i="1"/>
  <c r="L1023" i="1"/>
  <c r="K1023" i="1"/>
  <c r="H1023" i="1"/>
  <c r="L1022" i="1"/>
  <c r="K1022" i="1"/>
  <c r="H1022" i="1"/>
  <c r="L1021" i="1"/>
  <c r="K1021" i="1"/>
  <c r="H1021" i="1"/>
  <c r="L1020" i="1"/>
  <c r="K1020" i="1"/>
  <c r="H1020" i="1"/>
  <c r="L1019" i="1"/>
  <c r="K1019" i="1"/>
  <c r="H1019" i="1"/>
  <c r="L1018" i="1"/>
  <c r="K1018" i="1"/>
  <c r="H1018" i="1"/>
  <c r="L1017" i="1"/>
  <c r="K1017" i="1"/>
  <c r="H1017" i="1"/>
  <c r="L1011" i="1"/>
  <c r="K1011" i="1"/>
  <c r="H1011" i="1"/>
  <c r="L1010" i="1"/>
  <c r="K1010" i="1"/>
  <c r="H1010" i="1"/>
  <c r="L1009" i="1"/>
  <c r="K1009" i="1"/>
  <c r="H1009" i="1"/>
  <c r="L1008" i="1"/>
  <c r="K1008" i="1"/>
  <c r="H1008" i="1"/>
  <c r="L1007" i="1"/>
  <c r="K1007" i="1"/>
  <c r="H1007" i="1"/>
  <c r="L1006" i="1"/>
  <c r="K1006" i="1"/>
  <c r="H1006" i="1"/>
  <c r="L1005" i="1"/>
  <c r="K1005" i="1"/>
  <c r="H1005" i="1"/>
  <c r="L1004" i="1"/>
  <c r="K1004" i="1"/>
  <c r="H1004" i="1"/>
  <c r="L1003" i="1"/>
  <c r="K1003" i="1"/>
  <c r="H1003" i="1"/>
  <c r="L1002" i="1"/>
  <c r="K1002" i="1"/>
  <c r="H1002" i="1"/>
  <c r="L996" i="1"/>
  <c r="K996" i="1"/>
  <c r="H996" i="1"/>
  <c r="L990" i="1"/>
  <c r="K990" i="1"/>
  <c r="H990" i="1"/>
  <c r="L989" i="1"/>
  <c r="K989" i="1"/>
  <c r="H989" i="1"/>
  <c r="L988" i="1"/>
  <c r="K988" i="1"/>
  <c r="H988" i="1"/>
  <c r="L987" i="1"/>
  <c r="K987" i="1"/>
  <c r="H987" i="1"/>
  <c r="L986" i="1"/>
  <c r="K986" i="1"/>
  <c r="H986" i="1"/>
  <c r="L985" i="1"/>
  <c r="K985" i="1"/>
  <c r="H985" i="1"/>
  <c r="L984" i="1"/>
  <c r="K984" i="1"/>
  <c r="H984" i="1"/>
  <c r="L983" i="1"/>
  <c r="K983" i="1"/>
  <c r="H983" i="1"/>
  <c r="L977" i="1"/>
  <c r="K977" i="1"/>
  <c r="H977" i="1"/>
  <c r="L976" i="1"/>
  <c r="K976" i="1"/>
  <c r="H976" i="1"/>
  <c r="L975" i="1"/>
  <c r="K975" i="1"/>
  <c r="H975" i="1"/>
  <c r="L974" i="1"/>
  <c r="K974" i="1"/>
  <c r="H974" i="1"/>
  <c r="L973" i="1"/>
  <c r="K973" i="1"/>
  <c r="H973" i="1"/>
  <c r="L972" i="1"/>
  <c r="K972" i="1"/>
  <c r="H972" i="1"/>
  <c r="L971" i="1"/>
  <c r="K971" i="1"/>
  <c r="H971" i="1"/>
  <c r="L970" i="1"/>
  <c r="K970" i="1"/>
  <c r="H970" i="1"/>
  <c r="L969" i="1"/>
  <c r="K969" i="1"/>
  <c r="H969" i="1"/>
  <c r="L968" i="1"/>
  <c r="K968" i="1"/>
  <c r="H968" i="1"/>
  <c r="L967" i="1"/>
  <c r="K967" i="1"/>
  <c r="H967" i="1"/>
  <c r="L966" i="1"/>
  <c r="K966" i="1"/>
  <c r="H966" i="1"/>
  <c r="L965" i="1"/>
  <c r="K965" i="1"/>
  <c r="H965" i="1"/>
  <c r="L964" i="1"/>
  <c r="K964" i="1"/>
  <c r="H964" i="1"/>
  <c r="L963" i="1"/>
  <c r="K963" i="1"/>
  <c r="H963" i="1"/>
  <c r="L962" i="1"/>
  <c r="K962" i="1"/>
  <c r="H962" i="1"/>
  <c r="L961" i="1"/>
  <c r="K961" i="1"/>
  <c r="H961" i="1"/>
  <c r="L960" i="1"/>
  <c r="K960" i="1"/>
  <c r="H960" i="1"/>
  <c r="L959" i="1"/>
  <c r="K959" i="1"/>
  <c r="H959" i="1"/>
  <c r="L958" i="1"/>
  <c r="K958" i="1"/>
  <c r="H958" i="1"/>
  <c r="L957" i="1"/>
  <c r="K957" i="1"/>
  <c r="H957" i="1"/>
  <c r="L956" i="1"/>
  <c r="K956" i="1"/>
  <c r="H956" i="1"/>
  <c r="L955" i="1"/>
  <c r="K955" i="1"/>
  <c r="H955" i="1"/>
  <c r="L954" i="1"/>
  <c r="K954" i="1"/>
  <c r="H954" i="1"/>
  <c r="L953" i="1"/>
  <c r="K953" i="1"/>
  <c r="H953" i="1"/>
  <c r="L952" i="1"/>
  <c r="K952" i="1"/>
  <c r="H952" i="1"/>
  <c r="L946" i="1"/>
  <c r="K946" i="1"/>
  <c r="H946" i="1"/>
  <c r="L945" i="1"/>
  <c r="K945" i="1"/>
  <c r="H945" i="1"/>
  <c r="L944" i="1"/>
  <c r="K944" i="1"/>
  <c r="H944" i="1"/>
  <c r="L943" i="1"/>
  <c r="K943" i="1"/>
  <c r="H943" i="1"/>
  <c r="L942" i="1"/>
  <c r="K942" i="1"/>
  <c r="H942" i="1"/>
  <c r="L941" i="1"/>
  <c r="K941" i="1"/>
  <c r="H941" i="1"/>
  <c r="L940" i="1"/>
  <c r="K940" i="1"/>
  <c r="H940" i="1"/>
  <c r="L939" i="1"/>
  <c r="K939" i="1"/>
  <c r="H939" i="1"/>
  <c r="L933" i="1"/>
  <c r="K933" i="1"/>
  <c r="H933" i="1"/>
  <c r="L932" i="1"/>
  <c r="K932" i="1"/>
  <c r="H932" i="1"/>
  <c r="L931" i="1"/>
  <c r="K931" i="1"/>
  <c r="H931" i="1"/>
  <c r="L930" i="1"/>
  <c r="K930" i="1"/>
  <c r="H930" i="1"/>
  <c r="L929" i="1"/>
  <c r="K929" i="1"/>
  <c r="H929" i="1"/>
  <c r="L928" i="1"/>
  <c r="K928" i="1"/>
  <c r="H928" i="1"/>
  <c r="L927" i="1"/>
  <c r="K927" i="1"/>
  <c r="H927" i="1"/>
  <c r="L926" i="1"/>
  <c r="K926" i="1"/>
  <c r="H926" i="1"/>
  <c r="L925" i="1"/>
  <c r="K925" i="1"/>
  <c r="H925" i="1"/>
  <c r="L924" i="1"/>
  <c r="K924" i="1"/>
  <c r="H924" i="1"/>
  <c r="L923" i="1"/>
  <c r="K923" i="1"/>
  <c r="H923" i="1"/>
  <c r="L922" i="1"/>
  <c r="K922" i="1"/>
  <c r="H922" i="1"/>
  <c r="L921" i="1"/>
  <c r="K921" i="1"/>
  <c r="H921" i="1"/>
  <c r="L920" i="1"/>
  <c r="K920" i="1"/>
  <c r="H920" i="1"/>
  <c r="L919" i="1"/>
  <c r="K919" i="1"/>
  <c r="H919" i="1"/>
  <c r="L918" i="1"/>
  <c r="K918" i="1"/>
  <c r="H918" i="1"/>
  <c r="L917" i="1"/>
  <c r="K917" i="1"/>
  <c r="H917" i="1"/>
  <c r="L916" i="1"/>
  <c r="K916" i="1"/>
  <c r="H916" i="1"/>
  <c r="L910" i="1"/>
  <c r="K910" i="1"/>
  <c r="H910" i="1"/>
  <c r="L909" i="1"/>
  <c r="K909" i="1"/>
  <c r="H909" i="1"/>
  <c r="L908" i="1"/>
  <c r="K908" i="1"/>
  <c r="H908" i="1"/>
  <c r="L907" i="1"/>
  <c r="K907" i="1"/>
  <c r="H907" i="1"/>
  <c r="L906" i="1"/>
  <c r="K906" i="1"/>
  <c r="H906" i="1"/>
  <c r="L905" i="1"/>
  <c r="K905" i="1"/>
  <c r="H905" i="1"/>
  <c r="L904" i="1"/>
  <c r="K904" i="1"/>
  <c r="H904" i="1"/>
  <c r="L903" i="1"/>
  <c r="K903" i="1"/>
  <c r="H903" i="1"/>
  <c r="L902" i="1"/>
  <c r="K902" i="1"/>
  <c r="H902" i="1"/>
  <c r="L901" i="1"/>
  <c r="K901" i="1"/>
  <c r="H901" i="1"/>
  <c r="L900" i="1"/>
  <c r="K900" i="1"/>
  <c r="H900" i="1"/>
  <c r="L894" i="1"/>
  <c r="K894" i="1"/>
  <c r="H894" i="1"/>
  <c r="L888" i="1"/>
  <c r="K888" i="1"/>
  <c r="H888" i="1"/>
  <c r="L887" i="1"/>
  <c r="K887" i="1"/>
  <c r="H887" i="1"/>
  <c r="L886" i="1"/>
  <c r="K886" i="1"/>
  <c r="H886" i="1"/>
  <c r="L885" i="1"/>
  <c r="K885" i="1"/>
  <c r="H885" i="1"/>
  <c r="L879" i="1"/>
  <c r="K879" i="1"/>
  <c r="H879" i="1"/>
  <c r="L878" i="1"/>
  <c r="K878" i="1"/>
  <c r="H878" i="1"/>
  <c r="L877" i="1"/>
  <c r="K877" i="1"/>
  <c r="H877" i="1"/>
  <c r="L876" i="1"/>
  <c r="K876" i="1"/>
  <c r="H876" i="1"/>
  <c r="L875" i="1"/>
  <c r="K875" i="1"/>
  <c r="H875" i="1"/>
  <c r="L874" i="1"/>
  <c r="K874" i="1"/>
  <c r="H874" i="1"/>
  <c r="L873" i="1"/>
  <c r="K873" i="1"/>
  <c r="H873" i="1"/>
  <c r="L872" i="1"/>
  <c r="K872" i="1"/>
  <c r="H872" i="1"/>
  <c r="L871" i="1"/>
  <c r="K871" i="1"/>
  <c r="H871" i="1"/>
  <c r="L870" i="1"/>
  <c r="K870" i="1"/>
  <c r="H870" i="1"/>
  <c r="L869" i="1"/>
  <c r="K869" i="1"/>
  <c r="H869" i="1"/>
  <c r="L868" i="1"/>
  <c r="K868" i="1"/>
  <c r="H868" i="1"/>
  <c r="L867" i="1"/>
  <c r="K867" i="1"/>
  <c r="H867" i="1"/>
  <c r="L866" i="1"/>
  <c r="K866" i="1"/>
  <c r="H866" i="1"/>
  <c r="L860" i="1"/>
  <c r="K860" i="1"/>
  <c r="H860" i="1"/>
  <c r="L859" i="1"/>
  <c r="K859" i="1"/>
  <c r="H859" i="1"/>
  <c r="L858" i="1"/>
  <c r="K858" i="1"/>
  <c r="H858" i="1"/>
  <c r="L857" i="1"/>
  <c r="K857" i="1"/>
  <c r="H857" i="1"/>
  <c r="L856" i="1"/>
  <c r="K856" i="1"/>
  <c r="H856" i="1"/>
  <c r="L855" i="1"/>
  <c r="K855" i="1"/>
  <c r="H855" i="1"/>
  <c r="L854" i="1"/>
  <c r="K854" i="1"/>
  <c r="H854" i="1"/>
  <c r="L853" i="1"/>
  <c r="K853" i="1"/>
  <c r="H853" i="1"/>
  <c r="L852" i="1"/>
  <c r="K852" i="1"/>
  <c r="H852" i="1"/>
  <c r="L851" i="1"/>
  <c r="K851" i="1"/>
  <c r="H851" i="1"/>
  <c r="L850" i="1"/>
  <c r="K850" i="1"/>
  <c r="H850" i="1"/>
  <c r="L849" i="1"/>
  <c r="K849" i="1"/>
  <c r="H849" i="1"/>
  <c r="L848" i="1"/>
  <c r="K848" i="1"/>
  <c r="H848" i="1"/>
  <c r="L847" i="1"/>
  <c r="K847" i="1"/>
  <c r="H847" i="1"/>
  <c r="L846" i="1"/>
  <c r="K846" i="1"/>
  <c r="H846" i="1"/>
  <c r="L845" i="1"/>
  <c r="K845" i="1"/>
  <c r="H845" i="1"/>
  <c r="L844" i="1"/>
  <c r="K844" i="1"/>
  <c r="H844" i="1"/>
  <c r="L843" i="1"/>
  <c r="K843" i="1"/>
  <c r="H843" i="1"/>
  <c r="L842" i="1"/>
  <c r="K842" i="1"/>
  <c r="H842" i="1"/>
  <c r="L841" i="1"/>
  <c r="K841" i="1"/>
  <c r="H841" i="1"/>
  <c r="L840" i="1"/>
  <c r="K840" i="1"/>
  <c r="H840" i="1"/>
  <c r="L834" i="1"/>
  <c r="K834" i="1"/>
  <c r="H834" i="1"/>
  <c r="L833" i="1"/>
  <c r="K833" i="1"/>
  <c r="H833" i="1"/>
  <c r="L832" i="1"/>
  <c r="K832" i="1"/>
  <c r="H832" i="1"/>
  <c r="L831" i="1"/>
  <c r="K831" i="1"/>
  <c r="H831" i="1"/>
  <c r="L830" i="1"/>
  <c r="K830" i="1"/>
  <c r="H830" i="1"/>
  <c r="L829" i="1"/>
  <c r="K829" i="1"/>
  <c r="H829" i="1"/>
  <c r="L828" i="1"/>
  <c r="K828" i="1"/>
  <c r="H828" i="1"/>
  <c r="L827" i="1"/>
  <c r="K827" i="1"/>
  <c r="H827" i="1"/>
  <c r="L826" i="1"/>
  <c r="K826" i="1"/>
  <c r="H826" i="1"/>
  <c r="L825" i="1"/>
  <c r="K825" i="1"/>
  <c r="H825" i="1"/>
  <c r="L824" i="1"/>
  <c r="K824" i="1"/>
  <c r="H824" i="1"/>
  <c r="L823" i="1"/>
  <c r="K823" i="1"/>
  <c r="H823" i="1"/>
  <c r="L822" i="1"/>
  <c r="K822" i="1"/>
  <c r="H822" i="1"/>
  <c r="L821" i="1"/>
  <c r="K821" i="1"/>
  <c r="H821" i="1"/>
  <c r="L820" i="1"/>
  <c r="K820" i="1"/>
  <c r="H820" i="1"/>
  <c r="L819" i="1"/>
  <c r="K819" i="1"/>
  <c r="H819" i="1"/>
  <c r="L818" i="1"/>
  <c r="K818" i="1"/>
  <c r="H818" i="1"/>
  <c r="L812" i="1"/>
  <c r="K812" i="1"/>
  <c r="H812" i="1"/>
  <c r="L811" i="1"/>
  <c r="K811" i="1"/>
  <c r="H811" i="1"/>
  <c r="L810" i="1"/>
  <c r="K810" i="1"/>
  <c r="H810" i="1"/>
  <c r="L809" i="1"/>
  <c r="K809" i="1"/>
  <c r="H809" i="1"/>
  <c r="L808" i="1"/>
  <c r="K808" i="1"/>
  <c r="H808" i="1"/>
  <c r="L807" i="1"/>
  <c r="K807" i="1"/>
  <c r="H807" i="1"/>
  <c r="L806" i="1"/>
  <c r="K806" i="1"/>
  <c r="H806" i="1"/>
  <c r="L805" i="1"/>
  <c r="K805" i="1"/>
  <c r="H805" i="1"/>
  <c r="L804" i="1"/>
  <c r="K804" i="1"/>
  <c r="H804" i="1"/>
  <c r="L803" i="1"/>
  <c r="K803" i="1"/>
  <c r="H803" i="1"/>
  <c r="L802" i="1"/>
  <c r="K802" i="1"/>
  <c r="H802" i="1"/>
  <c r="L801" i="1"/>
  <c r="K801" i="1"/>
  <c r="H801" i="1"/>
  <c r="L795" i="1"/>
  <c r="K795" i="1"/>
  <c r="H795" i="1"/>
  <c r="L789" i="1"/>
  <c r="K789" i="1"/>
  <c r="H789" i="1"/>
  <c r="L788" i="1"/>
  <c r="K788" i="1"/>
  <c r="H788" i="1"/>
  <c r="L787" i="1"/>
  <c r="K787" i="1"/>
  <c r="H787" i="1"/>
  <c r="L786" i="1"/>
  <c r="K786" i="1"/>
  <c r="H786" i="1"/>
  <c r="L785" i="1"/>
  <c r="K785" i="1"/>
  <c r="H785" i="1"/>
  <c r="L784" i="1"/>
  <c r="K784" i="1"/>
  <c r="H784" i="1"/>
  <c r="L783" i="1"/>
  <c r="K783" i="1"/>
  <c r="H783" i="1"/>
  <c r="L782" i="1"/>
  <c r="K782" i="1"/>
  <c r="H782" i="1"/>
  <c r="L781" i="1"/>
  <c r="K781" i="1"/>
  <c r="H781" i="1"/>
  <c r="L780" i="1"/>
  <c r="K780" i="1"/>
  <c r="H780" i="1"/>
  <c r="L774" i="1"/>
  <c r="K774" i="1"/>
  <c r="H774" i="1"/>
  <c r="L773" i="1"/>
  <c r="K773" i="1"/>
  <c r="H773" i="1"/>
  <c r="L772" i="1"/>
  <c r="K772" i="1"/>
  <c r="H772" i="1"/>
  <c r="L771" i="1"/>
  <c r="K771" i="1"/>
  <c r="H771" i="1"/>
  <c r="L770" i="1"/>
  <c r="K770" i="1"/>
  <c r="H770" i="1"/>
  <c r="L769" i="1"/>
  <c r="K769" i="1"/>
  <c r="H769" i="1"/>
  <c r="L768" i="1"/>
  <c r="K768" i="1"/>
  <c r="H768" i="1"/>
  <c r="L767" i="1"/>
  <c r="K767" i="1"/>
  <c r="H767" i="1"/>
  <c r="L761" i="1"/>
  <c r="K761" i="1"/>
  <c r="H761" i="1"/>
  <c r="L755" i="1"/>
  <c r="K755" i="1"/>
  <c r="H755" i="1"/>
  <c r="L754" i="1"/>
  <c r="K754" i="1"/>
  <c r="H754" i="1"/>
  <c r="L753" i="1"/>
  <c r="K753" i="1"/>
  <c r="H753" i="1"/>
  <c r="L752" i="1"/>
  <c r="K752" i="1"/>
  <c r="H752" i="1"/>
  <c r="L751" i="1"/>
  <c r="K751" i="1"/>
  <c r="H751" i="1"/>
  <c r="L750" i="1"/>
  <c r="K750" i="1"/>
  <c r="H750" i="1"/>
  <c r="L749" i="1"/>
  <c r="K749" i="1"/>
  <c r="H749" i="1"/>
  <c r="L748" i="1"/>
  <c r="K748" i="1"/>
  <c r="H748" i="1"/>
  <c r="L747" i="1"/>
  <c r="K747" i="1"/>
  <c r="H747" i="1"/>
  <c r="L746" i="1"/>
  <c r="K746" i="1"/>
  <c r="H746" i="1"/>
  <c r="L745" i="1"/>
  <c r="K745" i="1"/>
  <c r="H745" i="1"/>
  <c r="L744" i="1"/>
  <c r="K744" i="1"/>
  <c r="H744" i="1"/>
  <c r="L743" i="1"/>
  <c r="K743" i="1"/>
  <c r="H743" i="1"/>
  <c r="L742" i="1"/>
  <c r="K742" i="1"/>
  <c r="H742" i="1"/>
  <c r="L736" i="1"/>
  <c r="K736" i="1"/>
  <c r="H736" i="1"/>
  <c r="L735" i="1"/>
  <c r="K735" i="1"/>
  <c r="H735" i="1"/>
  <c r="L734" i="1"/>
  <c r="K734" i="1"/>
  <c r="H734" i="1"/>
  <c r="L733" i="1"/>
  <c r="K733" i="1"/>
  <c r="H733" i="1"/>
  <c r="L732" i="1"/>
  <c r="K732" i="1"/>
  <c r="H732" i="1"/>
  <c r="L731" i="1"/>
  <c r="K731" i="1"/>
  <c r="H731" i="1"/>
  <c r="L730" i="1"/>
  <c r="K730" i="1"/>
  <c r="H730" i="1"/>
  <c r="L729" i="1"/>
  <c r="K729" i="1"/>
  <c r="H729" i="1"/>
  <c r="L728" i="1"/>
  <c r="K728" i="1"/>
  <c r="H728" i="1"/>
  <c r="L727" i="1"/>
  <c r="K727" i="1"/>
  <c r="H727" i="1"/>
  <c r="L726" i="1"/>
  <c r="K726" i="1"/>
  <c r="H726" i="1"/>
  <c r="L725" i="1"/>
  <c r="K725" i="1"/>
  <c r="H725" i="1"/>
  <c r="L724" i="1"/>
  <c r="K724" i="1"/>
  <c r="H724" i="1"/>
  <c r="L723" i="1"/>
  <c r="K723" i="1"/>
  <c r="H723" i="1"/>
  <c r="L722" i="1"/>
  <c r="K722" i="1"/>
  <c r="H722" i="1"/>
  <c r="L721" i="1"/>
  <c r="K721" i="1"/>
  <c r="H721" i="1"/>
  <c r="L720" i="1"/>
  <c r="K720" i="1"/>
  <c r="H720" i="1"/>
  <c r="L719" i="1"/>
  <c r="K719" i="1"/>
  <c r="H719" i="1"/>
  <c r="L718" i="1"/>
  <c r="K718" i="1"/>
  <c r="H718" i="1"/>
  <c r="L712" i="1"/>
  <c r="K712" i="1"/>
  <c r="H712" i="1"/>
  <c r="L706" i="1"/>
  <c r="K706" i="1"/>
  <c r="H706" i="1"/>
  <c r="L705" i="1"/>
  <c r="K705" i="1"/>
  <c r="H705" i="1"/>
  <c r="L704" i="1"/>
  <c r="K704" i="1"/>
  <c r="H704" i="1"/>
  <c r="L703" i="1"/>
  <c r="K703" i="1"/>
  <c r="H703" i="1"/>
  <c r="L702" i="1"/>
  <c r="K702" i="1"/>
  <c r="H702" i="1"/>
  <c r="L701" i="1"/>
  <c r="K701" i="1"/>
  <c r="H701" i="1"/>
  <c r="L700" i="1"/>
  <c r="K700" i="1"/>
  <c r="H700" i="1"/>
  <c r="L699" i="1"/>
  <c r="K699" i="1"/>
  <c r="H699" i="1"/>
  <c r="L698" i="1"/>
  <c r="K698" i="1"/>
  <c r="H698" i="1"/>
  <c r="L697" i="1"/>
  <c r="K697" i="1"/>
  <c r="H697" i="1"/>
  <c r="L696" i="1"/>
  <c r="K696" i="1"/>
  <c r="H696" i="1"/>
  <c r="L695" i="1"/>
  <c r="K695" i="1"/>
  <c r="H695" i="1"/>
  <c r="L694" i="1"/>
  <c r="K694" i="1"/>
  <c r="H694" i="1"/>
  <c r="L688" i="1"/>
  <c r="K688" i="1"/>
  <c r="H688" i="1"/>
  <c r="L687" i="1"/>
  <c r="K687" i="1"/>
  <c r="H687" i="1"/>
  <c r="L686" i="1"/>
  <c r="K686" i="1"/>
  <c r="H686" i="1"/>
  <c r="L685" i="1"/>
  <c r="K685" i="1"/>
  <c r="H685" i="1"/>
  <c r="L684" i="1"/>
  <c r="K684" i="1"/>
  <c r="H684" i="1"/>
  <c r="L683" i="1"/>
  <c r="K683" i="1"/>
  <c r="H683" i="1"/>
  <c r="L682" i="1"/>
  <c r="K682" i="1"/>
  <c r="H682" i="1"/>
  <c r="L681" i="1"/>
  <c r="K681" i="1"/>
  <c r="H681" i="1"/>
  <c r="L680" i="1"/>
  <c r="K680" i="1"/>
  <c r="H680" i="1"/>
  <c r="L679" i="1"/>
  <c r="K679" i="1"/>
  <c r="H679" i="1"/>
  <c r="L678" i="1"/>
  <c r="K678" i="1"/>
  <c r="H678" i="1"/>
  <c r="L677" i="1"/>
  <c r="K677" i="1"/>
  <c r="H677" i="1"/>
  <c r="L676" i="1"/>
  <c r="K676" i="1"/>
  <c r="H676" i="1"/>
  <c r="L675" i="1"/>
  <c r="K675" i="1"/>
  <c r="H675" i="1"/>
  <c r="L669" i="1"/>
  <c r="K669" i="1"/>
  <c r="H669" i="1"/>
  <c r="L668" i="1"/>
  <c r="K668" i="1"/>
  <c r="H668" i="1"/>
  <c r="L667" i="1"/>
  <c r="K667" i="1"/>
  <c r="H667" i="1"/>
  <c r="L666" i="1"/>
  <c r="K666" i="1"/>
  <c r="H666" i="1"/>
  <c r="L665" i="1"/>
  <c r="K665" i="1"/>
  <c r="H665" i="1"/>
  <c r="L664" i="1"/>
  <c r="K664" i="1"/>
  <c r="H664" i="1"/>
  <c r="L663" i="1"/>
  <c r="K663" i="1"/>
  <c r="H663" i="1"/>
  <c r="L657" i="1"/>
  <c r="K657" i="1"/>
  <c r="H657" i="1"/>
  <c r="L656" i="1"/>
  <c r="K656" i="1"/>
  <c r="H656" i="1"/>
  <c r="L650" i="1"/>
  <c r="K650" i="1"/>
  <c r="H650" i="1"/>
  <c r="L649" i="1"/>
  <c r="K649" i="1"/>
  <c r="H649" i="1"/>
  <c r="L643" i="1"/>
  <c r="K643" i="1"/>
  <c r="H643" i="1"/>
  <c r="L642" i="1"/>
  <c r="K642" i="1"/>
  <c r="H642" i="1"/>
  <c r="L641" i="1"/>
  <c r="K641" i="1"/>
  <c r="H641" i="1"/>
  <c r="L640" i="1"/>
  <c r="K640" i="1"/>
  <c r="H640" i="1"/>
  <c r="L639" i="1"/>
  <c r="K639" i="1"/>
  <c r="H639" i="1"/>
  <c r="L638" i="1"/>
  <c r="K638" i="1"/>
  <c r="H638" i="1"/>
  <c r="L637" i="1"/>
  <c r="K637" i="1"/>
  <c r="H637" i="1"/>
  <c r="L636" i="1"/>
  <c r="K636" i="1"/>
  <c r="H636" i="1"/>
  <c r="L635" i="1"/>
  <c r="K635" i="1"/>
  <c r="H635" i="1"/>
  <c r="L629" i="1"/>
  <c r="K629" i="1"/>
  <c r="H629" i="1"/>
  <c r="L628" i="1"/>
  <c r="K628" i="1"/>
  <c r="H628" i="1"/>
  <c r="L627" i="1"/>
  <c r="K627" i="1"/>
  <c r="H627" i="1"/>
  <c r="L626" i="1"/>
  <c r="K626" i="1"/>
  <c r="H626" i="1"/>
  <c r="L625" i="1"/>
  <c r="K625" i="1"/>
  <c r="H625" i="1"/>
  <c r="L624" i="1"/>
  <c r="K624" i="1"/>
  <c r="H624" i="1"/>
  <c r="L618" i="1"/>
  <c r="K618" i="1"/>
  <c r="H618" i="1"/>
  <c r="L612" i="1"/>
  <c r="K612" i="1"/>
  <c r="H612" i="1"/>
  <c r="L611" i="1"/>
  <c r="K611" i="1"/>
  <c r="H611" i="1"/>
  <c r="L610" i="1"/>
  <c r="K610" i="1"/>
  <c r="H610" i="1"/>
  <c r="L609" i="1"/>
  <c r="K609" i="1"/>
  <c r="H609" i="1"/>
  <c r="L608" i="1"/>
  <c r="K608" i="1"/>
  <c r="H608" i="1"/>
  <c r="L607" i="1"/>
  <c r="K607" i="1"/>
  <c r="H607" i="1"/>
  <c r="L601" i="1"/>
  <c r="K601" i="1"/>
  <c r="H601" i="1"/>
  <c r="L600" i="1"/>
  <c r="K600" i="1"/>
  <c r="H600" i="1"/>
  <c r="L599" i="1"/>
  <c r="K599" i="1"/>
  <c r="H599" i="1"/>
  <c r="L598" i="1"/>
  <c r="K598" i="1"/>
  <c r="H598" i="1"/>
  <c r="L597" i="1"/>
  <c r="K597" i="1"/>
  <c r="H597" i="1"/>
  <c r="L596" i="1"/>
  <c r="K596" i="1"/>
  <c r="H596" i="1"/>
  <c r="L595" i="1"/>
  <c r="K595" i="1"/>
  <c r="H595" i="1"/>
  <c r="L594" i="1"/>
  <c r="K594" i="1"/>
  <c r="H594" i="1"/>
  <c r="L593" i="1"/>
  <c r="K593" i="1"/>
  <c r="H593" i="1"/>
  <c r="L592" i="1"/>
  <c r="K592" i="1"/>
  <c r="H592" i="1"/>
  <c r="L591" i="1"/>
  <c r="K591" i="1"/>
  <c r="H591" i="1"/>
  <c r="L590" i="1"/>
  <c r="K590" i="1"/>
  <c r="H590" i="1"/>
  <c r="L589" i="1"/>
  <c r="K589" i="1"/>
  <c r="H589" i="1"/>
  <c r="L583" i="1"/>
  <c r="K583" i="1"/>
  <c r="H583" i="1"/>
  <c r="L582" i="1"/>
  <c r="K582" i="1"/>
  <c r="H582" i="1"/>
  <c r="L581" i="1"/>
  <c r="K581" i="1"/>
  <c r="H581" i="1"/>
  <c r="L580" i="1"/>
  <c r="K580" i="1"/>
  <c r="H580" i="1"/>
  <c r="L579" i="1"/>
  <c r="K579" i="1"/>
  <c r="H579" i="1"/>
  <c r="L578" i="1"/>
  <c r="K578" i="1"/>
  <c r="H578" i="1"/>
  <c r="L577" i="1"/>
  <c r="K577" i="1"/>
  <c r="H577" i="1"/>
  <c r="L576" i="1"/>
  <c r="K576" i="1"/>
  <c r="H576" i="1"/>
  <c r="L575" i="1"/>
  <c r="K575" i="1"/>
  <c r="H575" i="1"/>
  <c r="L574" i="1"/>
  <c r="K574" i="1"/>
  <c r="H574" i="1"/>
  <c r="L573" i="1"/>
  <c r="K573" i="1"/>
  <c r="H573" i="1"/>
  <c r="L572" i="1"/>
  <c r="K572" i="1"/>
  <c r="H572" i="1"/>
  <c r="L571" i="1"/>
  <c r="K571" i="1"/>
  <c r="H571" i="1"/>
  <c r="L570" i="1"/>
  <c r="K570" i="1"/>
  <c r="H570" i="1"/>
  <c r="L564" i="1"/>
  <c r="K564" i="1"/>
  <c r="H564" i="1"/>
  <c r="L563" i="1"/>
  <c r="K563" i="1"/>
  <c r="H563" i="1"/>
  <c r="L562" i="1"/>
  <c r="K562" i="1"/>
  <c r="H562" i="1"/>
  <c r="L561" i="1"/>
  <c r="K561" i="1"/>
  <c r="H561" i="1"/>
  <c r="L560" i="1"/>
  <c r="K560" i="1"/>
  <c r="H560" i="1"/>
  <c r="L559" i="1"/>
  <c r="K559" i="1"/>
  <c r="H559" i="1"/>
  <c r="L553" i="1"/>
  <c r="K553" i="1"/>
  <c r="H553" i="1"/>
  <c r="L552" i="1"/>
  <c r="K552" i="1"/>
  <c r="H552" i="1"/>
  <c r="L551" i="1"/>
  <c r="K551" i="1"/>
  <c r="H551" i="1"/>
  <c r="L550" i="1"/>
  <c r="K550" i="1"/>
  <c r="H550" i="1"/>
  <c r="L544" i="1"/>
  <c r="K544" i="1"/>
  <c r="H544" i="1"/>
  <c r="L543" i="1"/>
  <c r="K543" i="1"/>
  <c r="H543" i="1"/>
  <c r="L542" i="1"/>
  <c r="K542" i="1"/>
  <c r="H542" i="1"/>
  <c r="L541" i="1"/>
  <c r="K541" i="1"/>
  <c r="H541" i="1"/>
  <c r="L540" i="1"/>
  <c r="K540" i="1"/>
  <c r="H540" i="1"/>
  <c r="L539" i="1"/>
  <c r="K539" i="1"/>
  <c r="H539" i="1"/>
  <c r="L538" i="1"/>
  <c r="K538" i="1"/>
  <c r="H538" i="1"/>
  <c r="L537" i="1"/>
  <c r="K537" i="1"/>
  <c r="H537" i="1"/>
  <c r="L536" i="1"/>
  <c r="K536" i="1"/>
  <c r="H536" i="1"/>
  <c r="L535" i="1"/>
  <c r="K535" i="1"/>
  <c r="H535" i="1"/>
  <c r="L534" i="1"/>
  <c r="K534" i="1"/>
  <c r="H534" i="1"/>
  <c r="L533" i="1"/>
  <c r="K533" i="1"/>
  <c r="H533" i="1"/>
  <c r="L532" i="1"/>
  <c r="K532" i="1"/>
  <c r="H532" i="1"/>
  <c r="L531" i="1"/>
  <c r="K531" i="1"/>
  <c r="H531" i="1"/>
  <c r="L530" i="1"/>
  <c r="K530" i="1"/>
  <c r="H530" i="1"/>
  <c r="L529" i="1"/>
  <c r="K529" i="1"/>
  <c r="H529" i="1"/>
  <c r="L528" i="1"/>
  <c r="K528" i="1"/>
  <c r="H528" i="1"/>
  <c r="L527" i="1"/>
  <c r="K527" i="1"/>
  <c r="H527" i="1"/>
  <c r="L526" i="1"/>
  <c r="K526" i="1"/>
  <c r="H526" i="1"/>
  <c r="L525" i="1"/>
  <c r="K525" i="1"/>
  <c r="H525" i="1"/>
  <c r="L524" i="1"/>
  <c r="K524" i="1"/>
  <c r="H524" i="1"/>
  <c r="L523" i="1"/>
  <c r="K523" i="1"/>
  <c r="H523" i="1"/>
  <c r="L522" i="1"/>
  <c r="K522" i="1"/>
  <c r="H522" i="1"/>
  <c r="L521" i="1"/>
  <c r="K521" i="1"/>
  <c r="H521" i="1"/>
  <c r="L520" i="1"/>
  <c r="K520" i="1"/>
  <c r="H520" i="1"/>
  <c r="L519" i="1"/>
  <c r="K519" i="1"/>
  <c r="H519" i="1"/>
  <c r="L518" i="1"/>
  <c r="K518" i="1"/>
  <c r="H518" i="1"/>
  <c r="L517" i="1"/>
  <c r="K517" i="1"/>
  <c r="H517" i="1"/>
  <c r="L516" i="1"/>
  <c r="K516" i="1"/>
  <c r="H516" i="1"/>
  <c r="L515" i="1"/>
  <c r="K515" i="1"/>
  <c r="H515" i="1"/>
  <c r="L514" i="1"/>
  <c r="K514" i="1"/>
  <c r="H514" i="1"/>
  <c r="L513" i="1"/>
  <c r="K513" i="1"/>
  <c r="H513" i="1"/>
  <c r="L512" i="1"/>
  <c r="K512" i="1"/>
  <c r="H512" i="1"/>
  <c r="L511" i="1"/>
  <c r="K511" i="1"/>
  <c r="H511" i="1"/>
  <c r="L510" i="1"/>
  <c r="K510" i="1"/>
  <c r="H510" i="1"/>
  <c r="L509" i="1"/>
  <c r="K509" i="1"/>
  <c r="H509" i="1"/>
  <c r="L508" i="1"/>
  <c r="K508" i="1"/>
  <c r="H508" i="1"/>
  <c r="L507" i="1"/>
  <c r="K507" i="1"/>
  <c r="H507" i="1"/>
  <c r="L506" i="1"/>
  <c r="K506" i="1"/>
  <c r="H506" i="1"/>
  <c r="L505" i="1"/>
  <c r="K505" i="1"/>
  <c r="H505" i="1"/>
  <c r="L504" i="1"/>
  <c r="K504" i="1"/>
  <c r="H504" i="1"/>
  <c r="L503" i="1"/>
  <c r="K503" i="1"/>
  <c r="H503" i="1"/>
  <c r="L502" i="1"/>
  <c r="K502" i="1"/>
  <c r="H502" i="1"/>
  <c r="L501" i="1"/>
  <c r="K501" i="1"/>
  <c r="H501" i="1"/>
  <c r="L500" i="1"/>
  <c r="K500" i="1"/>
  <c r="H500" i="1"/>
  <c r="L499" i="1"/>
  <c r="K499" i="1"/>
  <c r="H499" i="1"/>
  <c r="L498" i="1"/>
  <c r="K498" i="1"/>
  <c r="H498" i="1"/>
  <c r="L497" i="1"/>
  <c r="K497" i="1"/>
  <c r="H497" i="1"/>
  <c r="L496" i="1"/>
  <c r="K496" i="1"/>
  <c r="H496" i="1"/>
  <c r="L495" i="1"/>
  <c r="K495" i="1"/>
  <c r="H495" i="1"/>
  <c r="L494" i="1"/>
  <c r="K494" i="1"/>
  <c r="H494" i="1"/>
  <c r="L493" i="1"/>
  <c r="K493" i="1"/>
  <c r="H493" i="1"/>
  <c r="L492" i="1"/>
  <c r="K492" i="1"/>
  <c r="H492" i="1"/>
  <c r="L491" i="1"/>
  <c r="K491" i="1"/>
  <c r="H491" i="1"/>
  <c r="L490" i="1"/>
  <c r="K490" i="1"/>
  <c r="H490" i="1"/>
  <c r="L489" i="1"/>
  <c r="K489" i="1"/>
  <c r="H489" i="1"/>
  <c r="L488" i="1"/>
  <c r="K488" i="1"/>
  <c r="H488" i="1"/>
  <c r="L487" i="1"/>
  <c r="K487" i="1"/>
  <c r="H487" i="1"/>
  <c r="L486" i="1"/>
  <c r="K486" i="1"/>
  <c r="H486" i="1"/>
  <c r="L485" i="1"/>
  <c r="K485" i="1"/>
  <c r="H485" i="1"/>
  <c r="L484" i="1"/>
  <c r="K484" i="1"/>
  <c r="H484" i="1"/>
  <c r="L483" i="1"/>
  <c r="K483" i="1"/>
  <c r="H483" i="1"/>
  <c r="L482" i="1"/>
  <c r="K482" i="1"/>
  <c r="H482" i="1"/>
  <c r="L481" i="1"/>
  <c r="K481" i="1"/>
  <c r="H481" i="1"/>
  <c r="L480" i="1"/>
  <c r="K480" i="1"/>
  <c r="H480" i="1"/>
  <c r="L479" i="1"/>
  <c r="K479" i="1"/>
  <c r="H479" i="1"/>
  <c r="L478" i="1"/>
  <c r="K478" i="1"/>
  <c r="H478" i="1"/>
  <c r="L477" i="1"/>
  <c r="K477" i="1"/>
  <c r="H477" i="1"/>
  <c r="L476" i="1"/>
  <c r="K476" i="1"/>
  <c r="H476" i="1"/>
  <c r="L475" i="1"/>
  <c r="K475" i="1"/>
  <c r="H475" i="1"/>
  <c r="L474" i="1"/>
  <c r="K474" i="1"/>
  <c r="H474" i="1"/>
  <c r="L473" i="1"/>
  <c r="K473" i="1"/>
  <c r="H473" i="1"/>
  <c r="L472" i="1"/>
  <c r="K472" i="1"/>
  <c r="H472" i="1"/>
  <c r="L471" i="1"/>
  <c r="K471" i="1"/>
  <c r="H471" i="1"/>
  <c r="L470" i="1"/>
  <c r="K470" i="1"/>
  <c r="H470" i="1"/>
  <c r="L469" i="1"/>
  <c r="K469" i="1"/>
  <c r="H469" i="1"/>
  <c r="L468" i="1"/>
  <c r="K468" i="1"/>
  <c r="H468" i="1"/>
  <c r="L467" i="1"/>
  <c r="K467" i="1"/>
  <c r="H467" i="1"/>
  <c r="L466" i="1"/>
  <c r="K466" i="1"/>
  <c r="H466" i="1"/>
  <c r="L465" i="1"/>
  <c r="K465" i="1"/>
  <c r="H465" i="1"/>
  <c r="L464" i="1"/>
  <c r="K464" i="1"/>
  <c r="H464" i="1"/>
  <c r="L463" i="1"/>
  <c r="K463" i="1"/>
  <c r="H463" i="1"/>
  <c r="L462" i="1"/>
  <c r="K462" i="1"/>
  <c r="H462" i="1"/>
  <c r="L461" i="1"/>
  <c r="K461" i="1"/>
  <c r="H461" i="1"/>
  <c r="L460" i="1"/>
  <c r="K460" i="1"/>
  <c r="H460" i="1"/>
  <c r="L459" i="1"/>
  <c r="K459" i="1"/>
  <c r="H459" i="1"/>
  <c r="L458" i="1"/>
  <c r="K458" i="1"/>
  <c r="H458" i="1"/>
  <c r="L457" i="1"/>
  <c r="K457" i="1"/>
  <c r="H457" i="1"/>
  <c r="L456" i="1"/>
  <c r="K456" i="1"/>
  <c r="H456" i="1"/>
  <c r="L455" i="1"/>
  <c r="K455" i="1"/>
  <c r="H455" i="1"/>
  <c r="L454" i="1"/>
  <c r="K454" i="1"/>
  <c r="H454" i="1"/>
  <c r="L453" i="1"/>
  <c r="K453" i="1"/>
  <c r="H453" i="1"/>
  <c r="L452" i="1"/>
  <c r="K452" i="1"/>
  <c r="H452" i="1"/>
  <c r="L451" i="1"/>
  <c r="K451" i="1"/>
  <c r="H451" i="1"/>
  <c r="L450" i="1"/>
  <c r="K450" i="1"/>
  <c r="H450" i="1"/>
  <c r="L449" i="1"/>
  <c r="K449" i="1"/>
  <c r="H449" i="1"/>
  <c r="L448" i="1"/>
  <c r="K448" i="1"/>
  <c r="H448" i="1"/>
  <c r="L447" i="1"/>
  <c r="K447" i="1"/>
  <c r="H447" i="1"/>
  <c r="L446" i="1"/>
  <c r="K446" i="1"/>
  <c r="H446" i="1"/>
  <c r="L445" i="1"/>
  <c r="K445" i="1"/>
  <c r="H445" i="1"/>
  <c r="L444" i="1"/>
  <c r="K444" i="1"/>
  <c r="H444" i="1"/>
  <c r="L443" i="1"/>
  <c r="K443" i="1"/>
  <c r="H443" i="1"/>
  <c r="L442" i="1"/>
  <c r="K442" i="1"/>
  <c r="H442" i="1"/>
  <c r="L441" i="1"/>
  <c r="K441" i="1"/>
  <c r="H441" i="1"/>
  <c r="L440" i="1"/>
  <c r="K440" i="1"/>
  <c r="H440" i="1"/>
  <c r="L439" i="1"/>
  <c r="K439" i="1"/>
  <c r="H439" i="1"/>
  <c r="L438" i="1"/>
  <c r="K438" i="1"/>
  <c r="H438" i="1"/>
  <c r="L437" i="1"/>
  <c r="K437" i="1"/>
  <c r="H437" i="1"/>
  <c r="L436" i="1"/>
  <c r="K436" i="1"/>
  <c r="H436" i="1"/>
  <c r="L435" i="1"/>
  <c r="K435" i="1"/>
  <c r="H435" i="1"/>
  <c r="L434" i="1"/>
  <c r="K434" i="1"/>
  <c r="H434" i="1"/>
  <c r="L433" i="1"/>
  <c r="K433" i="1"/>
  <c r="H433" i="1"/>
  <c r="L432" i="1"/>
  <c r="K432" i="1"/>
  <c r="H432" i="1"/>
  <c r="L431" i="1"/>
  <c r="K431" i="1"/>
  <c r="H431" i="1"/>
  <c r="L430" i="1"/>
  <c r="K430" i="1"/>
  <c r="H430" i="1"/>
  <c r="L429" i="1"/>
  <c r="K429" i="1"/>
  <c r="H429" i="1"/>
  <c r="L428" i="1"/>
  <c r="K428" i="1"/>
  <c r="H428" i="1"/>
  <c r="L427" i="1"/>
  <c r="K427" i="1"/>
  <c r="H427" i="1"/>
  <c r="L426" i="1"/>
  <c r="K426" i="1"/>
  <c r="H426" i="1"/>
  <c r="L425" i="1"/>
  <c r="K425" i="1"/>
  <c r="H425" i="1"/>
  <c r="L424" i="1"/>
  <c r="K424" i="1"/>
  <c r="H424" i="1"/>
  <c r="L423" i="1"/>
  <c r="K423" i="1"/>
  <c r="H423" i="1"/>
  <c r="L422" i="1"/>
  <c r="K422" i="1"/>
  <c r="H422" i="1"/>
  <c r="L421" i="1"/>
  <c r="K421" i="1"/>
  <c r="H421" i="1"/>
  <c r="L420" i="1"/>
  <c r="K420" i="1"/>
  <c r="H420" i="1"/>
  <c r="L419" i="1"/>
  <c r="K419" i="1"/>
  <c r="H419" i="1"/>
  <c r="L418" i="1"/>
  <c r="K418" i="1"/>
  <c r="H418" i="1"/>
  <c r="L417" i="1"/>
  <c r="K417" i="1"/>
  <c r="H417" i="1"/>
  <c r="L416" i="1"/>
  <c r="K416" i="1"/>
  <c r="H416" i="1"/>
  <c r="L415" i="1"/>
  <c r="K415" i="1"/>
  <c r="H415" i="1"/>
  <c r="L414" i="1"/>
  <c r="K414" i="1"/>
  <c r="H414" i="1"/>
  <c r="L413" i="1"/>
  <c r="K413" i="1"/>
  <c r="H413" i="1"/>
  <c r="L412" i="1"/>
  <c r="K412" i="1"/>
  <c r="H412" i="1"/>
  <c r="L411" i="1"/>
  <c r="K411" i="1"/>
  <c r="H411" i="1"/>
  <c r="L410" i="1"/>
  <c r="K410" i="1"/>
  <c r="H410" i="1"/>
  <c r="L409" i="1"/>
  <c r="K409" i="1"/>
  <c r="H409" i="1"/>
  <c r="L408" i="1"/>
  <c r="K408" i="1"/>
  <c r="H408" i="1"/>
  <c r="L407" i="1"/>
  <c r="K407" i="1"/>
  <c r="H407" i="1"/>
  <c r="L406" i="1"/>
  <c r="K406" i="1"/>
  <c r="H406" i="1"/>
  <c r="L405" i="1"/>
  <c r="K405" i="1"/>
  <c r="H405" i="1"/>
  <c r="L404" i="1"/>
  <c r="K404" i="1"/>
  <c r="H404" i="1"/>
  <c r="L403" i="1"/>
  <c r="K403" i="1"/>
  <c r="H403" i="1"/>
  <c r="L402" i="1"/>
  <c r="K402" i="1"/>
  <c r="H402" i="1"/>
  <c r="L401" i="1"/>
  <c r="K401" i="1"/>
  <c r="H401" i="1"/>
  <c r="L400" i="1"/>
  <c r="K400" i="1"/>
  <c r="H400" i="1"/>
  <c r="L399" i="1"/>
  <c r="K399" i="1"/>
  <c r="H399" i="1"/>
  <c r="L398" i="1"/>
  <c r="K398" i="1"/>
  <c r="H398" i="1"/>
  <c r="L397" i="1"/>
  <c r="K397" i="1"/>
  <c r="H397" i="1"/>
  <c r="L396" i="1"/>
  <c r="K396" i="1"/>
  <c r="H396" i="1"/>
  <c r="L395" i="1"/>
  <c r="K395" i="1"/>
  <c r="H395" i="1"/>
  <c r="L394" i="1"/>
  <c r="K394" i="1"/>
  <c r="H394" i="1"/>
  <c r="L393" i="1"/>
  <c r="K393" i="1"/>
  <c r="H393" i="1"/>
  <c r="L392" i="1"/>
  <c r="K392" i="1"/>
  <c r="H392" i="1"/>
  <c r="L391" i="1"/>
  <c r="K391" i="1"/>
  <c r="H391" i="1"/>
  <c r="L390" i="1"/>
  <c r="K390" i="1"/>
  <c r="H390" i="1"/>
  <c r="L389" i="1"/>
  <c r="K389" i="1"/>
  <c r="H389" i="1"/>
  <c r="L388" i="1"/>
  <c r="K388" i="1"/>
  <c r="H388" i="1"/>
  <c r="L387" i="1"/>
  <c r="K387" i="1"/>
  <c r="H387" i="1"/>
  <c r="L386" i="1"/>
  <c r="K386" i="1"/>
  <c r="H386" i="1"/>
  <c r="L385" i="1"/>
  <c r="K385" i="1"/>
  <c r="H385" i="1"/>
  <c r="L384" i="1"/>
  <c r="K384" i="1"/>
  <c r="H384" i="1"/>
  <c r="L383" i="1"/>
  <c r="K383" i="1"/>
  <c r="H383" i="1"/>
  <c r="L382" i="1"/>
  <c r="K382" i="1"/>
  <c r="H382" i="1"/>
  <c r="L381" i="1"/>
  <c r="K381" i="1"/>
  <c r="H381" i="1"/>
  <c r="L380" i="1"/>
  <c r="K380" i="1"/>
  <c r="H380" i="1"/>
  <c r="L379" i="1"/>
  <c r="K379" i="1"/>
  <c r="H379" i="1"/>
  <c r="L378" i="1"/>
  <c r="K378" i="1"/>
  <c r="H378" i="1"/>
  <c r="L377" i="1"/>
  <c r="K377" i="1"/>
  <c r="H377" i="1"/>
  <c r="L376" i="1"/>
  <c r="K376" i="1"/>
  <c r="H376" i="1"/>
  <c r="L375" i="1"/>
  <c r="K375" i="1"/>
  <c r="H375" i="1"/>
  <c r="L374" i="1"/>
  <c r="K374" i="1"/>
  <c r="H374" i="1"/>
  <c r="L373" i="1"/>
  <c r="K373" i="1"/>
  <c r="H373" i="1"/>
  <c r="L372" i="1"/>
  <c r="K372" i="1"/>
  <c r="H372" i="1"/>
  <c r="L371" i="1"/>
  <c r="K371" i="1"/>
  <c r="H371" i="1"/>
  <c r="L370" i="1"/>
  <c r="K370" i="1"/>
  <c r="H370" i="1"/>
  <c r="L369" i="1"/>
  <c r="K369" i="1"/>
  <c r="H369" i="1"/>
  <c r="L368" i="1"/>
  <c r="K368" i="1"/>
  <c r="H368" i="1"/>
  <c r="L367" i="1"/>
  <c r="K367" i="1"/>
  <c r="H367" i="1"/>
  <c r="L366" i="1"/>
  <c r="K366" i="1"/>
  <c r="H366" i="1"/>
  <c r="L365" i="1"/>
  <c r="K365" i="1"/>
  <c r="H365" i="1"/>
  <c r="L364" i="1"/>
  <c r="K364" i="1"/>
  <c r="H364" i="1"/>
  <c r="L363" i="1"/>
  <c r="K363" i="1"/>
  <c r="H363" i="1"/>
  <c r="L362" i="1"/>
  <c r="K362" i="1"/>
  <c r="H362" i="1"/>
  <c r="L361" i="1"/>
  <c r="K361" i="1"/>
  <c r="H361" i="1"/>
  <c r="L360" i="1"/>
  <c r="K360" i="1"/>
  <c r="H360" i="1"/>
  <c r="L359" i="1"/>
  <c r="K359" i="1"/>
  <c r="H359" i="1"/>
  <c r="L358" i="1"/>
  <c r="K358" i="1"/>
  <c r="H358" i="1"/>
  <c r="L357" i="1"/>
  <c r="K357" i="1"/>
  <c r="H357" i="1"/>
  <c r="L356" i="1"/>
  <c r="K356" i="1"/>
  <c r="H356" i="1"/>
  <c r="L355" i="1"/>
  <c r="K355" i="1"/>
  <c r="H355" i="1"/>
  <c r="L354" i="1"/>
  <c r="K354" i="1"/>
  <c r="H354" i="1"/>
  <c r="L353" i="1"/>
  <c r="K353" i="1"/>
  <c r="H353" i="1"/>
  <c r="L352" i="1"/>
  <c r="K352" i="1"/>
  <c r="H352" i="1"/>
  <c r="L351" i="1"/>
  <c r="K351" i="1"/>
  <c r="H351" i="1"/>
  <c r="L350" i="1"/>
  <c r="K350" i="1"/>
  <c r="H350" i="1"/>
  <c r="L349" i="1"/>
  <c r="K349" i="1"/>
  <c r="H349" i="1"/>
  <c r="L348" i="1"/>
  <c r="K348" i="1"/>
  <c r="H348" i="1"/>
  <c r="L347" i="1"/>
  <c r="K347" i="1"/>
  <c r="H347" i="1"/>
  <c r="L346" i="1"/>
  <c r="K346" i="1"/>
  <c r="H346" i="1"/>
  <c r="L345" i="1"/>
  <c r="K345" i="1"/>
  <c r="H345" i="1"/>
  <c r="L344" i="1"/>
  <c r="K344" i="1"/>
  <c r="H344" i="1"/>
  <c r="L343" i="1"/>
  <c r="K343" i="1"/>
  <c r="H343" i="1"/>
  <c r="L342" i="1"/>
  <c r="K342" i="1"/>
  <c r="H342" i="1"/>
  <c r="L341" i="1"/>
  <c r="K341" i="1"/>
  <c r="H341" i="1"/>
  <c r="L340" i="1"/>
  <c r="K340" i="1"/>
  <c r="H340" i="1"/>
  <c r="L339" i="1"/>
  <c r="K339" i="1"/>
  <c r="H339" i="1"/>
  <c r="L338" i="1"/>
  <c r="K338" i="1"/>
  <c r="H338" i="1"/>
  <c r="L337" i="1"/>
  <c r="K337" i="1"/>
  <c r="H337" i="1"/>
  <c r="L336" i="1"/>
  <c r="K336" i="1"/>
  <c r="H336" i="1"/>
  <c r="L335" i="1"/>
  <c r="K335" i="1"/>
  <c r="H335" i="1"/>
  <c r="L334" i="1"/>
  <c r="K334" i="1"/>
  <c r="H334" i="1"/>
  <c r="L333" i="1"/>
  <c r="K333" i="1"/>
  <c r="H333" i="1"/>
  <c r="L332" i="1"/>
  <c r="K332" i="1"/>
  <c r="H332" i="1"/>
  <c r="L331" i="1"/>
  <c r="K331" i="1"/>
  <c r="H331" i="1"/>
  <c r="L330" i="1"/>
  <c r="K330" i="1"/>
  <c r="H330" i="1"/>
  <c r="L329" i="1"/>
  <c r="K329" i="1"/>
  <c r="H329" i="1"/>
  <c r="L328" i="1"/>
  <c r="K328" i="1"/>
  <c r="H328" i="1"/>
  <c r="L327" i="1"/>
  <c r="K327" i="1"/>
  <c r="H327" i="1"/>
  <c r="L326" i="1"/>
  <c r="K326" i="1"/>
  <c r="H326" i="1"/>
  <c r="L325" i="1"/>
  <c r="K325" i="1"/>
  <c r="H325" i="1"/>
  <c r="L324" i="1"/>
  <c r="K324" i="1"/>
  <c r="H324" i="1"/>
  <c r="L323" i="1"/>
  <c r="K323" i="1"/>
  <c r="H323" i="1"/>
  <c r="L322" i="1"/>
  <c r="K322" i="1"/>
  <c r="H322" i="1"/>
  <c r="L321" i="1"/>
  <c r="K321" i="1"/>
  <c r="H321" i="1"/>
  <c r="L320" i="1"/>
  <c r="K320" i="1"/>
  <c r="H320" i="1"/>
  <c r="L319" i="1"/>
  <c r="K319" i="1"/>
  <c r="H319" i="1"/>
  <c r="L318" i="1"/>
  <c r="K318" i="1"/>
  <c r="H318" i="1"/>
  <c r="L317" i="1"/>
  <c r="K317" i="1"/>
  <c r="H317" i="1"/>
  <c r="L316" i="1"/>
  <c r="K316" i="1"/>
  <c r="H316" i="1"/>
  <c r="L315" i="1"/>
  <c r="K315" i="1"/>
  <c r="H315" i="1"/>
  <c r="L314" i="1"/>
  <c r="K314" i="1"/>
  <c r="H314" i="1"/>
  <c r="L313" i="1"/>
  <c r="K313" i="1"/>
  <c r="H313" i="1"/>
  <c r="L312" i="1"/>
  <c r="K312" i="1"/>
  <c r="H312" i="1"/>
  <c r="L311" i="1"/>
  <c r="K311" i="1"/>
  <c r="H311" i="1"/>
  <c r="L310" i="1"/>
  <c r="K310" i="1"/>
  <c r="H310" i="1"/>
  <c r="L309" i="1"/>
  <c r="K309" i="1"/>
  <c r="H309" i="1"/>
  <c r="L308" i="1"/>
  <c r="K308" i="1"/>
  <c r="H308" i="1"/>
  <c r="L307" i="1"/>
  <c r="K307" i="1"/>
  <c r="H307" i="1"/>
  <c r="L306" i="1"/>
  <c r="K306" i="1"/>
  <c r="H306" i="1"/>
  <c r="L305" i="1"/>
  <c r="K305" i="1"/>
  <c r="H305" i="1"/>
  <c r="L304" i="1"/>
  <c r="K304" i="1"/>
  <c r="H304" i="1"/>
  <c r="L303" i="1"/>
  <c r="K303" i="1"/>
  <c r="H303" i="1"/>
  <c r="L302" i="1"/>
  <c r="K302" i="1"/>
  <c r="H302" i="1"/>
  <c r="L301" i="1"/>
  <c r="K301" i="1"/>
  <c r="H301" i="1"/>
  <c r="L300" i="1"/>
  <c r="K300" i="1"/>
  <c r="H300" i="1"/>
  <c r="L299" i="1"/>
  <c r="K299" i="1"/>
  <c r="H299" i="1"/>
  <c r="L298" i="1"/>
  <c r="K298" i="1"/>
  <c r="H298" i="1"/>
  <c r="L297" i="1"/>
  <c r="K297" i="1"/>
  <c r="H297" i="1"/>
  <c r="L296" i="1"/>
  <c r="K296" i="1"/>
  <c r="H296" i="1"/>
  <c r="L295" i="1"/>
  <c r="K295" i="1"/>
  <c r="H295" i="1"/>
  <c r="L294" i="1"/>
  <c r="K294" i="1"/>
  <c r="H294" i="1"/>
  <c r="L293" i="1"/>
  <c r="K293" i="1"/>
  <c r="H293" i="1"/>
  <c r="L292" i="1"/>
  <c r="K292" i="1"/>
  <c r="H292" i="1"/>
  <c r="L291" i="1"/>
  <c r="K291" i="1"/>
  <c r="H291" i="1"/>
  <c r="L290" i="1"/>
  <c r="K290" i="1"/>
  <c r="H290" i="1"/>
  <c r="L289" i="1"/>
  <c r="K289" i="1"/>
  <c r="H289" i="1"/>
  <c r="L288" i="1"/>
  <c r="K288" i="1"/>
  <c r="H288" i="1"/>
  <c r="L287" i="1"/>
  <c r="K287" i="1"/>
  <c r="H287" i="1"/>
  <c r="L286" i="1"/>
  <c r="K286" i="1"/>
  <c r="H286" i="1"/>
  <c r="L285" i="1"/>
  <c r="K285" i="1"/>
  <c r="H285" i="1"/>
  <c r="L284" i="1"/>
  <c r="K284" i="1"/>
  <c r="H284" i="1"/>
  <c r="L283" i="1"/>
  <c r="K283" i="1"/>
  <c r="H283" i="1"/>
  <c r="L282" i="1"/>
  <c r="K282" i="1"/>
  <c r="H282" i="1"/>
  <c r="L281" i="1"/>
  <c r="K281" i="1"/>
  <c r="H281" i="1"/>
  <c r="L280" i="1"/>
  <c r="K280" i="1"/>
  <c r="H280" i="1"/>
  <c r="L279" i="1"/>
  <c r="K279" i="1"/>
  <c r="H279" i="1"/>
  <c r="L278" i="1"/>
  <c r="K278" i="1"/>
  <c r="H278" i="1"/>
  <c r="L277" i="1"/>
  <c r="K277" i="1"/>
  <c r="H277" i="1"/>
  <c r="L276" i="1"/>
  <c r="K276" i="1"/>
  <c r="H276" i="1"/>
  <c r="L275" i="1"/>
  <c r="K275" i="1"/>
  <c r="H275" i="1"/>
  <c r="L274" i="1"/>
  <c r="K274" i="1"/>
  <c r="H274" i="1"/>
  <c r="L273" i="1"/>
  <c r="K273" i="1"/>
  <c r="H273" i="1"/>
  <c r="L272" i="1"/>
  <c r="K272" i="1"/>
  <c r="H272" i="1"/>
  <c r="L271" i="1"/>
  <c r="K271" i="1"/>
  <c r="H271" i="1"/>
  <c r="L270" i="1"/>
  <c r="K270" i="1"/>
  <c r="H270" i="1"/>
  <c r="L269" i="1"/>
  <c r="K269" i="1"/>
  <c r="H269" i="1"/>
  <c r="L268" i="1"/>
  <c r="K268" i="1"/>
  <c r="H268" i="1"/>
  <c r="L267" i="1"/>
  <c r="K267" i="1"/>
  <c r="H267" i="1"/>
  <c r="L266" i="1"/>
  <c r="K266" i="1"/>
  <c r="H266" i="1"/>
  <c r="L265" i="1"/>
  <c r="K265" i="1"/>
  <c r="H265" i="1"/>
  <c r="L264" i="1"/>
  <c r="K264" i="1"/>
  <c r="H264" i="1"/>
  <c r="L263" i="1"/>
  <c r="K263" i="1"/>
  <c r="H263" i="1"/>
  <c r="L262" i="1"/>
  <c r="K262" i="1"/>
  <c r="H262" i="1"/>
  <c r="L261" i="1"/>
  <c r="K261" i="1"/>
  <c r="H261" i="1"/>
  <c r="L260" i="1"/>
  <c r="K260" i="1"/>
  <c r="H260" i="1"/>
  <c r="L259" i="1"/>
  <c r="K259" i="1"/>
  <c r="H259" i="1"/>
  <c r="L258" i="1"/>
  <c r="K258" i="1"/>
  <c r="H258" i="1"/>
  <c r="L257" i="1"/>
  <c r="K257" i="1"/>
  <c r="H257" i="1"/>
  <c r="L256" i="1"/>
  <c r="K256" i="1"/>
  <c r="H256" i="1"/>
  <c r="L255" i="1"/>
  <c r="K255" i="1"/>
  <c r="H255" i="1"/>
  <c r="L254" i="1"/>
  <c r="K254" i="1"/>
  <c r="H254" i="1"/>
  <c r="L253" i="1"/>
  <c r="K253" i="1"/>
  <c r="H253" i="1"/>
  <c r="L252" i="1"/>
  <c r="K252" i="1"/>
  <c r="H252" i="1"/>
  <c r="L251" i="1"/>
  <c r="K251" i="1"/>
  <c r="H251" i="1"/>
  <c r="L250" i="1"/>
  <c r="K250" i="1"/>
  <c r="H250" i="1"/>
  <c r="L249" i="1"/>
  <c r="K249" i="1"/>
  <c r="H249" i="1"/>
  <c r="L248" i="1"/>
  <c r="K248" i="1"/>
  <c r="H248" i="1"/>
  <c r="L247" i="1"/>
  <c r="K247" i="1"/>
  <c r="H247" i="1"/>
  <c r="L246" i="1"/>
  <c r="K246" i="1"/>
  <c r="H246" i="1"/>
  <c r="L245" i="1"/>
  <c r="K245" i="1"/>
  <c r="H245" i="1"/>
  <c r="L244" i="1"/>
  <c r="K244" i="1"/>
  <c r="H244" i="1"/>
  <c r="L243" i="1"/>
  <c r="K243" i="1"/>
  <c r="H243" i="1"/>
  <c r="L242" i="1"/>
  <c r="K242" i="1"/>
  <c r="H242" i="1"/>
  <c r="L241" i="1"/>
  <c r="K241" i="1"/>
  <c r="H241" i="1"/>
  <c r="L240" i="1"/>
  <c r="K240" i="1"/>
  <c r="H240" i="1"/>
  <c r="L239" i="1"/>
  <c r="K239" i="1"/>
  <c r="H239" i="1"/>
  <c r="L238" i="1"/>
  <c r="K238" i="1"/>
  <c r="H238" i="1"/>
  <c r="L237" i="1"/>
  <c r="K237" i="1"/>
  <c r="H237" i="1"/>
  <c r="L236" i="1"/>
  <c r="K236" i="1"/>
  <c r="H236" i="1"/>
  <c r="L235" i="1"/>
  <c r="K235" i="1"/>
  <c r="H235" i="1"/>
  <c r="L234" i="1"/>
  <c r="K234" i="1"/>
  <c r="H234" i="1"/>
  <c r="L233" i="1"/>
  <c r="K233" i="1"/>
  <c r="H233" i="1"/>
  <c r="L232" i="1"/>
  <c r="K232" i="1"/>
  <c r="H232" i="1"/>
  <c r="L231" i="1"/>
  <c r="K231" i="1"/>
  <c r="H231" i="1"/>
  <c r="L230" i="1"/>
  <c r="K230" i="1"/>
  <c r="H230" i="1"/>
  <c r="L229" i="1"/>
  <c r="K229" i="1"/>
  <c r="H229" i="1"/>
  <c r="L228" i="1"/>
  <c r="K228" i="1"/>
  <c r="H228" i="1"/>
  <c r="L227" i="1"/>
  <c r="K227" i="1"/>
  <c r="H227" i="1"/>
  <c r="L226" i="1"/>
  <c r="K226" i="1"/>
  <c r="H226" i="1"/>
  <c r="L225" i="1"/>
  <c r="K225" i="1"/>
  <c r="H225" i="1"/>
  <c r="L224" i="1"/>
  <c r="K224" i="1"/>
  <c r="H224" i="1"/>
  <c r="L223" i="1"/>
  <c r="K223" i="1"/>
  <c r="H223" i="1"/>
  <c r="L222" i="1"/>
  <c r="K222" i="1"/>
  <c r="H222" i="1"/>
  <c r="L221" i="1"/>
  <c r="K221" i="1"/>
  <c r="H221" i="1"/>
  <c r="L220" i="1"/>
  <c r="K220" i="1"/>
  <c r="H220" i="1"/>
  <c r="L219" i="1"/>
  <c r="K219" i="1"/>
  <c r="H219" i="1"/>
  <c r="L218" i="1"/>
  <c r="K218" i="1"/>
  <c r="H218" i="1"/>
  <c r="L217" i="1"/>
  <c r="K217" i="1"/>
  <c r="H217" i="1"/>
  <c r="L216" i="1"/>
  <c r="K216" i="1"/>
  <c r="H216" i="1"/>
  <c r="L215" i="1"/>
  <c r="K215" i="1"/>
  <c r="H215" i="1"/>
  <c r="L214" i="1"/>
  <c r="K214" i="1"/>
  <c r="H214" i="1"/>
  <c r="L213" i="1"/>
  <c r="K213" i="1"/>
  <c r="H213" i="1"/>
  <c r="L212" i="1"/>
  <c r="K212" i="1"/>
  <c r="H212" i="1"/>
  <c r="L211" i="1"/>
  <c r="K211" i="1"/>
  <c r="H211" i="1"/>
  <c r="L210" i="1"/>
  <c r="K210" i="1"/>
  <c r="H210" i="1"/>
  <c r="L209" i="1"/>
  <c r="K209" i="1"/>
  <c r="H209" i="1"/>
  <c r="L208" i="1"/>
  <c r="K208" i="1"/>
  <c r="H208" i="1"/>
  <c r="L207" i="1"/>
  <c r="K207" i="1"/>
  <c r="H207" i="1"/>
  <c r="L206" i="1"/>
  <c r="K206" i="1"/>
  <c r="H206" i="1"/>
  <c r="L205" i="1"/>
  <c r="K205" i="1"/>
  <c r="H205" i="1"/>
  <c r="L204" i="1"/>
  <c r="K204" i="1"/>
  <c r="H204" i="1"/>
  <c r="L203" i="1"/>
  <c r="K203" i="1"/>
  <c r="H203" i="1"/>
  <c r="L202" i="1"/>
  <c r="K202" i="1"/>
  <c r="H202" i="1"/>
  <c r="L201" i="1"/>
  <c r="K201" i="1"/>
  <c r="H201" i="1"/>
  <c r="L200" i="1"/>
  <c r="K200" i="1"/>
  <c r="H200" i="1"/>
  <c r="L199" i="1"/>
  <c r="K199" i="1"/>
  <c r="H199" i="1"/>
  <c r="L198" i="1"/>
  <c r="K198" i="1"/>
  <c r="H198" i="1"/>
  <c r="L197" i="1"/>
  <c r="K197" i="1"/>
  <c r="H197" i="1"/>
  <c r="L196" i="1"/>
  <c r="K196" i="1"/>
  <c r="H196" i="1"/>
  <c r="L195" i="1"/>
  <c r="K195" i="1"/>
  <c r="H195" i="1"/>
  <c r="L194" i="1"/>
  <c r="K194" i="1"/>
  <c r="H194" i="1"/>
  <c r="L193" i="1"/>
  <c r="K193" i="1"/>
  <c r="H193" i="1"/>
  <c r="L192" i="1"/>
  <c r="K192" i="1"/>
  <c r="H192" i="1"/>
  <c r="L191" i="1"/>
  <c r="K191" i="1"/>
  <c r="H191" i="1"/>
  <c r="L190" i="1"/>
  <c r="K190" i="1"/>
  <c r="H190" i="1"/>
  <c r="L189" i="1"/>
  <c r="K189" i="1"/>
  <c r="H189" i="1"/>
  <c r="L188" i="1"/>
  <c r="K188" i="1"/>
  <c r="H188" i="1"/>
  <c r="L187" i="1"/>
  <c r="K187" i="1"/>
  <c r="H187" i="1"/>
  <c r="L186" i="1"/>
  <c r="K186" i="1"/>
  <c r="H186" i="1"/>
  <c r="L185" i="1"/>
  <c r="K185" i="1"/>
  <c r="H185" i="1"/>
  <c r="L184" i="1"/>
  <c r="K184" i="1"/>
  <c r="H184" i="1"/>
  <c r="L183" i="1"/>
  <c r="K183" i="1"/>
  <c r="H183" i="1"/>
  <c r="L182" i="1"/>
  <c r="K182" i="1"/>
  <c r="H182" i="1"/>
  <c r="L181" i="1"/>
  <c r="K181" i="1"/>
  <c r="H181" i="1"/>
  <c r="L180" i="1"/>
  <c r="K180" i="1"/>
  <c r="H180" i="1"/>
  <c r="L179" i="1"/>
  <c r="K179" i="1"/>
  <c r="H179" i="1"/>
  <c r="L178" i="1"/>
  <c r="K178" i="1"/>
  <c r="H178" i="1"/>
  <c r="L177" i="1"/>
  <c r="K177" i="1"/>
  <c r="H177" i="1"/>
  <c r="L176" i="1"/>
  <c r="K176" i="1"/>
  <c r="H176" i="1"/>
  <c r="L175" i="1"/>
  <c r="K175" i="1"/>
  <c r="H175" i="1"/>
  <c r="L174" i="1"/>
  <c r="K174" i="1"/>
  <c r="H174" i="1"/>
  <c r="L173" i="1"/>
  <c r="K173" i="1"/>
  <c r="H173" i="1"/>
  <c r="L172" i="1"/>
  <c r="K172" i="1"/>
  <c r="H172" i="1"/>
  <c r="L171" i="1"/>
  <c r="K171" i="1"/>
  <c r="H171" i="1"/>
  <c r="L170" i="1"/>
  <c r="K170" i="1"/>
  <c r="H170" i="1"/>
  <c r="L169" i="1"/>
  <c r="K169" i="1"/>
  <c r="H169" i="1"/>
  <c r="L168" i="1"/>
  <c r="K168" i="1"/>
  <c r="H168" i="1"/>
  <c r="L167" i="1"/>
  <c r="K167" i="1"/>
  <c r="H167" i="1"/>
  <c r="L166" i="1"/>
  <c r="K166" i="1"/>
  <c r="H166" i="1"/>
  <c r="L165" i="1"/>
  <c r="K165" i="1"/>
  <c r="H165" i="1"/>
  <c r="L164" i="1"/>
  <c r="K164" i="1"/>
  <c r="H164" i="1"/>
  <c r="L163" i="1"/>
  <c r="K163" i="1"/>
  <c r="H163" i="1"/>
  <c r="L162" i="1"/>
  <c r="K162" i="1"/>
  <c r="H162" i="1"/>
  <c r="L161" i="1"/>
  <c r="K161" i="1"/>
  <c r="H161" i="1"/>
  <c r="L160" i="1"/>
  <c r="K160" i="1"/>
  <c r="H160" i="1"/>
  <c r="L159" i="1"/>
  <c r="K159" i="1"/>
  <c r="H159" i="1"/>
  <c r="L158" i="1"/>
  <c r="K158" i="1"/>
  <c r="H158" i="1"/>
  <c r="L157" i="1"/>
  <c r="K157" i="1"/>
  <c r="H157" i="1"/>
  <c r="L156" i="1"/>
  <c r="K156" i="1"/>
  <c r="H156" i="1"/>
  <c r="L155" i="1"/>
  <c r="K155" i="1"/>
  <c r="H155" i="1"/>
  <c r="L154" i="1"/>
  <c r="K154" i="1"/>
  <c r="H154" i="1"/>
  <c r="L153" i="1"/>
  <c r="K153" i="1"/>
  <c r="H153" i="1"/>
  <c r="L152" i="1"/>
  <c r="K152" i="1"/>
  <c r="H152" i="1"/>
  <c r="L151" i="1"/>
  <c r="K151" i="1"/>
  <c r="H151" i="1"/>
  <c r="L150" i="1"/>
  <c r="K150" i="1"/>
  <c r="H150" i="1"/>
  <c r="L149" i="1"/>
  <c r="K149" i="1"/>
  <c r="H149" i="1"/>
  <c r="L148" i="1"/>
  <c r="K148" i="1"/>
  <c r="H148" i="1"/>
  <c r="L147" i="1"/>
  <c r="K147" i="1"/>
  <c r="H147" i="1"/>
  <c r="L146" i="1"/>
  <c r="K146" i="1"/>
  <c r="H146" i="1"/>
  <c r="L145" i="1"/>
  <c r="K145" i="1"/>
  <c r="H145" i="1"/>
  <c r="L144" i="1"/>
  <c r="K144" i="1"/>
  <c r="H144" i="1"/>
  <c r="L143" i="1"/>
  <c r="K143" i="1"/>
  <c r="H143" i="1"/>
  <c r="L142" i="1"/>
  <c r="K142" i="1"/>
  <c r="H142" i="1"/>
  <c r="L141" i="1"/>
  <c r="K141" i="1"/>
  <c r="H141" i="1"/>
  <c r="L140" i="1"/>
  <c r="K140" i="1"/>
  <c r="H140" i="1"/>
  <c r="L139" i="1"/>
  <c r="K139" i="1"/>
  <c r="H139" i="1"/>
  <c r="L138" i="1"/>
  <c r="K138" i="1"/>
  <c r="H138" i="1"/>
  <c r="L137" i="1"/>
  <c r="K137" i="1"/>
  <c r="H137" i="1"/>
  <c r="L136" i="1"/>
  <c r="K136" i="1"/>
  <c r="H136" i="1"/>
  <c r="L135" i="1"/>
  <c r="K135" i="1"/>
  <c r="H135" i="1"/>
  <c r="L134" i="1"/>
  <c r="K134" i="1"/>
  <c r="H134" i="1"/>
  <c r="L133" i="1"/>
  <c r="K133" i="1"/>
  <c r="H133" i="1"/>
  <c r="L132" i="1"/>
  <c r="K132" i="1"/>
  <c r="H132" i="1"/>
  <c r="L131" i="1"/>
  <c r="K131" i="1"/>
  <c r="H131" i="1"/>
  <c r="L130" i="1"/>
  <c r="K130" i="1"/>
  <c r="H130" i="1"/>
  <c r="L129" i="1"/>
  <c r="K129" i="1"/>
  <c r="H129" i="1"/>
  <c r="L128" i="1"/>
  <c r="K128" i="1"/>
  <c r="H128" i="1"/>
  <c r="L127" i="1"/>
  <c r="K127" i="1"/>
  <c r="H127" i="1"/>
  <c r="L126" i="1"/>
  <c r="K126" i="1"/>
  <c r="H126" i="1"/>
  <c r="L125" i="1"/>
  <c r="K125" i="1"/>
  <c r="H125" i="1"/>
  <c r="L124" i="1"/>
  <c r="K124" i="1"/>
  <c r="H124" i="1"/>
  <c r="L123" i="1"/>
  <c r="K123" i="1"/>
  <c r="H123" i="1"/>
  <c r="L122" i="1"/>
  <c r="K122" i="1"/>
  <c r="H122" i="1"/>
  <c r="L121" i="1"/>
  <c r="K121" i="1"/>
  <c r="H121" i="1"/>
  <c r="L120" i="1"/>
  <c r="K120" i="1"/>
  <c r="H120" i="1"/>
  <c r="L119" i="1"/>
  <c r="K119" i="1"/>
  <c r="H119" i="1"/>
  <c r="L118" i="1"/>
  <c r="K118" i="1"/>
  <c r="H118" i="1"/>
  <c r="L117" i="1"/>
  <c r="K117" i="1"/>
  <c r="H117" i="1"/>
  <c r="L116" i="1"/>
  <c r="K116" i="1"/>
  <c r="H116" i="1"/>
  <c r="L115" i="1"/>
  <c r="K115" i="1"/>
  <c r="H115" i="1"/>
  <c r="L114" i="1"/>
  <c r="K114" i="1"/>
  <c r="H114" i="1"/>
  <c r="L113" i="1"/>
  <c r="K113" i="1"/>
  <c r="H113" i="1"/>
  <c r="L112" i="1"/>
  <c r="K112" i="1"/>
  <c r="H112" i="1"/>
  <c r="L111" i="1"/>
  <c r="K111" i="1"/>
  <c r="H111" i="1"/>
  <c r="L110" i="1"/>
  <c r="K110" i="1"/>
  <c r="H110" i="1"/>
  <c r="L109" i="1"/>
  <c r="K109" i="1"/>
  <c r="H109" i="1"/>
  <c r="L108" i="1"/>
  <c r="K108" i="1"/>
  <c r="H108" i="1"/>
  <c r="L107" i="1"/>
  <c r="K107" i="1"/>
  <c r="H107" i="1"/>
  <c r="L101" i="1"/>
  <c r="K101" i="1"/>
  <c r="H101" i="1"/>
  <c r="L100" i="1"/>
  <c r="K100" i="1"/>
  <c r="H100" i="1"/>
  <c r="L99" i="1"/>
  <c r="K99" i="1"/>
  <c r="H99" i="1"/>
  <c r="L98" i="1"/>
  <c r="K98" i="1"/>
  <c r="H98" i="1"/>
  <c r="L97" i="1"/>
  <c r="K97" i="1"/>
  <c r="H97" i="1"/>
  <c r="L96" i="1"/>
  <c r="K96" i="1"/>
  <c r="H96" i="1"/>
  <c r="L95" i="1"/>
  <c r="K95" i="1"/>
  <c r="H95" i="1"/>
  <c r="L94" i="1"/>
  <c r="K94" i="1"/>
  <c r="H94" i="1"/>
  <c r="L88" i="1"/>
  <c r="K88" i="1"/>
  <c r="H88" i="1"/>
  <c r="L87" i="1"/>
  <c r="K87" i="1"/>
  <c r="H87" i="1"/>
  <c r="L81" i="1"/>
  <c r="K81" i="1"/>
  <c r="H81" i="1"/>
  <c r="L80" i="1"/>
  <c r="K80" i="1"/>
  <c r="H80" i="1"/>
  <c r="L79" i="1"/>
  <c r="K79" i="1"/>
  <c r="H79" i="1"/>
  <c r="L78" i="1"/>
  <c r="K78" i="1"/>
  <c r="H78" i="1"/>
  <c r="L77" i="1"/>
  <c r="K77" i="1"/>
  <c r="H77" i="1"/>
  <c r="L76" i="1"/>
  <c r="K76" i="1"/>
  <c r="H76" i="1"/>
  <c r="L75" i="1"/>
  <c r="K75" i="1"/>
  <c r="H75" i="1"/>
  <c r="L74" i="1"/>
  <c r="K74" i="1"/>
  <c r="H74" i="1"/>
  <c r="L73" i="1"/>
  <c r="K73" i="1"/>
  <c r="H73" i="1"/>
  <c r="L72" i="1"/>
  <c r="K72" i="1"/>
  <c r="H72" i="1"/>
  <c r="L71" i="1"/>
  <c r="K71" i="1"/>
  <c r="H71" i="1"/>
  <c r="L70" i="1"/>
  <c r="K70" i="1"/>
  <c r="H70" i="1"/>
  <c r="L69" i="1"/>
  <c r="K69" i="1"/>
  <c r="H69" i="1"/>
  <c r="L63" i="1"/>
  <c r="K63" i="1"/>
  <c r="H63" i="1"/>
  <c r="L62" i="1"/>
  <c r="K62" i="1"/>
  <c r="H62" i="1"/>
  <c r="M54" i="1"/>
  <c r="L54" i="1"/>
  <c r="I54" i="1"/>
  <c r="M53" i="1"/>
  <c r="L53" i="1"/>
  <c r="I53" i="1"/>
  <c r="M52" i="1"/>
  <c r="L52" i="1"/>
  <c r="I52" i="1"/>
  <c r="M51" i="1"/>
  <c r="L51" i="1"/>
  <c r="I51" i="1"/>
  <c r="M50" i="1"/>
  <c r="L50" i="1"/>
  <c r="I50" i="1"/>
  <c r="M49" i="1"/>
  <c r="L49" i="1"/>
  <c r="I49" i="1"/>
  <c r="M48" i="1"/>
  <c r="L48" i="1"/>
  <c r="I48" i="1"/>
  <c r="M47" i="1"/>
  <c r="L47" i="1"/>
  <c r="I47" i="1"/>
  <c r="M46" i="1"/>
  <c r="L46" i="1"/>
  <c r="I46" i="1"/>
  <c r="M45" i="1"/>
  <c r="L45" i="1"/>
  <c r="I45" i="1"/>
  <c r="M44" i="1"/>
  <c r="L44" i="1"/>
  <c r="I44" i="1"/>
  <c r="M43" i="1"/>
  <c r="L43" i="1"/>
  <c r="I43" i="1"/>
  <c r="M42" i="1"/>
  <c r="L42" i="1"/>
  <c r="I42" i="1"/>
  <c r="M41" i="1"/>
  <c r="L41" i="1"/>
  <c r="I41" i="1"/>
  <c r="M40" i="1"/>
  <c r="L40" i="1"/>
  <c r="I40" i="1"/>
  <c r="M39" i="1"/>
  <c r="L39" i="1"/>
  <c r="I39" i="1"/>
  <c r="M38" i="1"/>
  <c r="L38" i="1"/>
  <c r="I38" i="1"/>
  <c r="M37" i="1"/>
  <c r="L37" i="1"/>
  <c r="I37" i="1"/>
  <c r="M36" i="1"/>
  <c r="L36" i="1"/>
  <c r="I36" i="1"/>
  <c r="M35" i="1"/>
  <c r="L35" i="1"/>
  <c r="I35" i="1"/>
  <c r="M34" i="1"/>
  <c r="L34" i="1"/>
  <c r="I34" i="1"/>
  <c r="M33" i="1"/>
  <c r="L33" i="1"/>
  <c r="I33" i="1"/>
  <c r="M32" i="1"/>
  <c r="L32" i="1"/>
  <c r="I32" i="1"/>
  <c r="M31" i="1"/>
  <c r="L31" i="1"/>
  <c r="I31" i="1"/>
  <c r="M30" i="1"/>
  <c r="L30" i="1"/>
  <c r="I30" i="1"/>
  <c r="M29" i="1"/>
  <c r="L29" i="1"/>
  <c r="I29" i="1"/>
  <c r="M28" i="1"/>
  <c r="L28" i="1"/>
  <c r="I28" i="1"/>
  <c r="M27" i="1"/>
  <c r="L27" i="1"/>
  <c r="I27" i="1"/>
  <c r="M26" i="1"/>
  <c r="L26" i="1"/>
  <c r="I26" i="1"/>
  <c r="M25" i="1"/>
  <c r="L25" i="1"/>
  <c r="I25" i="1"/>
  <c r="M24" i="1"/>
  <c r="L24" i="1"/>
  <c r="I24" i="1"/>
  <c r="M23" i="1"/>
  <c r="L23" i="1"/>
  <c r="I23" i="1"/>
  <c r="M22" i="1"/>
  <c r="L22" i="1"/>
  <c r="I22" i="1"/>
  <c r="M21" i="1"/>
  <c r="L21" i="1"/>
  <c r="I21" i="1"/>
  <c r="M20" i="1"/>
  <c r="L20" i="1"/>
  <c r="I20" i="1"/>
  <c r="M19" i="1"/>
  <c r="L19" i="1"/>
  <c r="I19" i="1"/>
  <c r="M18" i="1"/>
  <c r="L18" i="1"/>
  <c r="I18" i="1"/>
  <c r="M17" i="1"/>
  <c r="L17" i="1"/>
  <c r="I17" i="1"/>
  <c r="M16" i="1"/>
  <c r="L16" i="1"/>
  <c r="I16" i="1"/>
  <c r="M15" i="1"/>
  <c r="L15" i="1"/>
  <c r="I15" i="1"/>
  <c r="M14" i="1"/>
  <c r="L14" i="1"/>
  <c r="I14" i="1"/>
  <c r="M13" i="1"/>
  <c r="L13" i="1"/>
  <c r="I13" i="1"/>
  <c r="M12" i="1"/>
  <c r="L12" i="1"/>
  <c r="I12" i="1"/>
  <c r="M11" i="1"/>
  <c r="L11" i="1"/>
  <c r="I11" i="1"/>
  <c r="M10" i="1"/>
  <c r="L10" i="1"/>
  <c r="I10" i="1"/>
  <c r="M9" i="1"/>
  <c r="L9" i="1"/>
  <c r="I9" i="1"/>
  <c r="M8" i="1"/>
  <c r="L8" i="1"/>
  <c r="I8" i="1"/>
</calcChain>
</file>

<file path=xl/sharedStrings.xml><?xml version="1.0" encoding="utf-8"?>
<sst xmlns="http://schemas.openxmlformats.org/spreadsheetml/2006/main" count="4217" uniqueCount="484">
  <si>
    <t>Informe de trayectos</t>
  </si>
  <si>
    <t>Periodo: 23 de febrero de 2025 0:00 - 23 de febrero de 2025 23:59</t>
  </si>
  <si>
    <t>Informe generado</t>
  </si>
  <si>
    <t>a: 22 de septiembre de 2025 14:44</t>
  </si>
  <si>
    <t>Resumen del informe</t>
  </si>
  <si>
    <t>Nombre de objeto</t>
  </si>
  <si>
    <t>Hora de inicio de trabajo</t>
  </si>
  <si>
    <t>Ubicación de inicio de trabajo</t>
  </si>
  <si>
    <t>Hora de fin de trabajo</t>
  </si>
  <si>
    <t>Ubicación de fin de trabajo</t>
  </si>
  <si>
    <t>Kilometraje recorrido</t>
  </si>
  <si>
    <t>Kilometraje al inicio</t>
  </si>
  <si>
    <t>Kilometraje al final</t>
  </si>
  <si>
    <t>Duración de inactividad</t>
  </si>
  <si>
    <t>Velocidad máxima</t>
  </si>
  <si>
    <t>Velocidad media</t>
  </si>
  <si>
    <t>Duración del trabajo</t>
  </si>
  <si>
    <t>Duración de parada</t>
  </si>
  <si>
    <t>Los Huancas, Ate, Lima Metropolitana, Lima, 15483, Perú</t>
  </si>
  <si>
    <t>Avenida Los Incas, Ate, Lima Metropolitana, Lima, 15483, Perú</t>
  </si>
  <si>
    <t>4 km/h</t>
  </si>
  <si>
    <t>1 km/h</t>
  </si>
  <si>
    <t>Calle Manantiales de Vida, Ate, Lima Metropolitana, Lima, 15487, Perú</t>
  </si>
  <si>
    <t>84 km/h</t>
  </si>
  <si>
    <t>20 km/h</t>
  </si>
  <si>
    <t>Ate, Lima Metropolitana, Lima, 15483, Perú</t>
  </si>
  <si>
    <t>0 km/h</t>
  </si>
  <si>
    <t>Ate, Lima Metropolitana, Lima, 15498, Perú</t>
  </si>
  <si>
    <t>83 km/h</t>
  </si>
  <si>
    <t>Avenida Malecón Manco Cápac, Chaclacayo, Lima Metropolitana, Lima, 15472, Perú, (Ruta4507nueva era 23-10-23)</t>
  </si>
  <si>
    <t>76 km/h</t>
  </si>
  <si>
    <t>24 km/h</t>
  </si>
  <si>
    <t>Calle los Alamos, Chosica, Lima Metropolitana, Lima, 15468, Perú</t>
  </si>
  <si>
    <t>7 km/h</t>
  </si>
  <si>
    <t>5 km/h</t>
  </si>
  <si>
    <t>Carretera Central, 200, Chaclacayo, Lima Metropolitana, Lima, 15476, Perú</t>
  </si>
  <si>
    <t>77 km/h</t>
  </si>
  <si>
    <t>19 km/h</t>
  </si>
  <si>
    <t>18 km/h</t>
  </si>
  <si>
    <t>Avenida Bernard de Balaguer, Lurigancho, Lima Metropolitana, Lima, 15464, Perú</t>
  </si>
  <si>
    <t>50 km/h</t>
  </si>
  <si>
    <t>11 km/h</t>
  </si>
  <si>
    <t>Calle 1, Ate, Lima Metropolitana, Lima, 15483, Perú</t>
  </si>
  <si>
    <t>72 km/h</t>
  </si>
  <si>
    <t>Avenida Lima Sur, Chosica, Lima Metropolitana, Lima, 15468, Perú, (Ruta4507nueva era 23-10-23)</t>
  </si>
  <si>
    <t>Avenida Las Retamas, Chaclacayo, Lima Metropolitana, Lima, 15474, Perú</t>
  </si>
  <si>
    <t>54 km/h</t>
  </si>
  <si>
    <t>15 km/h</t>
  </si>
  <si>
    <t>Calle Leoncio Prado, Santa Eulalia, Huarochirí, Lima, 15468, Perú</t>
  </si>
  <si>
    <t>Calle Las Tunas, Santa Anita, Lima Metropolitana, Lima, 15007, Perú</t>
  </si>
  <si>
    <t>Carretera Central, Chaclacayo, Lima Metropolitana, Lima, 15476, Perú</t>
  </si>
  <si>
    <t>85 km/h</t>
  </si>
  <si>
    <t>33 km/h</t>
  </si>
  <si>
    <t>Avenida Bernardino Rivadavia, Ate, Lima Metropolitana, Lima, 15498, Perú, (RUTA DESVIO TEM.  4507)</t>
  </si>
  <si>
    <t>Avenida 9 de Diciembre, 150, Lima, Lima Metropolitana, Lima, 15083, Perú, (Ruta4507nueva era 23-10-23)</t>
  </si>
  <si>
    <t>86 km/h</t>
  </si>
  <si>
    <t>Calle 11, Santa Anita, Lima Metropolitana, Lima, 15009, Perú</t>
  </si>
  <si>
    <t>Avenida José Carlos Mariátegui, Ricardo Palma, Huarochirí, Lima, 15468, Perú</t>
  </si>
  <si>
    <t>17 km/h</t>
  </si>
  <si>
    <t>Avenida Lima Sur, Chosica, Lima Metropolitana, Lima, 15468, Perú</t>
  </si>
  <si>
    <t>Avenida Enrique Guzmán y Valle, Chosica, Lima Metropolitana, Lima, 15468, Perú</t>
  </si>
  <si>
    <t>67 km/h</t>
  </si>
  <si>
    <t>Calle Los Álamos, Ate, Lima Metropolitana, Lima, 15483, Perú</t>
  </si>
  <si>
    <t>Avenida Andrés Avelino Cáceres, Frnt. B_1, Ate, Lima Metropolitana, Lima, 15483, Perú</t>
  </si>
  <si>
    <t>82 km/h</t>
  </si>
  <si>
    <t>Carretera Central, Ate, Lima Metropolitana, Lima, 15474, Perú, (Horacio Zeballos, Ruta4507nueva era 23-10-23)</t>
  </si>
  <si>
    <t>79 km/h</t>
  </si>
  <si>
    <t>21 km/h</t>
  </si>
  <si>
    <t>Ate, Lima Metropolitana, Lima, 15474, Perú</t>
  </si>
  <si>
    <t>3 km/h</t>
  </si>
  <si>
    <t>Avenida Andrés Avelino Cáceres, Ate, Lima Metropolitana, Lima, 15474, Perú</t>
  </si>
  <si>
    <t>105 km/h</t>
  </si>
  <si>
    <t>34 km/h</t>
  </si>
  <si>
    <t>Santa Eulalia, Huarochirí, Lima, 15468, Perú</t>
  </si>
  <si>
    <t>Carretera Central, Chaclacayo, Lima Metropolitana, Lima, 15474, Perú, (S07ÑAÑA, Ruta4507nueva era 23-10-23)</t>
  </si>
  <si>
    <t>Avenida Las Retamas, Ricardo Palma, Huarochirí, Lima, 15468, Perú</t>
  </si>
  <si>
    <t>88 km/h</t>
  </si>
  <si>
    <t>Avenida Nicolás de Ayllón, Ate, Lima Metropolitana, Lima, 15487, Perú, (Ruta4507nueva era 23-10-23)</t>
  </si>
  <si>
    <t>73 km/h</t>
  </si>
  <si>
    <t>Ate, Lima Metropolitana, Lima, 15487, Perú</t>
  </si>
  <si>
    <t>Corcona, Huarochirí, Lima, Perú</t>
  </si>
  <si>
    <t>Carretera Central, Ate, Lima Metropolitana, Lima, 15487, Perú, (Ruta4507nueva era 23-10-23)</t>
  </si>
  <si>
    <t>Lurigancho, Lima Metropolitana, Lima, 15468, Perú</t>
  </si>
  <si>
    <t>69 km/h</t>
  </si>
  <si>
    <t>Avenida Nicolás de Ayllón, Santa Anita, Lima Metropolitana, Lima, 15008, Perú, (Ruta4507nueva era 23-10-23, RUTA DESVIO TEM.  4507)</t>
  </si>
  <si>
    <t>Avenida Lima Norte, Chosica, Lima Metropolitana, Lima, 15468, Perú</t>
  </si>
  <si>
    <t>89 km/h</t>
  </si>
  <si>
    <t>Avenida Colectora, Chosica, Lima Metropolitana, Lima, 15468, Perú</t>
  </si>
  <si>
    <t>Carretera Central, San Bartolomé, Huarochirí, Lima, Perú</t>
  </si>
  <si>
    <t>87 km/h</t>
  </si>
  <si>
    <t>Avenida Metropolitana, Santa Anita, Lima Metropolitana, Lima, 15009, Perú, (RUTA DESVIO TEM.  4507)</t>
  </si>
  <si>
    <t>22 km/h</t>
  </si>
  <si>
    <t>81 km/h</t>
  </si>
  <si>
    <t>Avenida José Carlos Mariátegui, Ate, Lima Metropolitana, Lima, 15483, Perú</t>
  </si>
  <si>
    <t>32 km/h</t>
  </si>
  <si>
    <t>Avenida Nicolás de Ayllón, 5818, Ate, Lima Metropolitana, Lima, 15498, Perú, (Ruta4507nueva era 23-10-23)</t>
  </si>
  <si>
    <t>Avenida Nicolás de Ayllón, El Agustino, Lima Metropolitana, Lima, 15002, Perú, (Ruta4507nueva era 23-10-23, RUTA DESVIO TEM.  4507)</t>
  </si>
  <si>
    <t>90 km/h</t>
  </si>
  <si>
    <t>Ate, Lima Metropolitana, Lima, 15498, Perú, (Ruta4507nueva era 23-10-23)</t>
  </si>
  <si>
    <t>97 km/h</t>
  </si>
  <si>
    <t>102 km/h</t>
  </si>
  <si>
    <t>Avenida Paseo de la República, Lima, Lima Metropolitana, Lima, 15083, Perú, (Ruta4507nueva era 23-10-23)</t>
  </si>
  <si>
    <t>Carretera Central, Ate, Lima Metropolitana, Lima, 15474, Perú, (Ruta4507nueva era 23-10-23)</t>
  </si>
  <si>
    <t>99 km/h</t>
  </si>
  <si>
    <t>95 km/h</t>
  </si>
  <si>
    <t>Avenida José Santos Chocano, Ricardo Palma, Huarochirí, Lima, 15468, Perú</t>
  </si>
  <si>
    <t>Totales:</t>
  </si>
  <si>
    <t/>
  </si>
  <si>
    <t>* Los datos de combustible se calculan de acuerdo con el consumo medio de combustible del vehículo especificado en su configuración</t>
  </si>
  <si>
    <t>Avenida José Carlos Mariátegui, Ricardo Palma, Huarochirí, Lima, 15468, Perú, (Ruta4507nueva era 23-10-23)</t>
  </si>
  <si>
    <t>58 km/h</t>
  </si>
  <si>
    <t>Simón Bolívar, Ricardo Palma, Huarochirí, Lima, 15468, Perú</t>
  </si>
  <si>
    <t>16 km/h</t>
  </si>
  <si>
    <t>8 km/h</t>
  </si>
  <si>
    <t>Ricardo Palma, Huarochirí, Lima, 15468, Perú, (Ruta4507nueva era 23-10-23)</t>
  </si>
  <si>
    <t>Jose Carlos Mariátegui, Ricardo Palma, Lima Metropolitana, Lima, 15468, Perú, (PARADERO RICARDO PALMA)</t>
  </si>
  <si>
    <t>14 km/h</t>
  </si>
  <si>
    <t>Jirón Sánchez Pinillos, Breña, Lima Metropolitana, Lima, 15082, Perú</t>
  </si>
  <si>
    <t>Avenida Simón Bolívar, Santa Eulalia, Huarochirí, Lima, 15468, Perú</t>
  </si>
  <si>
    <t>31 km/h</t>
  </si>
  <si>
    <t>13 km/h</t>
  </si>
  <si>
    <t>Avenida Nicolás de Ayllón, Ate, Lima Metropolitana, Lima, 15002, Perú</t>
  </si>
  <si>
    <t>74 km/h</t>
  </si>
  <si>
    <t>Calle Salaverry, 280, Chosica, Lima Metropolitana, Lima, 15468, Perú, (Ruta4507nueva era 23-10-23)</t>
  </si>
  <si>
    <t>64 km/h</t>
  </si>
  <si>
    <t>Carretera Central, Ate, Lima Metropolitana, Lima, 15487, Perú, (S06 SANTA CLARA)</t>
  </si>
  <si>
    <t>Carretera Central, Ate, Lima Metropolitana, Lima, 15487, Perú, (S06 SANTA CLARA, Ruta4507nueva era 23-10-23)</t>
  </si>
  <si>
    <t>Avenida Nueva Neópolis, Ate, Lima Metropolitana, Lima, 15487, Perú</t>
  </si>
  <si>
    <t>12 km/h</t>
  </si>
  <si>
    <t>Jose Carlos Mariátegui, Chosica, Lima Metropolitana, Lima, 15468, Perú, (PARADERO RICARDO PALMA)</t>
  </si>
  <si>
    <t>29 km/h</t>
  </si>
  <si>
    <t>40 km/h</t>
  </si>
  <si>
    <t>Calle Berlín, Ate, Lima Metropolitana, Lima, 15498, Perú, (RUTA DESVIO TEM.  4507)</t>
  </si>
  <si>
    <t>37 km/h</t>
  </si>
  <si>
    <t>35 km/h</t>
  </si>
  <si>
    <t>Avenida Malecón Manco Cápac, Chaclacayo, Lima Metropolitana, Lima, 15472, Perú</t>
  </si>
  <si>
    <t>Carretera Central, Chaclacayo, Lima Metropolitana, Lima, 15464, Perú</t>
  </si>
  <si>
    <t>42 km/h</t>
  </si>
  <si>
    <t>28 km/h</t>
  </si>
  <si>
    <t>53 km/h</t>
  </si>
  <si>
    <t>49 km/h</t>
  </si>
  <si>
    <t>47 km/h</t>
  </si>
  <si>
    <t>23 km/h</t>
  </si>
  <si>
    <t>46 km/h</t>
  </si>
  <si>
    <t>Ate, Lima Metropolitana, Lima, 15487, Perú, (Ruta4507nueva era 23-10-23)</t>
  </si>
  <si>
    <t>68 km/h</t>
  </si>
  <si>
    <t>6 km/h</t>
  </si>
  <si>
    <t>44 km/h</t>
  </si>
  <si>
    <t>43 km/h</t>
  </si>
  <si>
    <t>27 km/h</t>
  </si>
  <si>
    <t>Avenida Nicolás de Ayllón, Ate, Lima Metropolitana, Lima, 15498, Perú, (Ruta4507nueva era 23-10-23, RUTA DESVIO TEM.  4507)</t>
  </si>
  <si>
    <t>Prolongación Javier Prado Este, Ate, Lima Metropolitana, Lima, 15498, Perú, (RUTA DESVIO TEM.  4507)</t>
  </si>
  <si>
    <t>Avenida Metropolitana, Ate, Lima Metropolitana, Lima, 15498, Perú, (RUTA DESVIO TEM.  4507)</t>
  </si>
  <si>
    <t>26 km/h</t>
  </si>
  <si>
    <t>Avenida Metropolitana, Santa Anita, Lima Metropolitana, Lima, 15009, Perú</t>
  </si>
  <si>
    <t>9 km/h</t>
  </si>
  <si>
    <t>Avenida Huancaray, Santa Anita, Lima Metropolitana, Lima, 15009, Perú</t>
  </si>
  <si>
    <t>Avenida Huarochiri, Santa Anita, Lima Metropolitana, Lima, 15009, Perú</t>
  </si>
  <si>
    <t>Avenida Huancaray, Santa Anita, Lima Metropolitana, Lima, 15009, Perú, (S04 AV. Metropolitana / Colectora Industrial)</t>
  </si>
  <si>
    <t>Avenida Huancaray, Santa Anita, Lima Metropolitana, Lima, 15007, Perú</t>
  </si>
  <si>
    <t>Avenida Huancaray, Santa Anita, Lima Metropolitana, Lima, 15008, Perú, (RUTA DESVIO TEM.  4507)</t>
  </si>
  <si>
    <t>38 km/h</t>
  </si>
  <si>
    <t>30 km/h</t>
  </si>
  <si>
    <t>Avenida Los Ruiseñores, Santa Anita, Lima Metropolitana, Lima, 15008, Perú, (RUTA DESVIO TEM.  4507)</t>
  </si>
  <si>
    <t>41 km/h</t>
  </si>
  <si>
    <t>Avenida Nicolás de Ayllón, Ate, Lima Metropolitana, Lima, 15008, Perú, (Ruta4507nueva era 23-10-23, RUTA DESVIO TEM.  4507)</t>
  </si>
  <si>
    <t>57 km/h</t>
  </si>
  <si>
    <t>Avenida Nicolás de Ayllón, Santa Anita, Lima Metropolitana, Lima, 15008, Perú</t>
  </si>
  <si>
    <t>Avenida Los Eucaliptos, Santa Anita, Lima Metropolitana, Lima, 15008, Perú, (RUTA DESVIO TEM.  4507)</t>
  </si>
  <si>
    <t>Avenida Santa Rosa, Santa Anita, Lima Metropolitana, Lima, 15007, Perú, (RUTA DESVIO TEM.  4507)</t>
  </si>
  <si>
    <t>Avenida Huarochiri, Santa Anita, Lima Metropolitana, Lima, 15009, Perú, (RUTA DESVIO TEM.  4507)</t>
  </si>
  <si>
    <t>Avenida Huancaray, Santa Anita, Lima Metropolitana, Lima, 15009, Perú, (RUTA DESVIO TEM.  4507)</t>
  </si>
  <si>
    <t>Avenida de La Cultura, 808, Ate, Lima Metropolitana, Lima, 15009, Perú, (RUTA DESVIO TEM.  4507)</t>
  </si>
  <si>
    <t>Víctor Raúl Haya de la Torre, Ate, Lima Metropolitana, Lima, 15498, Perú, (Ruta4507nueva era 23-10-23, RUTA DESVIO TEM.  4507)</t>
  </si>
  <si>
    <t>Victor Raul Haya de la Torre, Ate, Lima Metropolitana, Lima, 15498, Perú, (Ruta4507nueva era 23-10-23, RUTA DESVIO TEM.  4507)</t>
  </si>
  <si>
    <t>Avenida Nicolás de Ayllón, Ate, Lima Metropolitana, Lima, 15498, Perú, (S05Vitarte/ ALT. Hospital, Ruta4507nueva era 23-10-23)</t>
  </si>
  <si>
    <t>36 km/h</t>
  </si>
  <si>
    <t>Avenida Nicolás de Ayllón, 6376, Ate, Lima Metropolitana, Lima, 15498, Perú, (Ruta4507nueva era 23-10-23)</t>
  </si>
  <si>
    <t>66 km/h</t>
  </si>
  <si>
    <t>Avenida Nueva Neópolis, Ate, Lima Metropolitana, Lima, 15487, Perú, (Ruta4507nueva era 23-10-23)</t>
  </si>
  <si>
    <t>48 km/h</t>
  </si>
  <si>
    <t>Avenida Jaime Zubieta Calderon, Ate, Lima Metropolitana, Lima, 15483, Perú, (Ruta4507nueva era 23-10-23)</t>
  </si>
  <si>
    <t>Avenida José Carlos Mariátegui, Ate, Lima Metropolitana, Lima, 15474, Perú, (Horacio Zeballos)</t>
  </si>
  <si>
    <t>39 km/h</t>
  </si>
  <si>
    <t>Avenida 15 de Julio, Nº 512 UVC 3, Ate, Lima Metropolitana, Lima, 15483, Perú</t>
  </si>
  <si>
    <t>55 km/h</t>
  </si>
  <si>
    <t>45 km/h</t>
  </si>
  <si>
    <t>59 km/h</t>
  </si>
  <si>
    <t>Avenida Nicolás de Ayllón, 816-818, Ate, Lima Metropolitana, Lima, 15487, Perú, (Ruta4507nueva era 23-10-23)</t>
  </si>
  <si>
    <t>Avenida Nicolás de Ayllón, Ate, Lima Metropolitana, Lima, 15498, Perú, (Ruta4507nueva era 23-10-23)</t>
  </si>
  <si>
    <t>2 km/h</t>
  </si>
  <si>
    <t>Avenida Francisco Bolognesi, 1082, Santa Anita, Lima Metropolitana, Lima, 15008, Perú, (RUTA DESVIO TEM.  4507)</t>
  </si>
  <si>
    <t>Avenida Francisco Bolognesi, Santa Anita, Lima Metropolitana, Lima, 15008, Perú, (RUTA DESVIO TEM.  4507)</t>
  </si>
  <si>
    <t>Avenida 7 de Junio, Santa Anita, Lima Metropolitana, Lima, 15008, Perú, (RUTA DESVIO TEM.  4507)</t>
  </si>
  <si>
    <t>Auxiliar Avenida Circunvalación, San Luis, Lima Metropolitana, Lima, 15019, Perú</t>
  </si>
  <si>
    <t>Calle Ollanta, San Luis, Lima Metropolitana, Lima, 15019, Perú</t>
  </si>
  <si>
    <t>Avenida José de la Riva Aguero, El Agustino, Lima Metropolitana, Lima, 15004, Perú</t>
  </si>
  <si>
    <t>Calle El Pino, El Agustino, Lima Metropolitana, Lima, 15004, Perú</t>
  </si>
  <si>
    <t>61 km/h</t>
  </si>
  <si>
    <t>Avenida Almirante Miguel Grau, Lima, Lima Metropolitana, Lima, 15083, Perú, (Ruta4507nueva era 23-10-23)</t>
  </si>
  <si>
    <t>Avenida Almirante Miguel Grau, La Victoria, Lima Metropolitana, Lima, 15001, Perú, (Ruta4507nueva era 23-10-23)</t>
  </si>
  <si>
    <t>Vía Expresa Almirante Miguel Grau, La Victoria, Lima Metropolitana, Lima, 15001, Perú, (Ruta4507nueva era 23-10-23)</t>
  </si>
  <si>
    <t>Vía Expresa Almirante Miguel Grau, La Victoria, Lima Metropolitana, Lima, 15011, Perú, (Ruta4507nueva era 23-10-23)</t>
  </si>
  <si>
    <t>Avenida Nicolás de Ayllón, Lima, Lima Metropolitana, Lima, 15004, Perú, (Ruta4507nueva era 23-10-23)</t>
  </si>
  <si>
    <t>Avenida Inca Garcilazo de la Vega, Lima, Lima Metropolitana, Lima, 15004, Perú</t>
  </si>
  <si>
    <t>Calle Angel Cepollini, San Luis, Lima Metropolitana, Lima, 15019, Perú</t>
  </si>
  <si>
    <t>Avenida Circunvalación, La Victoria, Lima Metropolitana, Lima, 15019, Perú</t>
  </si>
  <si>
    <t>Avenida Circunvalación, San Luis, Lima Metropolitana, Lima, 15019, Perú</t>
  </si>
  <si>
    <t>10 km/h</t>
  </si>
  <si>
    <t>Avenida Nicolás de Ayllón, Ate, Lima Metropolitana, Lima, 15002, Perú, (Ruta4507nueva era 23-10-23, RUTA DESVIO TEM.  4507)</t>
  </si>
  <si>
    <t>51 km/h</t>
  </si>
  <si>
    <t>Avenida Minería, Santa Anita, Lima Metropolitana, Lima, 15008, Perú</t>
  </si>
  <si>
    <t>25 km/h</t>
  </si>
  <si>
    <t>Avenida Minería, Santa Anita, Lima Metropolitana, Lima, 15008, Perú, (Ruta4507nueva era 23-10-23, RUTA DESVIO TEM.  4507)</t>
  </si>
  <si>
    <t>Avenida Nicolás de Ayllón, 2950, Ate, Lima Metropolitana, Lima, 15008, Perú, (Ruta4507nueva era 23-10-23)</t>
  </si>
  <si>
    <t>Avenida La Molina, Ate, Lima Metropolitana, Lima, 15008, Perú, (Ruta4507nueva era 23-10-23)</t>
  </si>
  <si>
    <t>Avenida Nicolás de Ayllón, Ate, Lima Metropolitana, Lima, 15008, Perú, (Ruta4507nueva era 23-10-23)</t>
  </si>
  <si>
    <t>Avenida Los Ruiseñores, Santa Anita, Lima Metropolitana, Lima, 15008, Perú, (Ruta4507nueva era 23-10-23)</t>
  </si>
  <si>
    <t>Avenida Huancaray, Santa Anita, Lima Metropolitana, Lima, 15007, Perú, (RUTA DESVIO TEM.  4507)</t>
  </si>
  <si>
    <t>Avenida Metropolitana, Ate, Lima Metropolitana, Lima, 15498, Perú</t>
  </si>
  <si>
    <t>Calle 4, Ate, Lima Metropolitana, Lima, 15498, Perú</t>
  </si>
  <si>
    <t>Calle 4, Ate, Lima Metropolitana, Lima, 15498, Perú, (Ruta4507nueva era 23-10-23)</t>
  </si>
  <si>
    <t>Avenida Central, Ate, Lima Metropolitana, Lima, 15498, Perú, (Ruta4507nueva era 23-10-23)</t>
  </si>
  <si>
    <t>52 km/h</t>
  </si>
  <si>
    <t>63 km/h</t>
  </si>
  <si>
    <t>Avenida Gloria Grande, Ate, Lima Metropolitana, Lima, 15483, Perú, (Ruta4507nueva era 23-10-23)</t>
  </si>
  <si>
    <t>Carretera Central, Ate, Lima Metropolitana, Lima, 15474, Perú, (Horacio Zeballos)</t>
  </si>
  <si>
    <t>Carretera Central, Chaclacayo, Lima Metropolitana, Lima, 15474, Perú, (Ruta4507nueva era 23-10-23)</t>
  </si>
  <si>
    <t>Chaclacayo, Lima Metropolitana, Lima, 15474, Perú, (Ruta4507nueva era 23-10-23)</t>
  </si>
  <si>
    <t>Carretera Central, Chaclacayo, Lima Metropolitana, Lima, 15476, Perú, (Ruta4507nueva era 23-10-23)</t>
  </si>
  <si>
    <t>Calle Alhelíes, Chaclacayo, Lima Metropolitana, Lima, 15476, Perú, (Ruta4507nueva era 23-10-23)</t>
  </si>
  <si>
    <t>Carretera Central, Chaclacayo, Lima Metropolitana, Lima, 15464, Perú, (Ruta4507nueva era 23-10-23)</t>
  </si>
  <si>
    <t>Calle Los Geranios, Chosica, Lima Metropolitana, Lima, 15468, Perú, (Ruta4507nueva era 23-10-23)</t>
  </si>
  <si>
    <t>Avenida Las Flores, Chosica, Lima Metropolitana, Lima, 15468, Perú, (Ruta4507nueva era 23-10-23)</t>
  </si>
  <si>
    <t>Jirón Chucuito, 187, Chosica, Lima Metropolitana, Lima, 15468, Perú, (Ruta4507nueva era 23-10-23)</t>
  </si>
  <si>
    <t>Jirón Tacna, Chosica, Lima Metropolitana, Lima, 15468, Perú, (Ruta4507nueva era 23-10-23)</t>
  </si>
  <si>
    <t>Jirón Tacna, Chosica, Lima Metropolitana, Lima, 15468, Perú</t>
  </si>
  <si>
    <t>Avenida Nicolás Ayllón, Chaclacayo, Lima Metropolitana, Lima, 15472, Perú, (Ruta4507nueva era 23-10-23)</t>
  </si>
  <si>
    <t>Avenida Nicolás Ayllón, Chaclacayo, Lima Metropolitana, Lima, 15464, Perú, (Ruta4507nueva era 23-10-23)</t>
  </si>
  <si>
    <t>60 km/h</t>
  </si>
  <si>
    <t>Carretera Central, Lurigancho, Lima Metropolitana, Lima, 15483, Perú, (Ruta4507nueva era 23-10-23)</t>
  </si>
  <si>
    <t>Carretera Central, Ate, Lima Metropolitana, Lima, 15483, Perú, (Ruta4507nueva era 23-10-23)</t>
  </si>
  <si>
    <t>Avenida Jaime Zubieta Calderón, Ate, Lima Metropolitana, Lima, 15483, Perú, (Ruta4507nueva era 23-10-23)</t>
  </si>
  <si>
    <t>Carretera Central, Ate, Lima Metropolitana, Lima, 15474, Perú</t>
  </si>
  <si>
    <t>Avenida Nicolás Ayllón, 161 C, Chaclacayo, Lima Metropolitana, Lima, 15464, Perú, (Ruta4507nueva era 23-10-23)</t>
  </si>
  <si>
    <t>Avenida Nicolás Ayllón, 161 C, Chaclacayo, Lima Metropolitana, Lima, 15472, Perú, (Ruta4507nueva era 23-10-23)</t>
  </si>
  <si>
    <t>Avenida Nicolás Ayllón, 477, Chaclacayo, Lima Metropolitana, Lima, 15472, Perú, (Ruta4507nueva era 23-10-23)</t>
  </si>
  <si>
    <t>Avenida Nicolás Ayllón, 582-598, Chaclacayo, Lima Metropolitana, Lima, 15472, Perú, (Ruta4507nueva era 23-10-23)</t>
  </si>
  <si>
    <t>Avenida Las Flores, Lurigancho, Lima Metropolitana, Lima, 15468, Perú, (Ruta4507nueva era 23-10-23)</t>
  </si>
  <si>
    <t>Avenida Lima Sur, 1471, Chosica, Lima Metropolitana, Lima, 15468, Perú, (Ruta4507nueva era 23-10-23)</t>
  </si>
  <si>
    <t>Calle Los Plátanos, Chosica, Lima Metropolitana, Lima, 15468, Perú, (Ruta4507nueva era 23-10-23)</t>
  </si>
  <si>
    <t>Avenida Lima Sur, Chosica, Lima Metropolitana, Lima, 15468, Perú, (S09 CHOSICA/ PEDREGAL, Ruta4507nueva era 23-10-23)</t>
  </si>
  <si>
    <t>Avenida Lima Sur, 824, Chosica, Lima Metropolitana, Lima, 15468, Perú, (Ruta4507nueva era 23-10-23)</t>
  </si>
  <si>
    <t>Avenida Lima Sur, 765, Chosica, Lima Metropolitana, Lima, 15468, Perú, (Ruta4507nueva era 23-10-23)</t>
  </si>
  <si>
    <t>Avenida Lima Sur, 275, Chosica, Lima Metropolitana, Lima, 15468, Perú, (Ruta4507nueva era 23-10-23)</t>
  </si>
  <si>
    <t>Avenida Lima Norte, Chosica, Lima Metropolitana, Lima, 15468, Perú, (Ruta4507nueva era 23-10-23)</t>
  </si>
  <si>
    <t>Almirante Miguel Grau, Chosica, Lima Metropolitana, Lima, 15468, Perú, (Ruta4507nueva era 23-10-23)</t>
  </si>
  <si>
    <t>Avenida Lima Norte, 474, Chosica, Lima Metropolitana, Lima, 15468, Perú, (Ruta4507nueva era 23-10-23)</t>
  </si>
  <si>
    <t>Ricardo Palma, Huarochirí, Lima, 15468, Perú, (CURVA RICARDO PALMA, Ruta4507nueva era 23-10-23)</t>
  </si>
  <si>
    <t>Avenida Simón Bolívar, Santa Eulalia, Huarochirí, Lima, 15468, Perú, (Ruta4507nueva era 23-10-23)</t>
  </si>
  <si>
    <t>Avenida Lima Norte, Santa Eulalia, Huarochirí, Lima, 15468, Perú, (Ruta4507nueva era 23-10-23)</t>
  </si>
  <si>
    <t>Avenida Lima Norte, Santa Eulalia, Lima Metropolitana, Lima, 15468, Perú, (Ruta4507nueva era 23-10-23)</t>
  </si>
  <si>
    <t>Avenida Lima Norte, 246, Chosica, Lima Metropolitana, Lima, 15468, Perú, (Ruta4507nueva era 23-10-23)</t>
  </si>
  <si>
    <t>Avenida Las Flores, 29000, Lurigancho, Lima Metropolitana, Lima, 15472, Perú, (Ruta4507nueva era 23-10-23)</t>
  </si>
  <si>
    <t>Avenida Santa María, Ate, Lima Metropolitana, Lima, 15498, Perú, (Ruta4507nueva era 23-10-23, RUTA DESVIO TEM.  4507)</t>
  </si>
  <si>
    <t>Santa Anita, Lima Metropolitana, Lima, 15009, Perú, (RUTA DESVIO TEM.  4507)</t>
  </si>
  <si>
    <t>Avenida Manuel de la Torre Ugarte, Santa Anita, Lima Metropolitana, Lima, 15008, Perú, (RUTA DESVIO TEM.  4507)</t>
  </si>
  <si>
    <t>Avenida Minería, 385, Santa Anita, Lima Metropolitana, Lima, 15008, Perú, (RUTA DESVIO TEM.  4507)</t>
  </si>
  <si>
    <t>Avenida Minería, Santa Anita, Lima Metropolitana, Lima, 15008, Perú, (RUTA DESVIO TEM.  4507)</t>
  </si>
  <si>
    <t>Avenida Nicolás de Ayllón, El Agustino, Lima Metropolitana, Lima, 15008, Perú, (Ruta4507nueva era 23-10-23, RUTA DESVIO TEM.  4507)</t>
  </si>
  <si>
    <t>Avenida Nicolás de Ayllón, Ate, Lima Metropolitana, Lima, 15022, Perú, (Ruta4507nueva era 23-10-23, RUTA DESVIO TEM.  4507)</t>
  </si>
  <si>
    <t>Avenida Andrés Avelino Cáceres, Ate, Lima Metropolitana, Lima, 15019, Perú</t>
  </si>
  <si>
    <t>Avenida Nicolás Ayllón, Lima, Lima Metropolitana, Lima, 15011, Perú, (Ruta4507nueva era 23-10-23)</t>
  </si>
  <si>
    <t>Avenida Nicolás de Ayllón, Lima, Lima Metropolitana, Lima, 15011, Perú, (Ruta4507nueva era 23-10-23)</t>
  </si>
  <si>
    <t>Avenida Nicolás de Ayllón, 272-298, Lima, Lima Metropolitana, Lima, 15011, Perú, (Ruta4507nueva era 23-10-23)</t>
  </si>
  <si>
    <t>Avenida Nicolás Ayllón, 137, Lima, Lima Metropolitana, Lima, 15011, Perú, (Ruta4507nueva era 23-10-23)</t>
  </si>
  <si>
    <t>Avenida Almirante Miguel Grau, 1518, Lima, Lima Metropolitana, Lima, 15011, Perú, (Ruta4507nueva era 23-10-23)</t>
  </si>
  <si>
    <t>Avenida Almirante Miguel Grau, Lima, Lima Metropolitana, Lima, 15011, Perú, (Ruta4507nueva era 23-10-23)</t>
  </si>
  <si>
    <t>Avenida Almirante Miguel Grau, 1499, Lima, Lima Metropolitana, Lima, 15011, Perú, (Ruta4507nueva era 23-10-23)</t>
  </si>
  <si>
    <t>Avenida Almirante Miguel Grau, 1299, Lima, Lima Metropolitana, Lima, 15011, Perú, (Ruta4507nueva era 23-10-23)</t>
  </si>
  <si>
    <t>Avenida Almirante Miguel Grau, 1233, Lima, Lima Metropolitana, Lima, 15011, Perú, (Ruta4507nueva era 23-10-23)</t>
  </si>
  <si>
    <t>Avenida Almirante Miguel Grau, 384, La Victoria, Lima Metropolitana, Lima, 15001, Perú, (Ruta4507nueva era 23-10-23)</t>
  </si>
  <si>
    <t>Avenida Almirante Miguel Grau, 113, Lima, Lima Metropolitana, Lima, 15001, Perú, (Ruta4507nueva era 23-10-23)</t>
  </si>
  <si>
    <t>Avenida 28 de Julio, Lima, Lima Metropolitana, Lima, 15083, Perú</t>
  </si>
  <si>
    <t>Avenida 28 de Julio, 715, Jesús María, Lima Metropolitana, Lima, 15083, Perú</t>
  </si>
  <si>
    <t>Jirón Washington, Lima, Lima Metropolitana, Lima, 15083, Perú</t>
  </si>
  <si>
    <t>Avenida España, 224, Lima, Lima Metropolitana, Lima, 15083, Perú</t>
  </si>
  <si>
    <t>Jirón Washington, 1232, Lima, Lima Metropolitana, Lima, 15001, Perú</t>
  </si>
  <si>
    <t>Jirón Zepita, 101, Lima, Lima Metropolitana, Lima, 15082, Perú</t>
  </si>
  <si>
    <t>Jirón Huarochirí, 643, Lima, Lima Metropolitana, Lima, 15082, Perú</t>
  </si>
  <si>
    <t>Ciclovía Colonial, Lima, Lima Metropolitana, Lima, 15082, Perú, (Ruta4507nueva era 23-10-23)</t>
  </si>
  <si>
    <t>Avenida Óscar Raimundo Benavides, 150, Lima, Lima Metropolitana, Lima, 15082, Perú</t>
  </si>
  <si>
    <t>Avenida Óscar Raimundo Benavides, 150, Lima, Lima Metropolitana, Lima, 15082, Perú, (Ruta4507nueva era 23-10-23)</t>
  </si>
  <si>
    <t>Ciclovía Colonial, Lima, Lima Metropolitana, Lima, 15082, Perú</t>
  </si>
  <si>
    <t>Avenida Alfonso Ugarte, Lima, Lima Metropolitana, Lima, 15082, Perú, (Ruta4507nueva era 23-10-23)</t>
  </si>
  <si>
    <t>Avenida Alfonso Ugarte, 912, Breña, Lima Metropolitana, Lima, 15082, Perú, (Ruta4507nueva era 23-10-23)</t>
  </si>
  <si>
    <t>Avenida Alfonso Ugarte, 1006, Lima, Lima Metropolitana, Lima, 15082, Perú, (Ruta4507nueva era 23-10-23)</t>
  </si>
  <si>
    <t>Avenida Alfonso Ugarte, Breña, Lima Metropolitana, Lima, 15082, Perú, (Ruta4507nueva era 23-10-23)</t>
  </si>
  <si>
    <t>Avenida Alfonso Ugarte, 494, Breña, Lima Metropolitana, Lima, 15083, Perú, (Ruta4507nueva era 23-10-23)</t>
  </si>
  <si>
    <t>Plaza Francisco Bolognesi, 590, Jesús María, Lima Metropolitana, Lima, 15083, Perú, (Ruta4507nueva era 23-10-23)</t>
  </si>
  <si>
    <t>Avenida Petit Thouars, 115, Lima, Lima Metropolitana, Lima, 15083, Perú</t>
  </si>
  <si>
    <t>Avenida 28 de Julio, 1056, Jesús María, Lima Metropolitana, Lima, 15083, Perú</t>
  </si>
  <si>
    <t>Avenida Paseo de la República, Lima, Lima Metropolitana, Lima, 15083, Perú</t>
  </si>
  <si>
    <t>Avenida Almirante Miguel Grau, 354, Lima, Lima Metropolitana, Lima, 15001, Perú, (Ruta4507nueva era 23-10-23)</t>
  </si>
  <si>
    <t>Avenida Almirante Miguel Grau, 369, Lima, Lima Metropolitana, Lima, 15001, Perú, (Ruta4507nueva era 23-10-23)</t>
  </si>
  <si>
    <t>Avenida Almirante Miguel Grau, 813, Lima, Lima Metropolitana, Lima, 15001, Perú, (Ruta4507nueva era 23-10-23)</t>
  </si>
  <si>
    <t>Avenida Almirante Miguel Grau, 887, Lima, Lima Metropolitana, Lima, 15001, Perú, (Ruta4507nueva era 23-10-23)</t>
  </si>
  <si>
    <t>Jirón Huánuco, Lima, Lima Metropolitana, Lima, 15011, Perú, (Ruta4507nueva era 23-10-23)</t>
  </si>
  <si>
    <t>Prolongación Avenida San Pablo, Lima, Lima Metropolitana, Lima, 15011, Perú, (Ruta4507nueva era 23-10-23)</t>
  </si>
  <si>
    <t>Prolongación Avenida San Pablo, Lima, Lima Metropolitana, Lima, 15011, Perú</t>
  </si>
  <si>
    <t>Lima, Lima Metropolitana, Lima, 15011, Perú</t>
  </si>
  <si>
    <t>Avenida Nicolás de Ayllón, San Luis, Lima Metropolitana, Lima, 15019, Perú, (Ruta4507nueva era 23-10-23)</t>
  </si>
  <si>
    <t>Avenida Nicolás de Ayllón, San Luis, Lima Metropolitana, Lima, 15022, Perú, (Ruta4507nueva era 23-10-23, RUTA DESVIO TEM.  4507)</t>
  </si>
  <si>
    <t>Avenida Nicolás de Ayllón, 2691, El Agustino, Lima Metropolitana, Lima, 15002, Perú, (Ruta4507nueva era 23-10-23, RUTA DESVIO TEM.  4507)</t>
  </si>
  <si>
    <t>Avenida Nicolás de Ayllón, El Agustino, Lima Metropolitana, Lima, 15008, Perú, (Ruta4507nueva era 23-10-23)</t>
  </si>
  <si>
    <t>Avenida Nicolás de Ayllón, Santa Anita, Lima Metropolitana, Lima, 15008, Perú, (Ruta4507nueva era 23-10-23)</t>
  </si>
  <si>
    <t>Avenida Los Rosales, Ate, Lima Metropolitana, Lima, 15008, Perú, (Ruta4507nueva era 23-10-23)</t>
  </si>
  <si>
    <t>Avenida Nicolás de Ayllón, Ate, Lima Metropolitana, Lima, 15009, Perú, (Ruta4507nueva era 23-10-23)</t>
  </si>
  <si>
    <t>Víctor Raúl Haya de la Torre, Ate, Lima Metropolitana, Lima, 15498, Perú, (Ruta4507nueva era 23-10-23)</t>
  </si>
  <si>
    <t>Avenida Nicolás de Ayllón, 4770, Ate, Lima Metropolitana, Lima, 15498, Perú, (Ruta4507nueva era 23-10-23)</t>
  </si>
  <si>
    <t>Avenida Nicolás de Ayllón, km 6.5, Ate, Lima Metropolitana, Lima, 15498, Perú, (Ruta4507nueva era 23-10-23)</t>
  </si>
  <si>
    <t>Prolongación Javier Prado Este, Ate, Lima Metropolitana, Lima, 15498, Perú, (Ruta4507nueva era 23-10-23)</t>
  </si>
  <si>
    <t>Prolongación Javier Prado Este, Ate, Lima Metropolitana, Lima, 15498, Perú, (Ruta4507nueva era 23-10-23, RUTA DESVIO TEM.  4507)</t>
  </si>
  <si>
    <t>Avenida Nicolás de Ayllón, 15498, Ate, Lima Metropolitana, Lima, 15498, Perú, (Ruta4507nueva era 23-10-23, RUTA DESVIO TEM.  4507)</t>
  </si>
  <si>
    <t>Avenida Nicolás de Ayllón, 836, Ate, Lima Metropolitana, Lima, 15487, Perú, (Ruta4507nueva era 23-10-23)</t>
  </si>
  <si>
    <t>56 km/h</t>
  </si>
  <si>
    <t>Avenida Nicolás Ayllón, 432, Chaclacayo, Lima Metropolitana, Lima, 15472, Perú, (Ruta4507nueva era 23-10-23)</t>
  </si>
  <si>
    <t>Avenida Nicolás Ayllón, 2032, Chaclacayo, Lima Metropolitana, Lima, 15472, Perú, (Ruta4507nueva era 23-10-23)</t>
  </si>
  <si>
    <t>Carretera Central, Lurigancho, Lima Metropolitana, Lima, 15472, Perú, (Ruta4507nueva era 23-10-23)</t>
  </si>
  <si>
    <t>Jirón Los Próceres, Santa Eulalia, Huarochirí, Lima, 15468, Perú, (Ruta4507nueva era 23-10-23)</t>
  </si>
  <si>
    <t>Avenida Lima Norte, 574, Santa Eulalia, Lima Metropolitana, Lima, 15468, Perú, (Ruta4507nueva era 23-10-23)</t>
  </si>
  <si>
    <t>Avenida Lima Norte, 180, Chosica, Lima Metropolitana, Lima, 15468, Perú, (Ruta4507nueva era 23-10-23)</t>
  </si>
  <si>
    <t>Avenida Lima Norte, 178, Chosica, Lima Metropolitana, Lima, 15468, Perú, (Ruta4507nueva era 23-10-23)</t>
  </si>
  <si>
    <t>Jirón Trujillo Norte, Chosica, Lima Metropolitana, Lima, 15468, Perú, (Ruta4507nueva era 23-10-23)</t>
  </si>
  <si>
    <t>Jirón Trujillo Sur, Chosica, Lima Metropolitana, Lima, 15468, Perú, (Ruta4507nueva era 23-10-23)</t>
  </si>
  <si>
    <t>Calle Solea, Chosica, Lima Metropolitana, Lima, 15468, Perú, (Ruta4507nueva era 23-10-23)</t>
  </si>
  <si>
    <t>Carretera Central, Frnt G3, Lurigancho, Lima Metropolitana, Lima, 15472, Perú, (Ruta4507nueva era 23-10-23)</t>
  </si>
  <si>
    <t>62 km/h</t>
  </si>
  <si>
    <t>Avenida Nicolás de Ayllón, Santa Anita, Lima Metropolitana, Lima, 15498, Perú, (Ruta4507nueva era 23-10-23)</t>
  </si>
  <si>
    <t>Avenida Nicolás de Ayllón, Santa Anita, Lima Metropolitana, Lima, 00051, Perú, (Ruta4507nueva era 23-10-23)</t>
  </si>
  <si>
    <t>Las Alondras, 237, Santa Anita, Lima Metropolitana, Lima, 15008, Perú, (Ruta4507nueva era 23-10-23)</t>
  </si>
  <si>
    <t>Las Alondras, Santa Anita, Lima Metropolitana, Lima, 15008, Perú, (Ruta4507nueva era 23-10-23)</t>
  </si>
  <si>
    <t>Las Alondras, 175, Santa Anita, Lima Metropolitana, Lima, 15008, Perú, (Ruta4507nueva era 23-10-23)</t>
  </si>
  <si>
    <t>Vía de Evitamiento, Santa Anita, Lima Metropolitana, Lima, 15008, Perú, (Ruta4507nueva era 23-10-23, RUTA DESVIO TEM.  4507)</t>
  </si>
  <si>
    <t>Avenida Nicolás de Ayllón, Ate, Lima Metropolitana, Lima, 15022, Perú, (Ruta4507nueva era 23-10-23)</t>
  </si>
  <si>
    <t>Avenida Almirante Miguel Grau, 1200, Lima, Lima Metropolitana, Lima, 15011, Perú, (Ruta4507nueva era 23-10-23)</t>
  </si>
  <si>
    <t>Avenida Almirante Miguel Grau, 848, Lima, Lima Metropolitana, Lima, 15001, Perú, (Ruta4507nueva era 23-10-23)</t>
  </si>
  <si>
    <t>Vía Expresa Almirante Miguel Grau, Lima, Lima Metropolitana, Lima, 15011, Perú, (Ruta4507nueva era 23-10-23)</t>
  </si>
  <si>
    <t>Vía Expresa Almirante Miguel Grau, Lima, Lima Metropolitana, Lima, 15001, Perú, (Ruta4507nueva era 23-10-23)</t>
  </si>
  <si>
    <t>Avenida Almirante Miguel Grau, 171, Lima, Lima Metropolitana, Lima, 15001, Perú, (Ruta4507nueva era 23-10-23)</t>
  </si>
  <si>
    <t>Avenida Almirante Miguel Grau, 113, Lima, Lima Metropolitana, Lima, 15001, Perú</t>
  </si>
  <si>
    <t>Avenida 9 de Diciembre, Lima, Lima Metropolitana, Lima, 15083, Perú, (Ruta4507nueva era 23-10-23)</t>
  </si>
  <si>
    <t>Avenida Paseo de la República, La Victoria, Lima Metropolitana, Lima, 15001, Perú, (Ruta4507nueva era 23-10-23)</t>
  </si>
  <si>
    <t>Avenida Iquitos, Lima, Lima Metropolitana, Lima, 15001, Perú, (Ruta4507nueva era 23-10-23)</t>
  </si>
  <si>
    <t>Vía Expresa Almirante Miguel Grau, La Victoria, Lima Metropolitana, Lima, 15001, Perú, (S02 AV.GRAU/ JR ANDAHUAYLAS, Ruta4507nueva era 23-10-23)</t>
  </si>
  <si>
    <t>Calle 28 de Diciembre, San Luis, Lima Metropolitana, Lima, 15019, Perú</t>
  </si>
  <si>
    <t>Vía de Evitamiento, Ate, Lima Metropolitana, Lima, 15008, Perú</t>
  </si>
  <si>
    <t>Calle Santa Inés, Ate, Lima Metropolitana, Lima, 15008, Perú</t>
  </si>
  <si>
    <t>Avenida Nicolás de Ayllón, 1308, Ate, Lima Metropolitana, Lima, 15009, Perú, (Ruta4507nueva era 23-10-23)</t>
  </si>
  <si>
    <t>Avenida Nicolás de Ayllón, Km. 3.5, Santa Anita, Lima Metropolitana, Lima, 00051, Perú, (Ruta4507nueva era 23-10-23)</t>
  </si>
  <si>
    <t>Marcos Puente Llanos, Ate, Lima Metropolitana, Lima, 15498, Perú, (RUTA DESVIO TEM.  4507)</t>
  </si>
  <si>
    <t>Calle El Trabajo, Ate, Lima Metropolitana, Lima, 15498, Perú, (Ruta4507nueva era 23-10-23, RUTA DESVIO TEM.  4507)</t>
  </si>
  <si>
    <t>Avenida Nicolás de Ayllón, 6376, Ate, Lima Metropolitana, Lima, 15498, Perú, (Ruta4507nueva era 23-10-23, RUTA DESVIO TEM.  4507)</t>
  </si>
  <si>
    <t>Avenida José Carlos Mariátegui, Ate, Lima Metropolitana, Lima, 15474, Perú, (Horacio Zeballos, Ruta4507nueva era 23-10-23)</t>
  </si>
  <si>
    <t>Avenida Nicolás Ayllón, 1159, Chaclacayo, Lima Metropolitana, Lima, 15472, Perú, (Ruta4507nueva era 23-10-23)</t>
  </si>
  <si>
    <t>Avenida Nicolás Ayllón, 2274, Chaclacayo, Lima Metropolitana, Lima, 15472, Perú, (Ruta4507nueva era 23-10-23)</t>
  </si>
  <si>
    <t>Carretera Central, Chaclacayo, Lima Metropolitana, Lima, 15472, Perú, (Ruta4507nueva era 23-10-23)</t>
  </si>
  <si>
    <t>Avenida Unión, Chaclacayo, Lima Metropolitana, Lima, 15476, Perú</t>
  </si>
  <si>
    <t>Avenida Unión, Chaclacayo, Lima Metropolitana, Lima, 15474, Perú</t>
  </si>
  <si>
    <t>75 km/h</t>
  </si>
  <si>
    <t>71 km/h</t>
  </si>
  <si>
    <t>Carretera Central, Km. 17.5, Chaclacayo, Lima Metropolitana, Lima, 15474, Perú, (Ruta4507nueva era 23-10-23)</t>
  </si>
  <si>
    <t>Avenida Andrés Avelino Cáceres, Ate, Lima Metropolitana, Lima, 15483, Perú</t>
  </si>
  <si>
    <t>Ricardo Palma, Huarochirí, Lima, 15468, Perú</t>
  </si>
  <si>
    <t>Avenida Los Rosales, Ate, Lima Metropolitana, Lima, 15019, Perú</t>
  </si>
  <si>
    <t>Calle Alhelíes, Chaclacayo, Lima Metropolitana, Lima, 15476, Perú</t>
  </si>
  <si>
    <t>Avenida Los Incas, 205, Ate, Lima Metropolitana, Lima, 15483, Perú</t>
  </si>
  <si>
    <t>Avenida Bernard de Balaguer, Lurigancho, Lima Metropolitana, Lima, 15474, Perú</t>
  </si>
  <si>
    <t>Avenida Jaime Zubieta Calderon, Ate, Lima Metropolitana, Lima, 15483, Perú</t>
  </si>
  <si>
    <t>Jirón Colombia, Chosica, Lima Metropolitana, Lima, 15468, Perú</t>
  </si>
  <si>
    <t>Avenida La Paz, G2, Santa Eulalia, Huarochirí, Lima, 15500, Perú</t>
  </si>
  <si>
    <t>Calle Las Magnolias, Chosica, Lima Metropolitana, Lima, 15468, Perú</t>
  </si>
  <si>
    <t>Calle Los Gladiolos, Chosica, Lima Metropolitana, Lima, 15468, Perú</t>
  </si>
  <si>
    <t>Calle Bernardino Salguero, Chosica, Lima Metropolitana, Lima, 15468, Perú</t>
  </si>
  <si>
    <t>Calle Los Eucaliptos, Chaclacayo, Lima Metropolitana, Lima, 15474, Perú</t>
  </si>
  <si>
    <t>Alexander Von Humboldt, Naplo, Lima Metropolitana, Lima, 15866, Perú</t>
  </si>
  <si>
    <t>Avenida Alfonso Cobián, Chaclacayo, Lima Metropolitana, Lima, 15476, Perú</t>
  </si>
  <si>
    <t>Avenida Nicolás Ayllón, Chaclacayo, Lima Metropolitana, Lima, 15472, Perú</t>
  </si>
  <si>
    <t>Chaclacayo, Lima Metropolitana, Lima, 15472, Perú, (Ruta4507nueva era 23-10-23)</t>
  </si>
  <si>
    <t>80 km/h</t>
  </si>
  <si>
    <t>Jirón García Naranjo, La Victoria, Lima Metropolitana, Lima, 15001, Perú</t>
  </si>
  <si>
    <t>65 km/h</t>
  </si>
  <si>
    <t>Calle Salaverry, 280, Chosica, Lima Metropolitana, Lima, 15468, Perú</t>
  </si>
  <si>
    <t>Chosica, Lima Metropolitana, Lima, 15468, Perú</t>
  </si>
  <si>
    <t>Jirón Miguel de Cervantes, Lima, Lima Metropolitana, Lima, 15083, Perú</t>
  </si>
  <si>
    <t>Avenida Los Cipreses, Santa Anita, Lima Metropolitana, Lima, 15008, Perú, (RUTA DESVIO TEM.  4507)</t>
  </si>
  <si>
    <t>Abraham Valdelomar, Ricardo Palma, Huarochirí, Lima, 15468, Perú</t>
  </si>
  <si>
    <t>Calle Cesar Vallejo, Ricardo Palma, Huarochirí, Lima, 15468, Perú</t>
  </si>
  <si>
    <t>70 km/h</t>
  </si>
  <si>
    <t>Jirón Chucuito, 187, Chosica, Lima Metropolitana, Lima, 15468, Perú</t>
  </si>
  <si>
    <t>Avenida República de Venezuela, Breña, Lima Metropolitana, Lima, 15082, Perú</t>
  </si>
  <si>
    <t>Jirón Carhuaz, 1401, Breña, Lima Metropolitana, Lima, 15082, Perú</t>
  </si>
  <si>
    <t>Avenida Lima Norte, Santa Eulalia, Huarochirí, Lima, 15468, Perú</t>
  </si>
  <si>
    <t>Metropolitano, Lima, Lima Metropolitana, Lima, 15083, Perú, (Ruta4507nueva era 23-10-23)</t>
  </si>
  <si>
    <t>Carretera Panamericana Sur, Chilca, Lima Metropolitana, Lima, 15956, Perú</t>
  </si>
  <si>
    <t>Carretera Panamericana Sur, Cañete, Lima, Perú</t>
  </si>
  <si>
    <t>92 km/h</t>
  </si>
  <si>
    <t>Malecon Jose Olaya, Cerro Azul, Cañete, Lima, Perú</t>
  </si>
  <si>
    <t>Avenida 15 de Julio, Ate, Lima Metropolitana, Lima, 15483, Perú</t>
  </si>
  <si>
    <t>Avenida San Martín, Santa Eulalia, Huarochirí, Lima, 15468, Perú</t>
  </si>
  <si>
    <t>Avenida José Carlos Mariátegui, Ate, Lima Metropolitana, Lima, 15474, Perú</t>
  </si>
  <si>
    <t>Avenida Lima Norte, Santa Eulalia, Lima Metropolitana, Lima, 15468, Perú</t>
  </si>
  <si>
    <t>Avenida José Carlos Mariátegui, Ricardo Palma, Huarochirí, Lima, 15468, Perú, (CURVA RICARDO PALMA, Ruta4507nueva era 23-10-23)</t>
  </si>
  <si>
    <t>Pasaje Gould, Lima, Lima Metropolitana, Lima, 15082, Perú</t>
  </si>
  <si>
    <t>Calle 20 de Enero, Santa Eulalia, Huarochirí, Lima, 15468, Perú</t>
  </si>
  <si>
    <t>Calle 5, Santa Eulalia, Lima Metropolitana, Lima, 15468, Perú</t>
  </si>
  <si>
    <t>Calle Chaparral, Corcona, Huarochirí, Lima, Perú</t>
  </si>
  <si>
    <t>Calle 28 de Julio, Chosica, Lima Metropolitana, Lima, 15468, Perú</t>
  </si>
  <si>
    <t>Jirón Trujillo Norte, Chosica, Lima Metropolitana, Lima, 15468, Perú</t>
  </si>
  <si>
    <t>Jirón Trujillo Sur, 496, Chosica, Lima Metropolitana, Lima, 15468, Perú, (Ruta4507nueva era 23-10-23)</t>
  </si>
  <si>
    <t>Jirón Trujillo Sur, Chosica, Lima Metropolitana, Lima, 15468, Perú</t>
  </si>
  <si>
    <t>Jirón Arica, Chosica, Lima Metropolitana, Lima, 15468, Perú</t>
  </si>
  <si>
    <t>78 km/h</t>
  </si>
  <si>
    <t>Alameda E, Chaclacayo, Lima Metropolitana, Lima, 15476, Perú</t>
  </si>
  <si>
    <t>Jirón Ascope, Lima, Lima Metropolitana, Lima, 15082, Perú, (PARADERO DESTINO ASCOPE, Ruta4507nueva era 23-10-23)</t>
  </si>
  <si>
    <t>Carretera Central, Ricardo Palma, Huarochirí, Lima, 15468, Perú</t>
  </si>
  <si>
    <t>Jirón Conchucos, 209, Lima, Lima Metropolitana, Lima, 15003, Perú</t>
  </si>
  <si>
    <t>Avenida Sebastián Lorente, 726, Lima, Lima Metropolitana, Lima, 15003, Perú</t>
  </si>
  <si>
    <t>Carretera Central, Ate, Lima Metropolitana, Lima, 15487, Perú</t>
  </si>
  <si>
    <t>Calle A, Ate, Lima Metropolitana, Lima, 15483, Perú</t>
  </si>
  <si>
    <t>Calle 2, Ate, Lima Metropolitana, Lima, 15487, Perú</t>
  </si>
  <si>
    <t>108 km/h</t>
  </si>
  <si>
    <t>100 km/h</t>
  </si>
  <si>
    <t>101 km/h</t>
  </si>
  <si>
    <t>Jirón Los Próceres, Santa Eulalia, Huarochirí, Lima, 15468, Perú</t>
  </si>
  <si>
    <t>Avenida Lima Sur, 930-970, Chosica, Lima Metropolitana, Lima, 15468, Perú, (Ruta4507nueva era 23-10-23)</t>
  </si>
  <si>
    <t>Avenida 9 de Diciembre, 371, Lima, Lima Metropolitana, Lima, 15083, Perú, (Ruta4507nueva era 23-10-23)</t>
  </si>
  <si>
    <t>Objeto 1</t>
  </si>
  <si>
    <t>Objeto 2</t>
  </si>
  <si>
    <t>Objeto 3</t>
  </si>
  <si>
    <t>Objeto 4</t>
  </si>
  <si>
    <t>Objeto 5</t>
  </si>
  <si>
    <t>Objeto 6</t>
  </si>
  <si>
    <t>Objeto 7</t>
  </si>
  <si>
    <t>Objeto 8</t>
  </si>
  <si>
    <t>Objeto 9</t>
  </si>
  <si>
    <t>Objeto 10</t>
  </si>
  <si>
    <t>Objeto 11</t>
  </si>
  <si>
    <t>Objeto 12</t>
  </si>
  <si>
    <t>Objeto 13</t>
  </si>
  <si>
    <t>Objeto 14</t>
  </si>
  <si>
    <t>Objeto 15</t>
  </si>
  <si>
    <t>Objeto 16</t>
  </si>
  <si>
    <t>Objeto 17</t>
  </si>
  <si>
    <t>Objeto 18</t>
  </si>
  <si>
    <t>Objeto 19</t>
  </si>
  <si>
    <t>Objeto 20</t>
  </si>
  <si>
    <t>Objeto 21</t>
  </si>
  <si>
    <t>Objeto 22</t>
  </si>
  <si>
    <t>Objeto 23</t>
  </si>
  <si>
    <t>Objeto 24</t>
  </si>
  <si>
    <t>Objeto 25</t>
  </si>
  <si>
    <t>Objeto 26</t>
  </si>
  <si>
    <t>Objeto 27</t>
  </si>
  <si>
    <t>Objeto 28</t>
  </si>
  <si>
    <t>Objeto 29</t>
  </si>
  <si>
    <t>Objeto 30</t>
  </si>
  <si>
    <t>Objeto 31</t>
  </si>
  <si>
    <t>Objeto 32</t>
  </si>
  <si>
    <t>Objeto 33</t>
  </si>
  <si>
    <t>Objeto 34</t>
  </si>
  <si>
    <t>Objeto 35</t>
  </si>
  <si>
    <t>Objeto 36</t>
  </si>
  <si>
    <t>Objeto 37</t>
  </si>
  <si>
    <t>Objeto 38</t>
  </si>
  <si>
    <t>Objeto 39</t>
  </si>
  <si>
    <t>Objeto 40</t>
  </si>
  <si>
    <t>Objeto 41</t>
  </si>
  <si>
    <t>Objeto 42</t>
  </si>
  <si>
    <t>Objeto 43</t>
  </si>
  <si>
    <t>Objeto 44</t>
  </si>
  <si>
    <t>Objeto 45</t>
  </si>
  <si>
    <t>Objeto 46</t>
  </si>
  <si>
    <t xml:space="preserve">Objeto 1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</si>
</sst>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:mm:ss"/>
    <numFmt numFmtId="165" formatCode="&quot;&quot;#,##0.0##&quot; km&quot;"/>
  </numFmts>
  <fonts count="5" x14ac:knownFonts="1">
    <font>
      <sz val="11"/>
      <color theme="1"/>
      <name val="Calibri"/>
      <family val="2"/>
      <scheme val="minor"/>
    </font>
    <font>
      <b/>
      <sz val="18"/>
      <name val="Calibri"/>
    </font>
    <font>
      <b/>
      <sz val="11"/>
      <name val="Calibri"/>
    </font>
    <font>
      <i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darkTrellis">
        <fgColor rgb="FFD9D9D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wrapText="1"/>
    </xf>
    <xf numFmtId="164" fontId="0" fillId="0" borderId="0" xfId="0" applyNumberFormat="1"/>
    <xf numFmtId="165" fontId="0" fillId="0" borderId="0" xfId="0" applyNumberFormat="1"/>
    <xf numFmtId="46" fontId="0" fillId="0" borderId="0" xfId="0" applyNumberFormat="1"/>
    <xf numFmtId="0" fontId="0" fillId="2" borderId="2" xfId="0" applyFill="1" applyBorder="1"/>
    <xf numFmtId="165" fontId="0" fillId="2" borderId="2" xfId="0" applyNumberFormat="1" applyFill="1" applyBorder="1"/>
    <xf numFmtId="46" fontId="0" fillId="2" borderId="2" xfId="0" applyNumberFormat="1" applyFill="1" applyBorder="1"/>
    <xf numFmtId="0" fontId="3" fillId="0" borderId="0" xfId="0" applyFont="1"/>
    <xf numFmtId="0" fontId="4" fillId="0" borderId="0" xfId="0" applyFont="1"/>
    <xf numFmtId="0" fontId="0" fillId="0" borderId="0" xfId="0"/>
    <xf numFmtId="0" fontId="4" fillId="0" borderId="0" xfId="0" applyFo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M1128"/>
  <sheetViews>
    <sheetView tabSelected="1" workbookViewId="0">
      <selection sqref="A1:J1"/>
    </sheetView>
  </sheetViews>
  <sheetFormatPr baseColWidth="10" defaultColWidth="9.140625" defaultRowHeight="15" x14ac:dyDescent="0.25"/>
  <cols>
    <col min="1" max="30" width="19" customWidth="1"/>
  </cols>
  <sheetData>
    <row r="1" spans="1:13" ht="24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  <c r="J2" s="11"/>
    </row>
    <row r="3" spans="1:13" x14ac:dyDescent="0.25">
      <c r="A3" s="11" t="s">
        <v>2</v>
      </c>
      <c r="B3" s="11"/>
      <c r="C3" s="11"/>
      <c r="D3" s="11"/>
      <c r="E3" s="11"/>
      <c r="F3" s="11"/>
      <c r="G3" s="11"/>
      <c r="H3" s="11"/>
      <c r="I3" s="11"/>
      <c r="J3" s="11"/>
    </row>
    <row r="4" spans="1:13" x14ac:dyDescent="0.25">
      <c r="A4" s="11" t="s">
        <v>3</v>
      </c>
      <c r="B4" s="11"/>
      <c r="C4" s="11"/>
      <c r="D4" s="11"/>
      <c r="E4" s="11"/>
      <c r="F4" s="11"/>
      <c r="G4" s="11"/>
      <c r="H4" s="11"/>
      <c r="I4" s="11"/>
      <c r="J4" s="11"/>
    </row>
    <row r="5" spans="1:13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</row>
    <row r="6" spans="1:13" s="1" customFormat="1" x14ac:dyDescent="0.25">
      <c r="A6" s="14" t="s">
        <v>4</v>
      </c>
      <c r="B6" s="14"/>
      <c r="C6" s="14"/>
      <c r="D6" s="14"/>
      <c r="E6" s="14"/>
      <c r="F6" s="14"/>
      <c r="G6" s="14"/>
      <c r="H6" s="14"/>
      <c r="I6" s="14"/>
      <c r="J6" s="14"/>
    </row>
    <row r="7" spans="1:13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  <c r="K7" s="2" t="s">
        <v>15</v>
      </c>
      <c r="L7" s="2" t="s">
        <v>16</v>
      </c>
      <c r="M7" s="2" t="s">
        <v>17</v>
      </c>
    </row>
    <row r="8" spans="1:13" x14ac:dyDescent="0.25">
      <c r="A8" t="s">
        <v>437</v>
      </c>
      <c r="B8" s="3">
        <v>45711.81113425926</v>
      </c>
      <c r="C8" t="s">
        <v>18</v>
      </c>
      <c r="D8" s="3">
        <v>45711.812569444446</v>
      </c>
      <c r="E8" t="s">
        <v>19</v>
      </c>
      <c r="F8" s="4">
        <v>2.8000000000000001E-2</v>
      </c>
      <c r="G8" s="4">
        <v>330182.66100000002</v>
      </c>
      <c r="H8" s="4">
        <v>330182.68900000001</v>
      </c>
      <c r="I8" s="5">
        <f>0 / 86400</f>
        <v>0</v>
      </c>
      <c r="J8" t="s">
        <v>20</v>
      </c>
      <c r="K8" t="s">
        <v>21</v>
      </c>
      <c r="L8" s="5">
        <f>91 / 86400</f>
        <v>1.0532407407407407E-3</v>
      </c>
      <c r="M8" s="5">
        <f>86308 / 86400</f>
        <v>0.9989351851851852</v>
      </c>
    </row>
    <row r="9" spans="1:13" x14ac:dyDescent="0.25">
      <c r="A9" t="s">
        <v>438</v>
      </c>
      <c r="B9" s="3">
        <v>45711.282442129625</v>
      </c>
      <c r="C9" t="s">
        <v>22</v>
      </c>
      <c r="D9" s="3">
        <v>45711.93340277778</v>
      </c>
      <c r="E9" t="s">
        <v>22</v>
      </c>
      <c r="F9" s="4">
        <v>247.38200000000001</v>
      </c>
      <c r="G9" s="4">
        <v>515106.359</v>
      </c>
      <c r="H9" s="4">
        <v>515353.74099999998</v>
      </c>
      <c r="I9" s="5">
        <f>11736 / 86400</f>
        <v>0.13583333333333333</v>
      </c>
      <c r="J9" t="s">
        <v>23</v>
      </c>
      <c r="K9" t="s">
        <v>24</v>
      </c>
      <c r="L9" s="5">
        <f>44462 / 86400</f>
        <v>0.51460648148148147</v>
      </c>
      <c r="M9" s="5">
        <f>41930 / 86400</f>
        <v>0.48530092592592594</v>
      </c>
    </row>
    <row r="10" spans="1:13" x14ac:dyDescent="0.25">
      <c r="A10" t="s">
        <v>439</v>
      </c>
      <c r="B10" s="3">
        <v>45711.760243055556</v>
      </c>
      <c r="C10" t="s">
        <v>25</v>
      </c>
      <c r="D10" s="3">
        <v>45711.790555555555</v>
      </c>
      <c r="E10" t="s">
        <v>25</v>
      </c>
      <c r="F10" s="4">
        <v>0</v>
      </c>
      <c r="G10" s="4">
        <v>93379.024000000005</v>
      </c>
      <c r="H10" s="4">
        <v>93379.024000000005</v>
      </c>
      <c r="I10" s="5">
        <f>618 / 86400</f>
        <v>7.1527777777777779E-3</v>
      </c>
      <c r="J10" t="s">
        <v>26</v>
      </c>
      <c r="K10" t="s">
        <v>26</v>
      </c>
      <c r="L10" s="5">
        <f>637 / 86400</f>
        <v>7.3726851851851852E-3</v>
      </c>
      <c r="M10" s="5">
        <f>85760 / 86400</f>
        <v>0.99259259259259258</v>
      </c>
    </row>
    <row r="11" spans="1:13" x14ac:dyDescent="0.25">
      <c r="A11" t="s">
        <v>440</v>
      </c>
      <c r="B11" s="3">
        <v>45711.285891203705</v>
      </c>
      <c r="C11" t="s">
        <v>27</v>
      </c>
      <c r="D11" s="3">
        <v>45711.778877314813</v>
      </c>
      <c r="E11" t="s">
        <v>27</v>
      </c>
      <c r="F11" s="4">
        <v>186.166</v>
      </c>
      <c r="G11" s="4">
        <v>140111.09400000001</v>
      </c>
      <c r="H11" s="4">
        <v>140297.26</v>
      </c>
      <c r="I11" s="5">
        <f>10006 / 86400</f>
        <v>0.11581018518518518</v>
      </c>
      <c r="J11" t="s">
        <v>28</v>
      </c>
      <c r="K11" t="s">
        <v>24</v>
      </c>
      <c r="L11" s="5">
        <f>33997 / 86400</f>
        <v>0.39348379629629632</v>
      </c>
      <c r="M11" s="5">
        <f>52399 / 86400</f>
        <v>0.60646990740740736</v>
      </c>
    </row>
    <row r="12" spans="1:13" x14ac:dyDescent="0.25">
      <c r="A12" t="s">
        <v>441</v>
      </c>
      <c r="B12" s="3">
        <v>45711</v>
      </c>
      <c r="C12" t="s">
        <v>29</v>
      </c>
      <c r="D12" s="3">
        <v>45711.887430555551</v>
      </c>
      <c r="E12" t="s">
        <v>25</v>
      </c>
      <c r="F12" s="4">
        <v>362.55355598372222</v>
      </c>
      <c r="G12" s="4">
        <v>349993.66663391679</v>
      </c>
      <c r="H12" s="4">
        <v>350378.70247277757</v>
      </c>
      <c r="I12" s="5">
        <f>0 / 86400</f>
        <v>0</v>
      </c>
      <c r="J12" t="s">
        <v>30</v>
      </c>
      <c r="K12" t="s">
        <v>31</v>
      </c>
      <c r="L12" s="5">
        <f>53652 / 86400</f>
        <v>0.62097222222222226</v>
      </c>
      <c r="M12" s="5">
        <f>32747 / 86400</f>
        <v>0.3790162037037037</v>
      </c>
    </row>
    <row r="13" spans="1:13" x14ac:dyDescent="0.25">
      <c r="A13" t="s">
        <v>442</v>
      </c>
      <c r="B13" s="3">
        <v>45711.40561342593</v>
      </c>
      <c r="C13" t="s">
        <v>32</v>
      </c>
      <c r="D13" s="3">
        <v>45711.898923611108</v>
      </c>
      <c r="E13" t="s">
        <v>32</v>
      </c>
      <c r="F13" s="4">
        <v>7.4999999999999997E-2</v>
      </c>
      <c r="G13" s="4">
        <v>509970.24200000003</v>
      </c>
      <c r="H13" s="4">
        <v>509970.31699999998</v>
      </c>
      <c r="I13" s="5">
        <f>297 / 86400</f>
        <v>3.4375E-3</v>
      </c>
      <c r="J13" t="s">
        <v>33</v>
      </c>
      <c r="K13" t="s">
        <v>21</v>
      </c>
      <c r="L13" s="5">
        <f>455 / 86400</f>
        <v>5.2662037037037035E-3</v>
      </c>
      <c r="M13" s="5">
        <f>85940 / 86400</f>
        <v>0.99467592592592591</v>
      </c>
    </row>
    <row r="14" spans="1:13" x14ac:dyDescent="0.25">
      <c r="A14" t="s">
        <v>443</v>
      </c>
      <c r="B14" s="3">
        <v>45711.402407407411</v>
      </c>
      <c r="C14" t="s">
        <v>32</v>
      </c>
      <c r="D14" s="3">
        <v>45711.89744212963</v>
      </c>
      <c r="E14" t="s">
        <v>32</v>
      </c>
      <c r="F14" s="4">
        <v>0.122</v>
      </c>
      <c r="G14" s="4">
        <v>56461.154000000002</v>
      </c>
      <c r="H14" s="4">
        <v>56461.275999999998</v>
      </c>
      <c r="I14" s="5">
        <f>276 / 86400</f>
        <v>3.1944444444444446E-3</v>
      </c>
      <c r="J14" t="s">
        <v>34</v>
      </c>
      <c r="K14" t="s">
        <v>21</v>
      </c>
      <c r="L14" s="5">
        <f>481 / 86400</f>
        <v>5.5671296296296293E-3</v>
      </c>
      <c r="M14" s="5">
        <f>85915 / 86400</f>
        <v>0.99438657407407405</v>
      </c>
    </row>
    <row r="15" spans="1:13" x14ac:dyDescent="0.25">
      <c r="A15" t="s">
        <v>444</v>
      </c>
      <c r="B15" s="3">
        <v>45711.249398148153</v>
      </c>
      <c r="C15" t="s">
        <v>35</v>
      </c>
      <c r="D15" s="3">
        <v>45711.758877314816</v>
      </c>
      <c r="E15" t="s">
        <v>35</v>
      </c>
      <c r="F15" s="4">
        <v>169.38</v>
      </c>
      <c r="G15" s="4">
        <v>526897.24</v>
      </c>
      <c r="H15" s="4">
        <v>527066.62</v>
      </c>
      <c r="I15" s="5">
        <f>8806 / 86400</f>
        <v>0.1019212962962963</v>
      </c>
      <c r="J15" t="s">
        <v>36</v>
      </c>
      <c r="K15" t="s">
        <v>37</v>
      </c>
      <c r="L15" s="5">
        <f>32184 / 86400</f>
        <v>0.3725</v>
      </c>
      <c r="M15" s="5">
        <f>54207 / 86400</f>
        <v>0.62739583333333337</v>
      </c>
    </row>
    <row r="16" spans="1:13" x14ac:dyDescent="0.25">
      <c r="A16" t="s">
        <v>445</v>
      </c>
      <c r="B16" s="3">
        <v>45711.275763888887</v>
      </c>
      <c r="C16" t="s">
        <v>25</v>
      </c>
      <c r="D16" s="3">
        <v>45711.766412037032</v>
      </c>
      <c r="E16" t="s">
        <v>25</v>
      </c>
      <c r="F16" s="4">
        <v>188.43600000000001</v>
      </c>
      <c r="G16" s="4">
        <v>14299.282999999999</v>
      </c>
      <c r="H16" s="4">
        <v>14487.718999999999</v>
      </c>
      <c r="I16" s="5">
        <f>11095 / 86400</f>
        <v>0.12841435185185185</v>
      </c>
      <c r="J16" t="s">
        <v>23</v>
      </c>
      <c r="K16" t="s">
        <v>38</v>
      </c>
      <c r="L16" s="5">
        <f>36717 / 86400</f>
        <v>0.42496527777777776</v>
      </c>
      <c r="M16" s="5">
        <f>49673 / 86400</f>
        <v>0.57491898148148146</v>
      </c>
    </row>
    <row r="17" spans="1:13" x14ac:dyDescent="0.25">
      <c r="A17" t="s">
        <v>446</v>
      </c>
      <c r="B17" s="3">
        <v>45711.682824074072</v>
      </c>
      <c r="C17" t="s">
        <v>39</v>
      </c>
      <c r="D17" s="3">
        <v>45711.788275462968</v>
      </c>
      <c r="E17" t="s">
        <v>39</v>
      </c>
      <c r="F17" s="4">
        <v>4.1829999999999998</v>
      </c>
      <c r="G17" s="4">
        <v>139780.54300000001</v>
      </c>
      <c r="H17" s="4">
        <v>139784.726</v>
      </c>
      <c r="I17" s="5">
        <f>276 / 86400</f>
        <v>3.1944444444444446E-3</v>
      </c>
      <c r="J17" t="s">
        <v>40</v>
      </c>
      <c r="K17" t="s">
        <v>41</v>
      </c>
      <c r="L17" s="5">
        <f>1343 / 86400</f>
        <v>1.5543981481481482E-2</v>
      </c>
      <c r="M17" s="5">
        <f>85052 / 86400</f>
        <v>0.98439814814814819</v>
      </c>
    </row>
    <row r="18" spans="1:13" x14ac:dyDescent="0.25">
      <c r="A18" t="s">
        <v>447</v>
      </c>
      <c r="B18" s="3">
        <v>45711.275405092594</v>
      </c>
      <c r="C18" t="s">
        <v>25</v>
      </c>
      <c r="D18" s="3">
        <v>45711.27715277778</v>
      </c>
      <c r="E18" t="s">
        <v>25</v>
      </c>
      <c r="F18" s="4">
        <v>0</v>
      </c>
      <c r="G18" s="4">
        <v>6954.0990000000002</v>
      </c>
      <c r="H18" s="4">
        <v>6954.0990000000002</v>
      </c>
      <c r="I18" s="5">
        <f>139 / 86400</f>
        <v>1.6087962962962963E-3</v>
      </c>
      <c r="J18" t="s">
        <v>26</v>
      </c>
      <c r="K18" t="s">
        <v>26</v>
      </c>
      <c r="L18" s="5">
        <f>151 / 86400</f>
        <v>1.7476851851851852E-3</v>
      </c>
      <c r="M18" s="5">
        <f>86248 / 86400</f>
        <v>0.99824074074074076</v>
      </c>
    </row>
    <row r="19" spans="1:13" x14ac:dyDescent="0.25">
      <c r="A19" t="s">
        <v>448</v>
      </c>
      <c r="B19" s="3">
        <v>45711.147523148145</v>
      </c>
      <c r="C19" t="s">
        <v>42</v>
      </c>
      <c r="D19" s="3">
        <v>45711.589687500003</v>
      </c>
      <c r="E19" t="s">
        <v>42</v>
      </c>
      <c r="F19" s="4">
        <v>199.37700000000001</v>
      </c>
      <c r="G19" s="4">
        <v>525467.88899999997</v>
      </c>
      <c r="H19" s="4">
        <v>525667.26599999995</v>
      </c>
      <c r="I19" s="5">
        <f>8600 / 86400</f>
        <v>9.9537037037037035E-2</v>
      </c>
      <c r="J19" t="s">
        <v>43</v>
      </c>
      <c r="K19" t="s">
        <v>24</v>
      </c>
      <c r="L19" s="5">
        <f>35301 / 86400</f>
        <v>0.40857638888888886</v>
      </c>
      <c r="M19" s="5">
        <f>51096 / 86400</f>
        <v>0.59138888888888885</v>
      </c>
    </row>
    <row r="20" spans="1:13" x14ac:dyDescent="0.25">
      <c r="A20" t="s">
        <v>449</v>
      </c>
      <c r="B20" s="3">
        <v>45711</v>
      </c>
      <c r="C20" t="s">
        <v>44</v>
      </c>
      <c r="D20" s="3">
        <v>45711.900081018517</v>
      </c>
      <c r="E20" t="s">
        <v>45</v>
      </c>
      <c r="F20" s="4">
        <v>49.677</v>
      </c>
      <c r="G20" s="4">
        <v>413247.15600000002</v>
      </c>
      <c r="H20" s="4">
        <v>413296.83299999998</v>
      </c>
      <c r="I20" s="5">
        <f>3296 / 86400</f>
        <v>3.8148148148148146E-2</v>
      </c>
      <c r="J20" t="s">
        <v>46</v>
      </c>
      <c r="K20" t="s">
        <v>47</v>
      </c>
      <c r="L20" s="5">
        <f>11661 / 86400</f>
        <v>0.13496527777777778</v>
      </c>
      <c r="M20" s="5">
        <f>74735 / 86400</f>
        <v>0.86498842592592595</v>
      </c>
    </row>
    <row r="21" spans="1:13" x14ac:dyDescent="0.25">
      <c r="A21" t="s">
        <v>450</v>
      </c>
      <c r="B21" s="3">
        <v>45711.629548611112</v>
      </c>
      <c r="C21" t="s">
        <v>48</v>
      </c>
      <c r="D21" s="3">
        <v>45711.637754629628</v>
      </c>
      <c r="E21" t="s">
        <v>48</v>
      </c>
      <c r="F21" s="4">
        <v>0</v>
      </c>
      <c r="G21" s="4">
        <v>404553.17700000003</v>
      </c>
      <c r="H21" s="4">
        <v>404553.17700000003</v>
      </c>
      <c r="I21" s="5">
        <f>19 / 86400</f>
        <v>2.199074074074074E-4</v>
      </c>
      <c r="J21" t="s">
        <v>26</v>
      </c>
      <c r="K21" t="s">
        <v>26</v>
      </c>
      <c r="L21" s="5">
        <f>39 / 86400</f>
        <v>4.5138888888888887E-4</v>
      </c>
      <c r="M21" s="5">
        <f>86360 / 86400</f>
        <v>0.999537037037037</v>
      </c>
    </row>
    <row r="22" spans="1:13" x14ac:dyDescent="0.25">
      <c r="A22" t="s">
        <v>451</v>
      </c>
      <c r="B22" s="3">
        <v>45711</v>
      </c>
      <c r="C22" t="s">
        <v>49</v>
      </c>
      <c r="D22" s="3">
        <v>45711.996365740742</v>
      </c>
      <c r="E22" t="s">
        <v>49</v>
      </c>
      <c r="F22" s="4">
        <v>1E-3</v>
      </c>
      <c r="G22" s="4">
        <v>348947.68699999998</v>
      </c>
      <c r="H22" s="4">
        <v>348947.68800000002</v>
      </c>
      <c r="I22" s="5">
        <f>86047 / 86400</f>
        <v>0.99591435185185184</v>
      </c>
      <c r="J22" t="s">
        <v>21</v>
      </c>
      <c r="K22" t="s">
        <v>26</v>
      </c>
      <c r="L22" s="5">
        <f>86081 / 86400</f>
        <v>0.99630787037037039</v>
      </c>
      <c r="M22" s="5">
        <f>318 / 86400</f>
        <v>3.6805555555555554E-3</v>
      </c>
    </row>
    <row r="23" spans="1:13" x14ac:dyDescent="0.25">
      <c r="A23" t="s">
        <v>452</v>
      </c>
      <c r="B23" s="3">
        <v>45711.243020833332</v>
      </c>
      <c r="C23" t="s">
        <v>50</v>
      </c>
      <c r="D23" s="3">
        <v>45711.853900462964</v>
      </c>
      <c r="E23" t="s">
        <v>50</v>
      </c>
      <c r="F23" s="4">
        <v>206.023</v>
      </c>
      <c r="G23" s="4">
        <v>48801.374000000003</v>
      </c>
      <c r="H23" s="4">
        <v>49007.396999999997</v>
      </c>
      <c r="I23" s="5">
        <f>4585 / 86400</f>
        <v>5.3067129629629631E-2</v>
      </c>
      <c r="J23" t="s">
        <v>51</v>
      </c>
      <c r="K23" t="s">
        <v>52</v>
      </c>
      <c r="L23" s="5">
        <f>22402 / 86400</f>
        <v>0.25928240740740743</v>
      </c>
      <c r="M23" s="5">
        <f>63995 / 86400</f>
        <v>0.74068287037037039</v>
      </c>
    </row>
    <row r="24" spans="1:13" x14ac:dyDescent="0.25">
      <c r="A24" t="s">
        <v>453</v>
      </c>
      <c r="B24" s="3">
        <v>45711</v>
      </c>
      <c r="C24" t="s">
        <v>53</v>
      </c>
      <c r="D24" s="3">
        <v>45711.997592592597</v>
      </c>
      <c r="E24" t="s">
        <v>54</v>
      </c>
      <c r="F24" s="4">
        <v>375.18000000005958</v>
      </c>
      <c r="G24" s="4">
        <v>530445.52099999995</v>
      </c>
      <c r="H24" s="4">
        <v>530820.701</v>
      </c>
      <c r="I24" s="5">
        <f>20794 / 86400</f>
        <v>0.2406712962962963</v>
      </c>
      <c r="J24" t="s">
        <v>55</v>
      </c>
      <c r="K24" t="s">
        <v>24</v>
      </c>
      <c r="L24" s="5">
        <f>67867 / 86400</f>
        <v>0.78549768518518515</v>
      </c>
      <c r="M24" s="5">
        <f>18526 / 86400</f>
        <v>0.2144212962962963</v>
      </c>
    </row>
    <row r="25" spans="1:13" x14ac:dyDescent="0.25">
      <c r="A25" t="s">
        <v>454</v>
      </c>
      <c r="B25" s="3">
        <v>45711.271736111114</v>
      </c>
      <c r="C25" t="s">
        <v>25</v>
      </c>
      <c r="D25" s="3">
        <v>45711.882476851853</v>
      </c>
      <c r="E25" t="s">
        <v>25</v>
      </c>
      <c r="F25" s="4">
        <v>230.845</v>
      </c>
      <c r="G25" s="4">
        <v>569733.54399999999</v>
      </c>
      <c r="H25" s="4">
        <v>569964.39199999999</v>
      </c>
      <c r="I25" s="5">
        <f>9640 / 86400</f>
        <v>0.11157407407407408</v>
      </c>
      <c r="J25" t="s">
        <v>28</v>
      </c>
      <c r="K25" t="s">
        <v>37</v>
      </c>
      <c r="L25" s="5">
        <f>43104 / 86400</f>
        <v>0.49888888888888888</v>
      </c>
      <c r="M25" s="5">
        <f>43293 / 86400</f>
        <v>0.50107638888888884</v>
      </c>
    </row>
    <row r="26" spans="1:13" x14ac:dyDescent="0.25">
      <c r="A26" t="s">
        <v>455</v>
      </c>
      <c r="B26" s="3">
        <v>45711.845370370371</v>
      </c>
      <c r="C26" t="s">
        <v>56</v>
      </c>
      <c r="D26" s="3">
        <v>45711.84684027778</v>
      </c>
      <c r="E26" t="s">
        <v>56</v>
      </c>
      <c r="F26" s="4">
        <v>1.4999999999999999E-2</v>
      </c>
      <c r="G26" s="4">
        <v>436634.06699999998</v>
      </c>
      <c r="H26" s="4">
        <v>436634.08199999999</v>
      </c>
      <c r="I26" s="5">
        <f>99 / 86400</f>
        <v>1.1458333333333333E-3</v>
      </c>
      <c r="J26" t="s">
        <v>21</v>
      </c>
      <c r="K26" t="s">
        <v>26</v>
      </c>
      <c r="L26" s="5">
        <f>127 / 86400</f>
        <v>1.4699074074074074E-3</v>
      </c>
      <c r="M26" s="5">
        <f>86272 / 86400</f>
        <v>0.99851851851851847</v>
      </c>
    </row>
    <row r="27" spans="1:13" x14ac:dyDescent="0.25">
      <c r="A27" t="s">
        <v>456</v>
      </c>
      <c r="B27" s="3">
        <v>45711.294282407413</v>
      </c>
      <c r="C27" t="s">
        <v>57</v>
      </c>
      <c r="D27" s="3">
        <v>45711.900972222225</v>
      </c>
      <c r="E27" t="s">
        <v>57</v>
      </c>
      <c r="F27" s="4">
        <v>206.191</v>
      </c>
      <c r="G27" s="4">
        <v>517453.11499999999</v>
      </c>
      <c r="H27" s="4">
        <v>517660.63400000002</v>
      </c>
      <c r="I27" s="5">
        <f>14370 / 86400</f>
        <v>0.16631944444444444</v>
      </c>
      <c r="J27" t="s">
        <v>30</v>
      </c>
      <c r="K27" t="s">
        <v>58</v>
      </c>
      <c r="L27" s="5">
        <f>43177 / 86400</f>
        <v>0.49973379629629627</v>
      </c>
      <c r="M27" s="5">
        <f>43222 / 86400</f>
        <v>0.50025462962962963</v>
      </c>
    </row>
    <row r="28" spans="1:13" x14ac:dyDescent="0.25">
      <c r="A28" t="s">
        <v>457</v>
      </c>
      <c r="B28" s="3">
        <v>45711</v>
      </c>
      <c r="C28" t="s">
        <v>59</v>
      </c>
      <c r="D28" s="3">
        <v>45711.909918981481</v>
      </c>
      <c r="E28" t="s">
        <v>60</v>
      </c>
      <c r="F28" s="4">
        <v>208.256</v>
      </c>
      <c r="G28" s="4">
        <v>353586.76400000002</v>
      </c>
      <c r="H28" s="4">
        <v>353795.02</v>
      </c>
      <c r="I28" s="5">
        <f>13777 / 86400</f>
        <v>0.15945601851851851</v>
      </c>
      <c r="J28" t="s">
        <v>61</v>
      </c>
      <c r="K28" t="s">
        <v>58</v>
      </c>
      <c r="L28" s="5">
        <f>43888 / 86400</f>
        <v>0.50796296296296295</v>
      </c>
      <c r="M28" s="5">
        <f>42507 / 86400</f>
        <v>0.49197916666666669</v>
      </c>
    </row>
    <row r="29" spans="1:13" x14ac:dyDescent="0.25">
      <c r="A29" t="s">
        <v>458</v>
      </c>
      <c r="B29" s="3">
        <v>45711.79686342593</v>
      </c>
      <c r="C29" t="s">
        <v>62</v>
      </c>
      <c r="D29" s="3">
        <v>45711.799120370371</v>
      </c>
      <c r="E29" t="s">
        <v>62</v>
      </c>
      <c r="F29" s="4">
        <v>2.5999999999999999E-2</v>
      </c>
      <c r="G29" s="4">
        <v>412503.72100000002</v>
      </c>
      <c r="H29" s="4">
        <v>412503.74699999997</v>
      </c>
      <c r="I29" s="5">
        <f>139 / 86400</f>
        <v>1.6087962962962963E-3</v>
      </c>
      <c r="J29" t="s">
        <v>21</v>
      </c>
      <c r="K29" t="s">
        <v>26</v>
      </c>
      <c r="L29" s="5">
        <f>194 / 86400</f>
        <v>2.2453703703703702E-3</v>
      </c>
      <c r="M29" s="5">
        <f>86204 / 86400</f>
        <v>0.9977314814814815</v>
      </c>
    </row>
    <row r="30" spans="1:13" x14ac:dyDescent="0.25">
      <c r="A30" t="s">
        <v>459</v>
      </c>
      <c r="B30" s="3">
        <v>45711.151944444442</v>
      </c>
      <c r="C30" t="s">
        <v>63</v>
      </c>
      <c r="D30" s="3">
        <v>45711.528645833328</v>
      </c>
      <c r="E30" t="s">
        <v>25</v>
      </c>
      <c r="F30" s="4">
        <v>97.935999999999993</v>
      </c>
      <c r="G30" s="4">
        <v>443222.88699999999</v>
      </c>
      <c r="H30" s="4">
        <v>443320.82299999997</v>
      </c>
      <c r="I30" s="5">
        <f>4527 / 86400</f>
        <v>5.2395833333333336E-2</v>
      </c>
      <c r="J30" t="s">
        <v>64</v>
      </c>
      <c r="K30" t="s">
        <v>37</v>
      </c>
      <c r="L30" s="5">
        <f>18994 / 86400</f>
        <v>0.21983796296296296</v>
      </c>
      <c r="M30" s="5">
        <f>67402 / 86400</f>
        <v>0.78011574074074075</v>
      </c>
    </row>
    <row r="31" spans="1:13" x14ac:dyDescent="0.25">
      <c r="A31" t="s">
        <v>460</v>
      </c>
      <c r="B31" s="3">
        <v>45711.416481481487</v>
      </c>
      <c r="C31" t="s">
        <v>60</v>
      </c>
      <c r="D31" s="3">
        <v>45711.99998842593</v>
      </c>
      <c r="E31" t="s">
        <v>65</v>
      </c>
      <c r="F31" s="4">
        <v>168.47299999999998</v>
      </c>
      <c r="G31" s="4">
        <v>475487.39799999999</v>
      </c>
      <c r="H31" s="4">
        <v>475655.87099999998</v>
      </c>
      <c r="I31" s="5">
        <f>8274 / 86400</f>
        <v>9.5763888888888885E-2</v>
      </c>
      <c r="J31" t="s">
        <v>66</v>
      </c>
      <c r="K31" t="s">
        <v>67</v>
      </c>
      <c r="L31" s="5">
        <f>29542 / 86400</f>
        <v>0.34192129629629631</v>
      </c>
      <c r="M31" s="5">
        <f>56850 / 86400</f>
        <v>0.65798611111111116</v>
      </c>
    </row>
    <row r="32" spans="1:13" x14ac:dyDescent="0.25">
      <c r="A32" t="s">
        <v>461</v>
      </c>
      <c r="B32" s="3">
        <v>45711</v>
      </c>
      <c r="C32" t="s">
        <v>68</v>
      </c>
      <c r="D32" s="3">
        <v>45711.000231481477</v>
      </c>
      <c r="E32" t="s">
        <v>68</v>
      </c>
      <c r="F32" s="4">
        <v>1.6E-2</v>
      </c>
      <c r="G32" s="4">
        <v>416151.41800000001</v>
      </c>
      <c r="H32" s="4">
        <v>416151.43400000001</v>
      </c>
      <c r="I32" s="5">
        <f>0 / 86400</f>
        <v>0</v>
      </c>
      <c r="J32" t="s">
        <v>33</v>
      </c>
      <c r="K32" t="s">
        <v>69</v>
      </c>
      <c r="L32" s="5">
        <f>20 / 86400</f>
        <v>2.3148148148148149E-4</v>
      </c>
      <c r="M32" s="5">
        <f>86379 / 86400</f>
        <v>0.99975694444444441</v>
      </c>
    </row>
    <row r="33" spans="1:13" x14ac:dyDescent="0.25">
      <c r="A33" t="s">
        <v>462</v>
      </c>
      <c r="B33" s="3">
        <v>45711</v>
      </c>
      <c r="C33" t="s">
        <v>70</v>
      </c>
      <c r="D33" s="3">
        <v>45711.96607638889</v>
      </c>
      <c r="E33" t="s">
        <v>25</v>
      </c>
      <c r="F33" s="4">
        <v>325.28100000000001</v>
      </c>
      <c r="G33" s="4">
        <v>330393.88299999997</v>
      </c>
      <c r="H33" s="4">
        <v>330719.16399999999</v>
      </c>
      <c r="I33" s="5">
        <f>6757 / 86400</f>
        <v>7.8206018518518522E-2</v>
      </c>
      <c r="J33" t="s">
        <v>71</v>
      </c>
      <c r="K33" t="s">
        <v>72</v>
      </c>
      <c r="L33" s="5">
        <f>34556 / 86400</f>
        <v>0.3999537037037037</v>
      </c>
      <c r="M33" s="5">
        <f>51837 / 86400</f>
        <v>0.59996527777777775</v>
      </c>
    </row>
    <row r="34" spans="1:13" x14ac:dyDescent="0.25">
      <c r="A34" t="s">
        <v>463</v>
      </c>
      <c r="B34" s="3">
        <v>45711.311377314814</v>
      </c>
      <c r="C34" t="s">
        <v>73</v>
      </c>
      <c r="D34" s="3">
        <v>45711.904560185183</v>
      </c>
      <c r="E34" t="s">
        <v>73</v>
      </c>
      <c r="F34" s="4">
        <v>2.5590000000000002</v>
      </c>
      <c r="G34" s="4">
        <v>82800.967000000004</v>
      </c>
      <c r="H34" s="4">
        <v>82803.525999999998</v>
      </c>
      <c r="I34" s="5">
        <f>8439 / 86400</f>
        <v>9.7673611111111114E-2</v>
      </c>
      <c r="J34" t="s">
        <v>52</v>
      </c>
      <c r="K34" t="s">
        <v>21</v>
      </c>
      <c r="L34" s="5">
        <f>9183 / 86400</f>
        <v>0.10628472222222222</v>
      </c>
      <c r="M34" s="5">
        <f>77210 / 86400</f>
        <v>0.89363425925925921</v>
      </c>
    </row>
    <row r="35" spans="1:13" x14ac:dyDescent="0.25">
      <c r="A35" t="s">
        <v>464</v>
      </c>
      <c r="B35" s="3">
        <v>45711</v>
      </c>
      <c r="C35" t="s">
        <v>74</v>
      </c>
      <c r="D35" s="3">
        <v>45711.953321759254</v>
      </c>
      <c r="E35" t="s">
        <v>75</v>
      </c>
      <c r="F35" s="4">
        <v>275.76800000000003</v>
      </c>
      <c r="G35" s="4">
        <v>471898.15100000001</v>
      </c>
      <c r="H35" s="4">
        <v>472173.91899999999</v>
      </c>
      <c r="I35" s="5">
        <f>13352 / 86400</f>
        <v>0.15453703703703703</v>
      </c>
      <c r="J35" t="s">
        <v>76</v>
      </c>
      <c r="K35" t="s">
        <v>24</v>
      </c>
      <c r="L35" s="5">
        <f>49237 / 86400</f>
        <v>0.56987268518518519</v>
      </c>
      <c r="M35" s="5">
        <f>37153 / 86400</f>
        <v>0.43001157407407409</v>
      </c>
    </row>
    <row r="36" spans="1:13" x14ac:dyDescent="0.25">
      <c r="A36" t="s">
        <v>465</v>
      </c>
      <c r="B36" s="3">
        <v>45711.219363425931</v>
      </c>
      <c r="C36" t="s">
        <v>77</v>
      </c>
      <c r="D36" s="3">
        <v>45711.950219907405</v>
      </c>
      <c r="E36" t="s">
        <v>77</v>
      </c>
      <c r="F36" s="4">
        <v>0</v>
      </c>
      <c r="G36" s="4">
        <v>428213.33600000001</v>
      </c>
      <c r="H36" s="4">
        <v>428213.33600000001</v>
      </c>
      <c r="I36" s="5">
        <f>52587 / 86400</f>
        <v>0.60864583333333333</v>
      </c>
      <c r="J36" t="s">
        <v>26</v>
      </c>
      <c r="K36" t="s">
        <v>26</v>
      </c>
      <c r="L36" s="5">
        <f>52763 / 86400</f>
        <v>0.61068287037037039</v>
      </c>
      <c r="M36" s="5">
        <f>33633 / 86400</f>
        <v>0.38927083333333334</v>
      </c>
    </row>
    <row r="37" spans="1:13" x14ac:dyDescent="0.25">
      <c r="A37" t="s">
        <v>466</v>
      </c>
      <c r="B37" s="3">
        <v>45711.29850694444</v>
      </c>
      <c r="C37" t="s">
        <v>25</v>
      </c>
      <c r="D37" s="3">
        <v>45711.945358796293</v>
      </c>
      <c r="E37" t="s">
        <v>25</v>
      </c>
      <c r="F37" s="4">
        <v>246.333</v>
      </c>
      <c r="G37" s="4">
        <v>577116.272</v>
      </c>
      <c r="H37" s="4">
        <v>577362.60499999998</v>
      </c>
      <c r="I37" s="5">
        <f>11992 / 86400</f>
        <v>0.13879629629629631</v>
      </c>
      <c r="J37" t="s">
        <v>78</v>
      </c>
      <c r="K37" t="s">
        <v>38</v>
      </c>
      <c r="L37" s="5">
        <f>50235 / 86400</f>
        <v>0.58142361111111107</v>
      </c>
      <c r="M37" s="5">
        <f>36164 / 86400</f>
        <v>0.41856481481481483</v>
      </c>
    </row>
    <row r="38" spans="1:13" x14ac:dyDescent="0.25">
      <c r="A38" t="s">
        <v>467</v>
      </c>
      <c r="B38" s="3">
        <v>45711.240300925929</v>
      </c>
      <c r="C38" t="s">
        <v>79</v>
      </c>
      <c r="D38" s="3">
        <v>45711.276469907403</v>
      </c>
      <c r="E38" t="s">
        <v>79</v>
      </c>
      <c r="F38" s="4">
        <v>0</v>
      </c>
      <c r="G38" s="4">
        <v>418161.734</v>
      </c>
      <c r="H38" s="4">
        <v>418161.734</v>
      </c>
      <c r="I38" s="5">
        <f>3109 / 86400</f>
        <v>3.5983796296296298E-2</v>
      </c>
      <c r="J38" t="s">
        <v>26</v>
      </c>
      <c r="K38" t="s">
        <v>26</v>
      </c>
      <c r="L38" s="5">
        <f>3124 / 86400</f>
        <v>3.6157407407407409E-2</v>
      </c>
      <c r="M38" s="5">
        <f>83274 / 86400</f>
        <v>0.96381944444444445</v>
      </c>
    </row>
    <row r="39" spans="1:13" x14ac:dyDescent="0.25">
      <c r="A39" t="s">
        <v>468</v>
      </c>
      <c r="B39" s="3">
        <v>45711.502569444448</v>
      </c>
      <c r="C39" t="s">
        <v>80</v>
      </c>
      <c r="D39" s="3">
        <v>45711.945648148147</v>
      </c>
      <c r="E39" t="s">
        <v>80</v>
      </c>
      <c r="F39" s="4">
        <v>77.046000000000006</v>
      </c>
      <c r="G39" s="4">
        <v>401652.39899999998</v>
      </c>
      <c r="H39" s="4">
        <v>401729.44500000001</v>
      </c>
      <c r="I39" s="5">
        <f>2313 / 86400</f>
        <v>2.6770833333333334E-2</v>
      </c>
      <c r="J39" t="s">
        <v>43</v>
      </c>
      <c r="K39" t="s">
        <v>67</v>
      </c>
      <c r="L39" s="5">
        <f>13218 / 86400</f>
        <v>0.1529861111111111</v>
      </c>
      <c r="M39" s="5">
        <f>73177 / 86400</f>
        <v>0.84695601851851854</v>
      </c>
    </row>
    <row r="40" spans="1:13" x14ac:dyDescent="0.25">
      <c r="A40" t="s">
        <v>469</v>
      </c>
      <c r="B40" s="3">
        <v>45711</v>
      </c>
      <c r="C40" t="s">
        <v>81</v>
      </c>
      <c r="D40" s="3">
        <v>45711.869699074072</v>
      </c>
      <c r="E40" t="s">
        <v>82</v>
      </c>
      <c r="F40" s="4">
        <v>276.35700000000003</v>
      </c>
      <c r="G40" s="4">
        <v>547906.25899999996</v>
      </c>
      <c r="H40" s="4">
        <v>548182.61699999997</v>
      </c>
      <c r="I40" s="5">
        <f>15871 / 86400</f>
        <v>0.18369212962962964</v>
      </c>
      <c r="J40" t="s">
        <v>83</v>
      </c>
      <c r="K40" t="s">
        <v>37</v>
      </c>
      <c r="L40" s="5">
        <f>53381 / 86400</f>
        <v>0.61783564814814818</v>
      </c>
      <c r="M40" s="5">
        <f>33009 / 86400</f>
        <v>0.3820486111111111</v>
      </c>
    </row>
    <row r="41" spans="1:13" x14ac:dyDescent="0.25">
      <c r="A41" t="s">
        <v>470</v>
      </c>
      <c r="B41" s="3">
        <v>45711</v>
      </c>
      <c r="C41" t="s">
        <v>84</v>
      </c>
      <c r="D41" s="3">
        <v>45711.853541666671</v>
      </c>
      <c r="E41" t="s">
        <v>85</v>
      </c>
      <c r="F41" s="4">
        <v>56.436000000000007</v>
      </c>
      <c r="G41" s="4">
        <v>106443.47500000001</v>
      </c>
      <c r="H41" s="4">
        <v>106499.91099999999</v>
      </c>
      <c r="I41" s="5">
        <f>5772 / 86400</f>
        <v>6.6805555555555562E-2</v>
      </c>
      <c r="J41" t="s">
        <v>86</v>
      </c>
      <c r="K41" t="s">
        <v>58</v>
      </c>
      <c r="L41" s="5">
        <f>12259 / 86400</f>
        <v>0.14188657407407407</v>
      </c>
      <c r="M41" s="5">
        <f>74140 / 86400</f>
        <v>0.85810185185185184</v>
      </c>
    </row>
    <row r="42" spans="1:13" x14ac:dyDescent="0.25">
      <c r="A42" t="s">
        <v>471</v>
      </c>
      <c r="B42" s="3">
        <v>45711.243414351848</v>
      </c>
      <c r="C42" t="s">
        <v>87</v>
      </c>
      <c r="D42" s="3">
        <v>45711.997916666667</v>
      </c>
      <c r="E42" t="s">
        <v>88</v>
      </c>
      <c r="F42" s="4">
        <v>129.35400000000001</v>
      </c>
      <c r="G42" s="4">
        <v>47287.978000000003</v>
      </c>
      <c r="H42" s="4">
        <v>47417.332000000002</v>
      </c>
      <c r="I42" s="5">
        <f>10437 / 86400</f>
        <v>0.12079861111111111</v>
      </c>
      <c r="J42" t="s">
        <v>89</v>
      </c>
      <c r="K42" t="s">
        <v>38</v>
      </c>
      <c r="L42" s="5">
        <f>25800 / 86400</f>
        <v>0.2986111111111111</v>
      </c>
      <c r="M42" s="5">
        <f>60599 / 86400</f>
        <v>0.7013773148148148</v>
      </c>
    </row>
    <row r="43" spans="1:13" x14ac:dyDescent="0.25">
      <c r="A43" t="s">
        <v>472</v>
      </c>
      <c r="B43" s="3">
        <v>45711</v>
      </c>
      <c r="C43" t="s">
        <v>90</v>
      </c>
      <c r="D43" s="3">
        <v>45711.99998842593</v>
      </c>
      <c r="E43" t="s">
        <v>81</v>
      </c>
      <c r="F43" s="4">
        <v>364.19499999999999</v>
      </c>
      <c r="G43" s="4">
        <v>43125.112999999998</v>
      </c>
      <c r="H43" s="4">
        <v>43489.307999999997</v>
      </c>
      <c r="I43" s="5">
        <f>15478 / 86400</f>
        <v>0.17914351851851851</v>
      </c>
      <c r="J43" t="s">
        <v>55</v>
      </c>
      <c r="K43" t="s">
        <v>91</v>
      </c>
      <c r="L43" s="5">
        <f>60621 / 86400</f>
        <v>0.70163194444444443</v>
      </c>
      <c r="M43" s="5">
        <f>25778 / 86400</f>
        <v>0.29835648148148147</v>
      </c>
    </row>
    <row r="44" spans="1:13" x14ac:dyDescent="0.25">
      <c r="A44" t="s">
        <v>473</v>
      </c>
      <c r="B44" s="3">
        <v>45711.887824074074</v>
      </c>
      <c r="C44" t="s">
        <v>73</v>
      </c>
      <c r="D44" s="3">
        <v>45711.8903125</v>
      </c>
      <c r="E44" t="s">
        <v>73</v>
      </c>
      <c r="F44" s="4">
        <v>0</v>
      </c>
      <c r="G44" s="4">
        <v>525147.03</v>
      </c>
      <c r="H44" s="4">
        <v>525147.03</v>
      </c>
      <c r="I44" s="5">
        <f>199 / 86400</f>
        <v>2.3032407407407407E-3</v>
      </c>
      <c r="J44" t="s">
        <v>26</v>
      </c>
      <c r="K44" t="s">
        <v>26</v>
      </c>
      <c r="L44" s="5">
        <f>215 / 86400</f>
        <v>2.488425925925926E-3</v>
      </c>
      <c r="M44" s="5">
        <f>86184 / 86400</f>
        <v>0.99750000000000005</v>
      </c>
    </row>
    <row r="45" spans="1:13" x14ac:dyDescent="0.25">
      <c r="A45" t="s">
        <v>474</v>
      </c>
      <c r="B45" s="3">
        <v>45711.265567129631</v>
      </c>
      <c r="C45" t="s">
        <v>85</v>
      </c>
      <c r="D45" s="3">
        <v>45711.843518518523</v>
      </c>
      <c r="E45" t="s">
        <v>85</v>
      </c>
      <c r="F45" s="4">
        <v>202.274</v>
      </c>
      <c r="G45" s="4">
        <v>24768.575000000001</v>
      </c>
      <c r="H45" s="4">
        <v>24970.848999999998</v>
      </c>
      <c r="I45" s="5">
        <f>12558 / 86400</f>
        <v>0.14534722222222221</v>
      </c>
      <c r="J45" t="s">
        <v>43</v>
      </c>
      <c r="K45" t="s">
        <v>58</v>
      </c>
      <c r="L45" s="5">
        <f>43421 / 86400</f>
        <v>0.50255787037037036</v>
      </c>
      <c r="M45" s="5">
        <f>42971 / 86400</f>
        <v>0.49734953703703705</v>
      </c>
    </row>
    <row r="46" spans="1:13" x14ac:dyDescent="0.25">
      <c r="A46" t="s">
        <v>475</v>
      </c>
      <c r="B46" s="3">
        <v>45711.210127314815</v>
      </c>
      <c r="C46" t="s">
        <v>50</v>
      </c>
      <c r="D46" s="3">
        <v>45711.845185185186</v>
      </c>
      <c r="E46" t="s">
        <v>50</v>
      </c>
      <c r="F46" s="4">
        <v>273.75799999999998</v>
      </c>
      <c r="G46" s="4">
        <v>65738.726999999999</v>
      </c>
      <c r="H46" s="4">
        <v>66012.485000000001</v>
      </c>
      <c r="I46" s="5">
        <f>12794 / 86400</f>
        <v>0.14807870370370371</v>
      </c>
      <c r="J46" t="s">
        <v>92</v>
      </c>
      <c r="K46" t="s">
        <v>24</v>
      </c>
      <c r="L46" s="5">
        <f>48441 / 86400</f>
        <v>0.56065972222222227</v>
      </c>
      <c r="M46" s="5">
        <f>37950 / 86400</f>
        <v>0.4392361111111111</v>
      </c>
    </row>
    <row r="47" spans="1:13" x14ac:dyDescent="0.25">
      <c r="A47" t="s">
        <v>476</v>
      </c>
      <c r="B47" s="3">
        <v>45711.207453703704</v>
      </c>
      <c r="C47" t="s">
        <v>68</v>
      </c>
      <c r="D47" s="3">
        <v>45711.527615740742</v>
      </c>
      <c r="E47" t="s">
        <v>93</v>
      </c>
      <c r="F47" s="4">
        <v>2.9670000000000001</v>
      </c>
      <c r="G47" s="4">
        <v>11548.63</v>
      </c>
      <c r="H47" s="4">
        <v>11551.597</v>
      </c>
      <c r="I47" s="5">
        <f>2289 / 86400</f>
        <v>2.6493055555555554E-2</v>
      </c>
      <c r="J47" t="s">
        <v>94</v>
      </c>
      <c r="K47" t="s">
        <v>69</v>
      </c>
      <c r="L47" s="5">
        <f>3119 / 86400</f>
        <v>3.6099537037037034E-2</v>
      </c>
      <c r="M47" s="5">
        <f>83278 / 86400</f>
        <v>0.96386574074074072</v>
      </c>
    </row>
    <row r="48" spans="1:13" x14ac:dyDescent="0.25">
      <c r="A48" t="s">
        <v>477</v>
      </c>
      <c r="B48" s="3">
        <v>45711</v>
      </c>
      <c r="C48" t="s">
        <v>95</v>
      </c>
      <c r="D48" s="3">
        <v>45711.99998842593</v>
      </c>
      <c r="E48" t="s">
        <v>96</v>
      </c>
      <c r="F48" s="4">
        <v>282.048</v>
      </c>
      <c r="G48" s="4">
        <v>410032.26199999999</v>
      </c>
      <c r="H48" s="4">
        <v>410314.31</v>
      </c>
      <c r="I48" s="5">
        <f>14726 / 86400</f>
        <v>0.17043981481481482</v>
      </c>
      <c r="J48" t="s">
        <v>97</v>
      </c>
      <c r="K48" t="s">
        <v>24</v>
      </c>
      <c r="L48" s="5">
        <f>50619 / 86400</f>
        <v>0.58586805555555554</v>
      </c>
      <c r="M48" s="5">
        <f>35773 / 86400</f>
        <v>0.41403935185185187</v>
      </c>
    </row>
    <row r="49" spans="1:13" x14ac:dyDescent="0.25">
      <c r="A49" t="s">
        <v>478</v>
      </c>
      <c r="B49" s="3">
        <v>45711.245995370366</v>
      </c>
      <c r="C49" t="s">
        <v>68</v>
      </c>
      <c r="D49" s="3">
        <v>45711.99998842593</v>
      </c>
      <c r="E49" t="s">
        <v>90</v>
      </c>
      <c r="F49" s="4">
        <v>298.87400000000002</v>
      </c>
      <c r="G49" s="4">
        <v>552499.21499999997</v>
      </c>
      <c r="H49" s="4">
        <v>552798.08900000004</v>
      </c>
      <c r="I49" s="5">
        <f>20614 / 86400</f>
        <v>0.23858796296296297</v>
      </c>
      <c r="J49" t="s">
        <v>30</v>
      </c>
      <c r="K49" t="s">
        <v>58</v>
      </c>
      <c r="L49" s="5">
        <f>62204 / 86400</f>
        <v>0.71995370370370371</v>
      </c>
      <c r="M49" s="5">
        <f>24194 / 86400</f>
        <v>0.28002314814814816</v>
      </c>
    </row>
    <row r="50" spans="1:13" x14ac:dyDescent="0.25">
      <c r="A50" t="s">
        <v>479</v>
      </c>
      <c r="B50" s="3">
        <v>45711.016608796301</v>
      </c>
      <c r="C50" t="s">
        <v>25</v>
      </c>
      <c r="D50" s="3">
        <v>45711.99998842593</v>
      </c>
      <c r="E50" t="s">
        <v>98</v>
      </c>
      <c r="F50" s="4">
        <v>1788.4999999999998</v>
      </c>
      <c r="G50" s="4">
        <v>1159.7450000000003</v>
      </c>
      <c r="H50" s="4">
        <v>2948.2449999999999</v>
      </c>
      <c r="I50" s="5">
        <f>19195 / 86400</f>
        <v>0.22216435185185185</v>
      </c>
      <c r="J50" t="s">
        <v>99</v>
      </c>
      <c r="K50" t="s">
        <v>100</v>
      </c>
      <c r="L50" s="5">
        <f>63399 / 86400</f>
        <v>0.73378472222222224</v>
      </c>
      <c r="M50" s="5">
        <f>22998 / 86400</f>
        <v>0.26618055555555553</v>
      </c>
    </row>
    <row r="51" spans="1:13" x14ac:dyDescent="0.25">
      <c r="A51" t="s">
        <v>480</v>
      </c>
      <c r="B51" s="3">
        <v>45711.004837962959</v>
      </c>
      <c r="C51" t="s">
        <v>101</v>
      </c>
      <c r="D51" s="3">
        <v>45711.99998842593</v>
      </c>
      <c r="E51" t="s">
        <v>102</v>
      </c>
      <c r="F51" s="4">
        <v>311.44600000000003</v>
      </c>
      <c r="G51" s="4">
        <v>62150.053</v>
      </c>
      <c r="H51" s="4">
        <v>62461.499000000003</v>
      </c>
      <c r="I51" s="5">
        <f>15772 / 86400</f>
        <v>0.18254629629629629</v>
      </c>
      <c r="J51" t="s">
        <v>103</v>
      </c>
      <c r="K51" t="s">
        <v>24</v>
      </c>
      <c r="L51" s="5">
        <f>54746 / 86400</f>
        <v>0.63363425925925931</v>
      </c>
      <c r="M51" s="5">
        <f>31644 / 86400</f>
        <v>0.36625000000000002</v>
      </c>
    </row>
    <row r="52" spans="1:13" x14ac:dyDescent="0.25">
      <c r="A52" t="s">
        <v>481</v>
      </c>
      <c r="B52" s="3">
        <v>45711</v>
      </c>
      <c r="C52" t="s">
        <v>102</v>
      </c>
      <c r="D52" s="3">
        <v>45711.996574074074</v>
      </c>
      <c r="E52" t="s">
        <v>82</v>
      </c>
      <c r="F52" s="4">
        <v>365.71499999999253</v>
      </c>
      <c r="G52" s="4">
        <v>65797.745999999999</v>
      </c>
      <c r="H52" s="4">
        <v>66163.460999999996</v>
      </c>
      <c r="I52" s="5">
        <f>21476 / 86400</f>
        <v>0.24856481481481482</v>
      </c>
      <c r="J52" t="s">
        <v>104</v>
      </c>
      <c r="K52" t="s">
        <v>24</v>
      </c>
      <c r="L52" s="5">
        <f>66250 / 86400</f>
        <v>0.76678240740740744</v>
      </c>
      <c r="M52" s="5">
        <f>20147 / 86400</f>
        <v>0.23318287037037036</v>
      </c>
    </row>
    <row r="53" spans="1:13" x14ac:dyDescent="0.25">
      <c r="A53" t="s">
        <v>482</v>
      </c>
      <c r="B53" s="3">
        <v>45711.061585648145</v>
      </c>
      <c r="C53" t="s">
        <v>105</v>
      </c>
      <c r="D53" s="3">
        <v>45711.846319444448</v>
      </c>
      <c r="E53" t="s">
        <v>105</v>
      </c>
      <c r="F53" s="4">
        <v>211.40299999999999</v>
      </c>
      <c r="G53" s="4">
        <v>293510.20500000002</v>
      </c>
      <c r="H53" s="4">
        <v>293721.60800000001</v>
      </c>
      <c r="I53" s="5">
        <f>18138 / 86400</f>
        <v>0.20993055555555556</v>
      </c>
      <c r="J53" t="s">
        <v>51</v>
      </c>
      <c r="K53" t="s">
        <v>58</v>
      </c>
      <c r="L53" s="5">
        <f>44862 / 86400</f>
        <v>0.51923611111111112</v>
      </c>
      <c r="M53" s="5">
        <f>41534 / 86400</f>
        <v>0.48071759259259261</v>
      </c>
    </row>
    <row r="54" spans="1:13" x14ac:dyDescent="0.25">
      <c r="A54" s="6" t="s">
        <v>106</v>
      </c>
      <c r="B54" s="6" t="s">
        <v>107</v>
      </c>
      <c r="C54" s="6" t="s">
        <v>107</v>
      </c>
      <c r="D54" s="6" t="s">
        <v>107</v>
      </c>
      <c r="E54" s="6" t="s">
        <v>107</v>
      </c>
      <c r="F54" s="7">
        <v>8390.6555559837743</v>
      </c>
      <c r="G54" s="6" t="s">
        <v>107</v>
      </c>
      <c r="H54" s="6" t="s">
        <v>107</v>
      </c>
      <c r="I54" s="8">
        <f>501284 / 86400</f>
        <v>5.8018981481481484</v>
      </c>
      <c r="J54" s="6" t="s">
        <v>107</v>
      </c>
      <c r="K54" s="6" t="s">
        <v>107</v>
      </c>
      <c r="L54" s="8">
        <f>1408220 / 86400</f>
        <v>16.298842592592592</v>
      </c>
      <c r="M54" s="8">
        <f>2565985 / 86400</f>
        <v>29.698900462962964</v>
      </c>
    </row>
    <row r="55" spans="1:13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</row>
    <row r="56" spans="1:13" s="9" customFormat="1" x14ac:dyDescent="0.25">
      <c r="A56" s="15" t="s">
        <v>108</v>
      </c>
      <c r="B56" s="15"/>
      <c r="C56" s="15"/>
      <c r="D56" s="15"/>
      <c r="E56" s="15"/>
      <c r="F56" s="15"/>
      <c r="G56" s="15"/>
      <c r="H56" s="15"/>
      <c r="I56" s="15"/>
      <c r="J56" s="15"/>
    </row>
    <row r="57" spans="1:13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</row>
    <row r="58" spans="1:13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</row>
    <row r="59" spans="1:13" s="10" customFormat="1" ht="20.100000000000001" customHeight="1" x14ac:dyDescent="0.35">
      <c r="A59" s="12" t="s">
        <v>483</v>
      </c>
      <c r="B59" s="12"/>
      <c r="C59" s="12"/>
      <c r="D59" s="12"/>
      <c r="E59" s="12"/>
      <c r="F59" s="12"/>
      <c r="G59" s="12"/>
      <c r="H59" s="12"/>
      <c r="I59" s="12"/>
      <c r="J59" s="12"/>
    </row>
    <row r="60" spans="1:13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</row>
    <row r="61" spans="1:13" ht="30" x14ac:dyDescent="0.25">
      <c r="A61" s="2" t="s">
        <v>6</v>
      </c>
      <c r="B61" s="2" t="s">
        <v>7</v>
      </c>
      <c r="C61" s="2" t="s">
        <v>8</v>
      </c>
      <c r="D61" s="2" t="s">
        <v>9</v>
      </c>
      <c r="E61" s="2" t="s">
        <v>10</v>
      </c>
      <c r="F61" s="2" t="s">
        <v>11</v>
      </c>
      <c r="G61" s="2" t="s">
        <v>12</v>
      </c>
      <c r="H61" s="2" t="s">
        <v>13</v>
      </c>
      <c r="I61" s="2" t="s">
        <v>14</v>
      </c>
      <c r="J61" s="2" t="s">
        <v>15</v>
      </c>
      <c r="K61" s="2" t="s">
        <v>16</v>
      </c>
      <c r="L61" s="2" t="s">
        <v>17</v>
      </c>
    </row>
    <row r="62" spans="1:13" x14ac:dyDescent="0.25">
      <c r="A62" s="3">
        <v>45711.81113425926</v>
      </c>
      <c r="B62" t="s">
        <v>18</v>
      </c>
      <c r="C62" s="3">
        <v>45711.811365740738</v>
      </c>
      <c r="D62" t="s">
        <v>18</v>
      </c>
      <c r="E62" s="4">
        <v>5.0000000000000001E-3</v>
      </c>
      <c r="F62" s="4">
        <v>330182.66100000002</v>
      </c>
      <c r="G62" s="4">
        <v>330182.66600000003</v>
      </c>
      <c r="H62" s="5">
        <f>0 / 86400</f>
        <v>0</v>
      </c>
      <c r="I62" t="s">
        <v>26</v>
      </c>
      <c r="J62" t="s">
        <v>21</v>
      </c>
      <c r="K62" s="5">
        <f>20 / 86400</f>
        <v>2.3148148148148149E-4</v>
      </c>
      <c r="L62" s="5">
        <f>70115 / 86400</f>
        <v>0.8115162037037037</v>
      </c>
    </row>
    <row r="63" spans="1:13" x14ac:dyDescent="0.25">
      <c r="A63" s="3">
        <v>45711.811747685184</v>
      </c>
      <c r="B63" t="s">
        <v>18</v>
      </c>
      <c r="C63" s="3">
        <v>45711.812569444446</v>
      </c>
      <c r="D63" t="s">
        <v>19</v>
      </c>
      <c r="E63" s="4">
        <v>2.3E-2</v>
      </c>
      <c r="F63" s="4">
        <v>330182.66600000003</v>
      </c>
      <c r="G63" s="4">
        <v>330182.68900000001</v>
      </c>
      <c r="H63" s="5">
        <f>0 / 86400</f>
        <v>0</v>
      </c>
      <c r="I63" t="s">
        <v>20</v>
      </c>
      <c r="J63" t="s">
        <v>21</v>
      </c>
      <c r="K63" s="5">
        <f>71 / 86400</f>
        <v>8.2175925925925927E-4</v>
      </c>
      <c r="L63" s="5">
        <f>16193 / 86400</f>
        <v>0.18741898148148148</v>
      </c>
    </row>
    <row r="64" spans="1:13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</row>
    <row r="65" spans="1:12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</row>
    <row r="66" spans="1:12" s="10" customFormat="1" ht="20.100000000000001" customHeight="1" x14ac:dyDescent="0.35">
      <c r="A66" s="12" t="s">
        <v>438</v>
      </c>
      <c r="B66" s="12"/>
      <c r="C66" s="12"/>
      <c r="D66" s="12"/>
      <c r="E66" s="12"/>
      <c r="F66" s="12"/>
      <c r="G66" s="12"/>
      <c r="H66" s="12"/>
      <c r="I66" s="12"/>
      <c r="J66" s="12"/>
    </row>
    <row r="67" spans="1:12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</row>
    <row r="68" spans="1:12" ht="30" x14ac:dyDescent="0.25">
      <c r="A68" s="2" t="s">
        <v>6</v>
      </c>
      <c r="B68" s="2" t="s">
        <v>7</v>
      </c>
      <c r="C68" s="2" t="s">
        <v>8</v>
      </c>
      <c r="D68" s="2" t="s">
        <v>9</v>
      </c>
      <c r="E68" s="2" t="s">
        <v>10</v>
      </c>
      <c r="F68" s="2" t="s">
        <v>11</v>
      </c>
      <c r="G68" s="2" t="s">
        <v>12</v>
      </c>
      <c r="H68" s="2" t="s">
        <v>13</v>
      </c>
      <c r="I68" s="2" t="s">
        <v>14</v>
      </c>
      <c r="J68" s="2" t="s">
        <v>15</v>
      </c>
      <c r="K68" s="2" t="s">
        <v>16</v>
      </c>
      <c r="L68" s="2" t="s">
        <v>17</v>
      </c>
    </row>
    <row r="69" spans="1:12" x14ac:dyDescent="0.25">
      <c r="A69" s="3">
        <v>45711.282442129625</v>
      </c>
      <c r="B69" t="s">
        <v>22</v>
      </c>
      <c r="C69" s="3">
        <v>45711.350543981476</v>
      </c>
      <c r="D69" t="s">
        <v>109</v>
      </c>
      <c r="E69" s="4">
        <v>33.884</v>
      </c>
      <c r="F69" s="4">
        <v>515106.359</v>
      </c>
      <c r="G69" s="4">
        <v>515140.24300000002</v>
      </c>
      <c r="H69" s="5">
        <f>1439 / 86400</f>
        <v>1.6655092592592593E-2</v>
      </c>
      <c r="I69" t="s">
        <v>110</v>
      </c>
      <c r="J69" t="s">
        <v>67</v>
      </c>
      <c r="K69" s="5">
        <f>5883 / 86400</f>
        <v>6.8090277777777777E-2</v>
      </c>
      <c r="L69" s="5">
        <f>26806 / 86400</f>
        <v>0.31025462962962963</v>
      </c>
    </row>
    <row r="70" spans="1:12" x14ac:dyDescent="0.25">
      <c r="A70" s="3">
        <v>45711.37835648148</v>
      </c>
      <c r="B70" t="s">
        <v>109</v>
      </c>
      <c r="C70" s="3">
        <v>45711.380902777775</v>
      </c>
      <c r="D70" t="s">
        <v>111</v>
      </c>
      <c r="E70" s="4">
        <v>0.50700000000000001</v>
      </c>
      <c r="F70" s="4">
        <v>515140.24300000002</v>
      </c>
      <c r="G70" s="4">
        <v>515140.75</v>
      </c>
      <c r="H70" s="5">
        <f>60 / 86400</f>
        <v>6.9444444444444447E-4</v>
      </c>
      <c r="I70" t="s">
        <v>112</v>
      </c>
      <c r="J70" t="s">
        <v>113</v>
      </c>
      <c r="K70" s="5">
        <f>220 / 86400</f>
        <v>2.5462962962962965E-3</v>
      </c>
      <c r="L70" s="5">
        <f>3842 / 86400</f>
        <v>4.4467592592592593E-2</v>
      </c>
    </row>
    <row r="71" spans="1:12" x14ac:dyDescent="0.25">
      <c r="A71" s="3">
        <v>45711.425370370373</v>
      </c>
      <c r="B71" t="s">
        <v>111</v>
      </c>
      <c r="C71" s="3">
        <v>45711.426712962959</v>
      </c>
      <c r="D71" t="s">
        <v>114</v>
      </c>
      <c r="E71" s="4">
        <v>0.155</v>
      </c>
      <c r="F71" s="4">
        <v>515140.75</v>
      </c>
      <c r="G71" s="4">
        <v>515140.90500000003</v>
      </c>
      <c r="H71" s="5">
        <f>39 / 86400</f>
        <v>4.5138888888888887E-4</v>
      </c>
      <c r="I71" t="s">
        <v>37</v>
      </c>
      <c r="J71" t="s">
        <v>34</v>
      </c>
      <c r="K71" s="5">
        <f>115 / 86400</f>
        <v>1.3310185185185185E-3</v>
      </c>
      <c r="L71" s="5">
        <f>39 / 86400</f>
        <v>4.5138888888888887E-4</v>
      </c>
    </row>
    <row r="72" spans="1:12" x14ac:dyDescent="0.25">
      <c r="A72" s="3">
        <v>45711.427164351851</v>
      </c>
      <c r="B72" t="s">
        <v>114</v>
      </c>
      <c r="C72" s="3">
        <v>45711.429386574076</v>
      </c>
      <c r="D72" t="s">
        <v>115</v>
      </c>
      <c r="E72" s="4">
        <v>0.76200000000000001</v>
      </c>
      <c r="F72" s="4">
        <v>515140.90500000003</v>
      </c>
      <c r="G72" s="4">
        <v>515141.66700000002</v>
      </c>
      <c r="H72" s="5">
        <f>0 / 86400</f>
        <v>0</v>
      </c>
      <c r="I72" t="s">
        <v>67</v>
      </c>
      <c r="J72" t="s">
        <v>116</v>
      </c>
      <c r="K72" s="5">
        <f>192 / 86400</f>
        <v>2.2222222222222222E-3</v>
      </c>
      <c r="L72" s="5">
        <f>295 / 86400</f>
        <v>3.414351851851852E-3</v>
      </c>
    </row>
    <row r="73" spans="1:12" x14ac:dyDescent="0.25">
      <c r="A73" s="3">
        <v>45711.432800925926</v>
      </c>
      <c r="B73" t="s">
        <v>115</v>
      </c>
      <c r="C73" s="3">
        <v>45711.5309837963</v>
      </c>
      <c r="D73" t="s">
        <v>117</v>
      </c>
      <c r="E73" s="4">
        <v>51.109000000000002</v>
      </c>
      <c r="F73" s="4">
        <v>515141.66700000002</v>
      </c>
      <c r="G73" s="4">
        <v>515192.77600000001</v>
      </c>
      <c r="H73" s="5">
        <f>2080 / 86400</f>
        <v>2.4074074074074074E-2</v>
      </c>
      <c r="I73" t="s">
        <v>23</v>
      </c>
      <c r="J73" t="s">
        <v>91</v>
      </c>
      <c r="K73" s="5">
        <f>8483 / 86400</f>
        <v>9.8182870370370365E-2</v>
      </c>
      <c r="L73" s="5">
        <f>536 / 86400</f>
        <v>6.2037037037037035E-3</v>
      </c>
    </row>
    <row r="74" spans="1:12" x14ac:dyDescent="0.25">
      <c r="A74" s="3">
        <v>45711.537187499998</v>
      </c>
      <c r="B74" t="s">
        <v>117</v>
      </c>
      <c r="C74" s="3">
        <v>45711.645312499997</v>
      </c>
      <c r="D74" t="s">
        <v>109</v>
      </c>
      <c r="E74" s="4">
        <v>51.073999999999998</v>
      </c>
      <c r="F74" s="4">
        <v>515192.77600000001</v>
      </c>
      <c r="G74" s="4">
        <v>515243.85</v>
      </c>
      <c r="H74" s="5">
        <f>2579 / 86400</f>
        <v>2.9849537037037036E-2</v>
      </c>
      <c r="I74" t="s">
        <v>43</v>
      </c>
      <c r="J74" t="s">
        <v>24</v>
      </c>
      <c r="K74" s="5">
        <f>9341 / 86400</f>
        <v>0.10811342592592593</v>
      </c>
      <c r="L74" s="5">
        <f>2740 / 86400</f>
        <v>3.1712962962962964E-2</v>
      </c>
    </row>
    <row r="75" spans="1:12" x14ac:dyDescent="0.25">
      <c r="A75" s="3">
        <v>45711.677025462966</v>
      </c>
      <c r="B75" t="s">
        <v>109</v>
      </c>
      <c r="C75" s="3">
        <v>45711.679918981477</v>
      </c>
      <c r="D75" t="s">
        <v>118</v>
      </c>
      <c r="E75" s="4">
        <v>0.92</v>
      </c>
      <c r="F75" s="4">
        <v>515243.85</v>
      </c>
      <c r="G75" s="4">
        <v>515244.77</v>
      </c>
      <c r="H75" s="5">
        <f>40 / 86400</f>
        <v>4.6296296296296298E-4</v>
      </c>
      <c r="I75" t="s">
        <v>119</v>
      </c>
      <c r="J75" t="s">
        <v>120</v>
      </c>
      <c r="K75" s="5">
        <f>249 / 86400</f>
        <v>2.8819444444444444E-3</v>
      </c>
      <c r="L75" s="5">
        <f>244 / 86400</f>
        <v>2.8240740740740739E-3</v>
      </c>
    </row>
    <row r="76" spans="1:12" x14ac:dyDescent="0.25">
      <c r="A76" s="3">
        <v>45711.682743055557</v>
      </c>
      <c r="B76" t="s">
        <v>118</v>
      </c>
      <c r="C76" s="3">
        <v>45711.772222222222</v>
      </c>
      <c r="D76" t="s">
        <v>121</v>
      </c>
      <c r="E76" s="4">
        <v>38.895000000000003</v>
      </c>
      <c r="F76" s="4">
        <v>515244.77</v>
      </c>
      <c r="G76" s="4">
        <v>515283.66499999998</v>
      </c>
      <c r="H76" s="5">
        <f>2219 / 86400</f>
        <v>2.568287037037037E-2</v>
      </c>
      <c r="I76" t="s">
        <v>122</v>
      </c>
      <c r="J76" t="s">
        <v>38</v>
      </c>
      <c r="K76" s="5">
        <f>7730 / 86400</f>
        <v>8.9467592592592599E-2</v>
      </c>
      <c r="L76" s="5">
        <f>693 / 86400</f>
        <v>8.0208333333333329E-3</v>
      </c>
    </row>
    <row r="77" spans="1:12" x14ac:dyDescent="0.25">
      <c r="A77" s="3">
        <v>45711.78024305556</v>
      </c>
      <c r="B77" t="s">
        <v>121</v>
      </c>
      <c r="C77" s="3">
        <v>45711.847916666666</v>
      </c>
      <c r="D77" t="s">
        <v>123</v>
      </c>
      <c r="E77" s="4">
        <v>34.83</v>
      </c>
      <c r="F77" s="4">
        <v>515283.66499999998</v>
      </c>
      <c r="G77" s="4">
        <v>515318.495</v>
      </c>
      <c r="H77" s="5">
        <f>1360 / 86400</f>
        <v>1.5740740740740739E-2</v>
      </c>
      <c r="I77" t="s">
        <v>124</v>
      </c>
      <c r="J77" t="s">
        <v>67</v>
      </c>
      <c r="K77" s="5">
        <f>5846 / 86400</f>
        <v>6.7662037037037034E-2</v>
      </c>
      <c r="L77" s="5">
        <f>229 / 86400</f>
        <v>2.650462962962963E-3</v>
      </c>
    </row>
    <row r="78" spans="1:12" x14ac:dyDescent="0.25">
      <c r="A78" s="3">
        <v>45711.85056712963</v>
      </c>
      <c r="B78" t="s">
        <v>123</v>
      </c>
      <c r="C78" s="3">
        <v>45711.916759259257</v>
      </c>
      <c r="D78" t="s">
        <v>125</v>
      </c>
      <c r="E78" s="4">
        <v>33.741</v>
      </c>
      <c r="F78" s="4">
        <v>515318.495</v>
      </c>
      <c r="G78" s="4">
        <v>515352.23599999998</v>
      </c>
      <c r="H78" s="5">
        <f>1621 / 86400</f>
        <v>1.8761574074074073E-2</v>
      </c>
      <c r="I78" t="s">
        <v>122</v>
      </c>
      <c r="J78" t="s">
        <v>67</v>
      </c>
      <c r="K78" s="5">
        <f>5719 / 86400</f>
        <v>6.6192129629629629E-2</v>
      </c>
      <c r="L78" s="5">
        <f>289 / 86400</f>
        <v>3.3449074074074076E-3</v>
      </c>
    </row>
    <row r="79" spans="1:12" x14ac:dyDescent="0.25">
      <c r="A79" s="3">
        <v>45711.920104166667</v>
      </c>
      <c r="B79" t="s">
        <v>125</v>
      </c>
      <c r="C79" s="3">
        <v>45711.920428240745</v>
      </c>
      <c r="D79" t="s">
        <v>126</v>
      </c>
      <c r="E79" s="4">
        <v>2.9000000000000001E-2</v>
      </c>
      <c r="F79" s="4">
        <v>515352.23599999998</v>
      </c>
      <c r="G79" s="4">
        <v>515352.26500000001</v>
      </c>
      <c r="H79" s="5">
        <f>0 / 86400</f>
        <v>0</v>
      </c>
      <c r="I79" t="s">
        <v>34</v>
      </c>
      <c r="J79" t="s">
        <v>20</v>
      </c>
      <c r="K79" s="5">
        <f>27 / 86400</f>
        <v>3.1250000000000001E-4</v>
      </c>
      <c r="L79" s="5">
        <f>187 / 86400</f>
        <v>2.1643518518518518E-3</v>
      </c>
    </row>
    <row r="80" spans="1:12" x14ac:dyDescent="0.25">
      <c r="A80" s="3">
        <v>45711.922592592593</v>
      </c>
      <c r="B80" t="s">
        <v>126</v>
      </c>
      <c r="C80" s="3">
        <v>45711.925879629634</v>
      </c>
      <c r="D80" t="s">
        <v>127</v>
      </c>
      <c r="E80" s="4">
        <v>0.93799999999999994</v>
      </c>
      <c r="F80" s="4">
        <v>515352.26500000001</v>
      </c>
      <c r="G80" s="4">
        <v>515353.20299999998</v>
      </c>
      <c r="H80" s="5">
        <f>119 / 86400</f>
        <v>1.3773148148148147E-3</v>
      </c>
      <c r="I80" t="s">
        <v>52</v>
      </c>
      <c r="J80" t="s">
        <v>128</v>
      </c>
      <c r="K80" s="5">
        <f>284 / 86400</f>
        <v>3.2870370370370371E-3</v>
      </c>
      <c r="L80" s="5">
        <f>277 / 86400</f>
        <v>3.2060185185185186E-3</v>
      </c>
    </row>
    <row r="81" spans="1:12" x14ac:dyDescent="0.25">
      <c r="A81" s="3">
        <v>45711.929085648153</v>
      </c>
      <c r="B81" t="s">
        <v>127</v>
      </c>
      <c r="C81" s="3">
        <v>45711.93340277778</v>
      </c>
      <c r="D81" t="s">
        <v>22</v>
      </c>
      <c r="E81" s="4">
        <v>0.53800000000000003</v>
      </c>
      <c r="F81" s="4">
        <v>515353.20299999998</v>
      </c>
      <c r="G81" s="4">
        <v>515353.74099999998</v>
      </c>
      <c r="H81" s="5">
        <f>180 / 86400</f>
        <v>2.0833333333333333E-3</v>
      </c>
      <c r="I81" t="s">
        <v>38</v>
      </c>
      <c r="J81" t="s">
        <v>34</v>
      </c>
      <c r="K81" s="5">
        <f>373 / 86400</f>
        <v>4.31712962962963E-3</v>
      </c>
      <c r="L81" s="5">
        <f>5753 / 86400</f>
        <v>6.6585648148148144E-2</v>
      </c>
    </row>
    <row r="82" spans="1:12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</row>
    <row r="83" spans="1:12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</row>
    <row r="84" spans="1:12" s="10" customFormat="1" ht="20.100000000000001" customHeight="1" x14ac:dyDescent="0.35">
      <c r="A84" s="12" t="s">
        <v>439</v>
      </c>
      <c r="B84" s="12"/>
      <c r="C84" s="12"/>
      <c r="D84" s="12"/>
      <c r="E84" s="12"/>
      <c r="F84" s="12"/>
      <c r="G84" s="12"/>
      <c r="H84" s="12"/>
      <c r="I84" s="12"/>
      <c r="J84" s="12"/>
    </row>
    <row r="85" spans="1:12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</row>
    <row r="86" spans="1:12" ht="30" x14ac:dyDescent="0.25">
      <c r="A86" s="2" t="s">
        <v>6</v>
      </c>
      <c r="B86" s="2" t="s">
        <v>7</v>
      </c>
      <c r="C86" s="2" t="s">
        <v>8</v>
      </c>
      <c r="D86" s="2" t="s">
        <v>9</v>
      </c>
      <c r="E86" s="2" t="s">
        <v>10</v>
      </c>
      <c r="F86" s="2" t="s">
        <v>11</v>
      </c>
      <c r="G86" s="2" t="s">
        <v>12</v>
      </c>
      <c r="H86" s="2" t="s">
        <v>13</v>
      </c>
      <c r="I86" s="2" t="s">
        <v>14</v>
      </c>
      <c r="J86" s="2" t="s">
        <v>15</v>
      </c>
      <c r="K86" s="2" t="s">
        <v>16</v>
      </c>
      <c r="L86" s="2" t="s">
        <v>17</v>
      </c>
    </row>
    <row r="87" spans="1:12" x14ac:dyDescent="0.25">
      <c r="A87" s="3">
        <v>45711.760243055556</v>
      </c>
      <c r="B87" t="s">
        <v>25</v>
      </c>
      <c r="C87" s="3">
        <v>45711.766111111108</v>
      </c>
      <c r="D87" t="s">
        <v>25</v>
      </c>
      <c r="E87" s="4">
        <v>0</v>
      </c>
      <c r="F87" s="4">
        <v>93379.024000000005</v>
      </c>
      <c r="G87" s="4">
        <v>93379.024000000005</v>
      </c>
      <c r="H87" s="5">
        <f>499 / 86400</f>
        <v>5.7754629629629631E-3</v>
      </c>
      <c r="I87" t="s">
        <v>26</v>
      </c>
      <c r="J87" t="s">
        <v>26</v>
      </c>
      <c r="K87" s="5">
        <f>506 / 86400</f>
        <v>5.8564814814814816E-3</v>
      </c>
      <c r="L87" s="5">
        <f>67665 / 86400</f>
        <v>0.78315972222222219</v>
      </c>
    </row>
    <row r="88" spans="1:12" x14ac:dyDescent="0.25">
      <c r="A88" s="3">
        <v>45711.789027777777</v>
      </c>
      <c r="B88" t="s">
        <v>25</v>
      </c>
      <c r="C88" s="3">
        <v>45711.790555555555</v>
      </c>
      <c r="D88" t="s">
        <v>25</v>
      </c>
      <c r="E88" s="4">
        <v>0</v>
      </c>
      <c r="F88" s="4">
        <v>93379.024000000005</v>
      </c>
      <c r="G88" s="4">
        <v>93379.024000000005</v>
      </c>
      <c r="H88" s="5">
        <f>119 / 86400</f>
        <v>1.3773148148148147E-3</v>
      </c>
      <c r="I88" t="s">
        <v>26</v>
      </c>
      <c r="J88" t="s">
        <v>26</v>
      </c>
      <c r="K88" s="5">
        <f>131 / 86400</f>
        <v>1.5162037037037036E-3</v>
      </c>
      <c r="L88" s="5">
        <f>18095 / 86400</f>
        <v>0.20943287037037037</v>
      </c>
    </row>
    <row r="89" spans="1:12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</row>
    <row r="90" spans="1:12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</row>
    <row r="91" spans="1:12" s="10" customFormat="1" ht="20.100000000000001" customHeight="1" x14ac:dyDescent="0.35">
      <c r="A91" s="12" t="s">
        <v>440</v>
      </c>
      <c r="B91" s="12"/>
      <c r="C91" s="12"/>
      <c r="D91" s="12"/>
      <c r="E91" s="12"/>
      <c r="F91" s="12"/>
      <c r="G91" s="12"/>
      <c r="H91" s="12"/>
      <c r="I91" s="12"/>
      <c r="J91" s="12"/>
    </row>
    <row r="92" spans="1:12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</row>
    <row r="93" spans="1:12" ht="30" x14ac:dyDescent="0.25">
      <c r="A93" s="2" t="s">
        <v>6</v>
      </c>
      <c r="B93" s="2" t="s">
        <v>7</v>
      </c>
      <c r="C93" s="2" t="s">
        <v>8</v>
      </c>
      <c r="D93" s="2" t="s">
        <v>9</v>
      </c>
      <c r="E93" s="2" t="s">
        <v>10</v>
      </c>
      <c r="F93" s="2" t="s">
        <v>11</v>
      </c>
      <c r="G93" s="2" t="s">
        <v>12</v>
      </c>
      <c r="H93" s="2" t="s">
        <v>13</v>
      </c>
      <c r="I93" s="2" t="s">
        <v>14</v>
      </c>
      <c r="J93" s="2" t="s">
        <v>15</v>
      </c>
      <c r="K93" s="2" t="s">
        <v>16</v>
      </c>
      <c r="L93" s="2" t="s">
        <v>17</v>
      </c>
    </row>
    <row r="94" spans="1:12" x14ac:dyDescent="0.25">
      <c r="A94" s="3">
        <v>45711.285891203705</v>
      </c>
      <c r="B94" t="s">
        <v>27</v>
      </c>
      <c r="C94" s="3">
        <v>45711.462256944447</v>
      </c>
      <c r="D94" t="s">
        <v>114</v>
      </c>
      <c r="E94" s="4">
        <v>74.037999999999997</v>
      </c>
      <c r="F94" s="4">
        <v>140111.09400000001</v>
      </c>
      <c r="G94" s="4">
        <v>140185.13200000001</v>
      </c>
      <c r="H94" s="5">
        <f>4999 / 86400</f>
        <v>5.7858796296296297E-2</v>
      </c>
      <c r="I94" t="s">
        <v>36</v>
      </c>
      <c r="J94" t="s">
        <v>58</v>
      </c>
      <c r="K94" s="5">
        <f>15238 / 86400</f>
        <v>0.17636574074074074</v>
      </c>
      <c r="L94" s="5">
        <f>26527 / 86400</f>
        <v>0.30702546296296296</v>
      </c>
    </row>
    <row r="95" spans="1:12" x14ac:dyDescent="0.25">
      <c r="A95" s="3">
        <v>45711.483391203699</v>
      </c>
      <c r="B95" t="s">
        <v>114</v>
      </c>
      <c r="C95" s="3">
        <v>45711.485821759255</v>
      </c>
      <c r="D95" t="s">
        <v>129</v>
      </c>
      <c r="E95" s="4">
        <v>0.70599999999999996</v>
      </c>
      <c r="F95" s="4">
        <v>140185.13200000001</v>
      </c>
      <c r="G95" s="4">
        <v>140185.83799999999</v>
      </c>
      <c r="H95" s="5">
        <f>20 / 86400</f>
        <v>2.3148148148148149E-4</v>
      </c>
      <c r="I95" t="s">
        <v>130</v>
      </c>
      <c r="J95" t="s">
        <v>128</v>
      </c>
      <c r="K95" s="5">
        <f>209 / 86400</f>
        <v>2.4189814814814816E-3</v>
      </c>
      <c r="L95" s="5">
        <f>1354 / 86400</f>
        <v>1.5671296296296298E-2</v>
      </c>
    </row>
    <row r="96" spans="1:12" x14ac:dyDescent="0.25">
      <c r="A96" s="3">
        <v>45711.501493055555</v>
      </c>
      <c r="B96" t="s">
        <v>129</v>
      </c>
      <c r="C96" s="3">
        <v>45711.505462962959</v>
      </c>
      <c r="D96" t="s">
        <v>118</v>
      </c>
      <c r="E96" s="4">
        <v>1.403</v>
      </c>
      <c r="F96" s="4">
        <v>140185.83799999999</v>
      </c>
      <c r="G96" s="4">
        <v>140187.24100000001</v>
      </c>
      <c r="H96" s="5">
        <f>80 / 86400</f>
        <v>9.2592592592592596E-4</v>
      </c>
      <c r="I96" t="s">
        <v>131</v>
      </c>
      <c r="J96" t="s">
        <v>47</v>
      </c>
      <c r="K96" s="5">
        <f>343 / 86400</f>
        <v>3.9699074074074072E-3</v>
      </c>
      <c r="L96" s="5">
        <f>239 / 86400</f>
        <v>2.7662037037037039E-3</v>
      </c>
    </row>
    <row r="97" spans="1:12" x14ac:dyDescent="0.25">
      <c r="A97" s="3">
        <v>45711.508229166662</v>
      </c>
      <c r="B97" t="s">
        <v>118</v>
      </c>
      <c r="C97" s="3">
        <v>45711.711875000001</v>
      </c>
      <c r="D97" t="s">
        <v>132</v>
      </c>
      <c r="E97" s="4">
        <v>109.509</v>
      </c>
      <c r="F97" s="4">
        <v>140187.24100000001</v>
      </c>
      <c r="G97" s="4">
        <v>140296.75</v>
      </c>
      <c r="H97" s="5">
        <f>4497 / 86400</f>
        <v>5.2048611111111108E-2</v>
      </c>
      <c r="I97" t="s">
        <v>28</v>
      </c>
      <c r="J97" t="s">
        <v>91</v>
      </c>
      <c r="K97" s="5">
        <f>17595 / 86400</f>
        <v>0.20364583333333333</v>
      </c>
      <c r="L97" s="5">
        <f>110 / 86400</f>
        <v>1.2731481481481483E-3</v>
      </c>
    </row>
    <row r="98" spans="1:12" x14ac:dyDescent="0.25">
      <c r="A98" s="3">
        <v>45711.713148148148</v>
      </c>
      <c r="B98" t="s">
        <v>132</v>
      </c>
      <c r="C98" s="3">
        <v>45711.713263888887</v>
      </c>
      <c r="D98" t="s">
        <v>132</v>
      </c>
      <c r="E98" s="4">
        <v>8.9999999999999993E-3</v>
      </c>
      <c r="F98" s="4">
        <v>140296.75</v>
      </c>
      <c r="G98" s="4">
        <v>140296.75899999999</v>
      </c>
      <c r="H98" s="5">
        <f>0 / 86400</f>
        <v>0</v>
      </c>
      <c r="I98" t="s">
        <v>26</v>
      </c>
      <c r="J98" t="s">
        <v>69</v>
      </c>
      <c r="K98" s="5">
        <f>10 / 86400</f>
        <v>1.1574074074074075E-4</v>
      </c>
      <c r="L98" s="5">
        <f>334 / 86400</f>
        <v>3.8657407407407408E-3</v>
      </c>
    </row>
    <row r="99" spans="1:12" x14ac:dyDescent="0.25">
      <c r="A99" s="3">
        <v>45711.717129629629</v>
      </c>
      <c r="B99" t="s">
        <v>132</v>
      </c>
      <c r="C99" s="3">
        <v>45711.72274305555</v>
      </c>
      <c r="D99" t="s">
        <v>27</v>
      </c>
      <c r="E99" s="4">
        <v>0.497</v>
      </c>
      <c r="F99" s="4">
        <v>140296.75899999999</v>
      </c>
      <c r="G99" s="4">
        <v>140297.25599999999</v>
      </c>
      <c r="H99" s="5">
        <f>331 / 86400</f>
        <v>3.8310185185185183E-3</v>
      </c>
      <c r="I99" t="s">
        <v>133</v>
      </c>
      <c r="J99" t="s">
        <v>20</v>
      </c>
      <c r="K99" s="5">
        <f>485 / 86400</f>
        <v>5.6134259259259262E-3</v>
      </c>
      <c r="L99" s="5">
        <f>4479 / 86400</f>
        <v>5.1840277777777777E-2</v>
      </c>
    </row>
    <row r="100" spans="1:12" x14ac:dyDescent="0.25">
      <c r="A100" s="3">
        <v>45711.774583333332</v>
      </c>
      <c r="B100" t="s">
        <v>27</v>
      </c>
      <c r="C100" s="3">
        <v>45711.77579861111</v>
      </c>
      <c r="D100" t="s">
        <v>27</v>
      </c>
      <c r="E100" s="4">
        <v>4.0000000000000001E-3</v>
      </c>
      <c r="F100" s="4">
        <v>140297.25599999999</v>
      </c>
      <c r="G100" s="4">
        <v>140297.26</v>
      </c>
      <c r="H100" s="5">
        <f>79 / 86400</f>
        <v>9.1435185185185185E-4</v>
      </c>
      <c r="I100" t="s">
        <v>21</v>
      </c>
      <c r="J100" t="s">
        <v>26</v>
      </c>
      <c r="K100" s="5">
        <f>104 / 86400</f>
        <v>1.2037037037037038E-3</v>
      </c>
      <c r="L100" s="5">
        <f>252 / 86400</f>
        <v>2.9166666666666668E-3</v>
      </c>
    </row>
    <row r="101" spans="1:12" x14ac:dyDescent="0.25">
      <c r="A101" s="3">
        <v>45711.778715277775</v>
      </c>
      <c r="B101" t="s">
        <v>27</v>
      </c>
      <c r="C101" s="3">
        <v>45711.778877314813</v>
      </c>
      <c r="D101" t="s">
        <v>27</v>
      </c>
      <c r="E101" s="4">
        <v>0</v>
      </c>
      <c r="F101" s="4">
        <v>140297.26</v>
      </c>
      <c r="G101" s="4">
        <v>140297.26</v>
      </c>
      <c r="H101" s="5">
        <f>0 / 86400</f>
        <v>0</v>
      </c>
      <c r="I101" t="s">
        <v>26</v>
      </c>
      <c r="J101" t="s">
        <v>26</v>
      </c>
      <c r="K101" s="5">
        <f>13 / 86400</f>
        <v>1.5046296296296297E-4</v>
      </c>
      <c r="L101" s="5">
        <f>19104 / 86400</f>
        <v>0.22111111111111112</v>
      </c>
    </row>
    <row r="102" spans="1:12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2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2" s="10" customFormat="1" ht="20.100000000000001" customHeight="1" x14ac:dyDescent="0.35">
      <c r="A104" s="12" t="s">
        <v>441</v>
      </c>
      <c r="B104" s="12"/>
      <c r="C104" s="12"/>
      <c r="D104" s="12"/>
      <c r="E104" s="12"/>
      <c r="F104" s="12"/>
      <c r="G104" s="12"/>
      <c r="H104" s="12"/>
      <c r="I104" s="12"/>
      <c r="J104" s="12"/>
    </row>
    <row r="105" spans="1:12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2" ht="30" x14ac:dyDescent="0.25">
      <c r="A106" s="2" t="s">
        <v>6</v>
      </c>
      <c r="B106" s="2" t="s">
        <v>7</v>
      </c>
      <c r="C106" s="2" t="s">
        <v>8</v>
      </c>
      <c r="D106" s="2" t="s">
        <v>9</v>
      </c>
      <c r="E106" s="2" t="s">
        <v>10</v>
      </c>
      <c r="F106" s="2" t="s">
        <v>11</v>
      </c>
      <c r="G106" s="2" t="s">
        <v>12</v>
      </c>
      <c r="H106" s="2" t="s">
        <v>13</v>
      </c>
      <c r="I106" s="2" t="s">
        <v>14</v>
      </c>
      <c r="J106" s="2" t="s">
        <v>15</v>
      </c>
      <c r="K106" s="2" t="s">
        <v>16</v>
      </c>
      <c r="L106" s="2" t="s">
        <v>17</v>
      </c>
    </row>
    <row r="107" spans="1:12" x14ac:dyDescent="0.25">
      <c r="A107" s="3">
        <v>45711</v>
      </c>
      <c r="B107" t="s">
        <v>29</v>
      </c>
      <c r="C107" s="3">
        <v>45711.000775462962</v>
      </c>
      <c r="D107" t="s">
        <v>29</v>
      </c>
      <c r="E107" s="4">
        <v>0.64552080255746846</v>
      </c>
      <c r="F107" s="4">
        <v>349993.66663391679</v>
      </c>
      <c r="G107" s="4">
        <v>349994.31215471937</v>
      </c>
      <c r="H107" s="5">
        <f t="shared" ref="H107:H170" si="0">0 / 86400</f>
        <v>0</v>
      </c>
      <c r="I107" t="s">
        <v>40</v>
      </c>
      <c r="J107" t="s">
        <v>134</v>
      </c>
      <c r="K107" s="5">
        <f>67 / 86400</f>
        <v>7.7546296296296293E-4</v>
      </c>
      <c r="L107" s="5">
        <f>20 / 86400</f>
        <v>2.3148148148148149E-4</v>
      </c>
    </row>
    <row r="108" spans="1:12" x14ac:dyDescent="0.25">
      <c r="A108" s="3">
        <v>45711.00100694444</v>
      </c>
      <c r="B108" t="s">
        <v>135</v>
      </c>
      <c r="C108" s="3">
        <v>45711.003136574072</v>
      </c>
      <c r="D108" t="s">
        <v>136</v>
      </c>
      <c r="E108" s="4">
        <v>1.4144411223530768</v>
      </c>
      <c r="F108" s="4">
        <v>349994.47280525049</v>
      </c>
      <c r="G108" s="4">
        <v>349995.88724637282</v>
      </c>
      <c r="H108" s="5">
        <f t="shared" si="0"/>
        <v>0</v>
      </c>
      <c r="I108" t="s">
        <v>137</v>
      </c>
      <c r="J108" t="s">
        <v>138</v>
      </c>
      <c r="K108" s="5">
        <f>184 / 86400</f>
        <v>2.1296296296296298E-3</v>
      </c>
      <c r="L108" s="5">
        <f>20 / 86400</f>
        <v>2.3148148148148149E-4</v>
      </c>
    </row>
    <row r="109" spans="1:12" x14ac:dyDescent="0.25">
      <c r="A109" s="3">
        <v>45711.003368055557</v>
      </c>
      <c r="B109" t="s">
        <v>136</v>
      </c>
      <c r="C109" s="3">
        <v>45711.007071759261</v>
      </c>
      <c r="D109" t="s">
        <v>50</v>
      </c>
      <c r="E109" s="4">
        <v>3.0786684449911119</v>
      </c>
      <c r="F109" s="4">
        <v>349995.89266392804</v>
      </c>
      <c r="G109" s="4">
        <v>349998.97133237304</v>
      </c>
      <c r="H109" s="5">
        <f t="shared" si="0"/>
        <v>0</v>
      </c>
      <c r="I109" t="s">
        <v>139</v>
      </c>
      <c r="J109" t="s">
        <v>134</v>
      </c>
      <c r="K109" s="5">
        <f>320 / 86400</f>
        <v>3.7037037037037038E-3</v>
      </c>
      <c r="L109" s="5">
        <f>20 / 86400</f>
        <v>2.3148148148148149E-4</v>
      </c>
    </row>
    <row r="110" spans="1:12" x14ac:dyDescent="0.25">
      <c r="A110" s="3">
        <v>45711.007303240738</v>
      </c>
      <c r="B110" t="s">
        <v>50</v>
      </c>
      <c r="C110" s="3">
        <v>45711.008692129632</v>
      </c>
      <c r="D110" t="s">
        <v>74</v>
      </c>
      <c r="E110" s="4">
        <v>0.79109873718023305</v>
      </c>
      <c r="F110" s="4">
        <v>349999.04212760663</v>
      </c>
      <c r="G110" s="4">
        <v>349999.83322634379</v>
      </c>
      <c r="H110" s="5">
        <f t="shared" si="0"/>
        <v>0</v>
      </c>
      <c r="I110" t="s">
        <v>140</v>
      </c>
      <c r="J110" t="s">
        <v>31</v>
      </c>
      <c r="K110" s="5">
        <f>120 / 86400</f>
        <v>1.3888888888888889E-3</v>
      </c>
      <c r="L110" s="5">
        <f>20 / 86400</f>
        <v>2.3148148148148149E-4</v>
      </c>
    </row>
    <row r="111" spans="1:12" x14ac:dyDescent="0.25">
      <c r="A111" s="3">
        <v>45711.008923611109</v>
      </c>
      <c r="B111" t="s">
        <v>74</v>
      </c>
      <c r="C111" s="3">
        <v>45711.011238425926</v>
      </c>
      <c r="D111" t="s">
        <v>102</v>
      </c>
      <c r="E111" s="4">
        <v>1.9324470865726471</v>
      </c>
      <c r="F111" s="4">
        <v>349999.83990485466</v>
      </c>
      <c r="G111" s="4">
        <v>350001.77235194121</v>
      </c>
      <c r="H111" s="5">
        <f t="shared" si="0"/>
        <v>0</v>
      </c>
      <c r="I111" t="s">
        <v>124</v>
      </c>
      <c r="J111" t="s">
        <v>134</v>
      </c>
      <c r="K111" s="5">
        <f>200 / 86400</f>
        <v>2.3148148148148147E-3</v>
      </c>
      <c r="L111" s="5">
        <f>1 / 86400</f>
        <v>1.1574074074074073E-5</v>
      </c>
    </row>
    <row r="112" spans="1:12" x14ac:dyDescent="0.25">
      <c r="A112" s="3">
        <v>45711.011249999996</v>
      </c>
      <c r="B112" t="s">
        <v>102</v>
      </c>
      <c r="C112" s="3">
        <v>45711.012210648143</v>
      </c>
      <c r="D112" t="s">
        <v>102</v>
      </c>
      <c r="E112" s="4">
        <v>0.52380884379148485</v>
      </c>
      <c r="F112" s="4">
        <v>350001.77377638349</v>
      </c>
      <c r="G112" s="4">
        <v>350002.29758522724</v>
      </c>
      <c r="H112" s="5">
        <f t="shared" si="0"/>
        <v>0</v>
      </c>
      <c r="I112" t="s">
        <v>141</v>
      </c>
      <c r="J112" t="s">
        <v>142</v>
      </c>
      <c r="K112" s="5">
        <f>83 / 86400</f>
        <v>9.6064814814814819E-4</v>
      </c>
      <c r="L112" s="5">
        <f>40 / 86400</f>
        <v>4.6296296296296298E-4</v>
      </c>
    </row>
    <row r="113" spans="1:12" x14ac:dyDescent="0.25">
      <c r="A113" s="3">
        <v>45711.012673611112</v>
      </c>
      <c r="B113" t="s">
        <v>65</v>
      </c>
      <c r="C113" s="3">
        <v>45711.013599537036</v>
      </c>
      <c r="D113" t="s">
        <v>102</v>
      </c>
      <c r="E113" s="4">
        <v>0.75275478726625444</v>
      </c>
      <c r="F113" s="4">
        <v>350002.37800962676</v>
      </c>
      <c r="G113" s="4">
        <v>350003.13076441403</v>
      </c>
      <c r="H113" s="5">
        <f t="shared" si="0"/>
        <v>0</v>
      </c>
      <c r="I113" t="s">
        <v>40</v>
      </c>
      <c r="J113" t="s">
        <v>72</v>
      </c>
      <c r="K113" s="5">
        <f>80 / 86400</f>
        <v>9.2592592592592596E-4</v>
      </c>
      <c r="L113" s="5">
        <f>40 / 86400</f>
        <v>4.6296296296296298E-4</v>
      </c>
    </row>
    <row r="114" spans="1:12" x14ac:dyDescent="0.25">
      <c r="A114" s="3">
        <v>45711.014062499999</v>
      </c>
      <c r="B114" t="s">
        <v>102</v>
      </c>
      <c r="C114" s="3">
        <v>45711.016608796301</v>
      </c>
      <c r="D114" t="s">
        <v>81</v>
      </c>
      <c r="E114" s="4">
        <v>2.8273864365816115</v>
      </c>
      <c r="F114" s="4">
        <v>350003.14795905643</v>
      </c>
      <c r="G114" s="4">
        <v>350005.975345493</v>
      </c>
      <c r="H114" s="5">
        <f t="shared" si="0"/>
        <v>0</v>
      </c>
      <c r="I114" t="s">
        <v>30</v>
      </c>
      <c r="J114" t="s">
        <v>143</v>
      </c>
      <c r="K114" s="5">
        <f>220 / 86400</f>
        <v>2.5462962962962965E-3</v>
      </c>
      <c r="L114" s="5">
        <f>40 / 86400</f>
        <v>4.6296296296296298E-4</v>
      </c>
    </row>
    <row r="115" spans="1:12" x14ac:dyDescent="0.25">
      <c r="A115" s="3">
        <v>45711.017071759255</v>
      </c>
      <c r="B115" t="s">
        <v>144</v>
      </c>
      <c r="C115" s="3">
        <v>45711.019155092596</v>
      </c>
      <c r="D115" t="s">
        <v>126</v>
      </c>
      <c r="E115" s="4">
        <v>1.6292046731114387</v>
      </c>
      <c r="F115" s="4">
        <v>350006.06742000714</v>
      </c>
      <c r="G115" s="4">
        <v>350007.69662468025</v>
      </c>
      <c r="H115" s="5">
        <f t="shared" si="0"/>
        <v>0</v>
      </c>
      <c r="I115" t="s">
        <v>145</v>
      </c>
      <c r="J115" t="s">
        <v>52</v>
      </c>
      <c r="K115" s="5">
        <f>180 / 86400</f>
        <v>2.0833333333333333E-3</v>
      </c>
      <c r="L115" s="5">
        <f>20 / 86400</f>
        <v>2.3148148148148149E-4</v>
      </c>
    </row>
    <row r="116" spans="1:12" x14ac:dyDescent="0.25">
      <c r="A116" s="3">
        <v>45711.019386574073</v>
      </c>
      <c r="B116" t="s">
        <v>126</v>
      </c>
      <c r="C116" s="3">
        <v>45711.019849537042</v>
      </c>
      <c r="D116" t="s">
        <v>81</v>
      </c>
      <c r="E116" s="4">
        <v>3.0400271415710448E-2</v>
      </c>
      <c r="F116" s="4">
        <v>350007.69769215013</v>
      </c>
      <c r="G116" s="4">
        <v>350007.72809242154</v>
      </c>
      <c r="H116" s="5">
        <f t="shared" si="0"/>
        <v>0</v>
      </c>
      <c r="I116" t="s">
        <v>146</v>
      </c>
      <c r="J116" t="s">
        <v>69</v>
      </c>
      <c r="K116" s="5">
        <f>40 / 86400</f>
        <v>4.6296296296296298E-4</v>
      </c>
      <c r="L116" s="5">
        <f>20 / 86400</f>
        <v>2.3148148148148149E-4</v>
      </c>
    </row>
    <row r="117" spans="1:12" x14ac:dyDescent="0.25">
      <c r="A117" s="3">
        <v>45711.02008101852</v>
      </c>
      <c r="B117" t="s">
        <v>81</v>
      </c>
      <c r="C117" s="3">
        <v>45711.022395833337</v>
      </c>
      <c r="D117" t="s">
        <v>77</v>
      </c>
      <c r="E117" s="4">
        <v>1.6998504590988159</v>
      </c>
      <c r="F117" s="4">
        <v>350007.79749074962</v>
      </c>
      <c r="G117" s="4">
        <v>350009.49734120868</v>
      </c>
      <c r="H117" s="5">
        <f t="shared" si="0"/>
        <v>0</v>
      </c>
      <c r="I117" t="s">
        <v>147</v>
      </c>
      <c r="J117" t="s">
        <v>119</v>
      </c>
      <c r="K117" s="5">
        <f>200 / 86400</f>
        <v>2.3148148148148147E-3</v>
      </c>
      <c r="L117" s="5">
        <f>61 / 86400</f>
        <v>7.0601851851851847E-4</v>
      </c>
    </row>
    <row r="118" spans="1:12" x14ac:dyDescent="0.25">
      <c r="A118" s="3">
        <v>45711.023101851853</v>
      </c>
      <c r="B118" t="s">
        <v>77</v>
      </c>
      <c r="C118" s="3">
        <v>45711.025173611109</v>
      </c>
      <c r="D118" t="s">
        <v>77</v>
      </c>
      <c r="E118" s="4">
        <v>1.3354813958406448</v>
      </c>
      <c r="F118" s="4">
        <v>350009.62685059715</v>
      </c>
      <c r="G118" s="4">
        <v>350010.96233199298</v>
      </c>
      <c r="H118" s="5">
        <f t="shared" si="0"/>
        <v>0</v>
      </c>
      <c r="I118" t="s">
        <v>148</v>
      </c>
      <c r="J118" t="s">
        <v>149</v>
      </c>
      <c r="K118" s="5">
        <f>179 / 86400</f>
        <v>2.0717592592592593E-3</v>
      </c>
      <c r="L118" s="5">
        <f>40 / 86400</f>
        <v>4.6296296296296298E-4</v>
      </c>
    </row>
    <row r="119" spans="1:12" x14ac:dyDescent="0.25">
      <c r="A119" s="3">
        <v>45711.025636574079</v>
      </c>
      <c r="B119" t="s">
        <v>150</v>
      </c>
      <c r="C119" s="3">
        <v>45711.029050925921</v>
      </c>
      <c r="D119" t="s">
        <v>53</v>
      </c>
      <c r="E119" s="4">
        <v>1.6263894255757332</v>
      </c>
      <c r="F119" s="4">
        <v>350011.05793074524</v>
      </c>
      <c r="G119" s="4">
        <v>350012.68432017084</v>
      </c>
      <c r="H119" s="5">
        <f t="shared" si="0"/>
        <v>0</v>
      </c>
      <c r="I119" t="s">
        <v>52</v>
      </c>
      <c r="J119" t="s">
        <v>24</v>
      </c>
      <c r="K119" s="5">
        <f>295 / 86400</f>
        <v>3.414351851851852E-3</v>
      </c>
      <c r="L119" s="5">
        <f>19 / 86400</f>
        <v>2.199074074074074E-4</v>
      </c>
    </row>
    <row r="120" spans="1:12" x14ac:dyDescent="0.25">
      <c r="A120" s="3">
        <v>45711.029270833329</v>
      </c>
      <c r="B120" t="s">
        <v>151</v>
      </c>
      <c r="C120" s="3">
        <v>45711.029502314814</v>
      </c>
      <c r="D120" t="s">
        <v>151</v>
      </c>
      <c r="E120" s="4">
        <v>5.2336378693580632E-3</v>
      </c>
      <c r="F120" s="4">
        <v>350012.75433521229</v>
      </c>
      <c r="G120" s="4">
        <v>350012.75956885016</v>
      </c>
      <c r="H120" s="5">
        <f t="shared" si="0"/>
        <v>0</v>
      </c>
      <c r="I120" t="s">
        <v>113</v>
      </c>
      <c r="J120" t="s">
        <v>21</v>
      </c>
      <c r="K120" s="5">
        <f>20 / 86400</f>
        <v>2.3148148148148149E-4</v>
      </c>
      <c r="L120" s="5">
        <f>340 / 86400</f>
        <v>3.9351851851851848E-3</v>
      </c>
    </row>
    <row r="121" spans="1:12" x14ac:dyDescent="0.25">
      <c r="A121" s="3">
        <v>45711.033437499995</v>
      </c>
      <c r="B121" t="s">
        <v>152</v>
      </c>
      <c r="C121" s="3">
        <v>45711.034363425926</v>
      </c>
      <c r="D121" t="s">
        <v>152</v>
      </c>
      <c r="E121" s="4">
        <v>0.37946463137865066</v>
      </c>
      <c r="F121" s="4">
        <v>350012.80974010157</v>
      </c>
      <c r="G121" s="4">
        <v>350013.18920473295</v>
      </c>
      <c r="H121" s="5">
        <f t="shared" si="0"/>
        <v>0</v>
      </c>
      <c r="I121" t="s">
        <v>134</v>
      </c>
      <c r="J121" t="s">
        <v>58</v>
      </c>
      <c r="K121" s="5">
        <f>80 / 86400</f>
        <v>9.2592592592592596E-4</v>
      </c>
      <c r="L121" s="5">
        <f>40 / 86400</f>
        <v>4.6296296296296298E-4</v>
      </c>
    </row>
    <row r="122" spans="1:12" x14ac:dyDescent="0.25">
      <c r="A122" s="3">
        <v>45711.034826388888</v>
      </c>
      <c r="B122" t="s">
        <v>152</v>
      </c>
      <c r="C122" s="3">
        <v>45711.035752314812</v>
      </c>
      <c r="D122" t="s">
        <v>152</v>
      </c>
      <c r="E122" s="4">
        <v>0.63029857808351519</v>
      </c>
      <c r="F122" s="4">
        <v>350013.2167453178</v>
      </c>
      <c r="G122" s="4">
        <v>350013.84704389592</v>
      </c>
      <c r="H122" s="5">
        <f t="shared" si="0"/>
        <v>0</v>
      </c>
      <c r="I122" t="s">
        <v>134</v>
      </c>
      <c r="J122" t="s">
        <v>138</v>
      </c>
      <c r="K122" s="5">
        <f>80 / 86400</f>
        <v>9.2592592592592596E-4</v>
      </c>
      <c r="L122" s="5">
        <f>20 / 86400</f>
        <v>2.3148148148148149E-4</v>
      </c>
    </row>
    <row r="123" spans="1:12" x14ac:dyDescent="0.25">
      <c r="A123" s="3">
        <v>45711.035983796297</v>
      </c>
      <c r="B123" t="s">
        <v>152</v>
      </c>
      <c r="C123" s="3">
        <v>45711.037835648152</v>
      </c>
      <c r="D123" t="s">
        <v>90</v>
      </c>
      <c r="E123" s="4">
        <v>1.1413703197836875</v>
      </c>
      <c r="F123" s="4">
        <v>350013.97394942248</v>
      </c>
      <c r="G123" s="4">
        <v>350015.11531974224</v>
      </c>
      <c r="H123" s="5">
        <f t="shared" si="0"/>
        <v>0</v>
      </c>
      <c r="I123" t="s">
        <v>140</v>
      </c>
      <c r="J123" t="s">
        <v>153</v>
      </c>
      <c r="K123" s="5">
        <f>160 / 86400</f>
        <v>1.8518518518518519E-3</v>
      </c>
      <c r="L123" s="5">
        <f>20 / 86400</f>
        <v>2.3148148148148149E-4</v>
      </c>
    </row>
    <row r="124" spans="1:12" x14ac:dyDescent="0.25">
      <c r="A124" s="3">
        <v>45711.03806712963</v>
      </c>
      <c r="B124" t="s">
        <v>90</v>
      </c>
      <c r="C124" s="3">
        <v>45711.038298611107</v>
      </c>
      <c r="D124" t="s">
        <v>154</v>
      </c>
      <c r="E124" s="4">
        <v>2.8898592174053193E-2</v>
      </c>
      <c r="F124" s="4">
        <v>350015.14258144383</v>
      </c>
      <c r="G124" s="4">
        <v>350015.17148003599</v>
      </c>
      <c r="H124" s="5">
        <f t="shared" si="0"/>
        <v>0</v>
      </c>
      <c r="I124" t="s">
        <v>155</v>
      </c>
      <c r="J124" t="s">
        <v>34</v>
      </c>
      <c r="K124" s="5">
        <f>20 / 86400</f>
        <v>2.3148148148148149E-4</v>
      </c>
      <c r="L124" s="5">
        <f>20 / 86400</f>
        <v>2.3148148148148149E-4</v>
      </c>
    </row>
    <row r="125" spans="1:12" x14ac:dyDescent="0.25">
      <c r="A125" s="3">
        <v>45711.038530092592</v>
      </c>
      <c r="B125" t="s">
        <v>154</v>
      </c>
      <c r="C125" s="3">
        <v>45711.039687500001</v>
      </c>
      <c r="D125" t="s">
        <v>156</v>
      </c>
      <c r="E125" s="4">
        <v>0.58953418040275574</v>
      </c>
      <c r="F125" s="4">
        <v>350015.17580520851</v>
      </c>
      <c r="G125" s="4">
        <v>350015.76533938892</v>
      </c>
      <c r="H125" s="5">
        <f t="shared" si="0"/>
        <v>0</v>
      </c>
      <c r="I125" t="s">
        <v>149</v>
      </c>
      <c r="J125" t="s">
        <v>67</v>
      </c>
      <c r="K125" s="5">
        <f>100 / 86400</f>
        <v>1.1574074074074073E-3</v>
      </c>
      <c r="L125" s="5">
        <f>40 / 86400</f>
        <v>4.6296296296296298E-4</v>
      </c>
    </row>
    <row r="126" spans="1:12" x14ac:dyDescent="0.25">
      <c r="A126" s="3">
        <v>45711.040150462963</v>
      </c>
      <c r="B126" t="s">
        <v>157</v>
      </c>
      <c r="C126" s="3">
        <v>45711.041076388894</v>
      </c>
      <c r="D126" t="s">
        <v>158</v>
      </c>
      <c r="E126" s="4">
        <v>0.69912764114141468</v>
      </c>
      <c r="F126" s="4">
        <v>350015.86127825122</v>
      </c>
      <c r="G126" s="4">
        <v>350016.56040589238</v>
      </c>
      <c r="H126" s="5">
        <f t="shared" si="0"/>
        <v>0</v>
      </c>
      <c r="I126" t="s">
        <v>148</v>
      </c>
      <c r="J126" t="s">
        <v>119</v>
      </c>
      <c r="K126" s="5">
        <f>80 / 86400</f>
        <v>9.2592592592592596E-4</v>
      </c>
      <c r="L126" s="5">
        <f>20 / 86400</f>
        <v>2.3148148148148149E-4</v>
      </c>
    </row>
    <row r="127" spans="1:12" x14ac:dyDescent="0.25">
      <c r="A127" s="3">
        <v>45711.041307870371</v>
      </c>
      <c r="B127" t="s">
        <v>159</v>
      </c>
      <c r="C127" s="3">
        <v>45711.042696759258</v>
      </c>
      <c r="D127" t="s">
        <v>160</v>
      </c>
      <c r="E127" s="4">
        <v>1.001416001856327</v>
      </c>
      <c r="F127" s="4">
        <v>350016.62617663102</v>
      </c>
      <c r="G127" s="4">
        <v>350017.6275926329</v>
      </c>
      <c r="H127" s="5">
        <f t="shared" si="0"/>
        <v>0</v>
      </c>
      <c r="I127" t="s">
        <v>161</v>
      </c>
      <c r="J127" t="s">
        <v>162</v>
      </c>
      <c r="K127" s="5">
        <f>120 / 86400</f>
        <v>1.3888888888888889E-3</v>
      </c>
      <c r="L127" s="5">
        <f>13 / 86400</f>
        <v>1.5046296296296297E-4</v>
      </c>
    </row>
    <row r="128" spans="1:12" x14ac:dyDescent="0.25">
      <c r="A128" s="3">
        <v>45711.042847222227</v>
      </c>
      <c r="B128" t="s">
        <v>163</v>
      </c>
      <c r="C128" s="3">
        <v>45711.047291666662</v>
      </c>
      <c r="D128" t="s">
        <v>84</v>
      </c>
      <c r="E128" s="4">
        <v>2.1677535361051561</v>
      </c>
      <c r="F128" s="4">
        <v>350017.64610496035</v>
      </c>
      <c r="G128" s="4">
        <v>350019.81385849649</v>
      </c>
      <c r="H128" s="5">
        <f t="shared" si="0"/>
        <v>0</v>
      </c>
      <c r="I128" t="s">
        <v>164</v>
      </c>
      <c r="J128" t="s">
        <v>24</v>
      </c>
      <c r="K128" s="5">
        <f>384 / 86400</f>
        <v>4.4444444444444444E-3</v>
      </c>
      <c r="L128" s="5">
        <f>8 / 86400</f>
        <v>9.2592592592592588E-5</v>
      </c>
    </row>
    <row r="129" spans="1:12" x14ac:dyDescent="0.25">
      <c r="A129" s="3">
        <v>45711.047384259262</v>
      </c>
      <c r="B129" t="s">
        <v>84</v>
      </c>
      <c r="C129" s="3">
        <v>45711.048113425924</v>
      </c>
      <c r="D129" t="s">
        <v>165</v>
      </c>
      <c r="E129" s="4">
        <v>0.53593626087903978</v>
      </c>
      <c r="F129" s="4">
        <v>350019.81792770867</v>
      </c>
      <c r="G129" s="4">
        <v>350020.35386396956</v>
      </c>
      <c r="H129" s="5">
        <f t="shared" si="0"/>
        <v>0</v>
      </c>
      <c r="I129" t="s">
        <v>166</v>
      </c>
      <c r="J129" t="s">
        <v>119</v>
      </c>
      <c r="K129" s="5">
        <f>63 / 86400</f>
        <v>7.291666666666667E-4</v>
      </c>
      <c r="L129" s="5">
        <f>140 / 86400</f>
        <v>1.6203703703703703E-3</v>
      </c>
    </row>
    <row r="130" spans="1:12" x14ac:dyDescent="0.25">
      <c r="A130" s="3">
        <v>45711.049733796295</v>
      </c>
      <c r="B130" t="s">
        <v>165</v>
      </c>
      <c r="C130" s="3">
        <v>45711.050127314811</v>
      </c>
      <c r="D130" t="s">
        <v>167</v>
      </c>
      <c r="E130" s="4">
        <v>0.13054959285259246</v>
      </c>
      <c r="F130" s="4">
        <v>350020.37349941744</v>
      </c>
      <c r="G130" s="4">
        <v>350020.50404901028</v>
      </c>
      <c r="H130" s="5">
        <f t="shared" si="0"/>
        <v>0</v>
      </c>
      <c r="I130" t="s">
        <v>67</v>
      </c>
      <c r="J130" t="s">
        <v>116</v>
      </c>
      <c r="K130" s="5">
        <f>34 / 86400</f>
        <v>3.9351851851851852E-4</v>
      </c>
      <c r="L130" s="5">
        <f>80 / 86400</f>
        <v>9.2592592592592596E-4</v>
      </c>
    </row>
    <row r="131" spans="1:12" x14ac:dyDescent="0.25">
      <c r="A131" s="3">
        <v>45711.051053240742</v>
      </c>
      <c r="B131" t="s">
        <v>167</v>
      </c>
      <c r="C131" s="3">
        <v>45711.055520833332</v>
      </c>
      <c r="D131" t="s">
        <v>168</v>
      </c>
      <c r="E131" s="4">
        <v>1.9889593452215195</v>
      </c>
      <c r="F131" s="4">
        <v>350020.52002301888</v>
      </c>
      <c r="G131" s="4">
        <v>350022.50898236415</v>
      </c>
      <c r="H131" s="5">
        <f t="shared" si="0"/>
        <v>0</v>
      </c>
      <c r="I131" t="s">
        <v>153</v>
      </c>
      <c r="J131" t="s">
        <v>37</v>
      </c>
      <c r="K131" s="5">
        <f>386 / 86400</f>
        <v>4.4675925925925924E-3</v>
      </c>
      <c r="L131" s="5">
        <f>40 / 86400</f>
        <v>4.6296296296296298E-4</v>
      </c>
    </row>
    <row r="132" spans="1:12" x14ac:dyDescent="0.25">
      <c r="A132" s="3">
        <v>45711.055983796294</v>
      </c>
      <c r="B132" t="s">
        <v>168</v>
      </c>
      <c r="C132" s="3">
        <v>45711.05777777778</v>
      </c>
      <c r="D132" t="s">
        <v>169</v>
      </c>
      <c r="E132" s="4">
        <v>1.045352463901043</v>
      </c>
      <c r="F132" s="4">
        <v>350022.53053295432</v>
      </c>
      <c r="G132" s="4">
        <v>350023.57588541822</v>
      </c>
      <c r="H132" s="5">
        <f t="shared" si="0"/>
        <v>0</v>
      </c>
      <c r="I132" t="s">
        <v>133</v>
      </c>
      <c r="J132" t="s">
        <v>31</v>
      </c>
      <c r="K132" s="5">
        <f>155 / 86400</f>
        <v>1.7939814814814815E-3</v>
      </c>
      <c r="L132" s="5">
        <f>20 / 86400</f>
        <v>2.3148148148148149E-4</v>
      </c>
    </row>
    <row r="133" spans="1:12" x14ac:dyDescent="0.25">
      <c r="A133" s="3">
        <v>45711.058009259257</v>
      </c>
      <c r="B133" t="s">
        <v>169</v>
      </c>
      <c r="C133" s="3">
        <v>45711.059861111113</v>
      </c>
      <c r="D133" t="s">
        <v>170</v>
      </c>
      <c r="E133" s="4">
        <v>1.3389046970605851</v>
      </c>
      <c r="F133" s="4">
        <v>350023.60016768362</v>
      </c>
      <c r="G133" s="4">
        <v>350024.93907238066</v>
      </c>
      <c r="H133" s="5">
        <f t="shared" si="0"/>
        <v>0</v>
      </c>
      <c r="I133" t="s">
        <v>110</v>
      </c>
      <c r="J133" t="s">
        <v>162</v>
      </c>
      <c r="K133" s="5">
        <f>160 / 86400</f>
        <v>1.8518518518518519E-3</v>
      </c>
      <c r="L133" s="5">
        <f>20 / 86400</f>
        <v>2.3148148148148149E-4</v>
      </c>
    </row>
    <row r="134" spans="1:12" x14ac:dyDescent="0.25">
      <c r="A134" s="3">
        <v>45711.060092592597</v>
      </c>
      <c r="B134" t="s">
        <v>171</v>
      </c>
      <c r="C134" s="3">
        <v>45711.060787037037</v>
      </c>
      <c r="D134" t="s">
        <v>171</v>
      </c>
      <c r="E134" s="4">
        <v>0.36863894987106322</v>
      </c>
      <c r="F134" s="4">
        <v>350025.10658276605</v>
      </c>
      <c r="G134" s="4">
        <v>350025.47522171593</v>
      </c>
      <c r="H134" s="5">
        <f t="shared" si="0"/>
        <v>0</v>
      </c>
      <c r="I134" t="s">
        <v>142</v>
      </c>
      <c r="J134" t="s">
        <v>91</v>
      </c>
      <c r="K134" s="5">
        <f>60 / 86400</f>
        <v>6.9444444444444447E-4</v>
      </c>
      <c r="L134" s="5">
        <f>20 / 86400</f>
        <v>2.3148148148148149E-4</v>
      </c>
    </row>
    <row r="135" spans="1:12" x14ac:dyDescent="0.25">
      <c r="A135" s="3">
        <v>45711.061018518521</v>
      </c>
      <c r="B135" t="s">
        <v>172</v>
      </c>
      <c r="C135" s="3">
        <v>45711.061249999999</v>
      </c>
      <c r="D135" t="s">
        <v>90</v>
      </c>
      <c r="E135" s="4">
        <v>0.17571025562286377</v>
      </c>
      <c r="F135" s="4">
        <v>350025.55762386601</v>
      </c>
      <c r="G135" s="4">
        <v>350025.73333412164</v>
      </c>
      <c r="H135" s="5">
        <f t="shared" si="0"/>
        <v>0</v>
      </c>
      <c r="I135" t="s">
        <v>138</v>
      </c>
      <c r="J135" t="s">
        <v>94</v>
      </c>
      <c r="K135" s="5">
        <f>20 / 86400</f>
        <v>2.3148148148148149E-4</v>
      </c>
      <c r="L135" s="5">
        <f>20 / 86400</f>
        <v>2.3148148148148149E-4</v>
      </c>
    </row>
    <row r="136" spans="1:12" x14ac:dyDescent="0.25">
      <c r="A136" s="3">
        <v>45711.061481481476</v>
      </c>
      <c r="B136" t="s">
        <v>90</v>
      </c>
      <c r="C136" s="3">
        <v>45711.065312499995</v>
      </c>
      <c r="D136" t="s">
        <v>173</v>
      </c>
      <c r="E136" s="4">
        <v>2.7374800148010254</v>
      </c>
      <c r="F136" s="4">
        <v>350025.88701053121</v>
      </c>
      <c r="G136" s="4">
        <v>350028.624490546</v>
      </c>
      <c r="H136" s="5">
        <f t="shared" si="0"/>
        <v>0</v>
      </c>
      <c r="I136" t="s">
        <v>139</v>
      </c>
      <c r="J136" t="s">
        <v>162</v>
      </c>
      <c r="K136" s="5">
        <f>331 / 86400</f>
        <v>3.8310185185185183E-3</v>
      </c>
      <c r="L136" s="5">
        <f>60 / 86400</f>
        <v>6.9444444444444447E-4</v>
      </c>
    </row>
    <row r="137" spans="1:12" x14ac:dyDescent="0.25">
      <c r="A137" s="3">
        <v>45711.066006944442</v>
      </c>
      <c r="B137" t="s">
        <v>174</v>
      </c>
      <c r="C137" s="3">
        <v>45711.066932870366</v>
      </c>
      <c r="D137" t="s">
        <v>175</v>
      </c>
      <c r="E137" s="4">
        <v>0.41724029737710955</v>
      </c>
      <c r="F137" s="4">
        <v>350028.69582432124</v>
      </c>
      <c r="G137" s="4">
        <v>350029.11306461866</v>
      </c>
      <c r="H137" s="5">
        <f t="shared" si="0"/>
        <v>0</v>
      </c>
      <c r="I137" t="s">
        <v>142</v>
      </c>
      <c r="J137" t="s">
        <v>37</v>
      </c>
      <c r="K137" s="5">
        <f>80 / 86400</f>
        <v>9.2592592592592596E-4</v>
      </c>
      <c r="L137" s="5">
        <f>60 / 86400</f>
        <v>6.9444444444444447E-4</v>
      </c>
    </row>
    <row r="138" spans="1:12" x14ac:dyDescent="0.25">
      <c r="A138" s="3">
        <v>45711.067627314813</v>
      </c>
      <c r="B138" t="s">
        <v>98</v>
      </c>
      <c r="C138" s="3">
        <v>45711.068553240737</v>
      </c>
      <c r="D138" t="s">
        <v>150</v>
      </c>
      <c r="E138" s="4">
        <v>0.61435819363594057</v>
      </c>
      <c r="F138" s="4">
        <v>350029.20039108477</v>
      </c>
      <c r="G138" s="4">
        <v>350029.81474927842</v>
      </c>
      <c r="H138" s="5">
        <f t="shared" si="0"/>
        <v>0</v>
      </c>
      <c r="I138" t="s">
        <v>176</v>
      </c>
      <c r="J138" t="s">
        <v>138</v>
      </c>
      <c r="K138" s="5">
        <f>80 / 86400</f>
        <v>9.2592592592592596E-4</v>
      </c>
      <c r="L138" s="5">
        <f>40 / 86400</f>
        <v>4.6296296296296298E-4</v>
      </c>
    </row>
    <row r="139" spans="1:12" x14ac:dyDescent="0.25">
      <c r="A139" s="3">
        <v>45711.069016203706</v>
      </c>
      <c r="B139" t="s">
        <v>177</v>
      </c>
      <c r="C139" s="3">
        <v>45711.070868055554</v>
      </c>
      <c r="D139" t="s">
        <v>77</v>
      </c>
      <c r="E139" s="4">
        <v>1.4746990854144095</v>
      </c>
      <c r="F139" s="4">
        <v>350029.85225279466</v>
      </c>
      <c r="G139" s="4">
        <v>350031.32695188012</v>
      </c>
      <c r="H139" s="5">
        <f t="shared" si="0"/>
        <v>0</v>
      </c>
      <c r="I139" t="s">
        <v>40</v>
      </c>
      <c r="J139" t="s">
        <v>52</v>
      </c>
      <c r="K139" s="5">
        <f>160 / 86400</f>
        <v>1.8518518518518519E-3</v>
      </c>
      <c r="L139" s="5">
        <f>20 / 86400</f>
        <v>2.3148148148148149E-4</v>
      </c>
    </row>
    <row r="140" spans="1:12" x14ac:dyDescent="0.25">
      <c r="A140" s="3">
        <v>45711.071099537032</v>
      </c>
      <c r="B140" t="s">
        <v>77</v>
      </c>
      <c r="C140" s="3">
        <v>45711.072962962964</v>
      </c>
      <c r="D140" t="s">
        <v>81</v>
      </c>
      <c r="E140" s="4">
        <v>1.7714526191353799</v>
      </c>
      <c r="F140" s="4">
        <v>350031.36967078986</v>
      </c>
      <c r="G140" s="4">
        <v>350033.14112340898</v>
      </c>
      <c r="H140" s="5">
        <f t="shared" si="0"/>
        <v>0</v>
      </c>
      <c r="I140" t="s">
        <v>178</v>
      </c>
      <c r="J140" t="s">
        <v>131</v>
      </c>
      <c r="K140" s="5">
        <f>161 / 86400</f>
        <v>1.8634259259259259E-3</v>
      </c>
      <c r="L140" s="5">
        <f>180 / 86400</f>
        <v>2.0833333333333333E-3</v>
      </c>
    </row>
    <row r="141" spans="1:12" x14ac:dyDescent="0.25">
      <c r="A141" s="3">
        <v>45711.075046296297</v>
      </c>
      <c r="B141" t="s">
        <v>81</v>
      </c>
      <c r="C141" s="3">
        <v>45711.076724537037</v>
      </c>
      <c r="D141" t="s">
        <v>179</v>
      </c>
      <c r="E141" s="4">
        <v>0.92823122721910478</v>
      </c>
      <c r="F141" s="4">
        <v>350033.16902702529</v>
      </c>
      <c r="G141" s="4">
        <v>350034.0972582525</v>
      </c>
      <c r="H141" s="5">
        <f t="shared" si="0"/>
        <v>0</v>
      </c>
      <c r="I141" t="s">
        <v>133</v>
      </c>
      <c r="J141" t="s">
        <v>142</v>
      </c>
      <c r="K141" s="5">
        <f>145 / 86400</f>
        <v>1.6782407407407408E-3</v>
      </c>
      <c r="L141" s="5">
        <f>40 / 86400</f>
        <v>4.6296296296296298E-4</v>
      </c>
    </row>
    <row r="142" spans="1:12" x14ac:dyDescent="0.25">
      <c r="A142" s="3">
        <v>45711.077187499999</v>
      </c>
      <c r="B142" t="s">
        <v>81</v>
      </c>
      <c r="C142" s="3">
        <v>45711.077418981484</v>
      </c>
      <c r="D142" t="s">
        <v>81</v>
      </c>
      <c r="E142" s="4">
        <v>0.12002887439727783</v>
      </c>
      <c r="F142" s="4">
        <v>350034.13418984046</v>
      </c>
      <c r="G142" s="4">
        <v>350034.25421871484</v>
      </c>
      <c r="H142" s="5">
        <f t="shared" si="0"/>
        <v>0</v>
      </c>
      <c r="I142" t="s">
        <v>149</v>
      </c>
      <c r="J142" t="s">
        <v>91</v>
      </c>
      <c r="K142" s="5">
        <f>20 / 86400</f>
        <v>2.3148148148148149E-4</v>
      </c>
      <c r="L142" s="5">
        <f>20 / 86400</f>
        <v>2.3148148148148149E-4</v>
      </c>
    </row>
    <row r="143" spans="1:12" x14ac:dyDescent="0.25">
      <c r="A143" s="3">
        <v>45711.077650462961</v>
      </c>
      <c r="B143" t="s">
        <v>81</v>
      </c>
      <c r="C143" s="3">
        <v>45711.078576388885</v>
      </c>
      <c r="D143" t="s">
        <v>144</v>
      </c>
      <c r="E143" s="4">
        <v>0.51765098571777346</v>
      </c>
      <c r="F143" s="4">
        <v>350034.38689623313</v>
      </c>
      <c r="G143" s="4">
        <v>350034.90454721887</v>
      </c>
      <c r="H143" s="5">
        <f t="shared" si="0"/>
        <v>0</v>
      </c>
      <c r="I143" t="s">
        <v>180</v>
      </c>
      <c r="J143" t="s">
        <v>142</v>
      </c>
      <c r="K143" s="5">
        <f>80 / 86400</f>
        <v>9.2592592592592596E-4</v>
      </c>
      <c r="L143" s="5">
        <f>20 / 86400</f>
        <v>2.3148148148148149E-4</v>
      </c>
    </row>
    <row r="144" spans="1:12" x14ac:dyDescent="0.25">
      <c r="A144" s="3">
        <v>45711.07880787037</v>
      </c>
      <c r="B144" t="s">
        <v>81</v>
      </c>
      <c r="C144" s="3">
        <v>45711.081817129627</v>
      </c>
      <c r="D144" t="s">
        <v>181</v>
      </c>
      <c r="E144" s="4">
        <v>2.7387492637634279</v>
      </c>
      <c r="F144" s="4">
        <v>350035.00254367135</v>
      </c>
      <c r="G144" s="4">
        <v>350037.74129293516</v>
      </c>
      <c r="H144" s="5">
        <f t="shared" si="0"/>
        <v>0</v>
      </c>
      <c r="I144" t="s">
        <v>180</v>
      </c>
      <c r="J144" t="s">
        <v>161</v>
      </c>
      <c r="K144" s="5">
        <f>260 / 86400</f>
        <v>3.0092592592592593E-3</v>
      </c>
      <c r="L144" s="5">
        <f>20 / 86400</f>
        <v>2.3148148148148149E-4</v>
      </c>
    </row>
    <row r="145" spans="1:12" x14ac:dyDescent="0.25">
      <c r="A145" s="3">
        <v>45711.082048611112</v>
      </c>
      <c r="B145" t="s">
        <v>181</v>
      </c>
      <c r="C145" s="3">
        <v>45711.08320601852</v>
      </c>
      <c r="D145" t="s">
        <v>182</v>
      </c>
      <c r="E145" s="4">
        <v>0.77639821469783787</v>
      </c>
      <c r="F145" s="4">
        <v>350037.77582588111</v>
      </c>
      <c r="G145" s="4">
        <v>350038.55222409579</v>
      </c>
      <c r="H145" s="5">
        <f t="shared" si="0"/>
        <v>0</v>
      </c>
      <c r="I145" t="s">
        <v>183</v>
      </c>
      <c r="J145" t="s">
        <v>138</v>
      </c>
      <c r="K145" s="5">
        <f>100 / 86400</f>
        <v>1.1574074074074073E-3</v>
      </c>
      <c r="L145" s="5">
        <f>20 / 86400</f>
        <v>2.3148148148148149E-4</v>
      </c>
    </row>
    <row r="146" spans="1:12" x14ac:dyDescent="0.25">
      <c r="A146" s="3">
        <v>45711.083437499998</v>
      </c>
      <c r="B146" t="s">
        <v>182</v>
      </c>
      <c r="C146" s="3">
        <v>45711.087708333333</v>
      </c>
      <c r="D146" t="s">
        <v>93</v>
      </c>
      <c r="E146" s="4">
        <v>2.1410761103630067</v>
      </c>
      <c r="F146" s="4">
        <v>350038.56752528454</v>
      </c>
      <c r="G146" s="4">
        <v>350040.7086013949</v>
      </c>
      <c r="H146" s="5">
        <f t="shared" si="0"/>
        <v>0</v>
      </c>
      <c r="I146" t="s">
        <v>161</v>
      </c>
      <c r="J146" t="s">
        <v>67</v>
      </c>
      <c r="K146" s="5">
        <f>369 / 86400</f>
        <v>4.2708333333333331E-3</v>
      </c>
      <c r="L146" s="5">
        <f>20 / 86400</f>
        <v>2.3148148148148149E-4</v>
      </c>
    </row>
    <row r="147" spans="1:12" x14ac:dyDescent="0.25">
      <c r="A147" s="3">
        <v>45711.08793981481</v>
      </c>
      <c r="B147" t="s">
        <v>93</v>
      </c>
      <c r="C147" s="3">
        <v>45711.091944444444</v>
      </c>
      <c r="D147" t="s">
        <v>93</v>
      </c>
      <c r="E147" s="4">
        <v>1.5200911657810212</v>
      </c>
      <c r="F147" s="4">
        <v>350040.76853575732</v>
      </c>
      <c r="G147" s="4">
        <v>350042.28862692311</v>
      </c>
      <c r="H147" s="5">
        <f t="shared" si="0"/>
        <v>0</v>
      </c>
      <c r="I147" t="s">
        <v>52</v>
      </c>
      <c r="J147" t="s">
        <v>112</v>
      </c>
      <c r="K147" s="5">
        <f>346 / 86400</f>
        <v>4.0046296296296297E-3</v>
      </c>
      <c r="L147" s="5">
        <f>40 / 86400</f>
        <v>4.6296296296296298E-4</v>
      </c>
    </row>
    <row r="148" spans="1:12" x14ac:dyDescent="0.25">
      <c r="A148" s="3">
        <v>45711.092407407406</v>
      </c>
      <c r="B148" t="s">
        <v>93</v>
      </c>
      <c r="C148" s="3">
        <v>45711.092638888891</v>
      </c>
      <c r="D148" t="s">
        <v>184</v>
      </c>
      <c r="E148" s="4">
        <v>1.5832319855690002E-2</v>
      </c>
      <c r="F148" s="4">
        <v>350042.30443216563</v>
      </c>
      <c r="G148" s="4">
        <v>350042.32026448549</v>
      </c>
      <c r="H148" s="5">
        <f t="shared" si="0"/>
        <v>0</v>
      </c>
      <c r="I148" t="s">
        <v>34</v>
      </c>
      <c r="J148" t="s">
        <v>69</v>
      </c>
      <c r="K148" s="5">
        <f>20 / 86400</f>
        <v>2.3148148148148149E-4</v>
      </c>
      <c r="L148" s="5">
        <f>20 / 86400</f>
        <v>2.3148148148148149E-4</v>
      </c>
    </row>
    <row r="149" spans="1:12" x14ac:dyDescent="0.25">
      <c r="A149" s="3">
        <v>45711.092870370368</v>
      </c>
      <c r="B149" t="s">
        <v>184</v>
      </c>
      <c r="C149" s="3">
        <v>45711.093101851853</v>
      </c>
      <c r="D149" t="s">
        <v>184</v>
      </c>
      <c r="E149" s="4">
        <v>5.6435959339141842E-3</v>
      </c>
      <c r="F149" s="4">
        <v>350042.33087449014</v>
      </c>
      <c r="G149" s="4">
        <v>350042.33651808609</v>
      </c>
      <c r="H149" s="5">
        <f t="shared" si="0"/>
        <v>0</v>
      </c>
      <c r="I149" t="s">
        <v>69</v>
      </c>
      <c r="J149" t="s">
        <v>21</v>
      </c>
      <c r="K149" s="5">
        <f>20 / 86400</f>
        <v>2.3148148148148149E-4</v>
      </c>
      <c r="L149" s="5">
        <f>100 / 86400</f>
        <v>1.1574074074074073E-3</v>
      </c>
    </row>
    <row r="150" spans="1:12" x14ac:dyDescent="0.25">
      <c r="A150" s="3">
        <v>45711.094259259262</v>
      </c>
      <c r="B150" t="s">
        <v>184</v>
      </c>
      <c r="C150" s="3">
        <v>45711.100439814814</v>
      </c>
      <c r="D150" t="s">
        <v>102</v>
      </c>
      <c r="E150" s="4">
        <v>2.9926502320766448</v>
      </c>
      <c r="F150" s="4">
        <v>350042.35378916323</v>
      </c>
      <c r="G150" s="4">
        <v>350045.34643939533</v>
      </c>
      <c r="H150" s="5">
        <f t="shared" si="0"/>
        <v>0</v>
      </c>
      <c r="I150" t="s">
        <v>185</v>
      </c>
      <c r="J150" t="s">
        <v>24</v>
      </c>
      <c r="K150" s="5">
        <f>534 / 86400</f>
        <v>6.1805555555555555E-3</v>
      </c>
      <c r="L150" s="5">
        <f>40 / 86400</f>
        <v>4.6296296296296298E-4</v>
      </c>
    </row>
    <row r="151" spans="1:12" x14ac:dyDescent="0.25">
      <c r="A151" s="3">
        <v>45711.100902777776</v>
      </c>
      <c r="B151" t="s">
        <v>102</v>
      </c>
      <c r="C151" s="3">
        <v>45711.104143518518</v>
      </c>
      <c r="D151" t="s">
        <v>81</v>
      </c>
      <c r="E151" s="4">
        <v>2.7121681039333345</v>
      </c>
      <c r="F151" s="4">
        <v>350045.47772256873</v>
      </c>
      <c r="G151" s="4">
        <v>350048.18989067269</v>
      </c>
      <c r="H151" s="5">
        <f t="shared" si="0"/>
        <v>0</v>
      </c>
      <c r="I151" t="s">
        <v>186</v>
      </c>
      <c r="J151" t="s">
        <v>134</v>
      </c>
      <c r="K151" s="5">
        <f>280 / 86400</f>
        <v>3.2407407407407406E-3</v>
      </c>
      <c r="L151" s="5">
        <f>40 / 86400</f>
        <v>4.6296296296296298E-4</v>
      </c>
    </row>
    <row r="152" spans="1:12" x14ac:dyDescent="0.25">
      <c r="A152" s="3">
        <v>45711.10460648148</v>
      </c>
      <c r="B152" t="s">
        <v>81</v>
      </c>
      <c r="C152" s="3">
        <v>45711.105069444442</v>
      </c>
      <c r="D152" t="s">
        <v>81</v>
      </c>
      <c r="E152" s="4">
        <v>0.65137004107236862</v>
      </c>
      <c r="F152" s="4">
        <v>350048.23039041593</v>
      </c>
      <c r="G152" s="4">
        <v>350048.88176045701</v>
      </c>
      <c r="H152" s="5">
        <f t="shared" si="0"/>
        <v>0</v>
      </c>
      <c r="I152" t="s">
        <v>122</v>
      </c>
      <c r="J152" t="s">
        <v>187</v>
      </c>
      <c r="K152" s="5">
        <f>40 / 86400</f>
        <v>4.6296296296296298E-4</v>
      </c>
      <c r="L152" s="5">
        <f>20 / 86400</f>
        <v>2.3148148148148149E-4</v>
      </c>
    </row>
    <row r="153" spans="1:12" x14ac:dyDescent="0.25">
      <c r="A153" s="3">
        <v>45711.105300925927</v>
      </c>
      <c r="B153" t="s">
        <v>81</v>
      </c>
      <c r="C153" s="3">
        <v>45711.106458333335</v>
      </c>
      <c r="D153" t="s">
        <v>126</v>
      </c>
      <c r="E153" s="4">
        <v>0.92201261949539182</v>
      </c>
      <c r="F153" s="4">
        <v>350048.98385080218</v>
      </c>
      <c r="G153" s="4">
        <v>350049.90586342168</v>
      </c>
      <c r="H153" s="5">
        <f t="shared" si="0"/>
        <v>0</v>
      </c>
      <c r="I153" t="s">
        <v>185</v>
      </c>
      <c r="J153" t="s">
        <v>52</v>
      </c>
      <c r="K153" s="5">
        <f>100 / 86400</f>
        <v>1.1574074074074073E-3</v>
      </c>
      <c r="L153" s="5">
        <f>40 / 86400</f>
        <v>4.6296296296296298E-4</v>
      </c>
    </row>
    <row r="154" spans="1:12" x14ac:dyDescent="0.25">
      <c r="A154" s="3">
        <v>45711.106921296298</v>
      </c>
      <c r="B154" t="s">
        <v>126</v>
      </c>
      <c r="C154" s="3">
        <v>45711.107152777782</v>
      </c>
      <c r="D154" t="s">
        <v>126</v>
      </c>
      <c r="E154" s="4">
        <v>6.1673887372016905E-3</v>
      </c>
      <c r="F154" s="4">
        <v>350049.91065697628</v>
      </c>
      <c r="G154" s="4">
        <v>350049.91682436503</v>
      </c>
      <c r="H154" s="5">
        <f t="shared" si="0"/>
        <v>0</v>
      </c>
      <c r="I154" t="s">
        <v>69</v>
      </c>
      <c r="J154" t="s">
        <v>21</v>
      </c>
      <c r="K154" s="5">
        <f>20 / 86400</f>
        <v>2.3148148148148149E-4</v>
      </c>
      <c r="L154" s="5">
        <f>60 / 86400</f>
        <v>6.9444444444444447E-4</v>
      </c>
    </row>
    <row r="155" spans="1:12" x14ac:dyDescent="0.25">
      <c r="A155" s="3">
        <v>45711.107847222222</v>
      </c>
      <c r="B155" t="s">
        <v>126</v>
      </c>
      <c r="C155" s="3">
        <v>45711.112013888887</v>
      </c>
      <c r="D155" t="s">
        <v>188</v>
      </c>
      <c r="E155" s="4">
        <v>3.2525817874073981</v>
      </c>
      <c r="F155" s="4">
        <v>350049.92140227015</v>
      </c>
      <c r="G155" s="4">
        <v>350053.17398405756</v>
      </c>
      <c r="H155" s="5">
        <f t="shared" si="0"/>
        <v>0</v>
      </c>
      <c r="I155" t="s">
        <v>40</v>
      </c>
      <c r="J155" t="s">
        <v>52</v>
      </c>
      <c r="K155" s="5">
        <f>360 / 86400</f>
        <v>4.1666666666666666E-3</v>
      </c>
      <c r="L155" s="5">
        <f>40 / 86400</f>
        <v>4.6296296296296298E-4</v>
      </c>
    </row>
    <row r="156" spans="1:12" x14ac:dyDescent="0.25">
      <c r="A156" s="3">
        <v>45711.112476851849</v>
      </c>
      <c r="B156" t="s">
        <v>189</v>
      </c>
      <c r="C156" s="3">
        <v>45711.115219907406</v>
      </c>
      <c r="D156" t="s">
        <v>53</v>
      </c>
      <c r="E156" s="4">
        <v>1.4852524152994155</v>
      </c>
      <c r="F156" s="4">
        <v>350053.20669276948</v>
      </c>
      <c r="G156" s="4">
        <v>350054.69194518478</v>
      </c>
      <c r="H156" s="5">
        <f t="shared" si="0"/>
        <v>0</v>
      </c>
      <c r="I156" t="s">
        <v>176</v>
      </c>
      <c r="J156" t="s">
        <v>142</v>
      </c>
      <c r="K156" s="5">
        <f>237 / 86400</f>
        <v>2.7430555555555554E-3</v>
      </c>
      <c r="L156" s="5">
        <f>20 / 86400</f>
        <v>2.3148148148148149E-4</v>
      </c>
    </row>
    <row r="157" spans="1:12" x14ac:dyDescent="0.25">
      <c r="A157" s="3">
        <v>45711.115451388891</v>
      </c>
      <c r="B157" t="s">
        <v>53</v>
      </c>
      <c r="C157" s="3">
        <v>45711.115682870368</v>
      </c>
      <c r="D157" t="s">
        <v>152</v>
      </c>
      <c r="E157" s="4">
        <v>9.1140723347663877E-2</v>
      </c>
      <c r="F157" s="4">
        <v>350054.80249296944</v>
      </c>
      <c r="G157" s="4">
        <v>350054.89363369282</v>
      </c>
      <c r="H157" s="5">
        <f t="shared" si="0"/>
        <v>0</v>
      </c>
      <c r="I157" t="s">
        <v>94</v>
      </c>
      <c r="J157" t="s">
        <v>112</v>
      </c>
      <c r="K157" s="5">
        <f>20 / 86400</f>
        <v>2.3148148148148149E-4</v>
      </c>
      <c r="L157" s="5">
        <f>20 / 86400</f>
        <v>2.3148148148148149E-4</v>
      </c>
    </row>
    <row r="158" spans="1:12" x14ac:dyDescent="0.25">
      <c r="A158" s="3">
        <v>45711.115914351853</v>
      </c>
      <c r="B158" t="s">
        <v>152</v>
      </c>
      <c r="C158" s="3">
        <v>45711.116145833337</v>
      </c>
      <c r="D158" t="s">
        <v>151</v>
      </c>
      <c r="E158" s="4">
        <v>1.9989537656307222E-2</v>
      </c>
      <c r="F158" s="4">
        <v>350054.92079332232</v>
      </c>
      <c r="G158" s="4">
        <v>350054.94078285998</v>
      </c>
      <c r="H158" s="5">
        <f t="shared" si="0"/>
        <v>0</v>
      </c>
      <c r="I158" t="s">
        <v>120</v>
      </c>
      <c r="J158" t="s">
        <v>20</v>
      </c>
      <c r="K158" s="5">
        <f>20 / 86400</f>
        <v>2.3148148148148149E-4</v>
      </c>
      <c r="L158" s="5">
        <f>15 / 86400</f>
        <v>1.7361111111111112E-4</v>
      </c>
    </row>
    <row r="159" spans="1:12" x14ac:dyDescent="0.25">
      <c r="A159" s="3">
        <v>45711.116319444445</v>
      </c>
      <c r="B159" t="s">
        <v>151</v>
      </c>
      <c r="C159" s="3">
        <v>45711.117245370369</v>
      </c>
      <c r="D159" t="s">
        <v>152</v>
      </c>
      <c r="E159" s="4">
        <v>0.39313227868080142</v>
      </c>
      <c r="F159" s="4">
        <v>350054.95328764088</v>
      </c>
      <c r="G159" s="4">
        <v>350055.34641991957</v>
      </c>
      <c r="H159" s="5">
        <f t="shared" si="0"/>
        <v>0</v>
      </c>
      <c r="I159" t="s">
        <v>130</v>
      </c>
      <c r="J159" t="s">
        <v>38</v>
      </c>
      <c r="K159" s="5">
        <f>80 / 86400</f>
        <v>9.2592592592592596E-4</v>
      </c>
      <c r="L159" s="5">
        <f>40 / 86400</f>
        <v>4.6296296296296298E-4</v>
      </c>
    </row>
    <row r="160" spans="1:12" x14ac:dyDescent="0.25">
      <c r="A160" s="3">
        <v>45711.117708333331</v>
      </c>
      <c r="B160" t="s">
        <v>152</v>
      </c>
      <c r="C160" s="3">
        <v>45711.120023148149</v>
      </c>
      <c r="D160" t="s">
        <v>90</v>
      </c>
      <c r="E160" s="4">
        <v>1.6049893888831139</v>
      </c>
      <c r="F160" s="4">
        <v>350055.40676670591</v>
      </c>
      <c r="G160" s="4">
        <v>350057.01175609481</v>
      </c>
      <c r="H160" s="5">
        <f t="shared" si="0"/>
        <v>0</v>
      </c>
      <c r="I160" t="s">
        <v>131</v>
      </c>
      <c r="J160" t="s">
        <v>130</v>
      </c>
      <c r="K160" s="5">
        <f>200 / 86400</f>
        <v>2.3148148148148147E-3</v>
      </c>
      <c r="L160" s="5">
        <f>100 / 86400</f>
        <v>1.1574074074074073E-3</v>
      </c>
    </row>
    <row r="161" spans="1:12" x14ac:dyDescent="0.25">
      <c r="A161" s="3">
        <v>45711.12118055555</v>
      </c>
      <c r="B161" t="s">
        <v>90</v>
      </c>
      <c r="C161" s="3">
        <v>45711.121412037042</v>
      </c>
      <c r="D161" t="s">
        <v>90</v>
      </c>
      <c r="E161" s="4">
        <v>5.8086166977882386E-3</v>
      </c>
      <c r="F161" s="4">
        <v>350057.05613104545</v>
      </c>
      <c r="G161" s="4">
        <v>350057.06193966215</v>
      </c>
      <c r="H161" s="5">
        <f t="shared" si="0"/>
        <v>0</v>
      </c>
      <c r="I161" t="s">
        <v>33</v>
      </c>
      <c r="J161" t="s">
        <v>21</v>
      </c>
      <c r="K161" s="5">
        <f>20 / 86400</f>
        <v>2.3148148148148149E-4</v>
      </c>
      <c r="L161" s="5">
        <f>20 / 86400</f>
        <v>2.3148148148148149E-4</v>
      </c>
    </row>
    <row r="162" spans="1:12" x14ac:dyDescent="0.25">
      <c r="A162" s="3">
        <v>45711.12164351852</v>
      </c>
      <c r="B162" t="s">
        <v>90</v>
      </c>
      <c r="C162" s="3">
        <v>45711.121874999997</v>
      </c>
      <c r="D162" t="s">
        <v>90</v>
      </c>
      <c r="E162" s="4">
        <v>7.0945481061935427E-3</v>
      </c>
      <c r="F162" s="4">
        <v>350057.0660963332</v>
      </c>
      <c r="G162" s="4">
        <v>350057.07319088129</v>
      </c>
      <c r="H162" s="5">
        <f t="shared" si="0"/>
        <v>0</v>
      </c>
      <c r="I162" t="s">
        <v>34</v>
      </c>
      <c r="J162" t="s">
        <v>21</v>
      </c>
      <c r="K162" s="5">
        <f>20 / 86400</f>
        <v>2.3148148148148149E-4</v>
      </c>
      <c r="L162" s="5">
        <f>20 / 86400</f>
        <v>2.3148148148148149E-4</v>
      </c>
    </row>
    <row r="163" spans="1:12" x14ac:dyDescent="0.25">
      <c r="A163" s="3">
        <v>45711.122106481482</v>
      </c>
      <c r="B163" t="s">
        <v>90</v>
      </c>
      <c r="C163" s="3">
        <v>45711.122337962966</v>
      </c>
      <c r="D163" t="s">
        <v>90</v>
      </c>
      <c r="E163" s="4">
        <v>1.3614469110965728E-2</v>
      </c>
      <c r="F163" s="4">
        <v>350057.07512582239</v>
      </c>
      <c r="G163" s="4">
        <v>350057.08874029148</v>
      </c>
      <c r="H163" s="5">
        <f t="shared" si="0"/>
        <v>0</v>
      </c>
      <c r="I163" t="s">
        <v>21</v>
      </c>
      <c r="J163" t="s">
        <v>190</v>
      </c>
      <c r="K163" s="5">
        <f>20 / 86400</f>
        <v>2.3148148148148149E-4</v>
      </c>
      <c r="L163" s="5">
        <f>60 / 86400</f>
        <v>6.9444444444444447E-4</v>
      </c>
    </row>
    <row r="164" spans="1:12" x14ac:dyDescent="0.25">
      <c r="A164" s="3">
        <v>45711.123032407406</v>
      </c>
      <c r="B164" t="s">
        <v>90</v>
      </c>
      <c r="C164" s="3">
        <v>45711.123263888891</v>
      </c>
      <c r="D164" t="s">
        <v>90</v>
      </c>
      <c r="E164" s="4">
        <v>4.6734660267829893E-3</v>
      </c>
      <c r="F164" s="4">
        <v>350057.11027598201</v>
      </c>
      <c r="G164" s="4">
        <v>350057.11494944803</v>
      </c>
      <c r="H164" s="5">
        <f t="shared" si="0"/>
        <v>0</v>
      </c>
      <c r="I164" t="s">
        <v>20</v>
      </c>
      <c r="J164" t="s">
        <v>21</v>
      </c>
      <c r="K164" s="5">
        <f>20 / 86400</f>
        <v>2.3148148148148149E-4</v>
      </c>
      <c r="L164" s="5">
        <f>20 / 86400</f>
        <v>2.3148148148148149E-4</v>
      </c>
    </row>
    <row r="165" spans="1:12" x14ac:dyDescent="0.25">
      <c r="A165" s="3">
        <v>45711.123495370368</v>
      </c>
      <c r="B165" t="s">
        <v>90</v>
      </c>
      <c r="C165" s="3">
        <v>45711.123726851853</v>
      </c>
      <c r="D165" t="s">
        <v>90</v>
      </c>
      <c r="E165" s="4">
        <v>2.7287021875381469E-3</v>
      </c>
      <c r="F165" s="4">
        <v>350057.15244175092</v>
      </c>
      <c r="G165" s="4">
        <v>350057.15517045313</v>
      </c>
      <c r="H165" s="5">
        <f t="shared" si="0"/>
        <v>0</v>
      </c>
      <c r="I165" t="s">
        <v>69</v>
      </c>
      <c r="J165" t="s">
        <v>26</v>
      </c>
      <c r="K165" s="5">
        <f>20 / 86400</f>
        <v>2.3148148148148149E-4</v>
      </c>
      <c r="L165" s="5">
        <f>40 / 86400</f>
        <v>4.6296296296296298E-4</v>
      </c>
    </row>
    <row r="166" spans="1:12" x14ac:dyDescent="0.25">
      <c r="A166" s="3">
        <v>45711.124189814815</v>
      </c>
      <c r="B166" t="s">
        <v>90</v>
      </c>
      <c r="C166" s="3">
        <v>45711.124421296292</v>
      </c>
      <c r="D166" t="s">
        <v>90</v>
      </c>
      <c r="E166" s="4">
        <v>2.9594694972038269E-3</v>
      </c>
      <c r="F166" s="4">
        <v>350057.21429448301</v>
      </c>
      <c r="G166" s="4">
        <v>350057.21725395252</v>
      </c>
      <c r="H166" s="5">
        <f t="shared" si="0"/>
        <v>0</v>
      </c>
      <c r="I166" t="s">
        <v>33</v>
      </c>
      <c r="J166" t="s">
        <v>21</v>
      </c>
      <c r="K166" s="5">
        <f>20 / 86400</f>
        <v>2.3148148148148149E-4</v>
      </c>
      <c r="L166" s="5">
        <f>20 / 86400</f>
        <v>2.3148148148148149E-4</v>
      </c>
    </row>
    <row r="167" spans="1:12" x14ac:dyDescent="0.25">
      <c r="A167" s="3">
        <v>45711.124652777777</v>
      </c>
      <c r="B167" t="s">
        <v>90</v>
      </c>
      <c r="C167" s="3">
        <v>45711.125115740739</v>
      </c>
      <c r="D167" t="s">
        <v>90</v>
      </c>
      <c r="E167" s="4">
        <v>6.7865500509738927E-2</v>
      </c>
      <c r="F167" s="4">
        <v>350057.23168692749</v>
      </c>
      <c r="G167" s="4">
        <v>350057.29955242801</v>
      </c>
      <c r="H167" s="5">
        <f t="shared" si="0"/>
        <v>0</v>
      </c>
      <c r="I167" t="s">
        <v>155</v>
      </c>
      <c r="J167" t="s">
        <v>146</v>
      </c>
      <c r="K167" s="5">
        <f>40 / 86400</f>
        <v>4.6296296296296298E-4</v>
      </c>
      <c r="L167" s="5">
        <f>40 / 86400</f>
        <v>4.6296296296296298E-4</v>
      </c>
    </row>
    <row r="168" spans="1:12" x14ac:dyDescent="0.25">
      <c r="A168" s="3">
        <v>45711.125578703708</v>
      </c>
      <c r="B168" t="s">
        <v>90</v>
      </c>
      <c r="C168" s="3">
        <v>45711.129895833335</v>
      </c>
      <c r="D168" t="s">
        <v>168</v>
      </c>
      <c r="E168" s="4">
        <v>2.9319023517370222</v>
      </c>
      <c r="F168" s="4">
        <v>350057.34492543817</v>
      </c>
      <c r="G168" s="4">
        <v>350060.2768277899</v>
      </c>
      <c r="H168" s="5">
        <f t="shared" si="0"/>
        <v>0</v>
      </c>
      <c r="I168" t="s">
        <v>131</v>
      </c>
      <c r="J168" t="s">
        <v>138</v>
      </c>
      <c r="K168" s="5">
        <f>373 / 86400</f>
        <v>4.31712962962963E-3</v>
      </c>
      <c r="L168" s="5">
        <f>9 / 86400</f>
        <v>1.0416666666666667E-4</v>
      </c>
    </row>
    <row r="169" spans="1:12" x14ac:dyDescent="0.25">
      <c r="A169" s="3">
        <v>45711.130000000005</v>
      </c>
      <c r="B169" t="s">
        <v>191</v>
      </c>
      <c r="C169" s="3">
        <v>45711.13081018519</v>
      </c>
      <c r="D169" t="s">
        <v>192</v>
      </c>
      <c r="E169" s="4">
        <v>0.46468635368347166</v>
      </c>
      <c r="F169" s="4">
        <v>350060.27993095701</v>
      </c>
      <c r="G169" s="4">
        <v>350060.7446173107</v>
      </c>
      <c r="H169" s="5">
        <f t="shared" si="0"/>
        <v>0</v>
      </c>
      <c r="I169" t="s">
        <v>161</v>
      </c>
      <c r="J169" t="s">
        <v>31</v>
      </c>
      <c r="K169" s="5">
        <f>70 / 86400</f>
        <v>8.1018518518518516E-4</v>
      </c>
      <c r="L169" s="5">
        <f>20 / 86400</f>
        <v>2.3148148148148149E-4</v>
      </c>
    </row>
    <row r="170" spans="1:12" x14ac:dyDescent="0.25">
      <c r="A170" s="3">
        <v>45711.131041666667</v>
      </c>
      <c r="B170" t="s">
        <v>193</v>
      </c>
      <c r="C170" s="3">
        <v>45711.131504629629</v>
      </c>
      <c r="D170" t="s">
        <v>192</v>
      </c>
      <c r="E170" s="4">
        <v>0.22508611482381821</v>
      </c>
      <c r="F170" s="4">
        <v>350060.75622805028</v>
      </c>
      <c r="G170" s="4">
        <v>350060.98131416511</v>
      </c>
      <c r="H170" s="5">
        <f t="shared" si="0"/>
        <v>0</v>
      </c>
      <c r="I170" t="s">
        <v>134</v>
      </c>
      <c r="J170" t="s">
        <v>24</v>
      </c>
      <c r="K170" s="5">
        <f>40 / 86400</f>
        <v>4.6296296296296298E-4</v>
      </c>
      <c r="L170" s="5">
        <f>20 / 86400</f>
        <v>2.3148148148148149E-4</v>
      </c>
    </row>
    <row r="171" spans="1:12" x14ac:dyDescent="0.25">
      <c r="A171" s="3">
        <v>45711.131736111114</v>
      </c>
      <c r="B171" t="s">
        <v>192</v>
      </c>
      <c r="C171" s="3">
        <v>45711.137430555551</v>
      </c>
      <c r="D171" t="s">
        <v>194</v>
      </c>
      <c r="E171" s="4">
        <v>3.9380807054042815</v>
      </c>
      <c r="F171" s="4">
        <v>350061.07558214862</v>
      </c>
      <c r="G171" s="4">
        <v>350065.01366285403</v>
      </c>
      <c r="H171" s="5">
        <f t="shared" ref="H171:H234" si="1">0 / 86400</f>
        <v>0</v>
      </c>
      <c r="I171" t="s">
        <v>140</v>
      </c>
      <c r="J171" t="s">
        <v>130</v>
      </c>
      <c r="K171" s="5">
        <f>492 / 86400</f>
        <v>5.6944444444444447E-3</v>
      </c>
      <c r="L171" s="5">
        <f>20 / 86400</f>
        <v>2.3148148148148149E-4</v>
      </c>
    </row>
    <row r="172" spans="1:12" x14ac:dyDescent="0.25">
      <c r="A172" s="3">
        <v>45711.137662037036</v>
      </c>
      <c r="B172" t="s">
        <v>194</v>
      </c>
      <c r="C172" s="3">
        <v>45711.138738425929</v>
      </c>
      <c r="D172" t="s">
        <v>195</v>
      </c>
      <c r="E172" s="4">
        <v>0.6701502909064293</v>
      </c>
      <c r="F172" s="4">
        <v>350065.03471194697</v>
      </c>
      <c r="G172" s="4">
        <v>350065.70486223785</v>
      </c>
      <c r="H172" s="5">
        <f t="shared" si="1"/>
        <v>0</v>
      </c>
      <c r="I172" t="s">
        <v>137</v>
      </c>
      <c r="J172" t="s">
        <v>153</v>
      </c>
      <c r="K172" s="5">
        <f>93 / 86400</f>
        <v>1.0763888888888889E-3</v>
      </c>
      <c r="L172" s="5">
        <f>6 / 86400</f>
        <v>6.9444444444444444E-5</v>
      </c>
    </row>
    <row r="173" spans="1:12" x14ac:dyDescent="0.25">
      <c r="A173" s="3">
        <v>45711.138807870375</v>
      </c>
      <c r="B173" t="s">
        <v>195</v>
      </c>
      <c r="C173" s="3">
        <v>45711.141759259262</v>
      </c>
      <c r="D173" t="s">
        <v>196</v>
      </c>
      <c r="E173" s="4">
        <v>1.1354702357649804</v>
      </c>
      <c r="F173" s="4">
        <v>350065.7211902166</v>
      </c>
      <c r="G173" s="4">
        <v>350066.85666045238</v>
      </c>
      <c r="H173" s="5">
        <f t="shared" si="1"/>
        <v>0</v>
      </c>
      <c r="I173" t="s">
        <v>138</v>
      </c>
      <c r="J173" t="s">
        <v>112</v>
      </c>
      <c r="K173" s="5">
        <f>255 / 86400</f>
        <v>2.9513888888888888E-3</v>
      </c>
      <c r="L173" s="5">
        <f>12 / 86400</f>
        <v>1.3888888888888889E-4</v>
      </c>
    </row>
    <row r="174" spans="1:12" x14ac:dyDescent="0.25">
      <c r="A174" s="3">
        <v>45711.141898148147</v>
      </c>
      <c r="B174" t="s">
        <v>197</v>
      </c>
      <c r="C174" s="3">
        <v>45711.147060185191</v>
      </c>
      <c r="D174" t="s">
        <v>101</v>
      </c>
      <c r="E174" s="4">
        <v>3.8348959280848502</v>
      </c>
      <c r="F174" s="4">
        <v>350067.12204682385</v>
      </c>
      <c r="G174" s="4">
        <v>350070.95694275195</v>
      </c>
      <c r="H174" s="5">
        <f t="shared" si="1"/>
        <v>0</v>
      </c>
      <c r="I174" t="s">
        <v>198</v>
      </c>
      <c r="J174" t="s">
        <v>119</v>
      </c>
      <c r="K174" s="5">
        <f>446 / 86400</f>
        <v>5.162037037037037E-3</v>
      </c>
      <c r="L174" s="5">
        <f>500 / 86400</f>
        <v>5.7870370370370367E-3</v>
      </c>
    </row>
    <row r="175" spans="1:12" x14ac:dyDescent="0.25">
      <c r="A175" s="3">
        <v>45711.152847222227</v>
      </c>
      <c r="B175" t="s">
        <v>199</v>
      </c>
      <c r="C175" s="3">
        <v>45711.153541666667</v>
      </c>
      <c r="D175" t="s">
        <v>200</v>
      </c>
      <c r="E175" s="4">
        <v>0.11356908559799195</v>
      </c>
      <c r="F175" s="4">
        <v>350071.02111838508</v>
      </c>
      <c r="G175" s="4">
        <v>350071.13468747068</v>
      </c>
      <c r="H175" s="5">
        <f t="shared" si="1"/>
        <v>0</v>
      </c>
      <c r="I175" t="s">
        <v>128</v>
      </c>
      <c r="J175" t="s">
        <v>33</v>
      </c>
      <c r="K175" s="5">
        <f>60 / 86400</f>
        <v>6.9444444444444447E-4</v>
      </c>
      <c r="L175" s="5">
        <f>20 / 86400</f>
        <v>2.3148148148148149E-4</v>
      </c>
    </row>
    <row r="176" spans="1:12" x14ac:dyDescent="0.25">
      <c r="A176" s="3">
        <v>45711.153773148151</v>
      </c>
      <c r="B176" t="s">
        <v>201</v>
      </c>
      <c r="C176" s="3">
        <v>45711.156550925924</v>
      </c>
      <c r="D176" t="s">
        <v>202</v>
      </c>
      <c r="E176" s="4">
        <v>1.8082250908017159</v>
      </c>
      <c r="F176" s="4">
        <v>350071.14788698213</v>
      </c>
      <c r="G176" s="4">
        <v>350072.95611207292</v>
      </c>
      <c r="H176" s="5">
        <f t="shared" si="1"/>
        <v>0</v>
      </c>
      <c r="I176" t="s">
        <v>176</v>
      </c>
      <c r="J176" t="s">
        <v>149</v>
      </c>
      <c r="K176" s="5">
        <f>240 / 86400</f>
        <v>2.7777777777777779E-3</v>
      </c>
      <c r="L176" s="5">
        <f>20 / 86400</f>
        <v>2.3148148148148149E-4</v>
      </c>
    </row>
    <row r="177" spans="1:12" x14ac:dyDescent="0.25">
      <c r="A177" s="3">
        <v>45711.156782407408</v>
      </c>
      <c r="B177" t="s">
        <v>202</v>
      </c>
      <c r="C177" s="3">
        <v>45711.160949074074</v>
      </c>
      <c r="D177" t="s">
        <v>203</v>
      </c>
      <c r="E177" s="4">
        <v>1.6825843616724014</v>
      </c>
      <c r="F177" s="4">
        <v>350072.97962546878</v>
      </c>
      <c r="G177" s="4">
        <v>350074.66220983048</v>
      </c>
      <c r="H177" s="5">
        <f t="shared" si="1"/>
        <v>0</v>
      </c>
      <c r="I177" t="s">
        <v>162</v>
      </c>
      <c r="J177" t="s">
        <v>58</v>
      </c>
      <c r="K177" s="5">
        <f>360 / 86400</f>
        <v>4.1666666666666666E-3</v>
      </c>
      <c r="L177" s="5">
        <f>20 / 86400</f>
        <v>2.3148148148148149E-4</v>
      </c>
    </row>
    <row r="178" spans="1:12" x14ac:dyDescent="0.25">
      <c r="A178" s="3">
        <v>45711.161180555559</v>
      </c>
      <c r="B178" t="s">
        <v>204</v>
      </c>
      <c r="C178" s="3">
        <v>45711.163460648153</v>
      </c>
      <c r="D178" t="s">
        <v>205</v>
      </c>
      <c r="E178" s="4">
        <v>0.75077943760156629</v>
      </c>
      <c r="F178" s="4">
        <v>350074.72675213037</v>
      </c>
      <c r="G178" s="4">
        <v>350075.47753156797</v>
      </c>
      <c r="H178" s="5">
        <f t="shared" si="1"/>
        <v>0</v>
      </c>
      <c r="I178" t="s">
        <v>91</v>
      </c>
      <c r="J178" t="s">
        <v>116</v>
      </c>
      <c r="K178" s="5">
        <f>197 / 86400</f>
        <v>2.2800925925925927E-3</v>
      </c>
      <c r="L178" s="5">
        <f>16 / 86400</f>
        <v>1.8518518518518518E-4</v>
      </c>
    </row>
    <row r="179" spans="1:12" x14ac:dyDescent="0.25">
      <c r="A179" s="3">
        <v>45711.163645833338</v>
      </c>
      <c r="B179" t="s">
        <v>205</v>
      </c>
      <c r="C179" s="3">
        <v>45711.164722222224</v>
      </c>
      <c r="D179" t="s">
        <v>206</v>
      </c>
      <c r="E179" s="4">
        <v>0.51158534544706347</v>
      </c>
      <c r="F179" s="4">
        <v>350075.48901048029</v>
      </c>
      <c r="G179" s="4">
        <v>350076.00059582572</v>
      </c>
      <c r="H179" s="5">
        <f t="shared" si="1"/>
        <v>0</v>
      </c>
      <c r="I179" t="s">
        <v>94</v>
      </c>
      <c r="J179" t="s">
        <v>24</v>
      </c>
      <c r="K179" s="5">
        <f>93 / 86400</f>
        <v>1.0763888888888889E-3</v>
      </c>
      <c r="L179" s="5">
        <f>40 / 86400</f>
        <v>4.6296296296296298E-4</v>
      </c>
    </row>
    <row r="180" spans="1:12" x14ac:dyDescent="0.25">
      <c r="A180" s="3">
        <v>45711.165185185186</v>
      </c>
      <c r="B180" t="s">
        <v>206</v>
      </c>
      <c r="C180" s="3">
        <v>45711.16541666667</v>
      </c>
      <c r="D180" t="s">
        <v>207</v>
      </c>
      <c r="E180" s="4">
        <v>1.6947753489017486E-2</v>
      </c>
      <c r="F180" s="4">
        <v>350076.06701132696</v>
      </c>
      <c r="G180" s="4">
        <v>350076.08395908045</v>
      </c>
      <c r="H180" s="5">
        <f t="shared" si="1"/>
        <v>0</v>
      </c>
      <c r="I180" t="s">
        <v>208</v>
      </c>
      <c r="J180" t="s">
        <v>69</v>
      </c>
      <c r="K180" s="5">
        <f>20 / 86400</f>
        <v>2.3148148148148149E-4</v>
      </c>
      <c r="L180" s="5">
        <f>40 / 86400</f>
        <v>4.6296296296296298E-4</v>
      </c>
    </row>
    <row r="181" spans="1:12" x14ac:dyDescent="0.25">
      <c r="A181" s="3">
        <v>45711.165879629625</v>
      </c>
      <c r="B181" t="s">
        <v>207</v>
      </c>
      <c r="C181" s="3">
        <v>45711.16611111111</v>
      </c>
      <c r="D181" t="s">
        <v>206</v>
      </c>
      <c r="E181" s="4">
        <v>1.1963583052158356E-2</v>
      </c>
      <c r="F181" s="4">
        <v>350076.08907711349</v>
      </c>
      <c r="G181" s="4">
        <v>350076.10104069655</v>
      </c>
      <c r="H181" s="5">
        <f t="shared" si="1"/>
        <v>0</v>
      </c>
      <c r="I181" t="s">
        <v>34</v>
      </c>
      <c r="J181" t="s">
        <v>190</v>
      </c>
      <c r="K181" s="5">
        <f>20 / 86400</f>
        <v>2.3148148148148149E-4</v>
      </c>
      <c r="L181" s="5">
        <f>60 / 86400</f>
        <v>6.9444444444444447E-4</v>
      </c>
    </row>
    <row r="182" spans="1:12" x14ac:dyDescent="0.25">
      <c r="A182" s="3">
        <v>45711.166805555556</v>
      </c>
      <c r="B182" t="s">
        <v>206</v>
      </c>
      <c r="C182" s="3">
        <v>45711.170046296298</v>
      </c>
      <c r="D182" t="s">
        <v>209</v>
      </c>
      <c r="E182" s="4">
        <v>2.5086165499091146</v>
      </c>
      <c r="F182" s="4">
        <v>350076.12139217788</v>
      </c>
      <c r="G182" s="4">
        <v>350078.63000872778</v>
      </c>
      <c r="H182" s="5">
        <f t="shared" si="1"/>
        <v>0</v>
      </c>
      <c r="I182" t="s">
        <v>210</v>
      </c>
      <c r="J182" t="s">
        <v>94</v>
      </c>
      <c r="K182" s="5">
        <f>280 / 86400</f>
        <v>3.2407407407407406E-3</v>
      </c>
      <c r="L182" s="5">
        <f>20 / 86400</f>
        <v>2.3148148148148149E-4</v>
      </c>
    </row>
    <row r="183" spans="1:12" x14ac:dyDescent="0.25">
      <c r="A183" s="3">
        <v>45711.170277777783</v>
      </c>
      <c r="B183" t="s">
        <v>209</v>
      </c>
      <c r="C183" s="3">
        <v>45711.171435185184</v>
      </c>
      <c r="D183" t="s">
        <v>211</v>
      </c>
      <c r="E183" s="4">
        <v>0.69127096158266066</v>
      </c>
      <c r="F183" s="4">
        <v>350078.7223257763</v>
      </c>
      <c r="G183" s="4">
        <v>350079.41359673784</v>
      </c>
      <c r="H183" s="5">
        <f t="shared" si="1"/>
        <v>0</v>
      </c>
      <c r="I183" t="s">
        <v>141</v>
      </c>
      <c r="J183" t="s">
        <v>212</v>
      </c>
      <c r="K183" s="5">
        <f>100 / 86400</f>
        <v>1.1574074074074073E-3</v>
      </c>
      <c r="L183" s="5">
        <f>32 / 86400</f>
        <v>3.7037037037037035E-4</v>
      </c>
    </row>
    <row r="184" spans="1:12" x14ac:dyDescent="0.25">
      <c r="A184" s="3">
        <v>45711.171805555554</v>
      </c>
      <c r="B184" t="s">
        <v>213</v>
      </c>
      <c r="C184" s="3">
        <v>45711.172500000001</v>
      </c>
      <c r="D184" t="s">
        <v>214</v>
      </c>
      <c r="E184" s="4">
        <v>0.17287236249446869</v>
      </c>
      <c r="F184" s="4">
        <v>350079.42499274126</v>
      </c>
      <c r="G184" s="4">
        <v>350079.5978651038</v>
      </c>
      <c r="H184" s="5">
        <f t="shared" si="1"/>
        <v>0</v>
      </c>
      <c r="I184" t="s">
        <v>212</v>
      </c>
      <c r="J184" t="s">
        <v>208</v>
      </c>
      <c r="K184" s="5">
        <f>60 / 86400</f>
        <v>6.9444444444444447E-4</v>
      </c>
      <c r="L184" s="5">
        <f>20 / 86400</f>
        <v>2.3148148148148149E-4</v>
      </c>
    </row>
    <row r="185" spans="1:12" x14ac:dyDescent="0.25">
      <c r="A185" s="3">
        <v>45711.172731481478</v>
      </c>
      <c r="B185" t="s">
        <v>214</v>
      </c>
      <c r="C185" s="3">
        <v>45711.174120370371</v>
      </c>
      <c r="D185" t="s">
        <v>215</v>
      </c>
      <c r="E185" s="4">
        <v>0.70979379975795742</v>
      </c>
      <c r="F185" s="4">
        <v>350079.60887877963</v>
      </c>
      <c r="G185" s="4">
        <v>350080.31867257942</v>
      </c>
      <c r="H185" s="5">
        <f t="shared" si="1"/>
        <v>0</v>
      </c>
      <c r="I185" t="s">
        <v>164</v>
      </c>
      <c r="J185" t="s">
        <v>67</v>
      </c>
      <c r="K185" s="5">
        <f>120 / 86400</f>
        <v>1.3888888888888889E-3</v>
      </c>
      <c r="L185" s="5">
        <f>20 / 86400</f>
        <v>2.3148148148148149E-4</v>
      </c>
    </row>
    <row r="186" spans="1:12" x14ac:dyDescent="0.25">
      <c r="A186" s="3">
        <v>45711.174351851849</v>
      </c>
      <c r="B186" t="s">
        <v>216</v>
      </c>
      <c r="C186" s="3">
        <v>45711.174583333333</v>
      </c>
      <c r="D186" t="s">
        <v>217</v>
      </c>
      <c r="E186" s="4">
        <v>2.1430427730083464E-2</v>
      </c>
      <c r="F186" s="4">
        <v>350080.32516179624</v>
      </c>
      <c r="G186" s="4">
        <v>350080.34659222397</v>
      </c>
      <c r="H186" s="5">
        <f t="shared" si="1"/>
        <v>0</v>
      </c>
      <c r="I186" t="s">
        <v>190</v>
      </c>
      <c r="J186" t="s">
        <v>20</v>
      </c>
      <c r="K186" s="5">
        <f>20 / 86400</f>
        <v>2.3148148148148149E-4</v>
      </c>
      <c r="L186" s="5">
        <f>11 / 86400</f>
        <v>1.273148148148148E-4</v>
      </c>
    </row>
    <row r="187" spans="1:12" x14ac:dyDescent="0.25">
      <c r="A187" s="3">
        <v>45711.174710648149</v>
      </c>
      <c r="B187" t="s">
        <v>217</v>
      </c>
      <c r="C187" s="3">
        <v>45711.176793981482</v>
      </c>
      <c r="D187" t="s">
        <v>159</v>
      </c>
      <c r="E187" s="4">
        <v>1.3048374260067939</v>
      </c>
      <c r="F187" s="4">
        <v>350080.34954867233</v>
      </c>
      <c r="G187" s="4">
        <v>350081.65438609832</v>
      </c>
      <c r="H187" s="5">
        <f t="shared" si="1"/>
        <v>0</v>
      </c>
      <c r="I187" t="s">
        <v>161</v>
      </c>
      <c r="J187" t="s">
        <v>153</v>
      </c>
      <c r="K187" s="5">
        <f>180 / 86400</f>
        <v>2.0833333333333333E-3</v>
      </c>
      <c r="L187" s="5">
        <f>16 / 86400</f>
        <v>1.8518518518518518E-4</v>
      </c>
    </row>
    <row r="188" spans="1:12" x14ac:dyDescent="0.25">
      <c r="A188" s="3">
        <v>45711.176979166667</v>
      </c>
      <c r="B188" t="s">
        <v>218</v>
      </c>
      <c r="C188" s="3">
        <v>45711.181898148148</v>
      </c>
      <c r="D188" t="s">
        <v>90</v>
      </c>
      <c r="E188" s="4">
        <v>2.6458986974954604</v>
      </c>
      <c r="F188" s="4">
        <v>350081.66717383539</v>
      </c>
      <c r="G188" s="4">
        <v>350084.31307253288</v>
      </c>
      <c r="H188" s="5">
        <f t="shared" si="1"/>
        <v>0</v>
      </c>
      <c r="I188" t="s">
        <v>137</v>
      </c>
      <c r="J188" t="s">
        <v>91</v>
      </c>
      <c r="K188" s="5">
        <f>425 / 86400</f>
        <v>4.9189814814814816E-3</v>
      </c>
      <c r="L188" s="5">
        <f>40 / 86400</f>
        <v>4.6296296296296298E-4</v>
      </c>
    </row>
    <row r="189" spans="1:12" x14ac:dyDescent="0.25">
      <c r="A189" s="3">
        <v>45711.18236111111</v>
      </c>
      <c r="B189" t="s">
        <v>90</v>
      </c>
      <c r="C189" s="3">
        <v>45711.183287037042</v>
      </c>
      <c r="D189" t="s">
        <v>154</v>
      </c>
      <c r="E189" s="4">
        <v>0.4917680166363716</v>
      </c>
      <c r="F189" s="4">
        <v>350084.32292614528</v>
      </c>
      <c r="G189" s="4">
        <v>350084.81469416188</v>
      </c>
      <c r="H189" s="5">
        <f t="shared" si="1"/>
        <v>0</v>
      </c>
      <c r="I189" t="s">
        <v>139</v>
      </c>
      <c r="J189" t="s">
        <v>91</v>
      </c>
      <c r="K189" s="5">
        <f>80 / 86400</f>
        <v>9.2592592592592596E-4</v>
      </c>
      <c r="L189" s="5">
        <f>20 / 86400</f>
        <v>2.3148148148148149E-4</v>
      </c>
    </row>
    <row r="190" spans="1:12" x14ac:dyDescent="0.25">
      <c r="A190" s="3">
        <v>45711.183518518519</v>
      </c>
      <c r="B190" t="s">
        <v>90</v>
      </c>
      <c r="C190" s="3">
        <v>45711.183749999997</v>
      </c>
      <c r="D190" t="s">
        <v>152</v>
      </c>
      <c r="E190" s="4">
        <v>0.11393220573663712</v>
      </c>
      <c r="F190" s="4">
        <v>350084.81868180918</v>
      </c>
      <c r="G190" s="4">
        <v>350084.93261401495</v>
      </c>
      <c r="H190" s="5">
        <f t="shared" si="1"/>
        <v>0</v>
      </c>
      <c r="I190" t="s">
        <v>190</v>
      </c>
      <c r="J190" t="s">
        <v>67</v>
      </c>
      <c r="K190" s="5">
        <f>20 / 86400</f>
        <v>2.3148148148148149E-4</v>
      </c>
      <c r="L190" s="5">
        <f>20 / 86400</f>
        <v>2.3148148148148149E-4</v>
      </c>
    </row>
    <row r="191" spans="1:12" x14ac:dyDescent="0.25">
      <c r="A191" s="3">
        <v>45711.183981481481</v>
      </c>
      <c r="B191" t="s">
        <v>152</v>
      </c>
      <c r="C191" s="3">
        <v>45711.18513888889</v>
      </c>
      <c r="D191" t="s">
        <v>152</v>
      </c>
      <c r="E191" s="4">
        <v>1.0603354104161262</v>
      </c>
      <c r="F191" s="4">
        <v>350084.99404759251</v>
      </c>
      <c r="G191" s="4">
        <v>350086.05438300292</v>
      </c>
      <c r="H191" s="5">
        <f t="shared" si="1"/>
        <v>0</v>
      </c>
      <c r="I191" t="s">
        <v>40</v>
      </c>
      <c r="J191" t="s">
        <v>161</v>
      </c>
      <c r="K191" s="5">
        <f>100 / 86400</f>
        <v>1.1574074074074073E-3</v>
      </c>
      <c r="L191" s="5">
        <f>20 / 86400</f>
        <v>2.3148148148148149E-4</v>
      </c>
    </row>
    <row r="192" spans="1:12" x14ac:dyDescent="0.25">
      <c r="A192" s="3">
        <v>45711.185370370367</v>
      </c>
      <c r="B192" t="s">
        <v>152</v>
      </c>
      <c r="C192" s="3">
        <v>45711.186064814814</v>
      </c>
      <c r="D192" t="s">
        <v>152</v>
      </c>
      <c r="E192" s="4">
        <v>0.43103126585483553</v>
      </c>
      <c r="F192" s="4">
        <v>350086.06521449646</v>
      </c>
      <c r="G192" s="4">
        <v>350086.49624576228</v>
      </c>
      <c r="H192" s="5">
        <f t="shared" si="1"/>
        <v>0</v>
      </c>
      <c r="I192" t="s">
        <v>133</v>
      </c>
      <c r="J192" t="s">
        <v>153</v>
      </c>
      <c r="K192" s="5">
        <f>60 / 86400</f>
        <v>6.9444444444444447E-4</v>
      </c>
      <c r="L192" s="5">
        <f>40 / 86400</f>
        <v>4.6296296296296298E-4</v>
      </c>
    </row>
    <row r="193" spans="1:12" x14ac:dyDescent="0.25">
      <c r="A193" s="3">
        <v>45711.186527777776</v>
      </c>
      <c r="B193" t="s">
        <v>219</v>
      </c>
      <c r="C193" s="3">
        <v>45711.18748842593</v>
      </c>
      <c r="D193" t="s">
        <v>220</v>
      </c>
      <c r="E193" s="4">
        <v>0.40170797425508498</v>
      </c>
      <c r="F193" s="4">
        <v>350086.55696247297</v>
      </c>
      <c r="G193" s="4">
        <v>350086.95867044723</v>
      </c>
      <c r="H193" s="5">
        <f t="shared" si="1"/>
        <v>0</v>
      </c>
      <c r="I193" t="s">
        <v>94</v>
      </c>
      <c r="J193" t="s">
        <v>58</v>
      </c>
      <c r="K193" s="5">
        <f>83 / 86400</f>
        <v>9.6064814814814819E-4</v>
      </c>
      <c r="L193" s="5">
        <f>24 / 86400</f>
        <v>2.7777777777777778E-4</v>
      </c>
    </row>
    <row r="194" spans="1:12" x14ac:dyDescent="0.25">
      <c r="A194" s="3">
        <v>45711.1877662037</v>
      </c>
      <c r="B194" t="s">
        <v>221</v>
      </c>
      <c r="C194" s="3">
        <v>45711.189976851849</v>
      </c>
      <c r="D194" t="s">
        <v>222</v>
      </c>
      <c r="E194" s="4">
        <v>1.1100989415645599</v>
      </c>
      <c r="F194" s="4">
        <v>350086.96874855366</v>
      </c>
      <c r="G194" s="4">
        <v>350088.0788474952</v>
      </c>
      <c r="H194" s="5">
        <f t="shared" si="1"/>
        <v>0</v>
      </c>
      <c r="I194" t="s">
        <v>223</v>
      </c>
      <c r="J194" t="s">
        <v>67</v>
      </c>
      <c r="K194" s="5">
        <f>191 / 86400</f>
        <v>2.2106481481481482E-3</v>
      </c>
      <c r="L194" s="5">
        <f>20 / 86400</f>
        <v>2.3148148148148149E-4</v>
      </c>
    </row>
    <row r="195" spans="1:12" x14ac:dyDescent="0.25">
      <c r="A195" s="3">
        <v>45711.190208333333</v>
      </c>
      <c r="B195" t="s">
        <v>150</v>
      </c>
      <c r="C195" s="3">
        <v>45711.190671296295</v>
      </c>
      <c r="D195" t="s">
        <v>189</v>
      </c>
      <c r="E195" s="4">
        <v>9.5721467912197114E-2</v>
      </c>
      <c r="F195" s="4">
        <v>350088.14323717385</v>
      </c>
      <c r="G195" s="4">
        <v>350088.23895864177</v>
      </c>
      <c r="H195" s="5">
        <f t="shared" si="1"/>
        <v>0</v>
      </c>
      <c r="I195" t="s">
        <v>153</v>
      </c>
      <c r="J195" t="s">
        <v>155</v>
      </c>
      <c r="K195" s="5">
        <f>40 / 86400</f>
        <v>4.6296296296296298E-4</v>
      </c>
      <c r="L195" s="5">
        <f>8 / 86400</f>
        <v>9.2592592592592588E-5</v>
      </c>
    </row>
    <row r="196" spans="1:12" x14ac:dyDescent="0.25">
      <c r="A196" s="3">
        <v>45711.190763888888</v>
      </c>
      <c r="B196" t="s">
        <v>189</v>
      </c>
      <c r="C196" s="3">
        <v>45711.192152777774</v>
      </c>
      <c r="D196" t="s">
        <v>77</v>
      </c>
      <c r="E196" s="4">
        <v>1.4552483236789704</v>
      </c>
      <c r="F196" s="4">
        <v>350088.24247248488</v>
      </c>
      <c r="G196" s="4">
        <v>350089.69772080856</v>
      </c>
      <c r="H196" s="5">
        <f t="shared" si="1"/>
        <v>0</v>
      </c>
      <c r="I196" t="s">
        <v>224</v>
      </c>
      <c r="J196" t="s">
        <v>147</v>
      </c>
      <c r="K196" s="5">
        <f>120 / 86400</f>
        <v>1.3888888888888889E-3</v>
      </c>
      <c r="L196" s="5">
        <f>20 / 86400</f>
        <v>2.3148148148148149E-4</v>
      </c>
    </row>
    <row r="197" spans="1:12" x14ac:dyDescent="0.25">
      <c r="A197" s="3">
        <v>45711.192384259259</v>
      </c>
      <c r="B197" t="s">
        <v>77</v>
      </c>
      <c r="C197" s="3">
        <v>45711.194004629629</v>
      </c>
      <c r="D197" t="s">
        <v>81</v>
      </c>
      <c r="E197" s="4">
        <v>1.7421143097281455</v>
      </c>
      <c r="F197" s="4">
        <v>350089.77096372872</v>
      </c>
      <c r="G197" s="4">
        <v>350091.51307803846</v>
      </c>
      <c r="H197" s="5">
        <f t="shared" si="1"/>
        <v>0</v>
      </c>
      <c r="I197" t="s">
        <v>145</v>
      </c>
      <c r="J197" t="s">
        <v>186</v>
      </c>
      <c r="K197" s="5">
        <f>140 / 86400</f>
        <v>1.6203703703703703E-3</v>
      </c>
      <c r="L197" s="5">
        <f>60 / 86400</f>
        <v>6.9444444444444447E-4</v>
      </c>
    </row>
    <row r="198" spans="1:12" x14ac:dyDescent="0.25">
      <c r="A198" s="3">
        <v>45711.194699074069</v>
      </c>
      <c r="B198" t="s">
        <v>81</v>
      </c>
      <c r="C198" s="3">
        <v>45711.194930555561</v>
      </c>
      <c r="D198" t="s">
        <v>81</v>
      </c>
      <c r="E198" s="4">
        <v>4.7885362505912781E-3</v>
      </c>
      <c r="F198" s="4">
        <v>350091.51646832388</v>
      </c>
      <c r="G198" s="4">
        <v>350091.52125686011</v>
      </c>
      <c r="H198" s="5">
        <f t="shared" si="1"/>
        <v>0</v>
      </c>
      <c r="I198" t="s">
        <v>190</v>
      </c>
      <c r="J198" t="s">
        <v>21</v>
      </c>
      <c r="K198" s="5">
        <f>20 / 86400</f>
        <v>2.3148148148148149E-4</v>
      </c>
      <c r="L198" s="5">
        <f>132 / 86400</f>
        <v>1.5277777777777779E-3</v>
      </c>
    </row>
    <row r="199" spans="1:12" x14ac:dyDescent="0.25">
      <c r="A199" s="3">
        <v>45711.196458333332</v>
      </c>
      <c r="B199" t="s">
        <v>81</v>
      </c>
      <c r="C199" s="3">
        <v>45711.19831018518</v>
      </c>
      <c r="D199" t="s">
        <v>81</v>
      </c>
      <c r="E199" s="4">
        <v>0.71617421382665636</v>
      </c>
      <c r="F199" s="4">
        <v>350091.53496097296</v>
      </c>
      <c r="G199" s="4">
        <v>350092.25113518682</v>
      </c>
      <c r="H199" s="5">
        <f t="shared" si="1"/>
        <v>0</v>
      </c>
      <c r="I199" t="s">
        <v>52</v>
      </c>
      <c r="J199" t="s">
        <v>112</v>
      </c>
      <c r="K199" s="5">
        <f>160 / 86400</f>
        <v>1.8518518518518519E-3</v>
      </c>
      <c r="L199" s="5">
        <f>20 / 86400</f>
        <v>2.3148148148148149E-4</v>
      </c>
    </row>
    <row r="200" spans="1:12" x14ac:dyDescent="0.25">
      <c r="A200" s="3">
        <v>45711.198541666672</v>
      </c>
      <c r="B200" t="s">
        <v>81</v>
      </c>
      <c r="C200" s="3">
        <v>45711.198773148149</v>
      </c>
      <c r="D200" t="s">
        <v>81</v>
      </c>
      <c r="E200" s="4">
        <v>8.668633407354355E-2</v>
      </c>
      <c r="F200" s="4">
        <v>350092.35282817576</v>
      </c>
      <c r="G200" s="4">
        <v>350092.43951450987</v>
      </c>
      <c r="H200" s="5">
        <f t="shared" si="1"/>
        <v>0</v>
      </c>
      <c r="I200" t="s">
        <v>149</v>
      </c>
      <c r="J200" t="s">
        <v>112</v>
      </c>
      <c r="K200" s="5">
        <f>20 / 86400</f>
        <v>2.3148148148148149E-4</v>
      </c>
      <c r="L200" s="5">
        <f>80 / 86400</f>
        <v>9.2592592592592596E-4</v>
      </c>
    </row>
    <row r="201" spans="1:12" x14ac:dyDescent="0.25">
      <c r="A201" s="3">
        <v>45711.199699074074</v>
      </c>
      <c r="B201" t="s">
        <v>81</v>
      </c>
      <c r="C201" s="3">
        <v>45711.202476851853</v>
      </c>
      <c r="D201" t="s">
        <v>81</v>
      </c>
      <c r="E201" s="4">
        <v>2.5219519645571711</v>
      </c>
      <c r="F201" s="4">
        <v>350092.6178687241</v>
      </c>
      <c r="G201" s="4">
        <v>350095.13982068864</v>
      </c>
      <c r="H201" s="5">
        <f t="shared" si="1"/>
        <v>0</v>
      </c>
      <c r="I201" t="s">
        <v>210</v>
      </c>
      <c r="J201" t="s">
        <v>161</v>
      </c>
      <c r="K201" s="5">
        <f>240 / 86400</f>
        <v>2.7777777777777779E-3</v>
      </c>
      <c r="L201" s="5">
        <f>20 / 86400</f>
        <v>2.3148148148148149E-4</v>
      </c>
    </row>
    <row r="202" spans="1:12" x14ac:dyDescent="0.25">
      <c r="A202" s="3">
        <v>45711.202708333338</v>
      </c>
      <c r="B202" t="s">
        <v>225</v>
      </c>
      <c r="C202" s="3">
        <v>45711.203865740739</v>
      </c>
      <c r="D202" t="s">
        <v>181</v>
      </c>
      <c r="E202" s="4">
        <v>0.92727602916955942</v>
      </c>
      <c r="F202" s="4">
        <v>350095.16985448659</v>
      </c>
      <c r="G202" s="4">
        <v>350096.09713051573</v>
      </c>
      <c r="H202" s="5">
        <f t="shared" si="1"/>
        <v>0</v>
      </c>
      <c r="I202" t="s">
        <v>223</v>
      </c>
      <c r="J202" t="s">
        <v>52</v>
      </c>
      <c r="K202" s="5">
        <f>100 / 86400</f>
        <v>1.1574074074074073E-3</v>
      </c>
      <c r="L202" s="5">
        <f>40 / 86400</f>
        <v>4.6296296296296298E-4</v>
      </c>
    </row>
    <row r="203" spans="1:12" x14ac:dyDescent="0.25">
      <c r="A203" s="3">
        <v>45711.204328703709</v>
      </c>
      <c r="B203" t="s">
        <v>181</v>
      </c>
      <c r="C203" s="3">
        <v>45711.20548611111</v>
      </c>
      <c r="D203" t="s">
        <v>182</v>
      </c>
      <c r="E203" s="4">
        <v>0.79435452854633326</v>
      </c>
      <c r="F203" s="4">
        <v>350096.1065358409</v>
      </c>
      <c r="G203" s="4">
        <v>350096.90089036943</v>
      </c>
      <c r="H203" s="5">
        <f t="shared" si="1"/>
        <v>0</v>
      </c>
      <c r="I203" t="s">
        <v>187</v>
      </c>
      <c r="J203" t="s">
        <v>130</v>
      </c>
      <c r="K203" s="5">
        <f>100 / 86400</f>
        <v>1.1574074074074073E-3</v>
      </c>
      <c r="L203" s="5">
        <f>180 / 86400</f>
        <v>2.0833333333333333E-3</v>
      </c>
    </row>
    <row r="204" spans="1:12" x14ac:dyDescent="0.25">
      <c r="A204" s="3">
        <v>45711.207569444443</v>
      </c>
      <c r="B204" t="s">
        <v>226</v>
      </c>
      <c r="C204" s="3">
        <v>45711.207962962959</v>
      </c>
      <c r="D204" t="s">
        <v>226</v>
      </c>
      <c r="E204" s="4">
        <v>2.749464029073715E-2</v>
      </c>
      <c r="F204" s="4">
        <v>350096.92673336918</v>
      </c>
      <c r="G204" s="4">
        <v>350096.95422800945</v>
      </c>
      <c r="H204" s="5">
        <f t="shared" si="1"/>
        <v>0</v>
      </c>
      <c r="I204" t="s">
        <v>34</v>
      </c>
      <c r="J204" t="s">
        <v>69</v>
      </c>
      <c r="K204" s="5">
        <f>34 / 86400</f>
        <v>3.9351851851851852E-4</v>
      </c>
      <c r="L204" s="5">
        <f>20 / 86400</f>
        <v>2.3148148148148149E-4</v>
      </c>
    </row>
    <row r="205" spans="1:12" x14ac:dyDescent="0.25">
      <c r="A205" s="3">
        <v>45711.208194444444</v>
      </c>
      <c r="B205" t="s">
        <v>102</v>
      </c>
      <c r="C205" s="3">
        <v>45711.210972222223</v>
      </c>
      <c r="D205" t="s">
        <v>227</v>
      </c>
      <c r="E205" s="4">
        <v>1.9177591922283173</v>
      </c>
      <c r="F205" s="4">
        <v>350097.05873098946</v>
      </c>
      <c r="G205" s="4">
        <v>350098.9764901817</v>
      </c>
      <c r="H205" s="5">
        <f t="shared" si="1"/>
        <v>0</v>
      </c>
      <c r="I205" t="s">
        <v>223</v>
      </c>
      <c r="J205" t="s">
        <v>130</v>
      </c>
      <c r="K205" s="5">
        <f>240 / 86400</f>
        <v>2.7777777777777779E-3</v>
      </c>
      <c r="L205" s="5">
        <f>20 / 86400</f>
        <v>2.3148148148148149E-4</v>
      </c>
    </row>
    <row r="206" spans="1:12" x14ac:dyDescent="0.25">
      <c r="A206" s="3">
        <v>45711.2112037037</v>
      </c>
      <c r="B206" t="s">
        <v>228</v>
      </c>
      <c r="C206" s="3">
        <v>45711.212129629625</v>
      </c>
      <c r="D206" t="s">
        <v>74</v>
      </c>
      <c r="E206" s="4">
        <v>0.44274992811679842</v>
      </c>
      <c r="F206" s="4">
        <v>350098.99196921452</v>
      </c>
      <c r="G206" s="4">
        <v>350099.43471914262</v>
      </c>
      <c r="H206" s="5">
        <f t="shared" si="1"/>
        <v>0</v>
      </c>
      <c r="I206" t="s">
        <v>153</v>
      </c>
      <c r="J206" t="s">
        <v>24</v>
      </c>
      <c r="K206" s="5">
        <f>80 / 86400</f>
        <v>9.2592592592592596E-4</v>
      </c>
      <c r="L206" s="5">
        <f>40 / 86400</f>
        <v>4.6296296296296298E-4</v>
      </c>
    </row>
    <row r="207" spans="1:12" x14ac:dyDescent="0.25">
      <c r="A207" s="3">
        <v>45711.212592592594</v>
      </c>
      <c r="B207" t="s">
        <v>74</v>
      </c>
      <c r="C207" s="3">
        <v>45711.213749999995</v>
      </c>
      <c r="D207" t="s">
        <v>229</v>
      </c>
      <c r="E207" s="4">
        <v>0.76973341286182406</v>
      </c>
      <c r="F207" s="4">
        <v>350099.44203845481</v>
      </c>
      <c r="G207" s="4">
        <v>350100.2117718677</v>
      </c>
      <c r="H207" s="5">
        <f t="shared" si="1"/>
        <v>0</v>
      </c>
      <c r="I207" t="s">
        <v>137</v>
      </c>
      <c r="J207" t="s">
        <v>138</v>
      </c>
      <c r="K207" s="5">
        <f>100 / 86400</f>
        <v>1.1574074074074073E-3</v>
      </c>
      <c r="L207" s="5">
        <f>20 / 86400</f>
        <v>2.3148148148148149E-4</v>
      </c>
    </row>
    <row r="208" spans="1:12" x14ac:dyDescent="0.25">
      <c r="A208" s="3">
        <v>45711.21398148148</v>
      </c>
      <c r="B208" t="s">
        <v>229</v>
      </c>
      <c r="C208" s="3">
        <v>45711.214675925927</v>
      </c>
      <c r="D208" t="s">
        <v>229</v>
      </c>
      <c r="E208" s="4">
        <v>0.52624244087934491</v>
      </c>
      <c r="F208" s="4">
        <v>350100.24458827812</v>
      </c>
      <c r="G208" s="4">
        <v>350100.77083071898</v>
      </c>
      <c r="H208" s="5">
        <f t="shared" si="1"/>
        <v>0</v>
      </c>
      <c r="I208" t="s">
        <v>143</v>
      </c>
      <c r="J208" t="s">
        <v>94</v>
      </c>
      <c r="K208" s="5">
        <f>60 / 86400</f>
        <v>6.9444444444444447E-4</v>
      </c>
      <c r="L208" s="5">
        <f>20 / 86400</f>
        <v>2.3148148148148149E-4</v>
      </c>
    </row>
    <row r="209" spans="1:12" x14ac:dyDescent="0.25">
      <c r="A209" s="3">
        <v>45711.214907407411</v>
      </c>
      <c r="B209" t="s">
        <v>229</v>
      </c>
      <c r="C209" s="3">
        <v>45711.215370370366</v>
      </c>
      <c r="D209" t="s">
        <v>229</v>
      </c>
      <c r="E209" s="4">
        <v>0.23268286579847336</v>
      </c>
      <c r="F209" s="4">
        <v>350100.87705673178</v>
      </c>
      <c r="G209" s="4">
        <v>350101.10973959754</v>
      </c>
      <c r="H209" s="5">
        <f t="shared" si="1"/>
        <v>0</v>
      </c>
      <c r="I209" t="s">
        <v>142</v>
      </c>
      <c r="J209" t="s">
        <v>67</v>
      </c>
      <c r="K209" s="5">
        <f>40 / 86400</f>
        <v>4.6296296296296298E-4</v>
      </c>
      <c r="L209" s="5">
        <f>2 / 86400</f>
        <v>2.3148148148148147E-5</v>
      </c>
    </row>
    <row r="210" spans="1:12" x14ac:dyDescent="0.25">
      <c r="A210" s="3">
        <v>45711.21539351852</v>
      </c>
      <c r="B210" t="s">
        <v>230</v>
      </c>
      <c r="C210" s="3">
        <v>45711.216782407406</v>
      </c>
      <c r="D210" t="s">
        <v>50</v>
      </c>
      <c r="E210" s="4">
        <v>0.78818272536993028</v>
      </c>
      <c r="F210" s="4">
        <v>350101.11227904278</v>
      </c>
      <c r="G210" s="4">
        <v>350101.90046176815</v>
      </c>
      <c r="H210" s="5">
        <f t="shared" si="1"/>
        <v>0</v>
      </c>
      <c r="I210" t="s">
        <v>134</v>
      </c>
      <c r="J210" t="s">
        <v>31</v>
      </c>
      <c r="K210" s="5">
        <f>120 / 86400</f>
        <v>1.3888888888888889E-3</v>
      </c>
      <c r="L210" s="5">
        <f>20 / 86400</f>
        <v>2.3148148148148149E-4</v>
      </c>
    </row>
    <row r="211" spans="1:12" x14ac:dyDescent="0.25">
      <c r="A211" s="3">
        <v>45711.217013888891</v>
      </c>
      <c r="B211" t="s">
        <v>231</v>
      </c>
      <c r="C211" s="3">
        <v>45711.219097222223</v>
      </c>
      <c r="D211" t="s">
        <v>229</v>
      </c>
      <c r="E211" s="4">
        <v>1.3679710593223571</v>
      </c>
      <c r="F211" s="4">
        <v>350101.95357805945</v>
      </c>
      <c r="G211" s="4">
        <v>350103.32154911873</v>
      </c>
      <c r="H211" s="5">
        <f t="shared" si="1"/>
        <v>0</v>
      </c>
      <c r="I211" t="s">
        <v>40</v>
      </c>
      <c r="J211" t="s">
        <v>149</v>
      </c>
      <c r="K211" s="5">
        <f>180 / 86400</f>
        <v>2.0833333333333333E-3</v>
      </c>
      <c r="L211" s="5">
        <f>27 / 86400</f>
        <v>3.1250000000000001E-4</v>
      </c>
    </row>
    <row r="212" spans="1:12" x14ac:dyDescent="0.25">
      <c r="A212" s="3">
        <v>45711.219409722224</v>
      </c>
      <c r="B212" t="s">
        <v>229</v>
      </c>
      <c r="C212" s="3">
        <v>45711.229525462964</v>
      </c>
      <c r="D212" t="s">
        <v>232</v>
      </c>
      <c r="E212" s="4">
        <v>7.8243849475979808</v>
      </c>
      <c r="F212" s="4">
        <v>350103.32370264968</v>
      </c>
      <c r="G212" s="4">
        <v>350111.14808759728</v>
      </c>
      <c r="H212" s="5">
        <f t="shared" si="1"/>
        <v>0</v>
      </c>
      <c r="I212" t="s">
        <v>223</v>
      </c>
      <c r="J212" t="s">
        <v>94</v>
      </c>
      <c r="K212" s="5">
        <f>874 / 86400</f>
        <v>1.0115740740740741E-2</v>
      </c>
      <c r="L212" s="5">
        <f>20 / 86400</f>
        <v>2.3148148148148149E-4</v>
      </c>
    </row>
    <row r="213" spans="1:12" x14ac:dyDescent="0.25">
      <c r="A213" s="3">
        <v>45711.229756944449</v>
      </c>
      <c r="B213" t="s">
        <v>233</v>
      </c>
      <c r="C213" s="3">
        <v>45711.232777777783</v>
      </c>
      <c r="D213" t="s">
        <v>234</v>
      </c>
      <c r="E213" s="4">
        <v>2.6518503340482713</v>
      </c>
      <c r="F213" s="4">
        <v>350111.33294456376</v>
      </c>
      <c r="G213" s="4">
        <v>350113.98479489778</v>
      </c>
      <c r="H213" s="5">
        <f t="shared" si="1"/>
        <v>0</v>
      </c>
      <c r="I213" t="s">
        <v>185</v>
      </c>
      <c r="J213" t="s">
        <v>133</v>
      </c>
      <c r="K213" s="5">
        <f>261 / 86400</f>
        <v>3.0208333333333333E-3</v>
      </c>
      <c r="L213" s="5">
        <f>3 / 86400</f>
        <v>3.4722222222222222E-5</v>
      </c>
    </row>
    <row r="214" spans="1:12" x14ac:dyDescent="0.25">
      <c r="A214" s="3">
        <v>45711.232812499999</v>
      </c>
      <c r="B214" t="s">
        <v>234</v>
      </c>
      <c r="C214" s="3">
        <v>45711.233761574069</v>
      </c>
      <c r="D214" t="s">
        <v>235</v>
      </c>
      <c r="E214" s="4">
        <v>0.44622054266929628</v>
      </c>
      <c r="F214" s="4">
        <v>350113.98725288844</v>
      </c>
      <c r="G214" s="4">
        <v>350114.4334734311</v>
      </c>
      <c r="H214" s="5">
        <f t="shared" si="1"/>
        <v>0</v>
      </c>
      <c r="I214" t="s">
        <v>176</v>
      </c>
      <c r="J214" t="s">
        <v>24</v>
      </c>
      <c r="K214" s="5">
        <f>82 / 86400</f>
        <v>9.4907407407407408E-4</v>
      </c>
      <c r="L214" s="5">
        <f>20 / 86400</f>
        <v>2.3148148148148149E-4</v>
      </c>
    </row>
    <row r="215" spans="1:12" x14ac:dyDescent="0.25">
      <c r="A215" s="3">
        <v>45711.233993055561</v>
      </c>
      <c r="B215" t="s">
        <v>236</v>
      </c>
      <c r="C215" s="3">
        <v>45711.234409722223</v>
      </c>
      <c r="D215" t="s">
        <v>236</v>
      </c>
      <c r="E215" s="4">
        <v>1.6698114812374116E-2</v>
      </c>
      <c r="F215" s="4">
        <v>350114.43651586358</v>
      </c>
      <c r="G215" s="4">
        <v>350114.45321397838</v>
      </c>
      <c r="H215" s="5">
        <f t="shared" si="1"/>
        <v>0</v>
      </c>
      <c r="I215" t="s">
        <v>113</v>
      </c>
      <c r="J215" t="s">
        <v>190</v>
      </c>
      <c r="K215" s="5">
        <f>36 / 86400</f>
        <v>4.1666666666666669E-4</v>
      </c>
      <c r="L215" s="5">
        <f>50 / 86400</f>
        <v>5.7870370370370367E-4</v>
      </c>
    </row>
    <row r="216" spans="1:12" x14ac:dyDescent="0.25">
      <c r="A216" s="3">
        <v>45711.234988425931</v>
      </c>
      <c r="B216" t="s">
        <v>235</v>
      </c>
      <c r="C216" s="3">
        <v>45711.241365740745</v>
      </c>
      <c r="D216" t="s">
        <v>237</v>
      </c>
      <c r="E216" s="4">
        <v>6.647859001815319</v>
      </c>
      <c r="F216" s="4">
        <v>350114.46659828693</v>
      </c>
      <c r="G216" s="4">
        <v>350121.11445728876</v>
      </c>
      <c r="H216" s="5">
        <f t="shared" si="1"/>
        <v>0</v>
      </c>
      <c r="I216" t="s">
        <v>78</v>
      </c>
      <c r="J216" t="s">
        <v>148</v>
      </c>
      <c r="K216" s="5">
        <f>551 / 86400</f>
        <v>6.3773148148148148E-3</v>
      </c>
      <c r="L216" s="5">
        <f>20 / 86400</f>
        <v>2.3148148148148149E-4</v>
      </c>
    </row>
    <row r="217" spans="1:12" x14ac:dyDescent="0.25">
      <c r="A217" s="3">
        <v>45711.241597222222</v>
      </c>
      <c r="B217" t="s">
        <v>237</v>
      </c>
      <c r="C217" s="3">
        <v>45711.245208333334</v>
      </c>
      <c r="D217" t="s">
        <v>237</v>
      </c>
      <c r="E217" s="4">
        <v>3.4874714305996894</v>
      </c>
      <c r="F217" s="4">
        <v>350121.19345957512</v>
      </c>
      <c r="G217" s="4">
        <v>350124.68093100574</v>
      </c>
      <c r="H217" s="5">
        <f t="shared" si="1"/>
        <v>0</v>
      </c>
      <c r="I217" t="s">
        <v>145</v>
      </c>
      <c r="J217" t="s">
        <v>131</v>
      </c>
      <c r="K217" s="5">
        <f>312 / 86400</f>
        <v>3.6111111111111109E-3</v>
      </c>
      <c r="L217" s="5">
        <f>20 / 86400</f>
        <v>2.3148148148148149E-4</v>
      </c>
    </row>
    <row r="218" spans="1:12" x14ac:dyDescent="0.25">
      <c r="A218" s="3">
        <v>45711.245439814811</v>
      </c>
      <c r="B218" t="s">
        <v>238</v>
      </c>
      <c r="C218" s="3">
        <v>45711.248912037037</v>
      </c>
      <c r="D218" t="s">
        <v>227</v>
      </c>
      <c r="E218" s="4">
        <v>4.3228769912719729</v>
      </c>
      <c r="F218" s="4">
        <v>350124.86041255092</v>
      </c>
      <c r="G218" s="4">
        <v>350129.18328954221</v>
      </c>
      <c r="H218" s="5">
        <f t="shared" si="1"/>
        <v>0</v>
      </c>
      <c r="I218" t="s">
        <v>61</v>
      </c>
      <c r="J218" t="s">
        <v>223</v>
      </c>
      <c r="K218" s="5">
        <f>300 / 86400</f>
        <v>3.472222222222222E-3</v>
      </c>
      <c r="L218" s="5">
        <f>80 / 86400</f>
        <v>9.2592592592592596E-4</v>
      </c>
    </row>
    <row r="219" spans="1:12" x14ac:dyDescent="0.25">
      <c r="A219" s="3">
        <v>45711.249837962961</v>
      </c>
      <c r="B219" t="s">
        <v>74</v>
      </c>
      <c r="C219" s="3">
        <v>45711.253472222219</v>
      </c>
      <c r="D219" t="s">
        <v>102</v>
      </c>
      <c r="E219" s="4">
        <v>3.3214940250515936</v>
      </c>
      <c r="F219" s="4">
        <v>350129.25131182029</v>
      </c>
      <c r="G219" s="4">
        <v>350132.5728058453</v>
      </c>
      <c r="H219" s="5">
        <f t="shared" si="1"/>
        <v>0</v>
      </c>
      <c r="I219" t="s">
        <v>239</v>
      </c>
      <c r="J219" t="s">
        <v>161</v>
      </c>
      <c r="K219" s="5">
        <f>314 / 86400</f>
        <v>3.6342592592592594E-3</v>
      </c>
      <c r="L219" s="5">
        <f>20 / 86400</f>
        <v>2.3148148148148149E-4</v>
      </c>
    </row>
    <row r="220" spans="1:12" x14ac:dyDescent="0.25">
      <c r="A220" s="3">
        <v>45711.253703703704</v>
      </c>
      <c r="B220" t="s">
        <v>102</v>
      </c>
      <c r="C220" s="3">
        <v>45711.255671296298</v>
      </c>
      <c r="D220" t="s">
        <v>240</v>
      </c>
      <c r="E220" s="4">
        <v>1.0617505161166192</v>
      </c>
      <c r="F220" s="4">
        <v>350132.57487807376</v>
      </c>
      <c r="G220" s="4">
        <v>350133.63662858988</v>
      </c>
      <c r="H220" s="5">
        <f t="shared" si="1"/>
        <v>0</v>
      </c>
      <c r="I220" t="s">
        <v>140</v>
      </c>
      <c r="J220" t="s">
        <v>91</v>
      </c>
      <c r="K220" s="5">
        <f>170 / 86400</f>
        <v>1.9675925925925924E-3</v>
      </c>
      <c r="L220" s="5">
        <f>208 / 86400</f>
        <v>2.4074074074074076E-3</v>
      </c>
    </row>
    <row r="221" spans="1:12" x14ac:dyDescent="0.25">
      <c r="A221" s="3">
        <v>45711.2580787037</v>
      </c>
      <c r="B221" t="s">
        <v>240</v>
      </c>
      <c r="C221" s="3">
        <v>45711.258159722223</v>
      </c>
      <c r="D221" t="s">
        <v>240</v>
      </c>
      <c r="E221" s="4">
        <v>6.0907897353172299E-3</v>
      </c>
      <c r="F221" s="4">
        <v>350133.64164027479</v>
      </c>
      <c r="G221" s="4">
        <v>350133.64773106447</v>
      </c>
      <c r="H221" s="5">
        <f t="shared" si="1"/>
        <v>0</v>
      </c>
      <c r="I221" t="s">
        <v>34</v>
      </c>
      <c r="J221" t="s">
        <v>69</v>
      </c>
      <c r="K221" s="5">
        <f>7 / 86400</f>
        <v>8.1018518518518516E-5</v>
      </c>
      <c r="L221" s="5">
        <f>370 / 86400</f>
        <v>4.2824074074074075E-3</v>
      </c>
    </row>
    <row r="222" spans="1:12" x14ac:dyDescent="0.25">
      <c r="A222" s="3">
        <v>45711.262442129635</v>
      </c>
      <c r="B222" t="s">
        <v>240</v>
      </c>
      <c r="C222" s="3">
        <v>45711.263252314813</v>
      </c>
      <c r="D222" t="s">
        <v>102</v>
      </c>
      <c r="E222" s="4">
        <v>0.53844825261831286</v>
      </c>
      <c r="F222" s="4">
        <v>350133.65694874548</v>
      </c>
      <c r="G222" s="4">
        <v>350134.19539699808</v>
      </c>
      <c r="H222" s="5">
        <f t="shared" si="1"/>
        <v>0</v>
      </c>
      <c r="I222" t="s">
        <v>131</v>
      </c>
      <c r="J222" t="s">
        <v>138</v>
      </c>
      <c r="K222" s="5">
        <f>70 / 86400</f>
        <v>8.1018518518518516E-4</v>
      </c>
      <c r="L222" s="5">
        <f>20 / 86400</f>
        <v>2.3148148148148149E-4</v>
      </c>
    </row>
    <row r="223" spans="1:12" x14ac:dyDescent="0.25">
      <c r="A223" s="3">
        <v>45711.263483796298</v>
      </c>
      <c r="B223" t="s">
        <v>241</v>
      </c>
      <c r="C223" s="3">
        <v>45711.26394675926</v>
      </c>
      <c r="D223" t="s">
        <v>242</v>
      </c>
      <c r="E223" s="4">
        <v>0.28213846361637118</v>
      </c>
      <c r="F223" s="4">
        <v>350134.29419712129</v>
      </c>
      <c r="G223" s="4">
        <v>350134.57633558486</v>
      </c>
      <c r="H223" s="5">
        <f t="shared" si="1"/>
        <v>0</v>
      </c>
      <c r="I223" t="s">
        <v>176</v>
      </c>
      <c r="J223" t="s">
        <v>212</v>
      </c>
      <c r="K223" s="5">
        <f>40 / 86400</f>
        <v>4.6296296296296298E-4</v>
      </c>
      <c r="L223" s="5">
        <f>40 / 86400</f>
        <v>4.6296296296296298E-4</v>
      </c>
    </row>
    <row r="224" spans="1:12" x14ac:dyDescent="0.25">
      <c r="A224" s="3">
        <v>45711.264409722222</v>
      </c>
      <c r="B224" t="s">
        <v>242</v>
      </c>
      <c r="C224" s="3">
        <v>45711.265335648146</v>
      </c>
      <c r="D224" t="s">
        <v>243</v>
      </c>
      <c r="E224" s="4">
        <v>0.75486548513174057</v>
      </c>
      <c r="F224" s="4">
        <v>350134.59659489949</v>
      </c>
      <c r="G224" s="4">
        <v>350135.35146038461</v>
      </c>
      <c r="H224" s="5">
        <f t="shared" si="1"/>
        <v>0</v>
      </c>
      <c r="I224" t="s">
        <v>166</v>
      </c>
      <c r="J224" t="s">
        <v>72</v>
      </c>
      <c r="K224" s="5">
        <f>80 / 86400</f>
        <v>9.2592592592592596E-4</v>
      </c>
      <c r="L224" s="5">
        <f>20 / 86400</f>
        <v>2.3148148148148149E-4</v>
      </c>
    </row>
    <row r="225" spans="1:12" x14ac:dyDescent="0.25">
      <c r="A225" s="3">
        <v>45711.265567129631</v>
      </c>
      <c r="B225" t="s">
        <v>243</v>
      </c>
      <c r="C225" s="3">
        <v>45711.266030092593</v>
      </c>
      <c r="D225" t="s">
        <v>182</v>
      </c>
      <c r="E225" s="4">
        <v>3.5972661554813386E-2</v>
      </c>
      <c r="F225" s="4">
        <v>350135.36963008851</v>
      </c>
      <c r="G225" s="4">
        <v>350135.40560275008</v>
      </c>
      <c r="H225" s="5">
        <f t="shared" si="1"/>
        <v>0</v>
      </c>
      <c r="I225" t="s">
        <v>33</v>
      </c>
      <c r="J225" t="s">
        <v>69</v>
      </c>
      <c r="K225" s="5">
        <f>40 / 86400</f>
        <v>4.6296296296296298E-4</v>
      </c>
      <c r="L225" s="5">
        <f>25 / 86400</f>
        <v>2.8935185185185184E-4</v>
      </c>
    </row>
    <row r="226" spans="1:12" x14ac:dyDescent="0.25">
      <c r="A226" s="3">
        <v>45711.266319444447</v>
      </c>
      <c r="B226" t="s">
        <v>65</v>
      </c>
      <c r="C226" s="3">
        <v>45711.268634259264</v>
      </c>
      <c r="D226" t="s">
        <v>228</v>
      </c>
      <c r="E226" s="4">
        <v>1.7471829133033752</v>
      </c>
      <c r="F226" s="4">
        <v>350135.40934288147</v>
      </c>
      <c r="G226" s="4">
        <v>350137.15652579477</v>
      </c>
      <c r="H226" s="5">
        <f t="shared" si="1"/>
        <v>0</v>
      </c>
      <c r="I226" t="s">
        <v>180</v>
      </c>
      <c r="J226" t="s">
        <v>119</v>
      </c>
      <c r="K226" s="5">
        <f>200 / 86400</f>
        <v>2.3148148148148147E-3</v>
      </c>
      <c r="L226" s="5">
        <f>20 / 86400</f>
        <v>2.3148148148148149E-4</v>
      </c>
    </row>
    <row r="227" spans="1:12" x14ac:dyDescent="0.25">
      <c r="A227" s="3">
        <v>45711.268865740742</v>
      </c>
      <c r="B227" t="s">
        <v>228</v>
      </c>
      <c r="C227" s="3">
        <v>45711.271412037036</v>
      </c>
      <c r="D227" t="s">
        <v>229</v>
      </c>
      <c r="E227" s="4">
        <v>1.4404532094597817</v>
      </c>
      <c r="F227" s="4">
        <v>350137.26500489376</v>
      </c>
      <c r="G227" s="4">
        <v>350138.70545810321</v>
      </c>
      <c r="H227" s="5">
        <f t="shared" si="1"/>
        <v>0</v>
      </c>
      <c r="I227" t="s">
        <v>161</v>
      </c>
      <c r="J227" t="s">
        <v>31</v>
      </c>
      <c r="K227" s="5">
        <f>220 / 86400</f>
        <v>2.5462962962962965E-3</v>
      </c>
      <c r="L227" s="5">
        <f>20 / 86400</f>
        <v>2.3148148148148149E-4</v>
      </c>
    </row>
    <row r="228" spans="1:12" x14ac:dyDescent="0.25">
      <c r="A228" s="3">
        <v>45711.271643518514</v>
      </c>
      <c r="B228" t="s">
        <v>229</v>
      </c>
      <c r="C228" s="3">
        <v>45711.276041666672</v>
      </c>
      <c r="D228" t="s">
        <v>244</v>
      </c>
      <c r="E228" s="4">
        <v>3.7007508714795114</v>
      </c>
      <c r="F228" s="4">
        <v>350138.81931590091</v>
      </c>
      <c r="G228" s="4">
        <v>350142.52006677241</v>
      </c>
      <c r="H228" s="5">
        <f t="shared" si="1"/>
        <v>0</v>
      </c>
      <c r="I228" t="s">
        <v>61</v>
      </c>
      <c r="J228" t="s">
        <v>134</v>
      </c>
      <c r="K228" s="5">
        <f>380 / 86400</f>
        <v>4.3981481481481484E-3</v>
      </c>
      <c r="L228" s="5">
        <f>20 / 86400</f>
        <v>2.3148148148148149E-4</v>
      </c>
    </row>
    <row r="229" spans="1:12" x14ac:dyDescent="0.25">
      <c r="A229" s="3">
        <v>45711.276273148149</v>
      </c>
      <c r="B229" t="s">
        <v>245</v>
      </c>
      <c r="C229" s="3">
        <v>45711.276967592596</v>
      </c>
      <c r="D229" t="s">
        <v>246</v>
      </c>
      <c r="E229" s="4">
        <v>0.52660258495807644</v>
      </c>
      <c r="F229" s="4">
        <v>350142.63843108306</v>
      </c>
      <c r="G229" s="4">
        <v>350143.16503366805</v>
      </c>
      <c r="H229" s="5">
        <f t="shared" si="1"/>
        <v>0</v>
      </c>
      <c r="I229" t="s">
        <v>137</v>
      </c>
      <c r="J229" t="s">
        <v>94</v>
      </c>
      <c r="K229" s="5">
        <f>60 / 86400</f>
        <v>6.9444444444444447E-4</v>
      </c>
      <c r="L229" s="5">
        <f>20 / 86400</f>
        <v>2.3148148148148149E-4</v>
      </c>
    </row>
    <row r="230" spans="1:12" x14ac:dyDescent="0.25">
      <c r="A230" s="3">
        <v>45711.277199074073</v>
      </c>
      <c r="B230" t="s">
        <v>247</v>
      </c>
      <c r="C230" s="3">
        <v>45711.281134259261</v>
      </c>
      <c r="D230" t="s">
        <v>237</v>
      </c>
      <c r="E230" s="4">
        <v>2.8757296021580698</v>
      </c>
      <c r="F230" s="4">
        <v>350143.31083200686</v>
      </c>
      <c r="G230" s="4">
        <v>350146.18656160904</v>
      </c>
      <c r="H230" s="5">
        <f t="shared" si="1"/>
        <v>0</v>
      </c>
      <c r="I230" t="s">
        <v>148</v>
      </c>
      <c r="J230" t="s">
        <v>162</v>
      </c>
      <c r="K230" s="5">
        <f>340 / 86400</f>
        <v>3.9351851851851848E-3</v>
      </c>
      <c r="L230" s="5">
        <f>7 / 86400</f>
        <v>8.1018518518518516E-5</v>
      </c>
    </row>
    <row r="231" spans="1:12" x14ac:dyDescent="0.25">
      <c r="A231" s="3">
        <v>45711.281215277777</v>
      </c>
      <c r="B231" t="s">
        <v>237</v>
      </c>
      <c r="C231" s="3">
        <v>45711.284409722226</v>
      </c>
      <c r="D231" t="s">
        <v>248</v>
      </c>
      <c r="E231" s="4">
        <v>2.4310068789720534</v>
      </c>
      <c r="F231" s="4">
        <v>350146.21028745256</v>
      </c>
      <c r="G231" s="4">
        <v>350148.64129433152</v>
      </c>
      <c r="H231" s="5">
        <f t="shared" si="1"/>
        <v>0</v>
      </c>
      <c r="I231" t="s">
        <v>210</v>
      </c>
      <c r="J231" t="s">
        <v>94</v>
      </c>
      <c r="K231" s="5">
        <f>276 / 86400</f>
        <v>3.1944444444444446E-3</v>
      </c>
      <c r="L231" s="5">
        <f t="shared" ref="L231:L240" si="2">20 / 86400</f>
        <v>2.3148148148148149E-4</v>
      </c>
    </row>
    <row r="232" spans="1:12" x14ac:dyDescent="0.25">
      <c r="A232" s="3">
        <v>45711.284641203703</v>
      </c>
      <c r="B232" t="s">
        <v>248</v>
      </c>
      <c r="C232" s="3">
        <v>45711.287523148145</v>
      </c>
      <c r="D232" t="s">
        <v>44</v>
      </c>
      <c r="E232" s="4">
        <v>2.4830810134410859</v>
      </c>
      <c r="F232" s="4">
        <v>350148.64776934165</v>
      </c>
      <c r="G232" s="4">
        <v>350151.13085035508</v>
      </c>
      <c r="H232" s="5">
        <f t="shared" si="1"/>
        <v>0</v>
      </c>
      <c r="I232" t="s">
        <v>110</v>
      </c>
      <c r="J232" t="s">
        <v>176</v>
      </c>
      <c r="K232" s="5">
        <f>249 / 86400</f>
        <v>2.8819444444444444E-3</v>
      </c>
      <c r="L232" s="5">
        <f t="shared" si="2"/>
        <v>2.3148148148148149E-4</v>
      </c>
    </row>
    <row r="233" spans="1:12" x14ac:dyDescent="0.25">
      <c r="A233" s="3">
        <v>45711.287754629629</v>
      </c>
      <c r="B233" t="s">
        <v>44</v>
      </c>
      <c r="C233" s="3">
        <v>45711.288217592592</v>
      </c>
      <c r="D233" t="s">
        <v>249</v>
      </c>
      <c r="E233" s="4">
        <v>0.29717906767129898</v>
      </c>
      <c r="F233" s="4">
        <v>350151.1770512244</v>
      </c>
      <c r="G233" s="4">
        <v>350151.47423029208</v>
      </c>
      <c r="H233" s="5">
        <f t="shared" si="1"/>
        <v>0</v>
      </c>
      <c r="I233" t="s">
        <v>176</v>
      </c>
      <c r="J233" t="s">
        <v>149</v>
      </c>
      <c r="K233" s="5">
        <f>40 / 86400</f>
        <v>4.6296296296296298E-4</v>
      </c>
      <c r="L233" s="5">
        <f t="shared" si="2"/>
        <v>2.3148148148148149E-4</v>
      </c>
    </row>
    <row r="234" spans="1:12" x14ac:dyDescent="0.25">
      <c r="A234" s="3">
        <v>45711.288449074069</v>
      </c>
      <c r="B234" t="s">
        <v>250</v>
      </c>
      <c r="C234" s="3">
        <v>45711.289375</v>
      </c>
      <c r="D234" t="s">
        <v>251</v>
      </c>
      <c r="E234" s="4">
        <v>0.40340997749567031</v>
      </c>
      <c r="F234" s="4">
        <v>350151.62463538378</v>
      </c>
      <c r="G234" s="4">
        <v>350152.02804536128</v>
      </c>
      <c r="H234" s="5">
        <f t="shared" si="1"/>
        <v>0</v>
      </c>
      <c r="I234" t="s">
        <v>130</v>
      </c>
      <c r="J234" t="s">
        <v>38</v>
      </c>
      <c r="K234" s="5">
        <f>80 / 86400</f>
        <v>9.2592592592592596E-4</v>
      </c>
      <c r="L234" s="5">
        <f t="shared" si="2"/>
        <v>2.3148148148148149E-4</v>
      </c>
    </row>
    <row r="235" spans="1:12" x14ac:dyDescent="0.25">
      <c r="A235" s="3">
        <v>45711.289606481485</v>
      </c>
      <c r="B235" t="s">
        <v>251</v>
      </c>
      <c r="C235" s="3">
        <v>45711.29006944444</v>
      </c>
      <c r="D235" t="s">
        <v>252</v>
      </c>
      <c r="E235" s="4">
        <v>0.39544072514772416</v>
      </c>
      <c r="F235" s="4">
        <v>350152.05426776176</v>
      </c>
      <c r="G235" s="4">
        <v>350152.44970848691</v>
      </c>
      <c r="H235" s="5">
        <f t="shared" ref="H235:H298" si="3">0 / 86400</f>
        <v>0</v>
      </c>
      <c r="I235" t="s">
        <v>148</v>
      </c>
      <c r="J235" t="s">
        <v>176</v>
      </c>
      <c r="K235" s="5">
        <f>40 / 86400</f>
        <v>4.6296296296296298E-4</v>
      </c>
      <c r="L235" s="5">
        <f t="shared" si="2"/>
        <v>2.3148148148148149E-4</v>
      </c>
    </row>
    <row r="236" spans="1:12" x14ac:dyDescent="0.25">
      <c r="A236" s="3">
        <v>45711.290300925924</v>
      </c>
      <c r="B236" t="s">
        <v>253</v>
      </c>
      <c r="C236" s="3">
        <v>45711.291458333333</v>
      </c>
      <c r="D236" t="s">
        <v>254</v>
      </c>
      <c r="E236" s="4">
        <v>0.6595136463046074</v>
      </c>
      <c r="F236" s="4">
        <v>350152.54516472103</v>
      </c>
      <c r="G236" s="4">
        <v>350153.2046783673</v>
      </c>
      <c r="H236" s="5">
        <f t="shared" si="3"/>
        <v>0</v>
      </c>
      <c r="I236" t="s">
        <v>137</v>
      </c>
      <c r="J236" t="s">
        <v>31</v>
      </c>
      <c r="K236" s="5">
        <f>100 / 86400</f>
        <v>1.1574074074074073E-3</v>
      </c>
      <c r="L236" s="5">
        <f t="shared" si="2"/>
        <v>2.3148148148148149E-4</v>
      </c>
    </row>
    <row r="237" spans="1:12" x14ac:dyDescent="0.25">
      <c r="A237" s="3">
        <v>45711.291689814811</v>
      </c>
      <c r="B237" t="s">
        <v>254</v>
      </c>
      <c r="C237" s="3">
        <v>45711.291921296295</v>
      </c>
      <c r="D237" t="s">
        <v>44</v>
      </c>
      <c r="E237" s="4">
        <v>0.10600150895118714</v>
      </c>
      <c r="F237" s="4">
        <v>350153.23622469133</v>
      </c>
      <c r="G237" s="4">
        <v>350153.34222620027</v>
      </c>
      <c r="H237" s="5">
        <f t="shared" si="3"/>
        <v>0</v>
      </c>
      <c r="I237" t="s">
        <v>37</v>
      </c>
      <c r="J237" t="s">
        <v>37</v>
      </c>
      <c r="K237" s="5">
        <f>20 / 86400</f>
        <v>2.3148148148148149E-4</v>
      </c>
      <c r="L237" s="5">
        <f t="shared" si="2"/>
        <v>2.3148148148148149E-4</v>
      </c>
    </row>
    <row r="238" spans="1:12" x14ac:dyDescent="0.25">
      <c r="A238" s="3">
        <v>45711.29215277778</v>
      </c>
      <c r="B238" t="s">
        <v>44</v>
      </c>
      <c r="C238" s="3">
        <v>45711.292384259257</v>
      </c>
      <c r="D238" t="s">
        <v>44</v>
      </c>
      <c r="E238" s="4">
        <v>0.10542106860876084</v>
      </c>
      <c r="F238" s="4">
        <v>350153.34392401675</v>
      </c>
      <c r="G238" s="4">
        <v>350153.44934508536</v>
      </c>
      <c r="H238" s="5">
        <f t="shared" si="3"/>
        <v>0</v>
      </c>
      <c r="I238" t="s">
        <v>146</v>
      </c>
      <c r="J238" t="s">
        <v>37</v>
      </c>
      <c r="K238" s="5">
        <f>20 / 86400</f>
        <v>2.3148148148148149E-4</v>
      </c>
      <c r="L238" s="5">
        <f t="shared" si="2"/>
        <v>2.3148148148148149E-4</v>
      </c>
    </row>
    <row r="239" spans="1:12" x14ac:dyDescent="0.25">
      <c r="A239" s="3">
        <v>45711.292615740742</v>
      </c>
      <c r="B239" t="s">
        <v>255</v>
      </c>
      <c r="C239" s="3">
        <v>45711.293541666666</v>
      </c>
      <c r="D239" t="s">
        <v>255</v>
      </c>
      <c r="E239" s="4">
        <v>0.62514284658432007</v>
      </c>
      <c r="F239" s="4">
        <v>350153.5999663861</v>
      </c>
      <c r="G239" s="4">
        <v>350154.22510923265</v>
      </c>
      <c r="H239" s="5">
        <f t="shared" si="3"/>
        <v>0</v>
      </c>
      <c r="I239" t="s">
        <v>141</v>
      </c>
      <c r="J239" t="s">
        <v>138</v>
      </c>
      <c r="K239" s="5">
        <f>80 / 86400</f>
        <v>9.2592592592592596E-4</v>
      </c>
      <c r="L239" s="5">
        <f t="shared" si="2"/>
        <v>2.3148148148148149E-4</v>
      </c>
    </row>
    <row r="240" spans="1:12" x14ac:dyDescent="0.25">
      <c r="A240" s="3">
        <v>45711.293773148151</v>
      </c>
      <c r="B240" t="s">
        <v>255</v>
      </c>
      <c r="C240" s="3">
        <v>45711.294004629628</v>
      </c>
      <c r="D240" t="s">
        <v>256</v>
      </c>
      <c r="E240" s="4">
        <v>0.16891928309202195</v>
      </c>
      <c r="F240" s="4">
        <v>350154.2947969471</v>
      </c>
      <c r="G240" s="4">
        <v>350154.46371623024</v>
      </c>
      <c r="H240" s="5">
        <f t="shared" si="3"/>
        <v>0</v>
      </c>
      <c r="I240" t="s">
        <v>94</v>
      </c>
      <c r="J240" t="s">
        <v>162</v>
      </c>
      <c r="K240" s="5">
        <f>20 / 86400</f>
        <v>2.3148148148148149E-4</v>
      </c>
      <c r="L240" s="5">
        <f t="shared" si="2"/>
        <v>2.3148148148148149E-4</v>
      </c>
    </row>
    <row r="241" spans="1:12" x14ac:dyDescent="0.25">
      <c r="A241" s="3">
        <v>45711.294236111113</v>
      </c>
      <c r="B241" t="s">
        <v>257</v>
      </c>
      <c r="C241" s="3">
        <v>45711.300497685181</v>
      </c>
      <c r="D241" t="s">
        <v>258</v>
      </c>
      <c r="E241" s="4">
        <v>3.1390150579214096</v>
      </c>
      <c r="F241" s="4">
        <v>350154.58002338011</v>
      </c>
      <c r="G241" s="4">
        <v>350157.71903843799</v>
      </c>
      <c r="H241" s="5">
        <f t="shared" si="3"/>
        <v>0</v>
      </c>
      <c r="I241" t="s">
        <v>164</v>
      </c>
      <c r="J241" t="s">
        <v>67</v>
      </c>
      <c r="K241" s="5">
        <f>541 / 86400</f>
        <v>6.2615740740740739E-3</v>
      </c>
      <c r="L241" s="5">
        <f>381 / 86400</f>
        <v>4.409722222222222E-3</v>
      </c>
    </row>
    <row r="242" spans="1:12" x14ac:dyDescent="0.25">
      <c r="A242" s="3">
        <v>45711.304907407408</v>
      </c>
      <c r="B242" t="s">
        <v>258</v>
      </c>
      <c r="C242" s="3">
        <v>45711.306018518517</v>
      </c>
      <c r="D242" t="s">
        <v>259</v>
      </c>
      <c r="E242" s="4">
        <v>0.49180670714378355</v>
      </c>
      <c r="F242" s="4">
        <v>350157.7619924852</v>
      </c>
      <c r="G242" s="4">
        <v>350158.25379919237</v>
      </c>
      <c r="H242" s="5">
        <f t="shared" si="3"/>
        <v>0</v>
      </c>
      <c r="I242" t="s">
        <v>94</v>
      </c>
      <c r="J242" t="s">
        <v>38</v>
      </c>
      <c r="K242" s="5">
        <f>96 / 86400</f>
        <v>1.1111111111111111E-3</v>
      </c>
      <c r="L242" s="5">
        <f>20 / 86400</f>
        <v>2.3148148148148149E-4</v>
      </c>
    </row>
    <row r="243" spans="1:12" x14ac:dyDescent="0.25">
      <c r="A243" s="3">
        <v>45711.306250000001</v>
      </c>
      <c r="B243" t="s">
        <v>259</v>
      </c>
      <c r="C243" s="3">
        <v>45711.307175925926</v>
      </c>
      <c r="D243" t="s">
        <v>260</v>
      </c>
      <c r="E243" s="4">
        <v>0.28793661761283873</v>
      </c>
      <c r="F243" s="4">
        <v>350158.28685115452</v>
      </c>
      <c r="G243" s="4">
        <v>350158.57478777214</v>
      </c>
      <c r="H243" s="5">
        <f t="shared" si="3"/>
        <v>0</v>
      </c>
      <c r="I243" t="s">
        <v>119</v>
      </c>
      <c r="J243" t="s">
        <v>120</v>
      </c>
      <c r="K243" s="5">
        <f>80 / 86400</f>
        <v>9.2592592592592596E-4</v>
      </c>
      <c r="L243" s="5">
        <f>20 / 86400</f>
        <v>2.3148148148148149E-4</v>
      </c>
    </row>
    <row r="244" spans="1:12" x14ac:dyDescent="0.25">
      <c r="A244" s="3">
        <v>45711.30740740741</v>
      </c>
      <c r="B244" t="s">
        <v>260</v>
      </c>
      <c r="C244" s="3">
        <v>45711.307638888888</v>
      </c>
      <c r="D244" t="s">
        <v>261</v>
      </c>
      <c r="E244" s="4">
        <v>6.9495945513248447E-2</v>
      </c>
      <c r="F244" s="4">
        <v>350158.58259599883</v>
      </c>
      <c r="G244" s="4">
        <v>350158.65209194436</v>
      </c>
      <c r="H244" s="5">
        <f t="shared" si="3"/>
        <v>0</v>
      </c>
      <c r="I244" t="s">
        <v>20</v>
      </c>
      <c r="J244" t="s">
        <v>120</v>
      </c>
      <c r="K244" s="5">
        <f>20 / 86400</f>
        <v>2.3148148148148149E-4</v>
      </c>
      <c r="L244" s="5">
        <f>20 / 86400</f>
        <v>2.3148148148148149E-4</v>
      </c>
    </row>
    <row r="245" spans="1:12" x14ac:dyDescent="0.25">
      <c r="A245" s="3">
        <v>45711.307870370365</v>
      </c>
      <c r="B245" t="s">
        <v>261</v>
      </c>
      <c r="C245" s="3">
        <v>45711.309490740736</v>
      </c>
      <c r="D245" t="s">
        <v>262</v>
      </c>
      <c r="E245" s="4">
        <v>1.0916789072751998</v>
      </c>
      <c r="F245" s="4">
        <v>350158.73339825252</v>
      </c>
      <c r="G245" s="4">
        <v>350159.82507715974</v>
      </c>
      <c r="H245" s="5">
        <f t="shared" si="3"/>
        <v>0</v>
      </c>
      <c r="I245" t="s">
        <v>186</v>
      </c>
      <c r="J245" t="s">
        <v>138</v>
      </c>
      <c r="K245" s="5">
        <f>140 / 86400</f>
        <v>1.6203703703703703E-3</v>
      </c>
      <c r="L245" s="5">
        <f>40 / 86400</f>
        <v>4.6296296296296298E-4</v>
      </c>
    </row>
    <row r="246" spans="1:12" x14ac:dyDescent="0.25">
      <c r="A246" s="3">
        <v>45711.309953703705</v>
      </c>
      <c r="B246" t="s">
        <v>255</v>
      </c>
      <c r="C246" s="3">
        <v>45711.31086805556</v>
      </c>
      <c r="D246" t="s">
        <v>255</v>
      </c>
      <c r="E246" s="4">
        <v>0.54351182889938354</v>
      </c>
      <c r="F246" s="4">
        <v>350159.94220179477</v>
      </c>
      <c r="G246" s="4">
        <v>350160.48571362364</v>
      </c>
      <c r="H246" s="5">
        <f t="shared" si="3"/>
        <v>0</v>
      </c>
      <c r="I246" t="s">
        <v>72</v>
      </c>
      <c r="J246" t="s">
        <v>212</v>
      </c>
      <c r="K246" s="5">
        <f>79 / 86400</f>
        <v>9.1435185185185185E-4</v>
      </c>
      <c r="L246" s="5">
        <f>20 / 86400</f>
        <v>2.3148148148148149E-4</v>
      </c>
    </row>
    <row r="247" spans="1:12" x14ac:dyDescent="0.25">
      <c r="A247" s="3">
        <v>45711.311099537037</v>
      </c>
      <c r="B247" t="s">
        <v>255</v>
      </c>
      <c r="C247" s="3">
        <v>45711.315694444449</v>
      </c>
      <c r="D247" t="s">
        <v>235</v>
      </c>
      <c r="E247" s="4">
        <v>2.0375087457299235</v>
      </c>
      <c r="F247" s="4">
        <v>350160.57281032234</v>
      </c>
      <c r="G247" s="4">
        <v>350162.61031906807</v>
      </c>
      <c r="H247" s="5">
        <f t="shared" si="3"/>
        <v>0</v>
      </c>
      <c r="I247" t="s">
        <v>133</v>
      </c>
      <c r="J247" t="s">
        <v>38</v>
      </c>
      <c r="K247" s="5">
        <f>397 / 86400</f>
        <v>4.5949074074074078E-3</v>
      </c>
      <c r="L247" s="5">
        <f>40 / 86400</f>
        <v>4.6296296296296298E-4</v>
      </c>
    </row>
    <row r="248" spans="1:12" x14ac:dyDescent="0.25">
      <c r="A248" s="3">
        <v>45711.316157407404</v>
      </c>
      <c r="B248" t="s">
        <v>235</v>
      </c>
      <c r="C248" s="3">
        <v>45711.316388888888</v>
      </c>
      <c r="D248" t="s">
        <v>235</v>
      </c>
      <c r="E248" s="4">
        <v>1.674198865890503E-3</v>
      </c>
      <c r="F248" s="4">
        <v>350162.61544057314</v>
      </c>
      <c r="G248" s="4">
        <v>350162.61711477203</v>
      </c>
      <c r="H248" s="5">
        <f t="shared" si="3"/>
        <v>0</v>
      </c>
      <c r="I248" t="s">
        <v>21</v>
      </c>
      <c r="J248" t="s">
        <v>26</v>
      </c>
      <c r="K248" s="5">
        <f>20 / 86400</f>
        <v>2.3148148148148149E-4</v>
      </c>
      <c r="L248" s="5">
        <f>9 / 86400</f>
        <v>1.0416666666666667E-4</v>
      </c>
    </row>
    <row r="249" spans="1:12" x14ac:dyDescent="0.25">
      <c r="A249" s="3">
        <v>45711.31649305555</v>
      </c>
      <c r="B249" t="s">
        <v>235</v>
      </c>
      <c r="C249" s="3">
        <v>45711.316724537042</v>
      </c>
      <c r="D249" t="s">
        <v>236</v>
      </c>
      <c r="E249" s="4">
        <v>1.2260541379451751E-2</v>
      </c>
      <c r="F249" s="4">
        <v>350162.62153874064</v>
      </c>
      <c r="G249" s="4">
        <v>350162.63379928202</v>
      </c>
      <c r="H249" s="5">
        <f t="shared" si="3"/>
        <v>0</v>
      </c>
      <c r="I249" t="s">
        <v>146</v>
      </c>
      <c r="J249" t="s">
        <v>190</v>
      </c>
      <c r="K249" s="5">
        <f>20 / 86400</f>
        <v>2.3148148148148149E-4</v>
      </c>
      <c r="L249" s="5">
        <f>80 / 86400</f>
        <v>9.2592592592592596E-4</v>
      </c>
    </row>
    <row r="250" spans="1:12" x14ac:dyDescent="0.25">
      <c r="A250" s="3">
        <v>45711.317650462966</v>
      </c>
      <c r="B250" t="s">
        <v>236</v>
      </c>
      <c r="C250" s="3">
        <v>45711.319120370375</v>
      </c>
      <c r="D250" t="s">
        <v>251</v>
      </c>
      <c r="E250" s="4">
        <v>0.65031054967641833</v>
      </c>
      <c r="F250" s="4">
        <v>350162.64239704539</v>
      </c>
      <c r="G250" s="4">
        <v>350163.29270759504</v>
      </c>
      <c r="H250" s="5">
        <f t="shared" si="3"/>
        <v>0</v>
      </c>
      <c r="I250" t="s">
        <v>162</v>
      </c>
      <c r="J250" t="s">
        <v>38</v>
      </c>
      <c r="K250" s="5">
        <f>127 / 86400</f>
        <v>1.4699074074074074E-3</v>
      </c>
      <c r="L250" s="5">
        <f>60 / 86400</f>
        <v>6.9444444444444447E-4</v>
      </c>
    </row>
    <row r="251" spans="1:12" x14ac:dyDescent="0.25">
      <c r="A251" s="3">
        <v>45711.319814814815</v>
      </c>
      <c r="B251" t="s">
        <v>251</v>
      </c>
      <c r="C251" s="3">
        <v>45711.321203703701</v>
      </c>
      <c r="D251" t="s">
        <v>44</v>
      </c>
      <c r="E251" s="4">
        <v>0.83318802940845493</v>
      </c>
      <c r="F251" s="4">
        <v>350163.37332538498</v>
      </c>
      <c r="G251" s="4">
        <v>350164.20651341439</v>
      </c>
      <c r="H251" s="5">
        <f t="shared" si="3"/>
        <v>0</v>
      </c>
      <c r="I251" t="s">
        <v>176</v>
      </c>
      <c r="J251" t="s">
        <v>212</v>
      </c>
      <c r="K251" s="5">
        <f>120 / 86400</f>
        <v>1.3888888888888889E-3</v>
      </c>
      <c r="L251" s="5">
        <f>22 / 86400</f>
        <v>2.5462962962962961E-4</v>
      </c>
    </row>
    <row r="252" spans="1:12" x14ac:dyDescent="0.25">
      <c r="A252" s="3">
        <v>45711.321458333332</v>
      </c>
      <c r="B252" t="s">
        <v>44</v>
      </c>
      <c r="C252" s="3">
        <v>45711.324074074073</v>
      </c>
      <c r="D252" t="s">
        <v>248</v>
      </c>
      <c r="E252" s="4">
        <v>2.467704250872135</v>
      </c>
      <c r="F252" s="4">
        <v>350164.21946466493</v>
      </c>
      <c r="G252" s="4">
        <v>350166.68716891581</v>
      </c>
      <c r="H252" s="5">
        <f t="shared" si="3"/>
        <v>0</v>
      </c>
      <c r="I252" t="s">
        <v>124</v>
      </c>
      <c r="J252" t="s">
        <v>183</v>
      </c>
      <c r="K252" s="5">
        <f>226 / 86400</f>
        <v>2.6157407407407405E-3</v>
      </c>
      <c r="L252" s="5">
        <f>20 / 86400</f>
        <v>2.3148148148148149E-4</v>
      </c>
    </row>
    <row r="253" spans="1:12" x14ac:dyDescent="0.25">
      <c r="A253" s="3">
        <v>45711.32430555555</v>
      </c>
      <c r="B253" t="s">
        <v>248</v>
      </c>
      <c r="C253" s="3">
        <v>45711.324537037042</v>
      </c>
      <c r="D253" t="s">
        <v>248</v>
      </c>
      <c r="E253" s="4">
        <v>0.17430346012115477</v>
      </c>
      <c r="F253" s="4">
        <v>350166.75638984638</v>
      </c>
      <c r="G253" s="4">
        <v>350166.93069330649</v>
      </c>
      <c r="H253" s="5">
        <f t="shared" si="3"/>
        <v>0</v>
      </c>
      <c r="I253" t="s">
        <v>161</v>
      </c>
      <c r="J253" t="s">
        <v>119</v>
      </c>
      <c r="K253" s="5">
        <f>20 / 86400</f>
        <v>2.3148148148148149E-4</v>
      </c>
      <c r="L253" s="5">
        <f>20 / 86400</f>
        <v>2.3148148148148149E-4</v>
      </c>
    </row>
    <row r="254" spans="1:12" x14ac:dyDescent="0.25">
      <c r="A254" s="3">
        <v>45711.32476851852</v>
      </c>
      <c r="B254" t="s">
        <v>248</v>
      </c>
      <c r="C254" s="3">
        <v>45711.325231481482</v>
      </c>
      <c r="D254" t="s">
        <v>248</v>
      </c>
      <c r="E254" s="4">
        <v>0.20304177647829055</v>
      </c>
      <c r="F254" s="4">
        <v>350167.11437992984</v>
      </c>
      <c r="G254" s="4">
        <v>350167.31742170634</v>
      </c>
      <c r="H254" s="5">
        <f t="shared" si="3"/>
        <v>0</v>
      </c>
      <c r="I254" t="s">
        <v>185</v>
      </c>
      <c r="J254" t="s">
        <v>38</v>
      </c>
      <c r="K254" s="5">
        <f>40 / 86400</f>
        <v>4.6296296296296298E-4</v>
      </c>
      <c r="L254" s="5">
        <f>20 / 86400</f>
        <v>2.3148148148148149E-4</v>
      </c>
    </row>
    <row r="255" spans="1:12" x14ac:dyDescent="0.25">
      <c r="A255" s="3">
        <v>45711.325462962966</v>
      </c>
      <c r="B255" t="s">
        <v>263</v>
      </c>
      <c r="C255" s="3">
        <v>45711.331238425926</v>
      </c>
      <c r="D255" t="s">
        <v>29</v>
      </c>
      <c r="E255" s="4">
        <v>4.7349259365200993</v>
      </c>
      <c r="F255" s="4">
        <v>350167.48135445424</v>
      </c>
      <c r="G255" s="4">
        <v>350172.21628039074</v>
      </c>
      <c r="H255" s="5">
        <f t="shared" si="3"/>
        <v>0</v>
      </c>
      <c r="I255" t="s">
        <v>110</v>
      </c>
      <c r="J255" t="s">
        <v>72</v>
      </c>
      <c r="K255" s="5">
        <f>499 / 86400</f>
        <v>5.7754629629629631E-3</v>
      </c>
      <c r="L255" s="5">
        <f>20 / 86400</f>
        <v>2.3148148148148149E-4</v>
      </c>
    </row>
    <row r="256" spans="1:12" x14ac:dyDescent="0.25">
      <c r="A256" s="3">
        <v>45711.331469907411</v>
      </c>
      <c r="B256" t="s">
        <v>29</v>
      </c>
      <c r="C256" s="3">
        <v>45711.333321759259</v>
      </c>
      <c r="D256" t="s">
        <v>136</v>
      </c>
      <c r="E256" s="4">
        <v>1.2843306624293327</v>
      </c>
      <c r="F256" s="4">
        <v>350172.24921060971</v>
      </c>
      <c r="G256" s="4">
        <v>350173.53354127216</v>
      </c>
      <c r="H256" s="5">
        <f t="shared" si="3"/>
        <v>0</v>
      </c>
      <c r="I256" t="s">
        <v>140</v>
      </c>
      <c r="J256" t="s">
        <v>130</v>
      </c>
      <c r="K256" s="5">
        <f>160 / 86400</f>
        <v>1.8518518518518519E-3</v>
      </c>
      <c r="L256" s="5">
        <f>40 / 86400</f>
        <v>4.6296296296296298E-4</v>
      </c>
    </row>
    <row r="257" spans="1:12" x14ac:dyDescent="0.25">
      <c r="A257" s="3">
        <v>45711.333784722221</v>
      </c>
      <c r="B257" t="s">
        <v>136</v>
      </c>
      <c r="C257" s="3">
        <v>45711.334247685183</v>
      </c>
      <c r="D257" t="s">
        <v>229</v>
      </c>
      <c r="E257" s="4">
        <v>0.32697700107097627</v>
      </c>
      <c r="F257" s="4">
        <v>350173.54314928042</v>
      </c>
      <c r="G257" s="4">
        <v>350173.87012628152</v>
      </c>
      <c r="H257" s="5">
        <f t="shared" si="3"/>
        <v>0</v>
      </c>
      <c r="I257" t="s">
        <v>180</v>
      </c>
      <c r="J257" t="s">
        <v>130</v>
      </c>
      <c r="K257" s="5">
        <f>40 / 86400</f>
        <v>4.6296296296296298E-4</v>
      </c>
      <c r="L257" s="5">
        <f>20 / 86400</f>
        <v>2.3148148148148149E-4</v>
      </c>
    </row>
    <row r="258" spans="1:12" x14ac:dyDescent="0.25">
      <c r="A258" s="3">
        <v>45711.334479166668</v>
      </c>
      <c r="B258" t="s">
        <v>229</v>
      </c>
      <c r="C258" s="3">
        <v>45711.335636574076</v>
      </c>
      <c r="D258" t="s">
        <v>231</v>
      </c>
      <c r="E258" s="4">
        <v>0.98233614689111715</v>
      </c>
      <c r="F258" s="4">
        <v>350173.97892661969</v>
      </c>
      <c r="G258" s="4">
        <v>350174.96126276662</v>
      </c>
      <c r="H258" s="5">
        <f t="shared" si="3"/>
        <v>0</v>
      </c>
      <c r="I258" t="s">
        <v>185</v>
      </c>
      <c r="J258" t="s">
        <v>134</v>
      </c>
      <c r="K258" s="5">
        <f>100 / 86400</f>
        <v>1.1574074074074073E-3</v>
      </c>
      <c r="L258" s="5">
        <f>20 / 86400</f>
        <v>2.3148148148148149E-4</v>
      </c>
    </row>
    <row r="259" spans="1:12" x14ac:dyDescent="0.25">
      <c r="A259" s="3">
        <v>45711.335868055554</v>
      </c>
      <c r="B259" t="s">
        <v>231</v>
      </c>
      <c r="C259" s="3">
        <v>45711.336793981478</v>
      </c>
      <c r="D259" t="s">
        <v>50</v>
      </c>
      <c r="E259" s="4">
        <v>1.0555134457349777</v>
      </c>
      <c r="F259" s="4">
        <v>350175.08561923762</v>
      </c>
      <c r="G259" s="4">
        <v>350176.14113268332</v>
      </c>
      <c r="H259" s="5">
        <f t="shared" si="3"/>
        <v>0</v>
      </c>
      <c r="I259" t="s">
        <v>46</v>
      </c>
      <c r="J259" t="s">
        <v>141</v>
      </c>
      <c r="K259" s="5">
        <f>80 / 86400</f>
        <v>9.2592592592592596E-4</v>
      </c>
      <c r="L259" s="5">
        <f>20 / 86400</f>
        <v>2.3148148148148149E-4</v>
      </c>
    </row>
    <row r="260" spans="1:12" x14ac:dyDescent="0.25">
      <c r="A260" s="3">
        <v>45711.337025462963</v>
      </c>
      <c r="B260" t="s">
        <v>229</v>
      </c>
      <c r="C260" s="3">
        <v>45711.338182870371</v>
      </c>
      <c r="D260" t="s">
        <v>229</v>
      </c>
      <c r="E260" s="4">
        <v>0.76244672614336018</v>
      </c>
      <c r="F260" s="4">
        <v>350176.28915656736</v>
      </c>
      <c r="G260" s="4">
        <v>350177.05160329345</v>
      </c>
      <c r="H260" s="5">
        <f t="shared" si="3"/>
        <v>0</v>
      </c>
      <c r="I260" t="s">
        <v>147</v>
      </c>
      <c r="J260" t="s">
        <v>149</v>
      </c>
      <c r="K260" s="5">
        <f>100 / 86400</f>
        <v>1.1574074074074073E-3</v>
      </c>
      <c r="L260" s="5">
        <f>20 / 86400</f>
        <v>2.3148148148148149E-4</v>
      </c>
    </row>
    <row r="261" spans="1:12" x14ac:dyDescent="0.25">
      <c r="A261" s="3">
        <v>45711.338414351849</v>
      </c>
      <c r="B261" t="s">
        <v>229</v>
      </c>
      <c r="C261" s="3">
        <v>45711.339108796295</v>
      </c>
      <c r="D261" t="s">
        <v>74</v>
      </c>
      <c r="E261" s="4">
        <v>0.33791349142789839</v>
      </c>
      <c r="F261" s="4">
        <v>350177.10810527188</v>
      </c>
      <c r="G261" s="4">
        <v>350177.44601876329</v>
      </c>
      <c r="H261" s="5">
        <f t="shared" si="3"/>
        <v>0</v>
      </c>
      <c r="I261" t="s">
        <v>134</v>
      </c>
      <c r="J261" t="s">
        <v>24</v>
      </c>
      <c r="K261" s="5">
        <f>60 / 86400</f>
        <v>6.9444444444444447E-4</v>
      </c>
      <c r="L261" s="5">
        <f>60 / 86400</f>
        <v>6.9444444444444447E-4</v>
      </c>
    </row>
    <row r="262" spans="1:12" x14ac:dyDescent="0.25">
      <c r="A262" s="3">
        <v>45711.339803240742</v>
      </c>
      <c r="B262" t="s">
        <v>74</v>
      </c>
      <c r="C262" s="3">
        <v>45711.343043981484</v>
      </c>
      <c r="D262" t="s">
        <v>102</v>
      </c>
      <c r="E262" s="4">
        <v>2.4454935868382455</v>
      </c>
      <c r="F262" s="4">
        <v>350177.48569485568</v>
      </c>
      <c r="G262" s="4">
        <v>350179.93118844251</v>
      </c>
      <c r="H262" s="5">
        <f t="shared" si="3"/>
        <v>0</v>
      </c>
      <c r="I262" t="s">
        <v>166</v>
      </c>
      <c r="J262" t="s">
        <v>119</v>
      </c>
      <c r="K262" s="5">
        <f>280 / 86400</f>
        <v>3.2407407407407406E-3</v>
      </c>
      <c r="L262" s="5">
        <f>20 / 86400</f>
        <v>2.3148148148148149E-4</v>
      </c>
    </row>
    <row r="263" spans="1:12" x14ac:dyDescent="0.25">
      <c r="A263" s="3">
        <v>45711.343275462961</v>
      </c>
      <c r="B263" t="s">
        <v>102</v>
      </c>
      <c r="C263" s="3">
        <v>45711.343506944446</v>
      </c>
      <c r="D263" t="s">
        <v>65</v>
      </c>
      <c r="E263" s="4">
        <v>3.6685608983039859E-2</v>
      </c>
      <c r="F263" s="4">
        <v>350179.93200932653</v>
      </c>
      <c r="G263" s="4">
        <v>350179.96869493549</v>
      </c>
      <c r="H263" s="5">
        <f t="shared" si="3"/>
        <v>0</v>
      </c>
      <c r="I263" t="s">
        <v>69</v>
      </c>
      <c r="J263" t="s">
        <v>33</v>
      </c>
      <c r="K263" s="5">
        <f>20 / 86400</f>
        <v>2.3148148148148149E-4</v>
      </c>
      <c r="L263" s="5">
        <f>20 / 86400</f>
        <v>2.3148148148148149E-4</v>
      </c>
    </row>
    <row r="264" spans="1:12" x14ac:dyDescent="0.25">
      <c r="A264" s="3">
        <v>45711.34373842593</v>
      </c>
      <c r="B264" t="s">
        <v>102</v>
      </c>
      <c r="C264" s="3">
        <v>45711.344664351855</v>
      </c>
      <c r="D264" t="s">
        <v>102</v>
      </c>
      <c r="E264" s="4">
        <v>0.6761470658779144</v>
      </c>
      <c r="F264" s="4">
        <v>350180.09561248432</v>
      </c>
      <c r="G264" s="4">
        <v>350180.7717595502</v>
      </c>
      <c r="H264" s="5">
        <f t="shared" si="3"/>
        <v>0</v>
      </c>
      <c r="I264" t="s">
        <v>239</v>
      </c>
      <c r="J264" t="s">
        <v>162</v>
      </c>
      <c r="K264" s="5">
        <f>80 / 86400</f>
        <v>9.2592592592592596E-4</v>
      </c>
      <c r="L264" s="5">
        <f>20 / 86400</f>
        <v>2.3148148148148149E-4</v>
      </c>
    </row>
    <row r="265" spans="1:12" x14ac:dyDescent="0.25">
      <c r="A265" s="3">
        <v>45711.344895833332</v>
      </c>
      <c r="B265" t="s">
        <v>102</v>
      </c>
      <c r="C265" s="3">
        <v>45711.345127314809</v>
      </c>
      <c r="D265" t="s">
        <v>102</v>
      </c>
      <c r="E265" s="4">
        <v>5.2150885462760926E-3</v>
      </c>
      <c r="F265" s="4">
        <v>350180.77810004354</v>
      </c>
      <c r="G265" s="4">
        <v>350180.78331513208</v>
      </c>
      <c r="H265" s="5">
        <f t="shared" si="3"/>
        <v>0</v>
      </c>
      <c r="I265" t="s">
        <v>21</v>
      </c>
      <c r="J265" t="s">
        <v>21</v>
      </c>
      <c r="K265" s="5">
        <f>20 / 86400</f>
        <v>2.3148148148148149E-4</v>
      </c>
      <c r="L265" s="5">
        <f>20 / 86400</f>
        <v>2.3148148148148149E-4</v>
      </c>
    </row>
    <row r="266" spans="1:12" x14ac:dyDescent="0.25">
      <c r="A266" s="3">
        <v>45711.345358796301</v>
      </c>
      <c r="B266" t="s">
        <v>102</v>
      </c>
      <c r="C266" s="3">
        <v>45711.346979166672</v>
      </c>
      <c r="D266" t="s">
        <v>102</v>
      </c>
      <c r="E266" s="4">
        <v>0.90366151380538939</v>
      </c>
      <c r="F266" s="4">
        <v>350180.78413099487</v>
      </c>
      <c r="G266" s="4">
        <v>350181.68779250869</v>
      </c>
      <c r="H266" s="5">
        <f t="shared" si="3"/>
        <v>0</v>
      </c>
      <c r="I266" t="s">
        <v>180</v>
      </c>
      <c r="J266" t="s">
        <v>142</v>
      </c>
      <c r="K266" s="5">
        <f>140 / 86400</f>
        <v>1.6203703703703703E-3</v>
      </c>
      <c r="L266" s="5">
        <f>20 / 86400</f>
        <v>2.3148148148148149E-4</v>
      </c>
    </row>
    <row r="267" spans="1:12" x14ac:dyDescent="0.25">
      <c r="A267" s="3">
        <v>45711.347210648149</v>
      </c>
      <c r="B267" t="s">
        <v>102</v>
      </c>
      <c r="C267" s="3">
        <v>45711.347673611112</v>
      </c>
      <c r="D267" t="s">
        <v>102</v>
      </c>
      <c r="E267" s="4">
        <v>1.1400588274002076E-2</v>
      </c>
      <c r="F267" s="4">
        <v>350181.70728812728</v>
      </c>
      <c r="G267" s="4">
        <v>350181.7186887156</v>
      </c>
      <c r="H267" s="5">
        <f t="shared" si="3"/>
        <v>0</v>
      </c>
      <c r="I267" t="s">
        <v>41</v>
      </c>
      <c r="J267" t="s">
        <v>21</v>
      </c>
      <c r="K267" s="5">
        <f>40 / 86400</f>
        <v>4.6296296296296298E-4</v>
      </c>
      <c r="L267" s="5">
        <f>9 / 86400</f>
        <v>1.0416666666666667E-4</v>
      </c>
    </row>
    <row r="268" spans="1:12" x14ac:dyDescent="0.25">
      <c r="A268" s="3">
        <v>45711.347777777773</v>
      </c>
      <c r="B268" t="s">
        <v>102</v>
      </c>
      <c r="C268" s="3">
        <v>45711.351018518515</v>
      </c>
      <c r="D268" t="s">
        <v>81</v>
      </c>
      <c r="E268" s="4">
        <v>2.6921972993016241</v>
      </c>
      <c r="F268" s="4">
        <v>350181.72311147378</v>
      </c>
      <c r="G268" s="4">
        <v>350184.41530877311</v>
      </c>
      <c r="H268" s="5">
        <f t="shared" si="3"/>
        <v>0</v>
      </c>
      <c r="I268" t="s">
        <v>110</v>
      </c>
      <c r="J268" t="s">
        <v>134</v>
      </c>
      <c r="K268" s="5">
        <f>280 / 86400</f>
        <v>3.2407407407407406E-3</v>
      </c>
      <c r="L268" s="5">
        <f>20 / 86400</f>
        <v>2.3148148148148149E-4</v>
      </c>
    </row>
    <row r="269" spans="1:12" x14ac:dyDescent="0.25">
      <c r="A269" s="3">
        <v>45711.35125</v>
      </c>
      <c r="B269" t="s">
        <v>81</v>
      </c>
      <c r="C269" s="3">
        <v>45711.353113425925</v>
      </c>
      <c r="D269" t="s">
        <v>126</v>
      </c>
      <c r="E269" s="4">
        <v>0.89489874297380445</v>
      </c>
      <c r="F269" s="4">
        <v>350184.4223826633</v>
      </c>
      <c r="G269" s="4">
        <v>350185.31728140626</v>
      </c>
      <c r="H269" s="5">
        <f t="shared" si="3"/>
        <v>0</v>
      </c>
      <c r="I269" t="s">
        <v>161</v>
      </c>
      <c r="J269" t="s">
        <v>24</v>
      </c>
      <c r="K269" s="5">
        <f>161 / 86400</f>
        <v>1.8634259259259259E-3</v>
      </c>
      <c r="L269" s="5">
        <f>120 / 86400</f>
        <v>1.3888888888888889E-3</v>
      </c>
    </row>
    <row r="270" spans="1:12" x14ac:dyDescent="0.25">
      <c r="A270" s="3">
        <v>45711.354502314818</v>
      </c>
      <c r="B270" t="s">
        <v>126</v>
      </c>
      <c r="C270" s="3">
        <v>45711.35565972222</v>
      </c>
      <c r="D270" t="s">
        <v>81</v>
      </c>
      <c r="E270" s="4">
        <v>0.98713590484857561</v>
      </c>
      <c r="F270" s="4">
        <v>350185.35867068276</v>
      </c>
      <c r="G270" s="4">
        <v>350186.34580658766</v>
      </c>
      <c r="H270" s="5">
        <f t="shared" si="3"/>
        <v>0</v>
      </c>
      <c r="I270" t="s">
        <v>180</v>
      </c>
      <c r="J270" t="s">
        <v>176</v>
      </c>
      <c r="K270" s="5">
        <f>100 / 86400</f>
        <v>1.1574074074074073E-3</v>
      </c>
      <c r="L270" s="5">
        <f>20 / 86400</f>
        <v>2.3148148148148149E-4</v>
      </c>
    </row>
    <row r="271" spans="1:12" x14ac:dyDescent="0.25">
      <c r="A271" s="3">
        <v>45711.355891203704</v>
      </c>
      <c r="B271" t="s">
        <v>81</v>
      </c>
      <c r="C271" s="3">
        <v>45711.362071759257</v>
      </c>
      <c r="D271" t="s">
        <v>150</v>
      </c>
      <c r="E271" s="4">
        <v>3.2465032849311828</v>
      </c>
      <c r="F271" s="4">
        <v>350186.44585113751</v>
      </c>
      <c r="G271" s="4">
        <v>350189.69235442247</v>
      </c>
      <c r="H271" s="5">
        <f t="shared" si="3"/>
        <v>0</v>
      </c>
      <c r="I271" t="s">
        <v>210</v>
      </c>
      <c r="J271" t="s">
        <v>91</v>
      </c>
      <c r="K271" s="5">
        <f>534 / 86400</f>
        <v>6.1805555555555555E-3</v>
      </c>
      <c r="L271" s="5">
        <f>15 / 86400</f>
        <v>1.7361111111111112E-4</v>
      </c>
    </row>
    <row r="272" spans="1:12" x14ac:dyDescent="0.25">
      <c r="A272" s="3">
        <v>45711.362245370372</v>
      </c>
      <c r="B272" t="s">
        <v>264</v>
      </c>
      <c r="C272" s="3">
        <v>45711.362812499996</v>
      </c>
      <c r="D272" t="s">
        <v>53</v>
      </c>
      <c r="E272" s="4">
        <v>0.16615698730945588</v>
      </c>
      <c r="F272" s="4">
        <v>350189.82817656861</v>
      </c>
      <c r="G272" s="4">
        <v>350189.99433355592</v>
      </c>
      <c r="H272" s="5">
        <f t="shared" si="3"/>
        <v>0</v>
      </c>
      <c r="I272" t="s">
        <v>112</v>
      </c>
      <c r="J272" t="s">
        <v>128</v>
      </c>
      <c r="K272" s="5">
        <f>49 / 86400</f>
        <v>5.6712962962962967E-4</v>
      </c>
      <c r="L272" s="5">
        <f>20 / 86400</f>
        <v>2.3148148148148149E-4</v>
      </c>
    </row>
    <row r="273" spans="1:12" x14ac:dyDescent="0.25">
      <c r="A273" s="3">
        <v>45711.363043981481</v>
      </c>
      <c r="B273" t="s">
        <v>53</v>
      </c>
      <c r="C273" s="3">
        <v>45711.364201388889</v>
      </c>
      <c r="D273" t="s">
        <v>151</v>
      </c>
      <c r="E273" s="4">
        <v>0.31418660908937457</v>
      </c>
      <c r="F273" s="4">
        <v>350190.08856011153</v>
      </c>
      <c r="G273" s="4">
        <v>350190.40274672059</v>
      </c>
      <c r="H273" s="5">
        <f t="shared" si="3"/>
        <v>0</v>
      </c>
      <c r="I273" t="s">
        <v>138</v>
      </c>
      <c r="J273" t="s">
        <v>41</v>
      </c>
      <c r="K273" s="5">
        <f>100 / 86400</f>
        <v>1.1574074074074073E-3</v>
      </c>
      <c r="L273" s="5">
        <f>40 / 86400</f>
        <v>4.6296296296296298E-4</v>
      </c>
    </row>
    <row r="274" spans="1:12" x14ac:dyDescent="0.25">
      <c r="A274" s="3">
        <v>45711.364664351851</v>
      </c>
      <c r="B274" t="s">
        <v>152</v>
      </c>
      <c r="C274" s="3">
        <v>45711.368599537032</v>
      </c>
      <c r="D274" t="s">
        <v>90</v>
      </c>
      <c r="E274" s="4">
        <v>2.1350655153393747</v>
      </c>
      <c r="F274" s="4">
        <v>350190.4234004863</v>
      </c>
      <c r="G274" s="4">
        <v>350192.55846600165</v>
      </c>
      <c r="H274" s="5">
        <f t="shared" si="3"/>
        <v>0</v>
      </c>
      <c r="I274" t="s">
        <v>161</v>
      </c>
      <c r="J274" t="s">
        <v>142</v>
      </c>
      <c r="K274" s="5">
        <f>340 / 86400</f>
        <v>3.9351851851851848E-3</v>
      </c>
      <c r="L274" s="5">
        <f>20 / 86400</f>
        <v>2.3148148148148149E-4</v>
      </c>
    </row>
    <row r="275" spans="1:12" x14ac:dyDescent="0.25">
      <c r="A275" s="3">
        <v>45711.368831018517</v>
      </c>
      <c r="B275" t="s">
        <v>90</v>
      </c>
      <c r="C275" s="3">
        <v>45711.369293981479</v>
      </c>
      <c r="D275" t="s">
        <v>90</v>
      </c>
      <c r="E275" s="4">
        <v>0.13780248922109603</v>
      </c>
      <c r="F275" s="4">
        <v>350192.63080025848</v>
      </c>
      <c r="G275" s="4">
        <v>350192.7686027477</v>
      </c>
      <c r="H275" s="5">
        <f t="shared" si="3"/>
        <v>0</v>
      </c>
      <c r="I275" t="s">
        <v>67</v>
      </c>
      <c r="J275" t="s">
        <v>128</v>
      </c>
      <c r="K275" s="5">
        <f>40 / 86400</f>
        <v>4.6296296296296298E-4</v>
      </c>
      <c r="L275" s="5">
        <f>20 / 86400</f>
        <v>2.3148148148148149E-4</v>
      </c>
    </row>
    <row r="276" spans="1:12" x14ac:dyDescent="0.25">
      <c r="A276" s="3">
        <v>45711.369525462964</v>
      </c>
      <c r="B276" t="s">
        <v>90</v>
      </c>
      <c r="C276" s="3">
        <v>45711.369756944448</v>
      </c>
      <c r="D276" t="s">
        <v>171</v>
      </c>
      <c r="E276" s="4">
        <v>2.8282023429870604E-2</v>
      </c>
      <c r="F276" s="4">
        <v>350192.78699556761</v>
      </c>
      <c r="G276" s="4">
        <v>350192.81527759106</v>
      </c>
      <c r="H276" s="5">
        <f t="shared" si="3"/>
        <v>0</v>
      </c>
      <c r="I276" t="s">
        <v>41</v>
      </c>
      <c r="J276" t="s">
        <v>34</v>
      </c>
      <c r="K276" s="5">
        <f>20 / 86400</f>
        <v>2.3148148148148149E-4</v>
      </c>
      <c r="L276" s="5">
        <f>40 / 86400</f>
        <v>4.6296296296296298E-4</v>
      </c>
    </row>
    <row r="277" spans="1:12" x14ac:dyDescent="0.25">
      <c r="A277" s="3">
        <v>45711.370219907403</v>
      </c>
      <c r="B277" t="s">
        <v>171</v>
      </c>
      <c r="C277" s="3">
        <v>45711.37091435185</v>
      </c>
      <c r="D277" t="s">
        <v>265</v>
      </c>
      <c r="E277" s="4">
        <v>0.35135695534944533</v>
      </c>
      <c r="F277" s="4">
        <v>350193.00838183204</v>
      </c>
      <c r="G277" s="4">
        <v>350193.3597387874</v>
      </c>
      <c r="H277" s="5">
        <f t="shared" si="3"/>
        <v>0</v>
      </c>
      <c r="I277" t="s">
        <v>137</v>
      </c>
      <c r="J277" t="s">
        <v>67</v>
      </c>
      <c r="K277" s="5">
        <f>60 / 86400</f>
        <v>6.9444444444444447E-4</v>
      </c>
      <c r="L277" s="5">
        <f>36 / 86400</f>
        <v>4.1666666666666669E-4</v>
      </c>
    </row>
    <row r="278" spans="1:12" x14ac:dyDescent="0.25">
      <c r="A278" s="3">
        <v>45711.371331018519</v>
      </c>
      <c r="B278" t="s">
        <v>171</v>
      </c>
      <c r="C278" s="3">
        <v>45711.371562500004</v>
      </c>
      <c r="D278" t="s">
        <v>171</v>
      </c>
      <c r="E278" s="4">
        <v>1.3949805319309234E-2</v>
      </c>
      <c r="F278" s="4">
        <v>350193.37083377392</v>
      </c>
      <c r="G278" s="4">
        <v>350193.38478357921</v>
      </c>
      <c r="H278" s="5">
        <f t="shared" si="3"/>
        <v>0</v>
      </c>
      <c r="I278" t="s">
        <v>33</v>
      </c>
      <c r="J278" t="s">
        <v>69</v>
      </c>
      <c r="K278" s="5">
        <f>20 / 86400</f>
        <v>2.3148148148148149E-4</v>
      </c>
      <c r="L278" s="5">
        <f>20 / 86400</f>
        <v>2.3148148148148149E-4</v>
      </c>
    </row>
    <row r="279" spans="1:12" x14ac:dyDescent="0.25">
      <c r="A279" s="3">
        <v>45711.371793981481</v>
      </c>
      <c r="B279" t="s">
        <v>171</v>
      </c>
      <c r="C279" s="3">
        <v>45711.37364583333</v>
      </c>
      <c r="D279" t="s">
        <v>158</v>
      </c>
      <c r="E279" s="4">
        <v>0.73833013284206395</v>
      </c>
      <c r="F279" s="4">
        <v>350193.43290697178</v>
      </c>
      <c r="G279" s="4">
        <v>350194.17123710457</v>
      </c>
      <c r="H279" s="5">
        <f t="shared" si="3"/>
        <v>0</v>
      </c>
      <c r="I279" t="s">
        <v>94</v>
      </c>
      <c r="J279" t="s">
        <v>58</v>
      </c>
      <c r="K279" s="5">
        <f>160 / 86400</f>
        <v>1.8518518518518519E-3</v>
      </c>
      <c r="L279" s="5">
        <f>20 / 86400</f>
        <v>2.3148148148148149E-4</v>
      </c>
    </row>
    <row r="280" spans="1:12" x14ac:dyDescent="0.25">
      <c r="A280" s="3">
        <v>45711.373877314814</v>
      </c>
      <c r="B280" t="s">
        <v>218</v>
      </c>
      <c r="C280" s="3">
        <v>45711.374340277776</v>
      </c>
      <c r="D280" t="s">
        <v>218</v>
      </c>
      <c r="E280" s="4">
        <v>0.29812368720769883</v>
      </c>
      <c r="F280" s="4">
        <v>350194.23390102526</v>
      </c>
      <c r="G280" s="4">
        <v>350194.53202471242</v>
      </c>
      <c r="H280" s="5">
        <f t="shared" si="3"/>
        <v>0</v>
      </c>
      <c r="I280" t="s">
        <v>130</v>
      </c>
      <c r="J280" t="s">
        <v>149</v>
      </c>
      <c r="K280" s="5">
        <f>40 / 86400</f>
        <v>4.6296296296296298E-4</v>
      </c>
      <c r="L280" s="5">
        <f>20 / 86400</f>
        <v>2.3148148148148149E-4</v>
      </c>
    </row>
    <row r="281" spans="1:12" x14ac:dyDescent="0.25">
      <c r="A281" s="3">
        <v>45711.374571759261</v>
      </c>
      <c r="B281" t="s">
        <v>218</v>
      </c>
      <c r="C281" s="3">
        <v>45711.374803240746</v>
      </c>
      <c r="D281" t="s">
        <v>218</v>
      </c>
      <c r="E281" s="4">
        <v>8.5618026256561286E-2</v>
      </c>
      <c r="F281" s="4">
        <v>350194.63561001385</v>
      </c>
      <c r="G281" s="4">
        <v>350194.72122804011</v>
      </c>
      <c r="H281" s="5">
        <f t="shared" si="3"/>
        <v>0</v>
      </c>
      <c r="I281" t="s">
        <v>176</v>
      </c>
      <c r="J281" t="s">
        <v>47</v>
      </c>
      <c r="K281" s="5">
        <f>20 / 86400</f>
        <v>2.3148148148148149E-4</v>
      </c>
      <c r="L281" s="5">
        <f>40 / 86400</f>
        <v>4.6296296296296298E-4</v>
      </c>
    </row>
    <row r="282" spans="1:12" x14ac:dyDescent="0.25">
      <c r="A282" s="3">
        <v>45711.3752662037</v>
      </c>
      <c r="B282" t="s">
        <v>218</v>
      </c>
      <c r="C282" s="3">
        <v>45711.377256944441</v>
      </c>
      <c r="D282" t="s">
        <v>168</v>
      </c>
      <c r="E282" s="4">
        <v>0.90519546937942508</v>
      </c>
      <c r="F282" s="4">
        <v>350194.80831083941</v>
      </c>
      <c r="G282" s="4">
        <v>350195.71350630879</v>
      </c>
      <c r="H282" s="5">
        <f t="shared" si="3"/>
        <v>0</v>
      </c>
      <c r="I282" t="s">
        <v>161</v>
      </c>
      <c r="J282" t="s">
        <v>37</v>
      </c>
      <c r="K282" s="5">
        <f>172 / 86400</f>
        <v>1.9907407407407408E-3</v>
      </c>
      <c r="L282" s="5">
        <f>33 / 86400</f>
        <v>3.8194444444444446E-4</v>
      </c>
    </row>
    <row r="283" spans="1:12" x14ac:dyDescent="0.25">
      <c r="A283" s="3">
        <v>45711.377638888887</v>
      </c>
      <c r="B283" t="s">
        <v>191</v>
      </c>
      <c r="C283" s="3">
        <v>45711.380173611113</v>
      </c>
      <c r="D283" t="s">
        <v>266</v>
      </c>
      <c r="E283" s="4">
        <v>1.1398770968914032</v>
      </c>
      <c r="F283" s="4">
        <v>350195.74720729049</v>
      </c>
      <c r="G283" s="4">
        <v>350196.88708438736</v>
      </c>
      <c r="H283" s="5">
        <f t="shared" si="3"/>
        <v>0</v>
      </c>
      <c r="I283" t="s">
        <v>130</v>
      </c>
      <c r="J283" t="s">
        <v>37</v>
      </c>
      <c r="K283" s="5">
        <f>219 / 86400</f>
        <v>2.5347222222222221E-3</v>
      </c>
      <c r="L283" s="5">
        <f>20 / 86400</f>
        <v>2.3148148148148149E-4</v>
      </c>
    </row>
    <row r="284" spans="1:12" x14ac:dyDescent="0.25">
      <c r="A284" s="3">
        <v>45711.380405092597</v>
      </c>
      <c r="B284" t="s">
        <v>267</v>
      </c>
      <c r="C284" s="3">
        <v>45711.380868055552</v>
      </c>
      <c r="D284" t="s">
        <v>268</v>
      </c>
      <c r="E284" s="4">
        <v>0.36794723397493362</v>
      </c>
      <c r="F284" s="4">
        <v>350196.9629173766</v>
      </c>
      <c r="G284" s="4">
        <v>350197.33086461056</v>
      </c>
      <c r="H284" s="5">
        <f t="shared" si="3"/>
        <v>0</v>
      </c>
      <c r="I284" t="s">
        <v>134</v>
      </c>
      <c r="J284" t="s">
        <v>52</v>
      </c>
      <c r="K284" s="5">
        <f>40 / 86400</f>
        <v>4.6296296296296298E-4</v>
      </c>
      <c r="L284" s="5">
        <f>20 / 86400</f>
        <v>2.3148148148148149E-4</v>
      </c>
    </row>
    <row r="285" spans="1:12" x14ac:dyDescent="0.25">
      <c r="A285" s="3">
        <v>45711.381099537037</v>
      </c>
      <c r="B285" t="s">
        <v>268</v>
      </c>
      <c r="C285" s="3">
        <v>45711.381574074076</v>
      </c>
      <c r="D285" t="s">
        <v>84</v>
      </c>
      <c r="E285" s="4">
        <v>6.4404965162277228E-2</v>
      </c>
      <c r="F285" s="4">
        <v>350197.36312172661</v>
      </c>
      <c r="G285" s="4">
        <v>350197.42752669181</v>
      </c>
      <c r="H285" s="5">
        <f t="shared" si="3"/>
        <v>0</v>
      </c>
      <c r="I285" t="s">
        <v>208</v>
      </c>
      <c r="J285" t="s">
        <v>146</v>
      </c>
      <c r="K285" s="5">
        <f>41 / 86400</f>
        <v>4.7453703703703704E-4</v>
      </c>
      <c r="L285" s="5">
        <f>20 / 86400</f>
        <v>2.3148148148148149E-4</v>
      </c>
    </row>
    <row r="286" spans="1:12" x14ac:dyDescent="0.25">
      <c r="A286" s="3">
        <v>45711.38180555556</v>
      </c>
      <c r="B286" t="s">
        <v>84</v>
      </c>
      <c r="C286" s="3">
        <v>45711.3825</v>
      </c>
      <c r="D286" t="s">
        <v>269</v>
      </c>
      <c r="E286" s="4">
        <v>0.23747808372974397</v>
      </c>
      <c r="F286" s="4">
        <v>350197.45611117169</v>
      </c>
      <c r="G286" s="4">
        <v>350197.69358925539</v>
      </c>
      <c r="H286" s="5">
        <f t="shared" si="3"/>
        <v>0</v>
      </c>
      <c r="I286" t="s">
        <v>134</v>
      </c>
      <c r="J286" t="s">
        <v>116</v>
      </c>
      <c r="K286" s="5">
        <f>60 / 86400</f>
        <v>6.9444444444444447E-4</v>
      </c>
      <c r="L286" s="5">
        <f>15 / 86400</f>
        <v>1.7361111111111112E-4</v>
      </c>
    </row>
    <row r="287" spans="1:12" x14ac:dyDescent="0.25">
      <c r="A287" s="3">
        <v>45711.382673611108</v>
      </c>
      <c r="B287" t="s">
        <v>269</v>
      </c>
      <c r="C287" s="3">
        <v>45711.385138888887</v>
      </c>
      <c r="D287" t="s">
        <v>270</v>
      </c>
      <c r="E287" s="4">
        <v>1.527151095867157</v>
      </c>
      <c r="F287" s="4">
        <v>350197.6978698434</v>
      </c>
      <c r="G287" s="4">
        <v>350199.22502093931</v>
      </c>
      <c r="H287" s="5">
        <f t="shared" si="3"/>
        <v>0</v>
      </c>
      <c r="I287" t="s">
        <v>210</v>
      </c>
      <c r="J287" t="s">
        <v>153</v>
      </c>
      <c r="K287" s="5">
        <f>213 / 86400</f>
        <v>2.4652777777777776E-3</v>
      </c>
      <c r="L287" s="5">
        <f>40 / 86400</f>
        <v>4.6296296296296298E-4</v>
      </c>
    </row>
    <row r="288" spans="1:12" x14ac:dyDescent="0.25">
      <c r="A288" s="3">
        <v>45711.385601851856</v>
      </c>
      <c r="B288" t="s">
        <v>270</v>
      </c>
      <c r="C288" s="3">
        <v>45711.388472222221</v>
      </c>
      <c r="D288" t="s">
        <v>271</v>
      </c>
      <c r="E288" s="4">
        <v>1.0985444985032082</v>
      </c>
      <c r="F288" s="4">
        <v>350199.29929321934</v>
      </c>
      <c r="G288" s="4">
        <v>350200.39783771784</v>
      </c>
      <c r="H288" s="5">
        <f t="shared" si="3"/>
        <v>0</v>
      </c>
      <c r="I288" t="s">
        <v>153</v>
      </c>
      <c r="J288" t="s">
        <v>112</v>
      </c>
      <c r="K288" s="5">
        <f>248 / 86400</f>
        <v>2.8703703703703703E-3</v>
      </c>
      <c r="L288" s="5">
        <f>20 / 86400</f>
        <v>2.3148148148148149E-4</v>
      </c>
    </row>
    <row r="289" spans="1:12" x14ac:dyDescent="0.25">
      <c r="A289" s="3">
        <v>45711.388703703706</v>
      </c>
      <c r="B289" t="s">
        <v>271</v>
      </c>
      <c r="C289" s="3">
        <v>45711.395682870367</v>
      </c>
      <c r="D289" t="s">
        <v>272</v>
      </c>
      <c r="E289" s="4">
        <v>2.2818339542746542</v>
      </c>
      <c r="F289" s="4">
        <v>350200.43832543207</v>
      </c>
      <c r="G289" s="4">
        <v>350202.72015938634</v>
      </c>
      <c r="H289" s="5">
        <f t="shared" si="3"/>
        <v>0</v>
      </c>
      <c r="I289" t="s">
        <v>133</v>
      </c>
      <c r="J289" t="s">
        <v>116</v>
      </c>
      <c r="K289" s="5">
        <f>603 / 86400</f>
        <v>6.9791666666666665E-3</v>
      </c>
      <c r="L289" s="5">
        <f>20 / 86400</f>
        <v>2.3148148148148149E-4</v>
      </c>
    </row>
    <row r="290" spans="1:12" x14ac:dyDescent="0.25">
      <c r="A290" s="3">
        <v>45711.395914351851</v>
      </c>
      <c r="B290" t="s">
        <v>273</v>
      </c>
      <c r="C290" s="3">
        <v>45711.396608796298</v>
      </c>
      <c r="D290" t="s">
        <v>273</v>
      </c>
      <c r="E290" s="4">
        <v>0.23850498694181443</v>
      </c>
      <c r="F290" s="4">
        <v>350202.75829582766</v>
      </c>
      <c r="G290" s="4">
        <v>350202.99680081464</v>
      </c>
      <c r="H290" s="5">
        <f t="shared" si="3"/>
        <v>0</v>
      </c>
      <c r="I290" t="s">
        <v>38</v>
      </c>
      <c r="J290" t="s">
        <v>116</v>
      </c>
      <c r="K290" s="5">
        <f>60 / 86400</f>
        <v>6.9444444444444447E-4</v>
      </c>
      <c r="L290" s="5">
        <f>20 / 86400</f>
        <v>2.3148148148148149E-4</v>
      </c>
    </row>
    <row r="291" spans="1:12" x14ac:dyDescent="0.25">
      <c r="A291" s="3">
        <v>45711.396840277783</v>
      </c>
      <c r="B291" t="s">
        <v>273</v>
      </c>
      <c r="C291" s="3">
        <v>45711.39707175926</v>
      </c>
      <c r="D291" t="s">
        <v>274</v>
      </c>
      <c r="E291" s="4">
        <v>5.7300428211688993E-2</v>
      </c>
      <c r="F291" s="4">
        <v>350203.01745694078</v>
      </c>
      <c r="G291" s="4">
        <v>350203.074757369</v>
      </c>
      <c r="H291" s="5">
        <f t="shared" si="3"/>
        <v>0</v>
      </c>
      <c r="I291" t="s">
        <v>33</v>
      </c>
      <c r="J291" t="s">
        <v>208</v>
      </c>
      <c r="K291" s="5">
        <f>20 / 86400</f>
        <v>2.3148148148148149E-4</v>
      </c>
      <c r="L291" s="5">
        <f>20 / 86400</f>
        <v>2.3148148148148149E-4</v>
      </c>
    </row>
    <row r="292" spans="1:12" x14ac:dyDescent="0.25">
      <c r="A292" s="3">
        <v>45711.397303240738</v>
      </c>
      <c r="B292" t="s">
        <v>274</v>
      </c>
      <c r="C292" s="3">
        <v>45711.398564814815</v>
      </c>
      <c r="D292" t="s">
        <v>275</v>
      </c>
      <c r="E292" s="4">
        <v>0.27782757180929185</v>
      </c>
      <c r="F292" s="4">
        <v>350203.10763000854</v>
      </c>
      <c r="G292" s="4">
        <v>350203.38545758033</v>
      </c>
      <c r="H292" s="5">
        <f t="shared" si="3"/>
        <v>0</v>
      </c>
      <c r="I292" t="s">
        <v>38</v>
      </c>
      <c r="J292" t="s">
        <v>155</v>
      </c>
      <c r="K292" s="5">
        <f>109 / 86400</f>
        <v>1.261574074074074E-3</v>
      </c>
      <c r="L292" s="5">
        <f>20 / 86400</f>
        <v>2.3148148148148149E-4</v>
      </c>
    </row>
    <row r="293" spans="1:12" x14ac:dyDescent="0.25">
      <c r="A293" s="3">
        <v>45711.3987962963</v>
      </c>
      <c r="B293" t="s">
        <v>275</v>
      </c>
      <c r="C293" s="3">
        <v>45711.399027777778</v>
      </c>
      <c r="D293" t="s">
        <v>275</v>
      </c>
      <c r="E293" s="4">
        <v>3.4486514329910276E-3</v>
      </c>
      <c r="F293" s="4">
        <v>350203.40009244584</v>
      </c>
      <c r="G293" s="4">
        <v>350203.4035410973</v>
      </c>
      <c r="H293" s="5">
        <f t="shared" si="3"/>
        <v>0</v>
      </c>
      <c r="I293" t="s">
        <v>20</v>
      </c>
      <c r="J293" t="s">
        <v>21</v>
      </c>
      <c r="K293" s="5">
        <f>20 / 86400</f>
        <v>2.3148148148148149E-4</v>
      </c>
      <c r="L293" s="5">
        <f>60 / 86400</f>
        <v>6.9444444444444447E-4</v>
      </c>
    </row>
    <row r="294" spans="1:12" x14ac:dyDescent="0.25">
      <c r="A294" s="3">
        <v>45711.399722222224</v>
      </c>
      <c r="B294" t="s">
        <v>275</v>
      </c>
      <c r="C294" s="3">
        <v>45711.399953703702</v>
      </c>
      <c r="D294" t="s">
        <v>275</v>
      </c>
      <c r="E294" s="4">
        <v>1.1005573570728303E-2</v>
      </c>
      <c r="F294" s="4">
        <v>350203.40839584038</v>
      </c>
      <c r="G294" s="4">
        <v>350203.41940141399</v>
      </c>
      <c r="H294" s="5">
        <f t="shared" si="3"/>
        <v>0</v>
      </c>
      <c r="I294" t="s">
        <v>69</v>
      </c>
      <c r="J294" t="s">
        <v>190</v>
      </c>
      <c r="K294" s="5">
        <f>20 / 86400</f>
        <v>2.3148148148148149E-4</v>
      </c>
      <c r="L294" s="5">
        <f>84 / 86400</f>
        <v>9.7222222222222219E-4</v>
      </c>
    </row>
    <row r="295" spans="1:12" x14ac:dyDescent="0.25">
      <c r="A295" s="3">
        <v>45711.400925925926</v>
      </c>
      <c r="B295" t="s">
        <v>275</v>
      </c>
      <c r="C295" s="3">
        <v>45711.40143518518</v>
      </c>
      <c r="D295" t="s">
        <v>276</v>
      </c>
      <c r="E295" s="4">
        <v>0.19540249454975128</v>
      </c>
      <c r="F295" s="4">
        <v>350203.45594813512</v>
      </c>
      <c r="G295" s="4">
        <v>350203.65135062969</v>
      </c>
      <c r="H295" s="5">
        <f t="shared" si="3"/>
        <v>0</v>
      </c>
      <c r="I295" t="s">
        <v>142</v>
      </c>
      <c r="J295" t="s">
        <v>112</v>
      </c>
      <c r="K295" s="5">
        <f>44 / 86400</f>
        <v>5.0925925925925921E-4</v>
      </c>
      <c r="L295" s="5">
        <f>20 / 86400</f>
        <v>2.3148148148148149E-4</v>
      </c>
    </row>
    <row r="296" spans="1:12" x14ac:dyDescent="0.25">
      <c r="A296" s="3">
        <v>45711.401666666672</v>
      </c>
      <c r="B296" t="s">
        <v>276</v>
      </c>
      <c r="C296" s="3">
        <v>45711.402129629627</v>
      </c>
      <c r="D296" t="s">
        <v>277</v>
      </c>
      <c r="E296" s="4">
        <v>9.6592324376106268E-3</v>
      </c>
      <c r="F296" s="4">
        <v>350203.65876512119</v>
      </c>
      <c r="G296" s="4">
        <v>350203.66842435359</v>
      </c>
      <c r="H296" s="5">
        <f t="shared" si="3"/>
        <v>0</v>
      </c>
      <c r="I296" t="s">
        <v>34</v>
      </c>
      <c r="J296" t="s">
        <v>21</v>
      </c>
      <c r="K296" s="5">
        <f>40 / 86400</f>
        <v>4.6296296296296298E-4</v>
      </c>
      <c r="L296" s="5">
        <f>20 / 86400</f>
        <v>2.3148148148148149E-4</v>
      </c>
    </row>
    <row r="297" spans="1:12" x14ac:dyDescent="0.25">
      <c r="A297" s="3">
        <v>45711.402361111112</v>
      </c>
      <c r="B297" t="s">
        <v>276</v>
      </c>
      <c r="C297" s="3">
        <v>45711.402592592596</v>
      </c>
      <c r="D297" t="s">
        <v>276</v>
      </c>
      <c r="E297" s="4">
        <v>5.9065752029418949E-3</v>
      </c>
      <c r="F297" s="4">
        <v>350203.67277570546</v>
      </c>
      <c r="G297" s="4">
        <v>350203.67868228065</v>
      </c>
      <c r="H297" s="5">
        <f t="shared" si="3"/>
        <v>0</v>
      </c>
      <c r="I297" t="s">
        <v>21</v>
      </c>
      <c r="J297" t="s">
        <v>21</v>
      </c>
      <c r="K297" s="5">
        <f>20 / 86400</f>
        <v>2.3148148148148149E-4</v>
      </c>
      <c r="L297" s="5">
        <f>40 / 86400</f>
        <v>4.6296296296296298E-4</v>
      </c>
    </row>
    <row r="298" spans="1:12" x14ac:dyDescent="0.25">
      <c r="A298" s="3">
        <v>45711.403055555551</v>
      </c>
      <c r="B298" t="s">
        <v>278</v>
      </c>
      <c r="C298" s="3">
        <v>45711.40351851852</v>
      </c>
      <c r="D298" t="s">
        <v>279</v>
      </c>
      <c r="E298" s="4">
        <v>0.28040952062606811</v>
      </c>
      <c r="F298" s="4">
        <v>350203.71806044207</v>
      </c>
      <c r="G298" s="4">
        <v>350203.99846996274</v>
      </c>
      <c r="H298" s="5">
        <f t="shared" si="3"/>
        <v>0</v>
      </c>
      <c r="I298" t="s">
        <v>133</v>
      </c>
      <c r="J298" t="s">
        <v>212</v>
      </c>
      <c r="K298" s="5">
        <f>40 / 86400</f>
        <v>4.6296296296296298E-4</v>
      </c>
      <c r="L298" s="5">
        <f>60 / 86400</f>
        <v>6.9444444444444447E-4</v>
      </c>
    </row>
    <row r="299" spans="1:12" x14ac:dyDescent="0.25">
      <c r="A299" s="3">
        <v>45711.404212962967</v>
      </c>
      <c r="B299" t="s">
        <v>280</v>
      </c>
      <c r="C299" s="3">
        <v>45711.406064814815</v>
      </c>
      <c r="D299" t="s">
        <v>281</v>
      </c>
      <c r="E299" s="4">
        <v>1.3250695936083794</v>
      </c>
      <c r="F299" s="4">
        <v>350204.08606786077</v>
      </c>
      <c r="G299" s="4">
        <v>350205.41113745439</v>
      </c>
      <c r="H299" s="5">
        <f t="shared" ref="H299:H362" si="4">0 / 86400</f>
        <v>0</v>
      </c>
      <c r="I299" t="s">
        <v>186</v>
      </c>
      <c r="J299" t="s">
        <v>162</v>
      </c>
      <c r="K299" s="5">
        <f>160 / 86400</f>
        <v>1.8518518518518519E-3</v>
      </c>
      <c r="L299" s="5">
        <f>8 / 86400</f>
        <v>9.2592592592592588E-5</v>
      </c>
    </row>
    <row r="300" spans="1:12" x14ac:dyDescent="0.25">
      <c r="A300" s="3">
        <v>45711.406157407408</v>
      </c>
      <c r="B300" t="s">
        <v>281</v>
      </c>
      <c r="C300" s="3">
        <v>45711.407083333332</v>
      </c>
      <c r="D300" t="s">
        <v>282</v>
      </c>
      <c r="E300" s="4">
        <v>0.53680176436901095</v>
      </c>
      <c r="F300" s="4">
        <v>350205.41838637064</v>
      </c>
      <c r="G300" s="4">
        <v>350205.95518813503</v>
      </c>
      <c r="H300" s="5">
        <f t="shared" si="4"/>
        <v>0</v>
      </c>
      <c r="I300" t="s">
        <v>180</v>
      </c>
      <c r="J300" t="s">
        <v>31</v>
      </c>
      <c r="K300" s="5">
        <f>80 / 86400</f>
        <v>9.2592592592592596E-4</v>
      </c>
      <c r="L300" s="5">
        <f>53 / 86400</f>
        <v>6.134259259259259E-4</v>
      </c>
    </row>
    <row r="301" spans="1:12" x14ac:dyDescent="0.25">
      <c r="A301" s="3">
        <v>45711.407696759255</v>
      </c>
      <c r="B301" t="s">
        <v>282</v>
      </c>
      <c r="C301" s="3">
        <v>45711.409120370372</v>
      </c>
      <c r="D301" t="s">
        <v>283</v>
      </c>
      <c r="E301" s="4">
        <v>0.75022945946455</v>
      </c>
      <c r="F301" s="4">
        <v>350205.98324785155</v>
      </c>
      <c r="G301" s="4">
        <v>350206.73347731103</v>
      </c>
      <c r="H301" s="5">
        <f t="shared" si="4"/>
        <v>0</v>
      </c>
      <c r="I301" t="s">
        <v>183</v>
      </c>
      <c r="J301" t="s">
        <v>91</v>
      </c>
      <c r="K301" s="5">
        <f>123 / 86400</f>
        <v>1.4236111111111112E-3</v>
      </c>
      <c r="L301" s="5">
        <f>20 / 86400</f>
        <v>2.3148148148148149E-4</v>
      </c>
    </row>
    <row r="302" spans="1:12" x14ac:dyDescent="0.25">
      <c r="A302" s="3">
        <v>45711.409351851849</v>
      </c>
      <c r="B302" t="s">
        <v>283</v>
      </c>
      <c r="C302" s="3">
        <v>45711.409814814819</v>
      </c>
      <c r="D302" t="s">
        <v>284</v>
      </c>
      <c r="E302" s="4">
        <v>0.19441606414318086</v>
      </c>
      <c r="F302" s="4">
        <v>350206.83617826196</v>
      </c>
      <c r="G302" s="4">
        <v>350207.03059432609</v>
      </c>
      <c r="H302" s="5">
        <f t="shared" si="4"/>
        <v>0</v>
      </c>
      <c r="I302" t="s">
        <v>94</v>
      </c>
      <c r="J302" t="s">
        <v>58</v>
      </c>
      <c r="K302" s="5">
        <f>40 / 86400</f>
        <v>4.6296296296296298E-4</v>
      </c>
      <c r="L302" s="5">
        <f>20 / 86400</f>
        <v>2.3148148148148149E-4</v>
      </c>
    </row>
    <row r="303" spans="1:12" x14ac:dyDescent="0.25">
      <c r="A303" s="3">
        <v>45711.410046296296</v>
      </c>
      <c r="B303" t="s">
        <v>284</v>
      </c>
      <c r="C303" s="3">
        <v>45711.411435185189</v>
      </c>
      <c r="D303" t="s">
        <v>285</v>
      </c>
      <c r="E303" s="4">
        <v>0.86534699702262874</v>
      </c>
      <c r="F303" s="4">
        <v>350207.03570886783</v>
      </c>
      <c r="G303" s="4">
        <v>350207.90105586487</v>
      </c>
      <c r="H303" s="5">
        <f t="shared" si="4"/>
        <v>0</v>
      </c>
      <c r="I303" t="s">
        <v>131</v>
      </c>
      <c r="J303" t="s">
        <v>153</v>
      </c>
      <c r="K303" s="5">
        <f>120 / 86400</f>
        <v>1.3888888888888889E-3</v>
      </c>
      <c r="L303" s="5">
        <f>11 / 86400</f>
        <v>1.273148148148148E-4</v>
      </c>
    </row>
    <row r="304" spans="1:12" x14ac:dyDescent="0.25">
      <c r="A304" s="3">
        <v>45711.411562499998</v>
      </c>
      <c r="B304" t="s">
        <v>286</v>
      </c>
      <c r="C304" s="3">
        <v>45711.412256944444</v>
      </c>
      <c r="D304" t="s">
        <v>287</v>
      </c>
      <c r="E304" s="4">
        <v>0.36934176355600357</v>
      </c>
      <c r="F304" s="4">
        <v>350207.94788462826</v>
      </c>
      <c r="G304" s="4">
        <v>350208.31722639181</v>
      </c>
      <c r="H304" s="5">
        <f t="shared" si="4"/>
        <v>0</v>
      </c>
      <c r="I304" t="s">
        <v>134</v>
      </c>
      <c r="J304" t="s">
        <v>91</v>
      </c>
      <c r="K304" s="5">
        <f>60 / 86400</f>
        <v>6.9444444444444447E-4</v>
      </c>
      <c r="L304" s="5">
        <f>20 / 86400</f>
        <v>2.3148148148148149E-4</v>
      </c>
    </row>
    <row r="305" spans="1:12" x14ac:dyDescent="0.25">
      <c r="A305" s="3">
        <v>45711.412488425922</v>
      </c>
      <c r="B305" t="s">
        <v>287</v>
      </c>
      <c r="C305" s="3">
        <v>45711.414166666669</v>
      </c>
      <c r="D305" t="s">
        <v>288</v>
      </c>
      <c r="E305" s="4">
        <v>0.81484496247768401</v>
      </c>
      <c r="F305" s="4">
        <v>350208.31943439349</v>
      </c>
      <c r="G305" s="4">
        <v>350209.13427935593</v>
      </c>
      <c r="H305" s="5">
        <f t="shared" si="4"/>
        <v>0</v>
      </c>
      <c r="I305" t="s">
        <v>72</v>
      </c>
      <c r="J305" t="s">
        <v>24</v>
      </c>
      <c r="K305" s="5">
        <f>145 / 86400</f>
        <v>1.6782407407407408E-3</v>
      </c>
      <c r="L305" s="5">
        <f>4 / 86400</f>
        <v>4.6296296296296294E-5</v>
      </c>
    </row>
    <row r="306" spans="1:12" x14ac:dyDescent="0.25">
      <c r="A306" s="3">
        <v>45711.414212962962</v>
      </c>
      <c r="B306" t="s">
        <v>288</v>
      </c>
      <c r="C306" s="3">
        <v>45711.41505787037</v>
      </c>
      <c r="D306" t="s">
        <v>289</v>
      </c>
      <c r="E306" s="4">
        <v>0.34919871819019316</v>
      </c>
      <c r="F306" s="4">
        <v>350209.13622240623</v>
      </c>
      <c r="G306" s="4">
        <v>350209.48542112438</v>
      </c>
      <c r="H306" s="5">
        <f t="shared" si="4"/>
        <v>0</v>
      </c>
      <c r="I306" t="s">
        <v>212</v>
      </c>
      <c r="J306" t="s">
        <v>58</v>
      </c>
      <c r="K306" s="5">
        <f>73 / 86400</f>
        <v>8.4490740740740739E-4</v>
      </c>
      <c r="L306" s="5">
        <f>1547 / 86400</f>
        <v>1.7905092592592594E-2</v>
      </c>
    </row>
    <row r="307" spans="1:12" x14ac:dyDescent="0.25">
      <c r="A307" s="3">
        <v>45711.432962962965</v>
      </c>
      <c r="B307" t="s">
        <v>289</v>
      </c>
      <c r="C307" s="3">
        <v>45711.433368055557</v>
      </c>
      <c r="D307" t="s">
        <v>290</v>
      </c>
      <c r="E307" s="4">
        <v>4.1433492660522458E-2</v>
      </c>
      <c r="F307" s="4">
        <v>350209.5006954557</v>
      </c>
      <c r="G307" s="4">
        <v>350209.54212894838</v>
      </c>
      <c r="H307" s="5">
        <f t="shared" si="4"/>
        <v>0</v>
      </c>
      <c r="I307" t="s">
        <v>33</v>
      </c>
      <c r="J307" t="s">
        <v>20</v>
      </c>
      <c r="K307" s="5">
        <f>35 / 86400</f>
        <v>4.0509259259259258E-4</v>
      </c>
      <c r="L307" s="5">
        <f>252 / 86400</f>
        <v>2.9166666666666668E-3</v>
      </c>
    </row>
    <row r="308" spans="1:12" x14ac:dyDescent="0.25">
      <c r="A308" s="3">
        <v>45711.436284722222</v>
      </c>
      <c r="B308" t="s">
        <v>291</v>
      </c>
      <c r="C308" s="3">
        <v>45711.436516203699</v>
      </c>
      <c r="D308" t="s">
        <v>292</v>
      </c>
      <c r="E308" s="4">
        <v>4.798598527908325E-3</v>
      </c>
      <c r="F308" s="4">
        <v>350209.56788925303</v>
      </c>
      <c r="G308" s="4">
        <v>350209.57268785156</v>
      </c>
      <c r="H308" s="5">
        <f t="shared" si="4"/>
        <v>0</v>
      </c>
      <c r="I308" t="s">
        <v>34</v>
      </c>
      <c r="J308" t="s">
        <v>21</v>
      </c>
      <c r="K308" s="5">
        <f>20 / 86400</f>
        <v>2.3148148148148149E-4</v>
      </c>
      <c r="L308" s="5">
        <f>360 / 86400</f>
        <v>4.1666666666666666E-3</v>
      </c>
    </row>
    <row r="309" spans="1:12" x14ac:dyDescent="0.25">
      <c r="A309" s="3">
        <v>45711.440682870365</v>
      </c>
      <c r="B309" t="s">
        <v>291</v>
      </c>
      <c r="C309" s="3">
        <v>45711.440914351857</v>
      </c>
      <c r="D309" t="s">
        <v>291</v>
      </c>
      <c r="E309" s="4">
        <v>4.7287880778312686E-3</v>
      </c>
      <c r="F309" s="4">
        <v>350209.62548656156</v>
      </c>
      <c r="G309" s="4">
        <v>350209.63021534961</v>
      </c>
      <c r="H309" s="5">
        <f t="shared" si="4"/>
        <v>0</v>
      </c>
      <c r="I309" t="s">
        <v>21</v>
      </c>
      <c r="J309" t="s">
        <v>21</v>
      </c>
      <c r="K309" s="5">
        <f>20 / 86400</f>
        <v>2.3148148148148149E-4</v>
      </c>
      <c r="L309" s="5">
        <f>40 / 86400</f>
        <v>4.6296296296296298E-4</v>
      </c>
    </row>
    <row r="310" spans="1:12" x14ac:dyDescent="0.25">
      <c r="A310" s="3">
        <v>45711.441377314812</v>
      </c>
      <c r="B310" t="s">
        <v>291</v>
      </c>
      <c r="C310" s="3">
        <v>45711.441608796296</v>
      </c>
      <c r="D310" t="s">
        <v>291</v>
      </c>
      <c r="E310" s="4">
        <v>1.9726312160491945E-3</v>
      </c>
      <c r="F310" s="4">
        <v>350209.63391114172</v>
      </c>
      <c r="G310" s="4">
        <v>350209.63588377292</v>
      </c>
      <c r="H310" s="5">
        <f t="shared" si="4"/>
        <v>0</v>
      </c>
      <c r="I310" t="s">
        <v>21</v>
      </c>
      <c r="J310" t="s">
        <v>26</v>
      </c>
      <c r="K310" s="5">
        <f>20 / 86400</f>
        <v>2.3148148148148149E-4</v>
      </c>
      <c r="L310" s="5">
        <f>100 / 86400</f>
        <v>1.1574074074074073E-3</v>
      </c>
    </row>
    <row r="311" spans="1:12" x14ac:dyDescent="0.25">
      <c r="A311" s="3">
        <v>45711.442766203705</v>
      </c>
      <c r="B311" t="s">
        <v>291</v>
      </c>
      <c r="C311" s="3">
        <v>45711.442997685182</v>
      </c>
      <c r="D311" t="s">
        <v>291</v>
      </c>
      <c r="E311" s="4">
        <v>4.3484645485877991E-3</v>
      </c>
      <c r="F311" s="4">
        <v>350209.64979448164</v>
      </c>
      <c r="G311" s="4">
        <v>350209.65414294618</v>
      </c>
      <c r="H311" s="5">
        <f t="shared" si="4"/>
        <v>0</v>
      </c>
      <c r="I311" t="s">
        <v>190</v>
      </c>
      <c r="J311" t="s">
        <v>21</v>
      </c>
      <c r="K311" s="5">
        <f>20 / 86400</f>
        <v>2.3148148148148149E-4</v>
      </c>
      <c r="L311" s="5">
        <f>240 / 86400</f>
        <v>2.7777777777777779E-3</v>
      </c>
    </row>
    <row r="312" spans="1:12" x14ac:dyDescent="0.25">
      <c r="A312" s="3">
        <v>45711.445775462962</v>
      </c>
      <c r="B312" t="s">
        <v>293</v>
      </c>
      <c r="C312" s="3">
        <v>45711.446006944447</v>
      </c>
      <c r="D312" t="s">
        <v>293</v>
      </c>
      <c r="E312" s="4">
        <v>1.1957823276519775E-2</v>
      </c>
      <c r="F312" s="4">
        <v>350209.73481360555</v>
      </c>
      <c r="G312" s="4">
        <v>350209.74677142885</v>
      </c>
      <c r="H312" s="5">
        <f t="shared" si="4"/>
        <v>0</v>
      </c>
      <c r="I312" t="s">
        <v>190</v>
      </c>
      <c r="J312" t="s">
        <v>190</v>
      </c>
      <c r="K312" s="5">
        <f>20 / 86400</f>
        <v>2.3148148148148149E-4</v>
      </c>
      <c r="L312" s="5">
        <f>80 / 86400</f>
        <v>9.2592592592592596E-4</v>
      </c>
    </row>
    <row r="313" spans="1:12" x14ac:dyDescent="0.25">
      <c r="A313" s="3">
        <v>45711.446932870371</v>
      </c>
      <c r="B313" t="s">
        <v>292</v>
      </c>
      <c r="C313" s="3">
        <v>45711.449259259258</v>
      </c>
      <c r="D313" t="s">
        <v>294</v>
      </c>
      <c r="E313" s="4">
        <v>0.56100767886638636</v>
      </c>
      <c r="F313" s="4">
        <v>350209.77586402552</v>
      </c>
      <c r="G313" s="4">
        <v>350210.33687170438</v>
      </c>
      <c r="H313" s="5">
        <f t="shared" si="4"/>
        <v>0</v>
      </c>
      <c r="I313" t="s">
        <v>38</v>
      </c>
      <c r="J313" t="s">
        <v>208</v>
      </c>
      <c r="K313" s="5">
        <f>201 / 86400</f>
        <v>2.3263888888888887E-3</v>
      </c>
      <c r="L313" s="5">
        <f>20 / 86400</f>
        <v>2.3148148148148149E-4</v>
      </c>
    </row>
    <row r="314" spans="1:12" x14ac:dyDescent="0.25">
      <c r="A314" s="3">
        <v>45711.449490740742</v>
      </c>
      <c r="B314" t="s">
        <v>295</v>
      </c>
      <c r="C314" s="3">
        <v>45711.449953703705</v>
      </c>
      <c r="D314" t="s">
        <v>296</v>
      </c>
      <c r="E314" s="4">
        <v>0.17569619345664977</v>
      </c>
      <c r="F314" s="4">
        <v>350210.40695964888</v>
      </c>
      <c r="G314" s="4">
        <v>350210.58265584236</v>
      </c>
      <c r="H314" s="5">
        <f t="shared" si="4"/>
        <v>0</v>
      </c>
      <c r="I314" t="s">
        <v>31</v>
      </c>
      <c r="J314" t="s">
        <v>112</v>
      </c>
      <c r="K314" s="5">
        <f>40 / 86400</f>
        <v>4.6296296296296298E-4</v>
      </c>
      <c r="L314" s="5">
        <f>9 / 86400</f>
        <v>1.0416666666666667E-4</v>
      </c>
    </row>
    <row r="315" spans="1:12" x14ac:dyDescent="0.25">
      <c r="A315" s="3">
        <v>45711.450057870374</v>
      </c>
      <c r="B315" t="s">
        <v>296</v>
      </c>
      <c r="C315" s="3">
        <v>45711.450983796298</v>
      </c>
      <c r="D315" t="s">
        <v>297</v>
      </c>
      <c r="E315" s="4">
        <v>0.16848513287305833</v>
      </c>
      <c r="F315" s="4">
        <v>350210.59063181077</v>
      </c>
      <c r="G315" s="4">
        <v>350210.75911694363</v>
      </c>
      <c r="H315" s="5">
        <f t="shared" si="4"/>
        <v>0</v>
      </c>
      <c r="I315" t="s">
        <v>208</v>
      </c>
      <c r="J315" t="s">
        <v>113</v>
      </c>
      <c r="K315" s="5">
        <f>80 / 86400</f>
        <v>9.2592592592592596E-4</v>
      </c>
      <c r="L315" s="5">
        <f>20 / 86400</f>
        <v>2.3148148148148149E-4</v>
      </c>
    </row>
    <row r="316" spans="1:12" x14ac:dyDescent="0.25">
      <c r="A316" s="3">
        <v>45711.451215277775</v>
      </c>
      <c r="B316" t="s">
        <v>297</v>
      </c>
      <c r="C316" s="3">
        <v>45711.452835648146</v>
      </c>
      <c r="D316" t="s">
        <v>298</v>
      </c>
      <c r="E316" s="4">
        <v>0.56570360970497136</v>
      </c>
      <c r="F316" s="4">
        <v>350210.76601016818</v>
      </c>
      <c r="G316" s="4">
        <v>350211.33171377791</v>
      </c>
      <c r="H316" s="5">
        <f t="shared" si="4"/>
        <v>0</v>
      </c>
      <c r="I316" t="s">
        <v>67</v>
      </c>
      <c r="J316" t="s">
        <v>47</v>
      </c>
      <c r="K316" s="5">
        <f>140 / 86400</f>
        <v>1.6203703703703703E-3</v>
      </c>
      <c r="L316" s="5">
        <f>25 / 86400</f>
        <v>2.8935185185185184E-4</v>
      </c>
    </row>
    <row r="317" spans="1:12" x14ac:dyDescent="0.25">
      <c r="A317" s="3">
        <v>45711.453125</v>
      </c>
      <c r="B317" t="s">
        <v>298</v>
      </c>
      <c r="C317" s="3">
        <v>45711.453796296293</v>
      </c>
      <c r="D317" t="s">
        <v>299</v>
      </c>
      <c r="E317" s="4">
        <v>0.17958470940589905</v>
      </c>
      <c r="F317" s="4">
        <v>350211.34336857789</v>
      </c>
      <c r="G317" s="4">
        <v>350211.52295328729</v>
      </c>
      <c r="H317" s="5">
        <f t="shared" si="4"/>
        <v>0</v>
      </c>
      <c r="I317" t="s">
        <v>38</v>
      </c>
      <c r="J317" t="s">
        <v>41</v>
      </c>
      <c r="K317" s="5">
        <f>58 / 86400</f>
        <v>6.7129629629629625E-4</v>
      </c>
      <c r="L317" s="5">
        <f>20 / 86400</f>
        <v>2.3148148148148149E-4</v>
      </c>
    </row>
    <row r="318" spans="1:12" x14ac:dyDescent="0.25">
      <c r="A318" s="3">
        <v>45711.454027777778</v>
      </c>
      <c r="B318" t="s">
        <v>299</v>
      </c>
      <c r="C318" s="3">
        <v>45711.456712962958</v>
      </c>
      <c r="D318" t="s">
        <v>283</v>
      </c>
      <c r="E318" s="4">
        <v>0.85218825203180315</v>
      </c>
      <c r="F318" s="4">
        <v>350211.52519472747</v>
      </c>
      <c r="G318" s="4">
        <v>350212.3773829795</v>
      </c>
      <c r="H318" s="5">
        <f t="shared" si="4"/>
        <v>0</v>
      </c>
      <c r="I318" t="s">
        <v>24</v>
      </c>
      <c r="J318" t="s">
        <v>120</v>
      </c>
      <c r="K318" s="5">
        <f>232 / 86400</f>
        <v>2.685185185185185E-3</v>
      </c>
      <c r="L318" s="5">
        <f>25 / 86400</f>
        <v>2.8935185185185184E-4</v>
      </c>
    </row>
    <row r="319" spans="1:12" x14ac:dyDescent="0.25">
      <c r="A319" s="3">
        <v>45711.457002314812</v>
      </c>
      <c r="B319" t="s">
        <v>283</v>
      </c>
      <c r="C319" s="3">
        <v>45711.457233796296</v>
      </c>
      <c r="D319" t="s">
        <v>283</v>
      </c>
      <c r="E319" s="4">
        <v>2.2155309021472933E-2</v>
      </c>
      <c r="F319" s="4">
        <v>350212.3919581665</v>
      </c>
      <c r="G319" s="4">
        <v>350212.41411347548</v>
      </c>
      <c r="H319" s="5">
        <f t="shared" si="4"/>
        <v>0</v>
      </c>
      <c r="I319" t="s">
        <v>146</v>
      </c>
      <c r="J319" t="s">
        <v>20</v>
      </c>
      <c r="K319" s="5">
        <f>20 / 86400</f>
        <v>2.3148148148148149E-4</v>
      </c>
      <c r="L319" s="5">
        <f>20 / 86400</f>
        <v>2.3148148148148149E-4</v>
      </c>
    </row>
    <row r="320" spans="1:12" x14ac:dyDescent="0.25">
      <c r="A320" s="3">
        <v>45711.457465277781</v>
      </c>
      <c r="B320" t="s">
        <v>283</v>
      </c>
      <c r="C320" s="3">
        <v>45711.457696759258</v>
      </c>
      <c r="D320" t="s">
        <v>283</v>
      </c>
      <c r="E320" s="4">
        <v>4.6449814438819887E-3</v>
      </c>
      <c r="F320" s="4">
        <v>350212.41800571763</v>
      </c>
      <c r="G320" s="4">
        <v>350212.4226506991</v>
      </c>
      <c r="H320" s="5">
        <f t="shared" si="4"/>
        <v>0</v>
      </c>
      <c r="I320" t="s">
        <v>21</v>
      </c>
      <c r="J320" t="s">
        <v>21</v>
      </c>
      <c r="K320" s="5">
        <f>20 / 86400</f>
        <v>2.3148148148148149E-4</v>
      </c>
      <c r="L320" s="5">
        <f>40 / 86400</f>
        <v>4.6296296296296298E-4</v>
      </c>
    </row>
    <row r="321" spans="1:12" x14ac:dyDescent="0.25">
      <c r="A321" s="3">
        <v>45711.45815972222</v>
      </c>
      <c r="B321" t="s">
        <v>300</v>
      </c>
      <c r="C321" s="3">
        <v>45711.458622685182</v>
      </c>
      <c r="D321" t="s">
        <v>300</v>
      </c>
      <c r="E321" s="4">
        <v>3.0461785912513733E-2</v>
      </c>
      <c r="F321" s="4">
        <v>350212.43337061437</v>
      </c>
      <c r="G321" s="4">
        <v>350212.46383240027</v>
      </c>
      <c r="H321" s="5">
        <f t="shared" si="4"/>
        <v>0</v>
      </c>
      <c r="I321" t="s">
        <v>69</v>
      </c>
      <c r="J321" t="s">
        <v>69</v>
      </c>
      <c r="K321" s="5">
        <f>40 / 86400</f>
        <v>4.6296296296296298E-4</v>
      </c>
      <c r="L321" s="5">
        <f>20 / 86400</f>
        <v>2.3148148148148149E-4</v>
      </c>
    </row>
    <row r="322" spans="1:12" x14ac:dyDescent="0.25">
      <c r="A322" s="3">
        <v>45711.458854166667</v>
      </c>
      <c r="B322" t="s">
        <v>283</v>
      </c>
      <c r="C322" s="3">
        <v>45711.459652777776</v>
      </c>
      <c r="D322" t="s">
        <v>301</v>
      </c>
      <c r="E322" s="4">
        <v>0.16134707993268968</v>
      </c>
      <c r="F322" s="4">
        <v>350212.48146229214</v>
      </c>
      <c r="G322" s="4">
        <v>350212.64280937205</v>
      </c>
      <c r="H322" s="5">
        <f t="shared" si="4"/>
        <v>0</v>
      </c>
      <c r="I322" t="s">
        <v>116</v>
      </c>
      <c r="J322" t="s">
        <v>113</v>
      </c>
      <c r="K322" s="5">
        <f>69 / 86400</f>
        <v>7.9861111111111116E-4</v>
      </c>
      <c r="L322" s="5">
        <f>60 / 86400</f>
        <v>6.9444444444444447E-4</v>
      </c>
    </row>
    <row r="323" spans="1:12" x14ac:dyDescent="0.25">
      <c r="A323" s="3">
        <v>45711.460347222222</v>
      </c>
      <c r="B323" t="s">
        <v>302</v>
      </c>
      <c r="C323" s="3">
        <v>45711.461724537032</v>
      </c>
      <c r="D323" t="s">
        <v>201</v>
      </c>
      <c r="E323" s="4">
        <v>0.49506868350505828</v>
      </c>
      <c r="F323" s="4">
        <v>350212.66494038387</v>
      </c>
      <c r="G323" s="4">
        <v>350213.16000906733</v>
      </c>
      <c r="H323" s="5">
        <f t="shared" si="4"/>
        <v>0</v>
      </c>
      <c r="I323" t="s">
        <v>176</v>
      </c>
      <c r="J323" t="s">
        <v>47</v>
      </c>
      <c r="K323" s="5">
        <f>119 / 86400</f>
        <v>1.3773148148148147E-3</v>
      </c>
      <c r="L323" s="5">
        <f>60 / 86400</f>
        <v>6.9444444444444447E-4</v>
      </c>
    </row>
    <row r="324" spans="1:12" x14ac:dyDescent="0.25">
      <c r="A324" s="3">
        <v>45711.462418981479</v>
      </c>
      <c r="B324" t="s">
        <v>201</v>
      </c>
      <c r="C324" s="3">
        <v>45711.463240740741</v>
      </c>
      <c r="D324" t="s">
        <v>303</v>
      </c>
      <c r="E324" s="4">
        <v>0.47652456742525101</v>
      </c>
      <c r="F324" s="4">
        <v>350213.17978908349</v>
      </c>
      <c r="G324" s="4">
        <v>350213.65631365089</v>
      </c>
      <c r="H324" s="5">
        <f t="shared" si="4"/>
        <v>0</v>
      </c>
      <c r="I324" t="s">
        <v>134</v>
      </c>
      <c r="J324" t="s">
        <v>31</v>
      </c>
      <c r="K324" s="5">
        <f>71 / 86400</f>
        <v>8.2175925925925927E-4</v>
      </c>
      <c r="L324" s="5">
        <f>20 / 86400</f>
        <v>2.3148148148148149E-4</v>
      </c>
    </row>
    <row r="325" spans="1:12" x14ac:dyDescent="0.25">
      <c r="A325" s="3">
        <v>45711.463472222225</v>
      </c>
      <c r="B325" t="s">
        <v>304</v>
      </c>
      <c r="C325" s="3">
        <v>45711.464629629627</v>
      </c>
      <c r="D325" t="s">
        <v>305</v>
      </c>
      <c r="E325" s="4">
        <v>0.73539437699317933</v>
      </c>
      <c r="F325" s="4">
        <v>350213.71803112159</v>
      </c>
      <c r="G325" s="4">
        <v>350214.45342549862</v>
      </c>
      <c r="H325" s="5">
        <f t="shared" si="4"/>
        <v>0</v>
      </c>
      <c r="I325" t="s">
        <v>46</v>
      </c>
      <c r="J325" t="s">
        <v>153</v>
      </c>
      <c r="K325" s="5">
        <f>100 / 86400</f>
        <v>1.1574074074074073E-3</v>
      </c>
      <c r="L325" s="5">
        <f>20 / 86400</f>
        <v>2.3148148148148149E-4</v>
      </c>
    </row>
    <row r="326" spans="1:12" x14ac:dyDescent="0.25">
      <c r="A326" s="3">
        <v>45711.464861111112</v>
      </c>
      <c r="B326" t="s">
        <v>305</v>
      </c>
      <c r="C326" s="3">
        <v>45711.465092592596</v>
      </c>
      <c r="D326" t="s">
        <v>305</v>
      </c>
      <c r="E326" s="4">
        <v>8.7010766863822933E-3</v>
      </c>
      <c r="F326" s="4">
        <v>350214.46824758593</v>
      </c>
      <c r="G326" s="4">
        <v>350214.47694866266</v>
      </c>
      <c r="H326" s="5">
        <f t="shared" si="4"/>
        <v>0</v>
      </c>
      <c r="I326" t="s">
        <v>21</v>
      </c>
      <c r="J326" t="s">
        <v>190</v>
      </c>
      <c r="K326" s="5">
        <f>20 / 86400</f>
        <v>2.3148148148148149E-4</v>
      </c>
      <c r="L326" s="5">
        <f>20 / 86400</f>
        <v>2.3148148148148149E-4</v>
      </c>
    </row>
    <row r="327" spans="1:12" x14ac:dyDescent="0.25">
      <c r="A327" s="3">
        <v>45711.465324074074</v>
      </c>
      <c r="B327" t="s">
        <v>306</v>
      </c>
      <c r="C327" s="3">
        <v>45711.465787037036</v>
      </c>
      <c r="D327" t="s">
        <v>202</v>
      </c>
      <c r="E327" s="4">
        <v>0.34091450315713884</v>
      </c>
      <c r="F327" s="4">
        <v>350214.54986718268</v>
      </c>
      <c r="G327" s="4">
        <v>350214.89078168583</v>
      </c>
      <c r="H327" s="5">
        <f t="shared" si="4"/>
        <v>0</v>
      </c>
      <c r="I327" t="s">
        <v>131</v>
      </c>
      <c r="J327" t="s">
        <v>119</v>
      </c>
      <c r="K327" s="5">
        <f>40 / 86400</f>
        <v>4.6296296296296298E-4</v>
      </c>
      <c r="L327" s="5">
        <f>51 / 86400</f>
        <v>5.9027777777777778E-4</v>
      </c>
    </row>
    <row r="328" spans="1:12" x14ac:dyDescent="0.25">
      <c r="A328" s="3">
        <v>45711.466377314813</v>
      </c>
      <c r="B328" t="s">
        <v>202</v>
      </c>
      <c r="C328" s="3">
        <v>45711.466608796298</v>
      </c>
      <c r="D328" t="s">
        <v>202</v>
      </c>
      <c r="E328" s="4">
        <v>9.642785441875458E-2</v>
      </c>
      <c r="F328" s="4">
        <v>350214.90925612039</v>
      </c>
      <c r="G328" s="4">
        <v>350215.00568397483</v>
      </c>
      <c r="H328" s="5">
        <f t="shared" si="4"/>
        <v>0</v>
      </c>
      <c r="I328" t="s">
        <v>113</v>
      </c>
      <c r="J328" t="s">
        <v>58</v>
      </c>
      <c r="K328" s="5">
        <f>20 / 86400</f>
        <v>2.3148148148148149E-4</v>
      </c>
      <c r="L328" s="5">
        <f>40 / 86400</f>
        <v>4.6296296296296298E-4</v>
      </c>
    </row>
    <row r="329" spans="1:12" x14ac:dyDescent="0.25">
      <c r="A329" s="3">
        <v>45711.46707175926</v>
      </c>
      <c r="B329" t="s">
        <v>307</v>
      </c>
      <c r="C329" s="3">
        <v>45711.467303240745</v>
      </c>
      <c r="D329" t="s">
        <v>307</v>
      </c>
      <c r="E329" s="4">
        <v>0</v>
      </c>
      <c r="F329" s="4">
        <v>350215.13075226644</v>
      </c>
      <c r="G329" s="4">
        <v>350215.13075226644</v>
      </c>
      <c r="H329" s="5">
        <f t="shared" si="4"/>
        <v>0</v>
      </c>
      <c r="I329" t="s">
        <v>183</v>
      </c>
      <c r="J329" t="s">
        <v>26</v>
      </c>
      <c r="K329" s="5">
        <f>20 / 86400</f>
        <v>2.3148148148148149E-4</v>
      </c>
      <c r="L329" s="5">
        <f>80 / 86400</f>
        <v>9.2592592592592596E-4</v>
      </c>
    </row>
    <row r="330" spans="1:12" x14ac:dyDescent="0.25">
      <c r="A330" s="3">
        <v>45711.468229166669</v>
      </c>
      <c r="B330" t="s">
        <v>277</v>
      </c>
      <c r="C330" s="3">
        <v>45711.468900462962</v>
      </c>
      <c r="D330" t="s">
        <v>308</v>
      </c>
      <c r="E330" s="4">
        <v>0.19402584451436997</v>
      </c>
      <c r="F330" s="4">
        <v>350215.42714577721</v>
      </c>
      <c r="G330" s="4">
        <v>350215.62117162172</v>
      </c>
      <c r="H330" s="5">
        <f t="shared" si="4"/>
        <v>0</v>
      </c>
      <c r="I330" t="s">
        <v>134</v>
      </c>
      <c r="J330" t="s">
        <v>128</v>
      </c>
      <c r="K330" s="5">
        <f>58 / 86400</f>
        <v>6.7129629629629625E-4</v>
      </c>
      <c r="L330" s="5">
        <f>29 / 86400</f>
        <v>3.3564814814814812E-4</v>
      </c>
    </row>
    <row r="331" spans="1:12" x14ac:dyDescent="0.25">
      <c r="A331" s="3">
        <v>45711.469236111108</v>
      </c>
      <c r="B331" t="s">
        <v>309</v>
      </c>
      <c r="C331" s="3">
        <v>45711.470393518517</v>
      </c>
      <c r="D331" t="s">
        <v>309</v>
      </c>
      <c r="E331" s="4">
        <v>0.11629253458976746</v>
      </c>
      <c r="F331" s="4">
        <v>350215.62989427755</v>
      </c>
      <c r="G331" s="4">
        <v>350215.74618681218</v>
      </c>
      <c r="H331" s="5">
        <f t="shared" si="4"/>
        <v>0</v>
      </c>
      <c r="I331" t="s">
        <v>146</v>
      </c>
      <c r="J331" t="s">
        <v>20</v>
      </c>
      <c r="K331" s="5">
        <f>100 / 86400</f>
        <v>1.1574074074074073E-3</v>
      </c>
      <c r="L331" s="5">
        <f>20 / 86400</f>
        <v>2.3148148148148149E-4</v>
      </c>
    </row>
    <row r="332" spans="1:12" x14ac:dyDescent="0.25">
      <c r="A332" s="3">
        <v>45711.470625000002</v>
      </c>
      <c r="B332" t="s">
        <v>309</v>
      </c>
      <c r="C332" s="3">
        <v>45711.471631944441</v>
      </c>
      <c r="D332" t="s">
        <v>309</v>
      </c>
      <c r="E332" s="4">
        <v>6.9736223161220551E-2</v>
      </c>
      <c r="F332" s="4">
        <v>350215.76068504673</v>
      </c>
      <c r="G332" s="4">
        <v>350215.83042126987</v>
      </c>
      <c r="H332" s="5">
        <f t="shared" si="4"/>
        <v>0</v>
      </c>
      <c r="I332" t="s">
        <v>34</v>
      </c>
      <c r="J332" t="s">
        <v>69</v>
      </c>
      <c r="K332" s="5">
        <f>87 / 86400</f>
        <v>1.0069444444444444E-3</v>
      </c>
      <c r="L332" s="5">
        <f>20 / 86400</f>
        <v>2.3148148148148149E-4</v>
      </c>
    </row>
    <row r="333" spans="1:12" x14ac:dyDescent="0.25">
      <c r="A333" s="3">
        <v>45711.471863425926</v>
      </c>
      <c r="B333" t="s">
        <v>310</v>
      </c>
      <c r="C333" s="3">
        <v>45711.472094907411</v>
      </c>
      <c r="D333" t="s">
        <v>309</v>
      </c>
      <c r="E333" s="4">
        <v>1.6998751282691956E-2</v>
      </c>
      <c r="F333" s="4">
        <v>350215.84581393667</v>
      </c>
      <c r="G333" s="4">
        <v>350215.86281268793</v>
      </c>
      <c r="H333" s="5">
        <f t="shared" si="4"/>
        <v>0</v>
      </c>
      <c r="I333" t="s">
        <v>190</v>
      </c>
      <c r="J333" t="s">
        <v>69</v>
      </c>
      <c r="K333" s="5">
        <f>20 / 86400</f>
        <v>2.3148148148148149E-4</v>
      </c>
      <c r="L333" s="5">
        <f>20 / 86400</f>
        <v>2.3148148148148149E-4</v>
      </c>
    </row>
    <row r="334" spans="1:12" x14ac:dyDescent="0.25">
      <c r="A334" s="3">
        <v>45711.472326388888</v>
      </c>
      <c r="B334" t="s">
        <v>309</v>
      </c>
      <c r="C334" s="3">
        <v>45711.480243055557</v>
      </c>
      <c r="D334" t="s">
        <v>205</v>
      </c>
      <c r="E334" s="4">
        <v>1.7042626489400863</v>
      </c>
      <c r="F334" s="4">
        <v>350215.8920435413</v>
      </c>
      <c r="G334" s="4">
        <v>350217.59630619024</v>
      </c>
      <c r="H334" s="5">
        <f t="shared" si="4"/>
        <v>0</v>
      </c>
      <c r="I334" t="s">
        <v>153</v>
      </c>
      <c r="J334" t="s">
        <v>155</v>
      </c>
      <c r="K334" s="5">
        <f>684 / 86400</f>
        <v>7.9166666666666673E-3</v>
      </c>
      <c r="L334" s="5">
        <f>3 / 86400</f>
        <v>3.4722222222222222E-5</v>
      </c>
    </row>
    <row r="335" spans="1:12" x14ac:dyDescent="0.25">
      <c r="A335" s="3">
        <v>45711.48027777778</v>
      </c>
      <c r="B335" t="s">
        <v>205</v>
      </c>
      <c r="C335" s="3">
        <v>45711.480740740742</v>
      </c>
      <c r="D335" t="s">
        <v>311</v>
      </c>
      <c r="E335" s="4">
        <v>8.9809290349483484E-2</v>
      </c>
      <c r="F335" s="4">
        <v>350217.60176690004</v>
      </c>
      <c r="G335" s="4">
        <v>350217.69157619041</v>
      </c>
      <c r="H335" s="5">
        <f t="shared" si="4"/>
        <v>0</v>
      </c>
      <c r="I335" t="s">
        <v>58</v>
      </c>
      <c r="J335" t="s">
        <v>113</v>
      </c>
      <c r="K335" s="5">
        <f>40 / 86400</f>
        <v>4.6296296296296298E-4</v>
      </c>
      <c r="L335" s="5">
        <f>20 / 86400</f>
        <v>2.3148148148148149E-4</v>
      </c>
    </row>
    <row r="336" spans="1:12" x14ac:dyDescent="0.25">
      <c r="A336" s="3">
        <v>45711.480972222227</v>
      </c>
      <c r="B336" t="s">
        <v>311</v>
      </c>
      <c r="C336" s="3">
        <v>45711.481840277775</v>
      </c>
      <c r="D336" t="s">
        <v>206</v>
      </c>
      <c r="E336" s="4">
        <v>0.42732334721088411</v>
      </c>
      <c r="F336" s="4">
        <v>350217.72051334038</v>
      </c>
      <c r="G336" s="4">
        <v>350218.14783668757</v>
      </c>
      <c r="H336" s="5">
        <f t="shared" si="4"/>
        <v>0</v>
      </c>
      <c r="I336" t="s">
        <v>37</v>
      </c>
      <c r="J336" t="s">
        <v>67</v>
      </c>
      <c r="K336" s="5">
        <f>75 / 86400</f>
        <v>8.6805555555555551E-4</v>
      </c>
      <c r="L336" s="5">
        <f>20 / 86400</f>
        <v>2.3148148148148149E-4</v>
      </c>
    </row>
    <row r="337" spans="1:12" x14ac:dyDescent="0.25">
      <c r="A337" s="3">
        <v>45711.482071759259</v>
      </c>
      <c r="B337" t="s">
        <v>206</v>
      </c>
      <c r="C337" s="3">
        <v>45711.482534722221</v>
      </c>
      <c r="D337" t="s">
        <v>207</v>
      </c>
      <c r="E337" s="4">
        <v>6.3742264091968537E-2</v>
      </c>
      <c r="F337" s="4">
        <v>350218.15524486901</v>
      </c>
      <c r="G337" s="4">
        <v>350218.21898713306</v>
      </c>
      <c r="H337" s="5">
        <f t="shared" si="4"/>
        <v>0</v>
      </c>
      <c r="I337" t="s">
        <v>128</v>
      </c>
      <c r="J337" t="s">
        <v>146</v>
      </c>
      <c r="K337" s="5">
        <f>40 / 86400</f>
        <v>4.6296296296296298E-4</v>
      </c>
      <c r="L337" s="5">
        <f>80 / 86400</f>
        <v>9.2592592592592596E-4</v>
      </c>
    </row>
    <row r="338" spans="1:12" x14ac:dyDescent="0.25">
      <c r="A338" s="3">
        <v>45711.483460648145</v>
      </c>
      <c r="B338" t="s">
        <v>206</v>
      </c>
      <c r="C338" s="3">
        <v>45711.485671296294</v>
      </c>
      <c r="D338" t="s">
        <v>312</v>
      </c>
      <c r="E338" s="4">
        <v>1.3943822197914124</v>
      </c>
      <c r="F338" s="4">
        <v>350218.27071264724</v>
      </c>
      <c r="G338" s="4">
        <v>350219.66509486706</v>
      </c>
      <c r="H338" s="5">
        <f t="shared" si="4"/>
        <v>0</v>
      </c>
      <c r="I338" t="s">
        <v>46</v>
      </c>
      <c r="J338" t="s">
        <v>153</v>
      </c>
      <c r="K338" s="5">
        <f>191 / 86400</f>
        <v>2.2106481481481482E-3</v>
      </c>
      <c r="L338" s="5">
        <f>40 / 86400</f>
        <v>4.6296296296296298E-4</v>
      </c>
    </row>
    <row r="339" spans="1:12" x14ac:dyDescent="0.25">
      <c r="A339" s="3">
        <v>45711.486134259263</v>
      </c>
      <c r="B339" t="s">
        <v>312</v>
      </c>
      <c r="C339" s="3">
        <v>45711.487743055557</v>
      </c>
      <c r="D339" t="s">
        <v>209</v>
      </c>
      <c r="E339" s="4">
        <v>0.98962095975875852</v>
      </c>
      <c r="F339" s="4">
        <v>350219.69880752201</v>
      </c>
      <c r="G339" s="4">
        <v>350220.68842848175</v>
      </c>
      <c r="H339" s="5">
        <f t="shared" si="4"/>
        <v>0</v>
      </c>
      <c r="I339" t="s">
        <v>164</v>
      </c>
      <c r="J339" t="s">
        <v>153</v>
      </c>
      <c r="K339" s="5">
        <f>139 / 86400</f>
        <v>1.6087962962962963E-3</v>
      </c>
      <c r="L339" s="5">
        <f>18 / 86400</f>
        <v>2.0833333333333335E-4</v>
      </c>
    </row>
    <row r="340" spans="1:12" x14ac:dyDescent="0.25">
      <c r="A340" s="3">
        <v>45711.487951388888</v>
      </c>
      <c r="B340" t="s">
        <v>209</v>
      </c>
      <c r="C340" s="3">
        <v>45711.488680555558</v>
      </c>
      <c r="D340" t="s">
        <v>313</v>
      </c>
      <c r="E340" s="4">
        <v>0.24544930601119996</v>
      </c>
      <c r="F340" s="4">
        <v>350220.69630224601</v>
      </c>
      <c r="G340" s="4">
        <v>350220.94175155205</v>
      </c>
      <c r="H340" s="5">
        <f t="shared" si="4"/>
        <v>0</v>
      </c>
      <c r="I340" t="s">
        <v>176</v>
      </c>
      <c r="J340" t="s">
        <v>116</v>
      </c>
      <c r="K340" s="5">
        <f>63 / 86400</f>
        <v>7.291666666666667E-4</v>
      </c>
      <c r="L340" s="5">
        <f>20 / 86400</f>
        <v>2.3148148148148149E-4</v>
      </c>
    </row>
    <row r="341" spans="1:12" x14ac:dyDescent="0.25">
      <c r="A341" s="3">
        <v>45711.488912037035</v>
      </c>
      <c r="B341" t="s">
        <v>314</v>
      </c>
      <c r="C341" s="3">
        <v>45711.48914351852</v>
      </c>
      <c r="D341" t="s">
        <v>314</v>
      </c>
      <c r="E341" s="4">
        <v>0</v>
      </c>
      <c r="F341" s="4">
        <v>350221.25786171004</v>
      </c>
      <c r="G341" s="4">
        <v>350221.25786171004</v>
      </c>
      <c r="H341" s="5">
        <f t="shared" si="4"/>
        <v>0</v>
      </c>
      <c r="I341" t="s">
        <v>208</v>
      </c>
      <c r="J341" t="s">
        <v>26</v>
      </c>
      <c r="K341" s="5">
        <f>20 / 86400</f>
        <v>2.3148148148148149E-4</v>
      </c>
      <c r="L341" s="5">
        <f>20 / 86400</f>
        <v>2.3148148148148149E-4</v>
      </c>
    </row>
    <row r="342" spans="1:12" x14ac:dyDescent="0.25">
      <c r="A342" s="3">
        <v>45711.489375000005</v>
      </c>
      <c r="B342" t="s">
        <v>165</v>
      </c>
      <c r="C342" s="3">
        <v>45711.493946759263</v>
      </c>
      <c r="D342" t="s">
        <v>315</v>
      </c>
      <c r="E342" s="4">
        <v>1.5580080479979515</v>
      </c>
      <c r="F342" s="4">
        <v>350221.42548839917</v>
      </c>
      <c r="G342" s="4">
        <v>350222.98349644715</v>
      </c>
      <c r="H342" s="5">
        <f t="shared" si="4"/>
        <v>0</v>
      </c>
      <c r="I342" t="s">
        <v>176</v>
      </c>
      <c r="J342" t="s">
        <v>116</v>
      </c>
      <c r="K342" s="5">
        <f>395 / 86400</f>
        <v>4.5717592592592589E-3</v>
      </c>
      <c r="L342" s="5">
        <f>20 / 86400</f>
        <v>2.3148148148148149E-4</v>
      </c>
    </row>
    <row r="343" spans="1:12" x14ac:dyDescent="0.25">
      <c r="A343" s="3">
        <v>45711.49417824074</v>
      </c>
      <c r="B343" t="s">
        <v>316</v>
      </c>
      <c r="C343" s="3">
        <v>45711.495567129634</v>
      </c>
      <c r="D343" t="s">
        <v>317</v>
      </c>
      <c r="E343" s="4">
        <v>0.7019646100997925</v>
      </c>
      <c r="F343" s="4">
        <v>350223.09361132624</v>
      </c>
      <c r="G343" s="4">
        <v>350223.79557593632</v>
      </c>
      <c r="H343" s="5">
        <f t="shared" si="4"/>
        <v>0</v>
      </c>
      <c r="I343" t="s">
        <v>52</v>
      </c>
      <c r="J343" t="s">
        <v>67</v>
      </c>
      <c r="K343" s="5">
        <f>120 / 86400</f>
        <v>1.3888888888888889E-3</v>
      </c>
      <c r="L343" s="5">
        <f>18 / 86400</f>
        <v>2.0833333333333335E-4</v>
      </c>
    </row>
    <row r="344" spans="1:12" x14ac:dyDescent="0.25">
      <c r="A344" s="3">
        <v>45711.495775462958</v>
      </c>
      <c r="B344" t="s">
        <v>317</v>
      </c>
      <c r="C344" s="3">
        <v>45711.49628472222</v>
      </c>
      <c r="D344" t="s">
        <v>317</v>
      </c>
      <c r="E344" s="4">
        <v>0.15228517925739288</v>
      </c>
      <c r="F344" s="4">
        <v>350223.79884241294</v>
      </c>
      <c r="G344" s="4">
        <v>350223.95112759218</v>
      </c>
      <c r="H344" s="5">
        <f t="shared" si="4"/>
        <v>0</v>
      </c>
      <c r="I344" t="s">
        <v>112</v>
      </c>
      <c r="J344" t="s">
        <v>128</v>
      </c>
      <c r="K344" s="5">
        <f>44 / 86400</f>
        <v>5.0925925925925921E-4</v>
      </c>
      <c r="L344" s="5">
        <f>8 / 86400</f>
        <v>9.2592592592592588E-5</v>
      </c>
    </row>
    <row r="345" spans="1:12" x14ac:dyDescent="0.25">
      <c r="A345" s="3">
        <v>45711.496377314819</v>
      </c>
      <c r="B345" t="s">
        <v>317</v>
      </c>
      <c r="C345" s="3">
        <v>45711.497071759259</v>
      </c>
      <c r="D345" t="s">
        <v>317</v>
      </c>
      <c r="E345" s="4">
        <v>0.40323563581705091</v>
      </c>
      <c r="F345" s="4">
        <v>350223.96044917812</v>
      </c>
      <c r="G345" s="4">
        <v>350224.3636848139</v>
      </c>
      <c r="H345" s="5">
        <f t="shared" si="4"/>
        <v>0</v>
      </c>
      <c r="I345" t="s">
        <v>94</v>
      </c>
      <c r="J345" t="s">
        <v>31</v>
      </c>
      <c r="K345" s="5">
        <f>60 / 86400</f>
        <v>6.9444444444444447E-4</v>
      </c>
      <c r="L345" s="5">
        <f>20 / 86400</f>
        <v>2.3148148148148149E-4</v>
      </c>
    </row>
    <row r="346" spans="1:12" x14ac:dyDescent="0.25">
      <c r="A346" s="3">
        <v>45711.497303240743</v>
      </c>
      <c r="B346" t="s">
        <v>317</v>
      </c>
      <c r="C346" s="3">
        <v>45711.499386574069</v>
      </c>
      <c r="D346" t="s">
        <v>189</v>
      </c>
      <c r="E346" s="4">
        <v>1.223123665034771</v>
      </c>
      <c r="F346" s="4">
        <v>350224.39839844685</v>
      </c>
      <c r="G346" s="4">
        <v>350225.62152211188</v>
      </c>
      <c r="H346" s="5">
        <f t="shared" si="4"/>
        <v>0</v>
      </c>
      <c r="I346" t="s">
        <v>164</v>
      </c>
      <c r="J346" t="s">
        <v>31</v>
      </c>
      <c r="K346" s="5">
        <f>180 / 86400</f>
        <v>2.0833333333333333E-3</v>
      </c>
      <c r="L346" s="5">
        <f>20 / 86400</f>
        <v>2.3148148148148149E-4</v>
      </c>
    </row>
    <row r="347" spans="1:12" x14ac:dyDescent="0.25">
      <c r="A347" s="3">
        <v>45711.499618055561</v>
      </c>
      <c r="B347" t="s">
        <v>189</v>
      </c>
      <c r="C347" s="3">
        <v>45711.5003125</v>
      </c>
      <c r="D347" t="s">
        <v>189</v>
      </c>
      <c r="E347" s="4">
        <v>0.26825968354940416</v>
      </c>
      <c r="F347" s="4">
        <v>350225.65554657829</v>
      </c>
      <c r="G347" s="4">
        <v>350225.92380626185</v>
      </c>
      <c r="H347" s="5">
        <f t="shared" si="4"/>
        <v>0</v>
      </c>
      <c r="I347" t="s">
        <v>67</v>
      </c>
      <c r="J347" t="s">
        <v>112</v>
      </c>
      <c r="K347" s="5">
        <f>60 / 86400</f>
        <v>6.9444444444444447E-4</v>
      </c>
      <c r="L347" s="5">
        <f>8 / 86400</f>
        <v>9.2592592592592588E-5</v>
      </c>
    </row>
    <row r="348" spans="1:12" x14ac:dyDescent="0.25">
      <c r="A348" s="3">
        <v>45711.500405092593</v>
      </c>
      <c r="B348" t="s">
        <v>189</v>
      </c>
      <c r="C348" s="3">
        <v>45711.501562500001</v>
      </c>
      <c r="D348" t="s">
        <v>318</v>
      </c>
      <c r="E348" s="4">
        <v>0.5864025305509567</v>
      </c>
      <c r="F348" s="4">
        <v>350225.92885049642</v>
      </c>
      <c r="G348" s="4">
        <v>350226.51525302697</v>
      </c>
      <c r="H348" s="5">
        <f t="shared" si="4"/>
        <v>0</v>
      </c>
      <c r="I348" t="s">
        <v>176</v>
      </c>
      <c r="J348" t="s">
        <v>67</v>
      </c>
      <c r="K348" s="5">
        <f>100 / 86400</f>
        <v>1.1574074074074073E-3</v>
      </c>
      <c r="L348" s="5">
        <f>120 / 86400</f>
        <v>1.3888888888888889E-3</v>
      </c>
    </row>
    <row r="349" spans="1:12" x14ac:dyDescent="0.25">
      <c r="A349" s="3">
        <v>45711.502951388888</v>
      </c>
      <c r="B349" t="s">
        <v>319</v>
      </c>
      <c r="C349" s="3">
        <v>45711.505208333328</v>
      </c>
      <c r="D349" t="s">
        <v>318</v>
      </c>
      <c r="E349" s="4">
        <v>0.78546778917312621</v>
      </c>
      <c r="F349" s="4">
        <v>350226.54925090721</v>
      </c>
      <c r="G349" s="4">
        <v>350227.33471869637</v>
      </c>
      <c r="H349" s="5">
        <f t="shared" si="4"/>
        <v>0</v>
      </c>
      <c r="I349" t="s">
        <v>119</v>
      </c>
      <c r="J349" t="s">
        <v>47</v>
      </c>
      <c r="K349" s="5">
        <f>195 / 86400</f>
        <v>2.2569444444444442E-3</v>
      </c>
      <c r="L349" s="5">
        <f>20 / 86400</f>
        <v>2.3148148148148149E-4</v>
      </c>
    </row>
    <row r="350" spans="1:12" x14ac:dyDescent="0.25">
      <c r="A350" s="3">
        <v>45711.505439814813</v>
      </c>
      <c r="B350" t="s">
        <v>320</v>
      </c>
      <c r="C350" s="3">
        <v>45711.50613425926</v>
      </c>
      <c r="D350" t="s">
        <v>321</v>
      </c>
      <c r="E350" s="4">
        <v>2.1851241707801818E-2</v>
      </c>
      <c r="F350" s="4">
        <v>350227.36887052725</v>
      </c>
      <c r="G350" s="4">
        <v>350227.39072176896</v>
      </c>
      <c r="H350" s="5">
        <f t="shared" si="4"/>
        <v>0</v>
      </c>
      <c r="I350" t="s">
        <v>155</v>
      </c>
      <c r="J350" t="s">
        <v>21</v>
      </c>
      <c r="K350" s="5">
        <f>60 / 86400</f>
        <v>6.9444444444444447E-4</v>
      </c>
      <c r="L350" s="5">
        <f>78 / 86400</f>
        <v>9.0277777777777774E-4</v>
      </c>
    </row>
    <row r="351" spans="1:12" x14ac:dyDescent="0.25">
      <c r="A351" s="3">
        <v>45711.507037037038</v>
      </c>
      <c r="B351" t="s">
        <v>322</v>
      </c>
      <c r="C351" s="3">
        <v>45711.507268518515</v>
      </c>
      <c r="D351" t="s">
        <v>321</v>
      </c>
      <c r="E351" s="4">
        <v>1.7206156432628631E-2</v>
      </c>
      <c r="F351" s="4">
        <v>350227.41737994022</v>
      </c>
      <c r="G351" s="4">
        <v>350227.43458609667</v>
      </c>
      <c r="H351" s="5">
        <f t="shared" si="4"/>
        <v>0</v>
      </c>
      <c r="I351" t="s">
        <v>34</v>
      </c>
      <c r="J351" t="s">
        <v>69</v>
      </c>
      <c r="K351" s="5">
        <f>20 / 86400</f>
        <v>2.3148148148148149E-4</v>
      </c>
      <c r="L351" s="5">
        <f>40 / 86400</f>
        <v>4.6296296296296298E-4</v>
      </c>
    </row>
    <row r="352" spans="1:12" x14ac:dyDescent="0.25">
      <c r="A352" s="3">
        <v>45711.507731481484</v>
      </c>
      <c r="B352" t="s">
        <v>189</v>
      </c>
      <c r="C352" s="3">
        <v>45711.509131944447</v>
      </c>
      <c r="D352" t="s">
        <v>318</v>
      </c>
      <c r="E352" s="4">
        <v>0.26658336722850801</v>
      </c>
      <c r="F352" s="4">
        <v>350227.45254352101</v>
      </c>
      <c r="G352" s="4">
        <v>350227.7191268882</v>
      </c>
      <c r="H352" s="5">
        <f t="shared" si="4"/>
        <v>0</v>
      </c>
      <c r="I352" t="s">
        <v>149</v>
      </c>
      <c r="J352" t="s">
        <v>113</v>
      </c>
      <c r="K352" s="5">
        <f>121 / 86400</f>
        <v>1.4004629629629629E-3</v>
      </c>
      <c r="L352" s="5">
        <f>100 / 86400</f>
        <v>1.1574074074074073E-3</v>
      </c>
    </row>
    <row r="353" spans="1:12" x14ac:dyDescent="0.25">
      <c r="A353" s="3">
        <v>45711.510289351849</v>
      </c>
      <c r="B353" t="s">
        <v>189</v>
      </c>
      <c r="C353" s="3">
        <v>45711.512476851851</v>
      </c>
      <c r="D353" t="s">
        <v>174</v>
      </c>
      <c r="E353" s="4">
        <v>0.44913646411895752</v>
      </c>
      <c r="F353" s="4">
        <v>350227.91484780179</v>
      </c>
      <c r="G353" s="4">
        <v>350228.36398426595</v>
      </c>
      <c r="H353" s="5">
        <f t="shared" si="4"/>
        <v>0</v>
      </c>
      <c r="I353" t="s">
        <v>37</v>
      </c>
      <c r="J353" t="s">
        <v>155</v>
      </c>
      <c r="K353" s="5">
        <f>189 / 86400</f>
        <v>2.1875000000000002E-3</v>
      </c>
      <c r="L353" s="5">
        <f>20 / 86400</f>
        <v>2.3148148148148149E-4</v>
      </c>
    </row>
    <row r="354" spans="1:12" x14ac:dyDescent="0.25">
      <c r="A354" s="3">
        <v>45711.512708333335</v>
      </c>
      <c r="B354" t="s">
        <v>150</v>
      </c>
      <c r="C354" s="3">
        <v>45711.513171296298</v>
      </c>
      <c r="D354" t="s">
        <v>323</v>
      </c>
      <c r="E354" s="4">
        <v>9.5745918750762937E-2</v>
      </c>
      <c r="F354" s="4">
        <v>350228.37979248498</v>
      </c>
      <c r="G354" s="4">
        <v>350228.47553840373</v>
      </c>
      <c r="H354" s="5">
        <f t="shared" si="4"/>
        <v>0</v>
      </c>
      <c r="I354" t="s">
        <v>208</v>
      </c>
      <c r="J354" t="s">
        <v>155</v>
      </c>
      <c r="K354" s="5">
        <f>40 / 86400</f>
        <v>4.6296296296296298E-4</v>
      </c>
      <c r="L354" s="5">
        <f>40 / 86400</f>
        <v>4.6296296296296298E-4</v>
      </c>
    </row>
    <row r="355" spans="1:12" x14ac:dyDescent="0.25">
      <c r="A355" s="3">
        <v>45711.51363425926</v>
      </c>
      <c r="B355" t="s">
        <v>175</v>
      </c>
      <c r="C355" s="3">
        <v>45711.514328703706</v>
      </c>
      <c r="D355" t="s">
        <v>95</v>
      </c>
      <c r="E355" s="4">
        <v>0.17371322083473206</v>
      </c>
      <c r="F355" s="4">
        <v>350228.50538981537</v>
      </c>
      <c r="G355" s="4">
        <v>350228.67910303624</v>
      </c>
      <c r="H355" s="5">
        <f t="shared" si="4"/>
        <v>0</v>
      </c>
      <c r="I355" t="s">
        <v>91</v>
      </c>
      <c r="J355" t="s">
        <v>208</v>
      </c>
      <c r="K355" s="5">
        <f>60 / 86400</f>
        <v>6.9444444444444447E-4</v>
      </c>
      <c r="L355" s="5">
        <f>20 / 86400</f>
        <v>2.3148148148148149E-4</v>
      </c>
    </row>
    <row r="356" spans="1:12" x14ac:dyDescent="0.25">
      <c r="A356" s="3">
        <v>45711.514560185184</v>
      </c>
      <c r="B356" t="s">
        <v>189</v>
      </c>
      <c r="C356" s="3">
        <v>45711.515717592592</v>
      </c>
      <c r="D356" t="s">
        <v>189</v>
      </c>
      <c r="E356" s="4">
        <v>0.51763536369800567</v>
      </c>
      <c r="F356" s="4">
        <v>350228.76632705884</v>
      </c>
      <c r="G356" s="4">
        <v>350229.28396242257</v>
      </c>
      <c r="H356" s="5">
        <f t="shared" si="4"/>
        <v>0</v>
      </c>
      <c r="I356" t="s">
        <v>94</v>
      </c>
      <c r="J356" t="s">
        <v>37</v>
      </c>
      <c r="K356" s="5">
        <f>100 / 86400</f>
        <v>1.1574074074074073E-3</v>
      </c>
      <c r="L356" s="5">
        <f>20 / 86400</f>
        <v>2.3148148148148149E-4</v>
      </c>
    </row>
    <row r="357" spans="1:12" x14ac:dyDescent="0.25">
      <c r="A357" s="3">
        <v>45711.515949074077</v>
      </c>
      <c r="B357" t="s">
        <v>188</v>
      </c>
      <c r="C357" s="3">
        <v>45711.516643518524</v>
      </c>
      <c r="D357" t="s">
        <v>324</v>
      </c>
      <c r="E357" s="4">
        <v>0.17298173397779465</v>
      </c>
      <c r="F357" s="4">
        <v>350229.32139555743</v>
      </c>
      <c r="G357" s="4">
        <v>350229.49437729135</v>
      </c>
      <c r="H357" s="5">
        <f t="shared" si="4"/>
        <v>0</v>
      </c>
      <c r="I357" t="s">
        <v>112</v>
      </c>
      <c r="J357" t="s">
        <v>208</v>
      </c>
      <c r="K357" s="5">
        <f>60 / 86400</f>
        <v>6.9444444444444447E-4</v>
      </c>
      <c r="L357" s="5">
        <f>20 / 86400</f>
        <v>2.3148148148148149E-4</v>
      </c>
    </row>
    <row r="358" spans="1:12" x14ac:dyDescent="0.25">
      <c r="A358" s="3">
        <v>45711.516875000001</v>
      </c>
      <c r="B358" t="s">
        <v>324</v>
      </c>
      <c r="C358" s="3">
        <v>45711.517337962963</v>
      </c>
      <c r="D358" t="s">
        <v>77</v>
      </c>
      <c r="E358" s="4">
        <v>5.1736937642097476E-2</v>
      </c>
      <c r="F358" s="4">
        <v>350229.52432719752</v>
      </c>
      <c r="G358" s="4">
        <v>350229.57606413512</v>
      </c>
      <c r="H358" s="5">
        <f t="shared" si="4"/>
        <v>0</v>
      </c>
      <c r="I358" t="s">
        <v>155</v>
      </c>
      <c r="J358" t="s">
        <v>34</v>
      </c>
      <c r="K358" s="5">
        <f>40 / 86400</f>
        <v>4.6296296296296298E-4</v>
      </c>
      <c r="L358" s="5">
        <f>40 / 86400</f>
        <v>4.6296296296296298E-4</v>
      </c>
    </row>
    <row r="359" spans="1:12" x14ac:dyDescent="0.25">
      <c r="A359" s="3">
        <v>45711.517800925925</v>
      </c>
      <c r="B359" t="s">
        <v>77</v>
      </c>
      <c r="C359" s="3">
        <v>45711.518495370372</v>
      </c>
      <c r="D359" t="s">
        <v>77</v>
      </c>
      <c r="E359" s="4">
        <v>8.3649879813194272E-2</v>
      </c>
      <c r="F359" s="4">
        <v>350229.59807542723</v>
      </c>
      <c r="G359" s="4">
        <v>350229.68172530702</v>
      </c>
      <c r="H359" s="5">
        <f t="shared" si="4"/>
        <v>0</v>
      </c>
      <c r="I359" t="s">
        <v>20</v>
      </c>
      <c r="J359" t="s">
        <v>34</v>
      </c>
      <c r="K359" s="5">
        <f>60 / 86400</f>
        <v>6.9444444444444447E-4</v>
      </c>
      <c r="L359" s="5">
        <f>40 / 86400</f>
        <v>4.6296296296296298E-4</v>
      </c>
    </row>
    <row r="360" spans="1:12" x14ac:dyDescent="0.25">
      <c r="A360" s="3">
        <v>45711.518958333334</v>
      </c>
      <c r="B360" t="s">
        <v>77</v>
      </c>
      <c r="C360" s="3">
        <v>45711.520115740743</v>
      </c>
      <c r="D360" t="s">
        <v>77</v>
      </c>
      <c r="E360" s="4">
        <v>0.34190574234724047</v>
      </c>
      <c r="F360" s="4">
        <v>350229.70275944908</v>
      </c>
      <c r="G360" s="4">
        <v>350230.04466519144</v>
      </c>
      <c r="H360" s="5">
        <f t="shared" si="4"/>
        <v>0</v>
      </c>
      <c r="I360" t="s">
        <v>119</v>
      </c>
      <c r="J360" t="s">
        <v>128</v>
      </c>
      <c r="K360" s="5">
        <f>100 / 86400</f>
        <v>1.1574074074074073E-3</v>
      </c>
      <c r="L360" s="5">
        <f>20 / 86400</f>
        <v>2.3148148148148149E-4</v>
      </c>
    </row>
    <row r="361" spans="1:12" x14ac:dyDescent="0.25">
      <c r="A361" s="3">
        <v>45711.52034722222</v>
      </c>
      <c r="B361" t="s">
        <v>77</v>
      </c>
      <c r="C361" s="3">
        <v>45711.521273148144</v>
      </c>
      <c r="D361" t="s">
        <v>77</v>
      </c>
      <c r="E361" s="4">
        <v>0.65818210655450826</v>
      </c>
      <c r="F361" s="4">
        <v>350230.09110341826</v>
      </c>
      <c r="G361" s="4">
        <v>350230.74928552483</v>
      </c>
      <c r="H361" s="5">
        <f t="shared" si="4"/>
        <v>0</v>
      </c>
      <c r="I361" t="s">
        <v>210</v>
      </c>
      <c r="J361" t="s">
        <v>162</v>
      </c>
      <c r="K361" s="5">
        <f>80 / 86400</f>
        <v>9.2592592592592596E-4</v>
      </c>
      <c r="L361" s="5">
        <f>40 / 86400</f>
        <v>4.6296296296296298E-4</v>
      </c>
    </row>
    <row r="362" spans="1:12" x14ac:dyDescent="0.25">
      <c r="A362" s="3">
        <v>45711.521736111114</v>
      </c>
      <c r="B362" t="s">
        <v>77</v>
      </c>
      <c r="C362" s="3">
        <v>45711.524050925931</v>
      </c>
      <c r="D362" t="s">
        <v>81</v>
      </c>
      <c r="E362" s="4">
        <v>1.2409209984540939</v>
      </c>
      <c r="F362" s="4">
        <v>350230.78400289308</v>
      </c>
      <c r="G362" s="4">
        <v>350232.02492389153</v>
      </c>
      <c r="H362" s="5">
        <f t="shared" si="4"/>
        <v>0</v>
      </c>
      <c r="I362" t="s">
        <v>185</v>
      </c>
      <c r="J362" t="s">
        <v>91</v>
      </c>
      <c r="K362" s="5">
        <f>200 / 86400</f>
        <v>2.3148148148148147E-3</v>
      </c>
      <c r="L362" s="5">
        <f>20 / 86400</f>
        <v>2.3148148148148149E-4</v>
      </c>
    </row>
    <row r="363" spans="1:12" x14ac:dyDescent="0.25">
      <c r="A363" s="3">
        <v>45711.524282407408</v>
      </c>
      <c r="B363" t="s">
        <v>81</v>
      </c>
      <c r="C363" s="3">
        <v>45711.52543981481</v>
      </c>
      <c r="D363" t="s">
        <v>81</v>
      </c>
      <c r="E363" s="4">
        <v>0.47208357560634612</v>
      </c>
      <c r="F363" s="4">
        <v>350232.07310154208</v>
      </c>
      <c r="G363" s="4">
        <v>350232.54518511763</v>
      </c>
      <c r="H363" s="5">
        <f t="shared" ref="H363:H426" si="5">0 / 86400</f>
        <v>0</v>
      </c>
      <c r="I363" t="s">
        <v>133</v>
      </c>
      <c r="J363" t="s">
        <v>58</v>
      </c>
      <c r="K363" s="5">
        <f>100 / 86400</f>
        <v>1.1574074074074073E-3</v>
      </c>
      <c r="L363" s="5">
        <f>40 / 86400</f>
        <v>4.6296296296296298E-4</v>
      </c>
    </row>
    <row r="364" spans="1:12" x14ac:dyDescent="0.25">
      <c r="A364" s="3">
        <v>45711.525902777779</v>
      </c>
      <c r="B364" t="s">
        <v>81</v>
      </c>
      <c r="C364" s="3">
        <v>45711.526134259257</v>
      </c>
      <c r="D364" t="s">
        <v>81</v>
      </c>
      <c r="E364" s="4">
        <v>6.6559535264968869E-4</v>
      </c>
      <c r="F364" s="4">
        <v>350232.55315006076</v>
      </c>
      <c r="G364" s="4">
        <v>350232.55381565611</v>
      </c>
      <c r="H364" s="5">
        <f t="shared" si="5"/>
        <v>0</v>
      </c>
      <c r="I364" t="s">
        <v>190</v>
      </c>
      <c r="J364" t="s">
        <v>26</v>
      </c>
      <c r="K364" s="5">
        <f>20 / 86400</f>
        <v>2.3148148148148149E-4</v>
      </c>
      <c r="L364" s="5">
        <f>17 / 86400</f>
        <v>1.9675925925925926E-4</v>
      </c>
    </row>
    <row r="365" spans="1:12" x14ac:dyDescent="0.25">
      <c r="A365" s="3">
        <v>45711.526331018518</v>
      </c>
      <c r="B365" t="s">
        <v>81</v>
      </c>
      <c r="C365" s="3">
        <v>45711.533506944441</v>
      </c>
      <c r="D365" t="s">
        <v>241</v>
      </c>
      <c r="E365" s="4">
        <v>4.4506607964038851</v>
      </c>
      <c r="F365" s="4">
        <v>350232.5563591164</v>
      </c>
      <c r="G365" s="4">
        <v>350237.00701991277</v>
      </c>
      <c r="H365" s="5">
        <f t="shared" si="5"/>
        <v>0</v>
      </c>
      <c r="I365" t="s">
        <v>40</v>
      </c>
      <c r="J365" t="s">
        <v>153</v>
      </c>
      <c r="K365" s="5">
        <f>620 / 86400</f>
        <v>7.1759259259259259E-3</v>
      </c>
      <c r="L365" s="5">
        <f>60 / 86400</f>
        <v>6.9444444444444447E-4</v>
      </c>
    </row>
    <row r="366" spans="1:12" x14ac:dyDescent="0.25">
      <c r="A366" s="3">
        <v>45711.534201388888</v>
      </c>
      <c r="B366" t="s">
        <v>241</v>
      </c>
      <c r="C366" s="3">
        <v>45711.534432870365</v>
      </c>
      <c r="D366" t="s">
        <v>241</v>
      </c>
      <c r="E366" s="4">
        <v>6.7907853722572326E-3</v>
      </c>
      <c r="F366" s="4">
        <v>350237.06470186485</v>
      </c>
      <c r="G366" s="4">
        <v>350237.0714926502</v>
      </c>
      <c r="H366" s="5">
        <f t="shared" si="5"/>
        <v>0</v>
      </c>
      <c r="I366" t="s">
        <v>69</v>
      </c>
      <c r="J366" t="s">
        <v>21</v>
      </c>
      <c r="K366" s="5">
        <f>20 / 86400</f>
        <v>2.3148148148148149E-4</v>
      </c>
      <c r="L366" s="5">
        <f>60 / 86400</f>
        <v>6.9444444444444447E-4</v>
      </c>
    </row>
    <row r="367" spans="1:12" x14ac:dyDescent="0.25">
      <c r="A367" s="3">
        <v>45711.535127314812</v>
      </c>
      <c r="B367" t="s">
        <v>242</v>
      </c>
      <c r="C367" s="3">
        <v>45711.53628472222</v>
      </c>
      <c r="D367" t="s">
        <v>226</v>
      </c>
      <c r="E367" s="4">
        <v>0.79747042429447179</v>
      </c>
      <c r="F367" s="4">
        <v>350237.11728579132</v>
      </c>
      <c r="G367" s="4">
        <v>350237.91475621564</v>
      </c>
      <c r="H367" s="5">
        <f t="shared" si="5"/>
        <v>0</v>
      </c>
      <c r="I367" t="s">
        <v>325</v>
      </c>
      <c r="J367" t="s">
        <v>130</v>
      </c>
      <c r="K367" s="5">
        <f>100 / 86400</f>
        <v>1.1574074074074073E-3</v>
      </c>
      <c r="L367" s="5">
        <f>28 / 86400</f>
        <v>3.2407407407407406E-4</v>
      </c>
    </row>
    <row r="368" spans="1:12" x14ac:dyDescent="0.25">
      <c r="A368" s="3">
        <v>45711.536608796298</v>
      </c>
      <c r="B368" t="s">
        <v>226</v>
      </c>
      <c r="C368" s="3">
        <v>45711.537152777775</v>
      </c>
      <c r="D368" t="s">
        <v>226</v>
      </c>
      <c r="E368" s="4">
        <v>6.0562082827091218E-2</v>
      </c>
      <c r="F368" s="4">
        <v>350237.92420348676</v>
      </c>
      <c r="G368" s="4">
        <v>350237.98476556956</v>
      </c>
      <c r="H368" s="5">
        <f t="shared" si="5"/>
        <v>0</v>
      </c>
      <c r="I368" t="s">
        <v>146</v>
      </c>
      <c r="J368" t="s">
        <v>34</v>
      </c>
      <c r="K368" s="5">
        <f>47 / 86400</f>
        <v>5.4398148148148144E-4</v>
      </c>
      <c r="L368" s="5">
        <f>7 / 86400</f>
        <v>8.1018518518518516E-5</v>
      </c>
    </row>
    <row r="369" spans="1:12" x14ac:dyDescent="0.25">
      <c r="A369" s="3">
        <v>45711.537233796298</v>
      </c>
      <c r="B369" t="s">
        <v>226</v>
      </c>
      <c r="C369" s="3">
        <v>45711.538946759261</v>
      </c>
      <c r="D369" t="s">
        <v>227</v>
      </c>
      <c r="E369" s="4">
        <v>1.3476398365497588</v>
      </c>
      <c r="F369" s="4">
        <v>350237.98993456818</v>
      </c>
      <c r="G369" s="4">
        <v>350239.33757440472</v>
      </c>
      <c r="H369" s="5">
        <f t="shared" si="5"/>
        <v>0</v>
      </c>
      <c r="I369" t="s">
        <v>223</v>
      </c>
      <c r="J369" t="s">
        <v>52</v>
      </c>
      <c r="K369" s="5">
        <f>148 / 86400</f>
        <v>1.712962962962963E-3</v>
      </c>
      <c r="L369" s="5">
        <f>20 / 86400</f>
        <v>2.3148148148148149E-4</v>
      </c>
    </row>
    <row r="370" spans="1:12" x14ac:dyDescent="0.25">
      <c r="A370" s="3">
        <v>45711.539178240739</v>
      </c>
      <c r="B370" t="s">
        <v>227</v>
      </c>
      <c r="C370" s="3">
        <v>45711.540567129632</v>
      </c>
      <c r="D370" t="s">
        <v>227</v>
      </c>
      <c r="E370" s="4">
        <v>1.0316526925563811</v>
      </c>
      <c r="F370" s="4">
        <v>350239.39589876751</v>
      </c>
      <c r="G370" s="4">
        <v>350240.4275514601</v>
      </c>
      <c r="H370" s="5">
        <f t="shared" si="5"/>
        <v>0</v>
      </c>
      <c r="I370" t="s">
        <v>46</v>
      </c>
      <c r="J370" t="s">
        <v>119</v>
      </c>
      <c r="K370" s="5">
        <f>120 / 86400</f>
        <v>1.3888888888888889E-3</v>
      </c>
      <c r="L370" s="5">
        <f>27 / 86400</f>
        <v>3.1250000000000001E-4</v>
      </c>
    </row>
    <row r="371" spans="1:12" x14ac:dyDescent="0.25">
      <c r="A371" s="3">
        <v>45711.540879629625</v>
      </c>
      <c r="B371" t="s">
        <v>74</v>
      </c>
      <c r="C371" s="3">
        <v>45711.541342592594</v>
      </c>
      <c r="D371" t="s">
        <v>74</v>
      </c>
      <c r="E371" s="4">
        <v>2.7062090098857881E-2</v>
      </c>
      <c r="F371" s="4">
        <v>350240.43577108072</v>
      </c>
      <c r="G371" s="4">
        <v>350240.46283317084</v>
      </c>
      <c r="H371" s="5">
        <f t="shared" si="5"/>
        <v>0</v>
      </c>
      <c r="I371" t="s">
        <v>34</v>
      </c>
      <c r="J371" t="s">
        <v>190</v>
      </c>
      <c r="K371" s="5">
        <f>40 / 86400</f>
        <v>4.6296296296296298E-4</v>
      </c>
      <c r="L371" s="5">
        <f>49 / 86400</f>
        <v>5.6712962962962967E-4</v>
      </c>
    </row>
    <row r="372" spans="1:12" x14ac:dyDescent="0.25">
      <c r="A372" s="3">
        <v>45711.541909722218</v>
      </c>
      <c r="B372" t="s">
        <v>74</v>
      </c>
      <c r="C372" s="3">
        <v>45711.543067129634</v>
      </c>
      <c r="D372" t="s">
        <v>229</v>
      </c>
      <c r="E372" s="4">
        <v>0.76703991645574565</v>
      </c>
      <c r="F372" s="4">
        <v>350240.47218798823</v>
      </c>
      <c r="G372" s="4">
        <v>350241.23922790471</v>
      </c>
      <c r="H372" s="5">
        <f t="shared" si="5"/>
        <v>0</v>
      </c>
      <c r="I372" t="s">
        <v>137</v>
      </c>
      <c r="J372" t="s">
        <v>138</v>
      </c>
      <c r="K372" s="5">
        <f>100 / 86400</f>
        <v>1.1574074074074073E-3</v>
      </c>
      <c r="L372" s="5">
        <f>20 / 86400</f>
        <v>2.3148148148148149E-4</v>
      </c>
    </row>
    <row r="373" spans="1:12" x14ac:dyDescent="0.25">
      <c r="A373" s="3">
        <v>45711.543298611112</v>
      </c>
      <c r="B373" t="s">
        <v>229</v>
      </c>
      <c r="C373" s="3">
        <v>45711.543993055559</v>
      </c>
      <c r="D373" t="s">
        <v>229</v>
      </c>
      <c r="E373" s="4">
        <v>0.45668574547767637</v>
      </c>
      <c r="F373" s="4">
        <v>350241.33128995227</v>
      </c>
      <c r="G373" s="4">
        <v>350241.78797569778</v>
      </c>
      <c r="H373" s="5">
        <f t="shared" si="5"/>
        <v>0</v>
      </c>
      <c r="I373" t="s">
        <v>164</v>
      </c>
      <c r="J373" t="s">
        <v>149</v>
      </c>
      <c r="K373" s="5">
        <f>60 / 86400</f>
        <v>6.9444444444444447E-4</v>
      </c>
      <c r="L373" s="5">
        <f>40 / 86400</f>
        <v>4.6296296296296298E-4</v>
      </c>
    </row>
    <row r="374" spans="1:12" x14ac:dyDescent="0.25">
      <c r="A374" s="3">
        <v>45711.544456018513</v>
      </c>
      <c r="B374" t="s">
        <v>229</v>
      </c>
      <c r="C374" s="3">
        <v>45711.545613425929</v>
      </c>
      <c r="D374" t="s">
        <v>231</v>
      </c>
      <c r="E374" s="4">
        <v>1.2529332816004752</v>
      </c>
      <c r="F374" s="4">
        <v>350241.92699351453</v>
      </c>
      <c r="G374" s="4">
        <v>350243.17992679612</v>
      </c>
      <c r="H374" s="5">
        <f t="shared" si="5"/>
        <v>0</v>
      </c>
      <c r="I374" t="s">
        <v>185</v>
      </c>
      <c r="J374" t="s">
        <v>186</v>
      </c>
      <c r="K374" s="5">
        <f>100 / 86400</f>
        <v>1.1574074074074073E-3</v>
      </c>
      <c r="L374" s="5">
        <f>20 / 86400</f>
        <v>2.3148148148148149E-4</v>
      </c>
    </row>
    <row r="375" spans="1:12" x14ac:dyDescent="0.25">
      <c r="A375" s="3">
        <v>45711.545844907407</v>
      </c>
      <c r="B375" t="s">
        <v>229</v>
      </c>
      <c r="C375" s="3">
        <v>45711.548622685186</v>
      </c>
      <c r="D375" t="s">
        <v>244</v>
      </c>
      <c r="E375" s="4">
        <v>1.8195854117870331</v>
      </c>
      <c r="F375" s="4">
        <v>350243.23659244052</v>
      </c>
      <c r="G375" s="4">
        <v>350245.05617785233</v>
      </c>
      <c r="H375" s="5">
        <f t="shared" si="5"/>
        <v>0</v>
      </c>
      <c r="I375" t="s">
        <v>139</v>
      </c>
      <c r="J375" t="s">
        <v>149</v>
      </c>
      <c r="K375" s="5">
        <f>240 / 86400</f>
        <v>2.7777777777777779E-3</v>
      </c>
      <c r="L375" s="5">
        <f>21 / 86400</f>
        <v>2.4305555555555555E-4</v>
      </c>
    </row>
    <row r="376" spans="1:12" x14ac:dyDescent="0.25">
      <c r="A376" s="3">
        <v>45711.54886574074</v>
      </c>
      <c r="B376" t="s">
        <v>244</v>
      </c>
      <c r="C376" s="3">
        <v>45711.549791666665</v>
      </c>
      <c r="D376" t="s">
        <v>326</v>
      </c>
      <c r="E376" s="4">
        <v>0.59581029134988783</v>
      </c>
      <c r="F376" s="4">
        <v>350245.05762412498</v>
      </c>
      <c r="G376" s="4">
        <v>350245.65343441634</v>
      </c>
      <c r="H376" s="5">
        <f t="shared" si="5"/>
        <v>0</v>
      </c>
      <c r="I376" t="s">
        <v>72</v>
      </c>
      <c r="J376" t="s">
        <v>149</v>
      </c>
      <c r="K376" s="5">
        <f>80 / 86400</f>
        <v>9.2592592592592596E-4</v>
      </c>
      <c r="L376" s="5">
        <f>40 / 86400</f>
        <v>4.6296296296296298E-4</v>
      </c>
    </row>
    <row r="377" spans="1:12" x14ac:dyDescent="0.25">
      <c r="A377" s="3">
        <v>45711.550254629634</v>
      </c>
      <c r="B377" t="s">
        <v>246</v>
      </c>
      <c r="C377" s="3">
        <v>45711.552800925929</v>
      </c>
      <c r="D377" t="s">
        <v>237</v>
      </c>
      <c r="E377" s="4">
        <v>1.3173360781669616</v>
      </c>
      <c r="F377" s="4">
        <v>350245.70610085508</v>
      </c>
      <c r="G377" s="4">
        <v>350247.02343693323</v>
      </c>
      <c r="H377" s="5">
        <f t="shared" si="5"/>
        <v>0</v>
      </c>
      <c r="I377" t="s">
        <v>164</v>
      </c>
      <c r="J377" t="s">
        <v>91</v>
      </c>
      <c r="K377" s="5">
        <f>220 / 86400</f>
        <v>2.5462962962962965E-3</v>
      </c>
      <c r="L377" s="5">
        <f>20 / 86400</f>
        <v>2.3148148148148149E-4</v>
      </c>
    </row>
    <row r="378" spans="1:12" x14ac:dyDescent="0.25">
      <c r="A378" s="3">
        <v>45711.553032407406</v>
      </c>
      <c r="B378" t="s">
        <v>237</v>
      </c>
      <c r="C378" s="3">
        <v>45711.553726851853</v>
      </c>
      <c r="D378" t="s">
        <v>327</v>
      </c>
      <c r="E378" s="4">
        <v>0.50233811974525455</v>
      </c>
      <c r="F378" s="4">
        <v>350247.10501802899</v>
      </c>
      <c r="G378" s="4">
        <v>350247.60735614871</v>
      </c>
      <c r="H378" s="5">
        <f t="shared" si="5"/>
        <v>0</v>
      </c>
      <c r="I378" t="s">
        <v>147</v>
      </c>
      <c r="J378" t="s">
        <v>162</v>
      </c>
      <c r="K378" s="5">
        <f>60 / 86400</f>
        <v>6.9444444444444447E-4</v>
      </c>
      <c r="L378" s="5">
        <f>2 / 86400</f>
        <v>2.3148148148148147E-5</v>
      </c>
    </row>
    <row r="379" spans="1:12" x14ac:dyDescent="0.25">
      <c r="A379" s="3">
        <v>45711.553749999999</v>
      </c>
      <c r="B379" t="s">
        <v>327</v>
      </c>
      <c r="C379" s="3">
        <v>45711.55537037037</v>
      </c>
      <c r="D379" t="s">
        <v>237</v>
      </c>
      <c r="E379" s="4">
        <v>1.1252535889148712</v>
      </c>
      <c r="F379" s="4">
        <v>350247.60834532115</v>
      </c>
      <c r="G379" s="4">
        <v>350248.73359891004</v>
      </c>
      <c r="H379" s="5">
        <f t="shared" si="5"/>
        <v>0</v>
      </c>
      <c r="I379" t="s">
        <v>148</v>
      </c>
      <c r="J379" t="s">
        <v>130</v>
      </c>
      <c r="K379" s="5">
        <f>140 / 86400</f>
        <v>1.6203703703703703E-3</v>
      </c>
      <c r="L379" s="5">
        <f>11 / 86400</f>
        <v>1.273148148148148E-4</v>
      </c>
    </row>
    <row r="380" spans="1:12" x14ac:dyDescent="0.25">
      <c r="A380" s="3">
        <v>45711.555497685185</v>
      </c>
      <c r="B380" t="s">
        <v>237</v>
      </c>
      <c r="C380" s="3">
        <v>45711.557442129633</v>
      </c>
      <c r="D380" t="s">
        <v>328</v>
      </c>
      <c r="E380" s="4">
        <v>1.1776458235383034</v>
      </c>
      <c r="F380" s="4">
        <v>350248.73751284619</v>
      </c>
      <c r="G380" s="4">
        <v>350249.9151586697</v>
      </c>
      <c r="H380" s="5">
        <f t="shared" si="5"/>
        <v>0</v>
      </c>
      <c r="I380" t="s">
        <v>141</v>
      </c>
      <c r="J380" t="s">
        <v>212</v>
      </c>
      <c r="K380" s="5">
        <f>168 / 86400</f>
        <v>1.9444444444444444E-3</v>
      </c>
      <c r="L380" s="5">
        <f>20 / 86400</f>
        <v>2.3148148148148149E-4</v>
      </c>
    </row>
    <row r="381" spans="1:12" x14ac:dyDescent="0.25">
      <c r="A381" s="3">
        <v>45711.557673611111</v>
      </c>
      <c r="B381" t="s">
        <v>328</v>
      </c>
      <c r="C381" s="3">
        <v>45711.558368055557</v>
      </c>
      <c r="D381" t="s">
        <v>263</v>
      </c>
      <c r="E381" s="4">
        <v>0.54626351678371432</v>
      </c>
      <c r="F381" s="4">
        <v>350249.99355899909</v>
      </c>
      <c r="G381" s="4">
        <v>350250.53982251592</v>
      </c>
      <c r="H381" s="5">
        <f t="shared" si="5"/>
        <v>0</v>
      </c>
      <c r="I381" t="s">
        <v>161</v>
      </c>
      <c r="J381" t="s">
        <v>52</v>
      </c>
      <c r="K381" s="5">
        <f>60 / 86400</f>
        <v>6.9444444444444447E-4</v>
      </c>
      <c r="L381" s="5">
        <f>40 / 86400</f>
        <v>4.6296296296296298E-4</v>
      </c>
    </row>
    <row r="382" spans="1:12" x14ac:dyDescent="0.25">
      <c r="A382" s="3">
        <v>45711.558831018519</v>
      </c>
      <c r="B382" t="s">
        <v>263</v>
      </c>
      <c r="C382" s="3">
        <v>45711.562418981484</v>
      </c>
      <c r="D382" t="s">
        <v>44</v>
      </c>
      <c r="E382" s="4">
        <v>3.1193889964818955</v>
      </c>
      <c r="F382" s="4">
        <v>350250.550706829</v>
      </c>
      <c r="G382" s="4">
        <v>350253.67009582551</v>
      </c>
      <c r="H382" s="5">
        <f t="shared" si="5"/>
        <v>0</v>
      </c>
      <c r="I382" t="s">
        <v>178</v>
      </c>
      <c r="J382" t="s">
        <v>176</v>
      </c>
      <c r="K382" s="5">
        <f>310 / 86400</f>
        <v>3.5879629629629629E-3</v>
      </c>
      <c r="L382" s="5">
        <f>20 / 86400</f>
        <v>2.3148148148148149E-4</v>
      </c>
    </row>
    <row r="383" spans="1:12" x14ac:dyDescent="0.25">
      <c r="A383" s="3">
        <v>45711.562650462962</v>
      </c>
      <c r="B383" t="s">
        <v>44</v>
      </c>
      <c r="C383" s="3">
        <v>45711.563263888893</v>
      </c>
      <c r="D383" t="s">
        <v>249</v>
      </c>
      <c r="E383" s="4">
        <v>0.33425481444597244</v>
      </c>
      <c r="F383" s="4">
        <v>350253.68297165527</v>
      </c>
      <c r="G383" s="4">
        <v>350254.0172264697</v>
      </c>
      <c r="H383" s="5">
        <f t="shared" si="5"/>
        <v>0</v>
      </c>
      <c r="I383" t="s">
        <v>137</v>
      </c>
      <c r="J383" t="s">
        <v>142</v>
      </c>
      <c r="K383" s="5">
        <f>53 / 86400</f>
        <v>6.134259259259259E-4</v>
      </c>
      <c r="L383" s="5">
        <f>20 / 86400</f>
        <v>2.3148148148148149E-4</v>
      </c>
    </row>
    <row r="384" spans="1:12" x14ac:dyDescent="0.25">
      <c r="A384" s="3">
        <v>45711.56349537037</v>
      </c>
      <c r="B384" t="s">
        <v>249</v>
      </c>
      <c r="C384" s="3">
        <v>45711.565347222218</v>
      </c>
      <c r="D384" t="s">
        <v>253</v>
      </c>
      <c r="E384" s="4">
        <v>1.0774325304627419</v>
      </c>
      <c r="F384" s="4">
        <v>350254.05041858408</v>
      </c>
      <c r="G384" s="4">
        <v>350255.12785111455</v>
      </c>
      <c r="H384" s="5">
        <f t="shared" si="5"/>
        <v>0</v>
      </c>
      <c r="I384" t="s">
        <v>176</v>
      </c>
      <c r="J384" t="s">
        <v>31</v>
      </c>
      <c r="K384" s="5">
        <f>160 / 86400</f>
        <v>1.8518518518518519E-3</v>
      </c>
      <c r="L384" s="5">
        <f>20 / 86400</f>
        <v>2.3148148148148149E-4</v>
      </c>
    </row>
    <row r="385" spans="1:12" x14ac:dyDescent="0.25">
      <c r="A385" s="3">
        <v>45711.565578703703</v>
      </c>
      <c r="B385" t="s">
        <v>253</v>
      </c>
      <c r="C385" s="3">
        <v>45711.565810185188</v>
      </c>
      <c r="D385" t="s">
        <v>44</v>
      </c>
      <c r="E385" s="4">
        <v>3.7746415853500366E-2</v>
      </c>
      <c r="F385" s="4">
        <v>350255.19172557135</v>
      </c>
      <c r="G385" s="4">
        <v>350255.22947198717</v>
      </c>
      <c r="H385" s="5">
        <f t="shared" si="5"/>
        <v>0</v>
      </c>
      <c r="I385" t="s">
        <v>128</v>
      </c>
      <c r="J385" t="s">
        <v>33</v>
      </c>
      <c r="K385" s="5">
        <f>20 / 86400</f>
        <v>2.3148148148148149E-4</v>
      </c>
      <c r="L385" s="5">
        <f>20 / 86400</f>
        <v>2.3148148148148149E-4</v>
      </c>
    </row>
    <row r="386" spans="1:12" x14ac:dyDescent="0.25">
      <c r="A386" s="3">
        <v>45711.566041666665</v>
      </c>
      <c r="B386" t="s">
        <v>44</v>
      </c>
      <c r="C386" s="3">
        <v>45711.56627314815</v>
      </c>
      <c r="D386" t="s">
        <v>44</v>
      </c>
      <c r="E386" s="4">
        <v>7.0889930129051206E-3</v>
      </c>
      <c r="F386" s="4">
        <v>350255.23250429053</v>
      </c>
      <c r="G386" s="4">
        <v>350255.23959328351</v>
      </c>
      <c r="H386" s="5">
        <f t="shared" si="5"/>
        <v>0</v>
      </c>
      <c r="I386" t="s">
        <v>190</v>
      </c>
      <c r="J386" t="s">
        <v>21</v>
      </c>
      <c r="K386" s="5">
        <f>20 / 86400</f>
        <v>2.3148148148148149E-4</v>
      </c>
      <c r="L386" s="5">
        <f>80 / 86400</f>
        <v>9.2592592592592596E-4</v>
      </c>
    </row>
    <row r="387" spans="1:12" x14ac:dyDescent="0.25">
      <c r="A387" s="3">
        <v>45711.567199074074</v>
      </c>
      <c r="B387" t="s">
        <v>44</v>
      </c>
      <c r="C387" s="3">
        <v>45711.569050925929</v>
      </c>
      <c r="D387" t="s">
        <v>254</v>
      </c>
      <c r="E387" s="4">
        <v>0.47358345550298692</v>
      </c>
      <c r="F387" s="4">
        <v>350255.26184268435</v>
      </c>
      <c r="G387" s="4">
        <v>350255.73542613984</v>
      </c>
      <c r="H387" s="5">
        <f t="shared" si="5"/>
        <v>0</v>
      </c>
      <c r="I387" t="s">
        <v>38</v>
      </c>
      <c r="J387" t="s">
        <v>41</v>
      </c>
      <c r="K387" s="5">
        <f>160 / 86400</f>
        <v>1.8518518518518519E-3</v>
      </c>
      <c r="L387" s="5">
        <f>41 / 86400</f>
        <v>4.7453703703703704E-4</v>
      </c>
    </row>
    <row r="388" spans="1:12" x14ac:dyDescent="0.25">
      <c r="A388" s="3">
        <v>45711.569525462968</v>
      </c>
      <c r="B388" t="s">
        <v>254</v>
      </c>
      <c r="C388" s="3">
        <v>45711.572997685187</v>
      </c>
      <c r="D388" t="s">
        <v>255</v>
      </c>
      <c r="E388" s="4">
        <v>1.717948307812214</v>
      </c>
      <c r="F388" s="4">
        <v>350255.74410041841</v>
      </c>
      <c r="G388" s="4">
        <v>350257.46204872621</v>
      </c>
      <c r="H388" s="5">
        <f t="shared" si="5"/>
        <v>0</v>
      </c>
      <c r="I388" t="s">
        <v>161</v>
      </c>
      <c r="J388" t="s">
        <v>67</v>
      </c>
      <c r="K388" s="5">
        <f>300 / 86400</f>
        <v>3.472222222222222E-3</v>
      </c>
      <c r="L388" s="5">
        <f>20 / 86400</f>
        <v>2.3148148148148149E-4</v>
      </c>
    </row>
    <row r="389" spans="1:12" x14ac:dyDescent="0.25">
      <c r="A389" s="3">
        <v>45711.573229166665</v>
      </c>
      <c r="B389" t="s">
        <v>255</v>
      </c>
      <c r="C389" s="3">
        <v>45711.573692129634</v>
      </c>
      <c r="D389" t="s">
        <v>262</v>
      </c>
      <c r="E389" s="4">
        <v>0.31437264466285708</v>
      </c>
      <c r="F389" s="4">
        <v>350257.59984962619</v>
      </c>
      <c r="G389" s="4">
        <v>350257.91422227083</v>
      </c>
      <c r="H389" s="5">
        <f t="shared" si="5"/>
        <v>0</v>
      </c>
      <c r="I389" t="s">
        <v>133</v>
      </c>
      <c r="J389" t="s">
        <v>138</v>
      </c>
      <c r="K389" s="5">
        <f>40 / 86400</f>
        <v>4.6296296296296298E-4</v>
      </c>
      <c r="L389" s="5">
        <f>20 / 86400</f>
        <v>2.3148148148148149E-4</v>
      </c>
    </row>
    <row r="390" spans="1:12" x14ac:dyDescent="0.25">
      <c r="A390" s="3">
        <v>45711.573923611111</v>
      </c>
      <c r="B390" t="s">
        <v>262</v>
      </c>
      <c r="C390" s="3">
        <v>45711.578240740739</v>
      </c>
      <c r="D390" t="s">
        <v>114</v>
      </c>
      <c r="E390" s="4">
        <v>2.1081259012818339</v>
      </c>
      <c r="F390" s="4">
        <v>350257.95099339576</v>
      </c>
      <c r="G390" s="4">
        <v>350260.05911929702</v>
      </c>
      <c r="H390" s="5">
        <f t="shared" si="5"/>
        <v>0</v>
      </c>
      <c r="I390" t="s">
        <v>52</v>
      </c>
      <c r="J390" t="s">
        <v>24</v>
      </c>
      <c r="K390" s="5">
        <f>373 / 86400</f>
        <v>4.31712962962963E-3</v>
      </c>
      <c r="L390" s="5">
        <f>2183 / 86400</f>
        <v>2.5266203703703704E-2</v>
      </c>
    </row>
    <row r="391" spans="1:12" x14ac:dyDescent="0.25">
      <c r="A391" s="3">
        <v>45711.603506944448</v>
      </c>
      <c r="B391" t="s">
        <v>114</v>
      </c>
      <c r="C391" s="3">
        <v>45711.605902777781</v>
      </c>
      <c r="D391" t="s">
        <v>115</v>
      </c>
      <c r="E391" s="4">
        <v>0.70324168092012407</v>
      </c>
      <c r="F391" s="4">
        <v>350260.09244025021</v>
      </c>
      <c r="G391" s="4">
        <v>350260.79568193114</v>
      </c>
      <c r="H391" s="5">
        <f t="shared" si="5"/>
        <v>0</v>
      </c>
      <c r="I391" t="s">
        <v>142</v>
      </c>
      <c r="J391" t="s">
        <v>128</v>
      </c>
      <c r="K391" s="5">
        <f>207 / 86400</f>
        <v>2.3958333333333331E-3</v>
      </c>
      <c r="L391" s="5">
        <f>859 / 86400</f>
        <v>9.9421296296296289E-3</v>
      </c>
    </row>
    <row r="392" spans="1:12" x14ac:dyDescent="0.25">
      <c r="A392" s="3">
        <v>45711.615844907406</v>
      </c>
      <c r="B392" t="s">
        <v>115</v>
      </c>
      <c r="C392" s="3">
        <v>45711.618576388893</v>
      </c>
      <c r="D392" t="s">
        <v>259</v>
      </c>
      <c r="E392" s="4">
        <v>1.1114267384409904</v>
      </c>
      <c r="F392" s="4">
        <v>350260.82117220206</v>
      </c>
      <c r="G392" s="4">
        <v>350261.9325989405</v>
      </c>
      <c r="H392" s="5">
        <f t="shared" si="5"/>
        <v>0</v>
      </c>
      <c r="I392" t="s">
        <v>130</v>
      </c>
      <c r="J392" t="s">
        <v>58</v>
      </c>
      <c r="K392" s="5">
        <f>236 / 86400</f>
        <v>2.7314814814814814E-3</v>
      </c>
      <c r="L392" s="5">
        <f>176 / 86400</f>
        <v>2.0370370370370369E-3</v>
      </c>
    </row>
    <row r="393" spans="1:12" x14ac:dyDescent="0.25">
      <c r="A393" s="3">
        <v>45711.620613425926</v>
      </c>
      <c r="B393" t="s">
        <v>259</v>
      </c>
      <c r="C393" s="3">
        <v>45711.621307870373</v>
      </c>
      <c r="D393" t="s">
        <v>329</v>
      </c>
      <c r="E393" s="4">
        <v>0.23110656565427781</v>
      </c>
      <c r="F393" s="4">
        <v>350261.97827390814</v>
      </c>
      <c r="G393" s="4">
        <v>350262.20938047377</v>
      </c>
      <c r="H393" s="5">
        <f t="shared" si="5"/>
        <v>0</v>
      </c>
      <c r="I393" t="s">
        <v>142</v>
      </c>
      <c r="J393" t="s">
        <v>116</v>
      </c>
      <c r="K393" s="5">
        <f>60 / 86400</f>
        <v>6.9444444444444447E-4</v>
      </c>
      <c r="L393" s="5">
        <f>20 / 86400</f>
        <v>2.3148148148148149E-4</v>
      </c>
    </row>
    <row r="394" spans="1:12" x14ac:dyDescent="0.25">
      <c r="A394" s="3">
        <v>45711.621539351851</v>
      </c>
      <c r="B394" t="s">
        <v>260</v>
      </c>
      <c r="C394" s="3">
        <v>45711.621770833328</v>
      </c>
      <c r="D394" t="s">
        <v>260</v>
      </c>
      <c r="E394" s="4">
        <v>8.9386646211147308E-2</v>
      </c>
      <c r="F394" s="4">
        <v>350262.30948023603</v>
      </c>
      <c r="G394" s="4">
        <v>350262.39886688226</v>
      </c>
      <c r="H394" s="5">
        <f t="shared" si="5"/>
        <v>0</v>
      </c>
      <c r="I394" t="s">
        <v>162</v>
      </c>
      <c r="J394" t="s">
        <v>112</v>
      </c>
      <c r="K394" s="5">
        <f>20 / 86400</f>
        <v>2.3148148148148149E-4</v>
      </c>
      <c r="L394" s="5">
        <f>60 / 86400</f>
        <v>6.9444444444444447E-4</v>
      </c>
    </row>
    <row r="395" spans="1:12" x14ac:dyDescent="0.25">
      <c r="A395" s="3">
        <v>45711.622465277775</v>
      </c>
      <c r="B395" t="s">
        <v>260</v>
      </c>
      <c r="C395" s="3">
        <v>45711.622696759259</v>
      </c>
      <c r="D395" t="s">
        <v>260</v>
      </c>
      <c r="E395" s="4">
        <v>7.8082261681556705E-3</v>
      </c>
      <c r="F395" s="4">
        <v>350262.40303962125</v>
      </c>
      <c r="G395" s="4">
        <v>350262.41084784741</v>
      </c>
      <c r="H395" s="5">
        <f t="shared" si="5"/>
        <v>0</v>
      </c>
      <c r="I395" t="s">
        <v>21</v>
      </c>
      <c r="J395" t="s">
        <v>21</v>
      </c>
      <c r="K395" s="5">
        <f>20 / 86400</f>
        <v>2.3148148148148149E-4</v>
      </c>
      <c r="L395" s="5">
        <f>20 / 86400</f>
        <v>2.3148148148148149E-4</v>
      </c>
    </row>
    <row r="396" spans="1:12" x14ac:dyDescent="0.25">
      <c r="A396" s="3">
        <v>45711.622928240744</v>
      </c>
      <c r="B396" t="s">
        <v>260</v>
      </c>
      <c r="C396" s="3">
        <v>45711.625023148154</v>
      </c>
      <c r="D396" t="s">
        <v>330</v>
      </c>
      <c r="E396" s="4">
        <v>0.89532678431272505</v>
      </c>
      <c r="F396" s="4">
        <v>350262.4343274057</v>
      </c>
      <c r="G396" s="4">
        <v>350263.32965418999</v>
      </c>
      <c r="H396" s="5">
        <f t="shared" si="5"/>
        <v>0</v>
      </c>
      <c r="I396" t="s">
        <v>134</v>
      </c>
      <c r="J396" t="s">
        <v>38</v>
      </c>
      <c r="K396" s="5">
        <f>181 / 86400</f>
        <v>2.0949074074074073E-3</v>
      </c>
      <c r="L396" s="5">
        <f>20 / 86400</f>
        <v>2.3148148148148149E-4</v>
      </c>
    </row>
    <row r="397" spans="1:12" x14ac:dyDescent="0.25">
      <c r="A397" s="3">
        <v>45711.625254629631</v>
      </c>
      <c r="B397" t="s">
        <v>330</v>
      </c>
      <c r="C397" s="3">
        <v>45711.625937500001</v>
      </c>
      <c r="D397" t="s">
        <v>262</v>
      </c>
      <c r="E397" s="4">
        <v>0.23286278301477431</v>
      </c>
      <c r="F397" s="4">
        <v>350263.43021620595</v>
      </c>
      <c r="G397" s="4">
        <v>350263.66307898896</v>
      </c>
      <c r="H397" s="5">
        <f t="shared" si="5"/>
        <v>0</v>
      </c>
      <c r="I397" t="s">
        <v>131</v>
      </c>
      <c r="J397" t="s">
        <v>116</v>
      </c>
      <c r="K397" s="5">
        <f>59 / 86400</f>
        <v>6.8287037037037036E-4</v>
      </c>
      <c r="L397" s="5">
        <f>20 / 86400</f>
        <v>2.3148148148148149E-4</v>
      </c>
    </row>
    <row r="398" spans="1:12" x14ac:dyDescent="0.25">
      <c r="A398" s="3">
        <v>45711.626168981486</v>
      </c>
      <c r="B398" t="s">
        <v>331</v>
      </c>
      <c r="C398" s="3">
        <v>45711.628842592589</v>
      </c>
      <c r="D398" t="s">
        <v>255</v>
      </c>
      <c r="E398" s="4">
        <v>1.597597790658474</v>
      </c>
      <c r="F398" s="4">
        <v>350263.74567958136</v>
      </c>
      <c r="G398" s="4">
        <v>350265.34327737201</v>
      </c>
      <c r="H398" s="5">
        <f t="shared" si="5"/>
        <v>0</v>
      </c>
      <c r="I398" t="s">
        <v>180</v>
      </c>
      <c r="J398" t="s">
        <v>212</v>
      </c>
      <c r="K398" s="5">
        <f>231 / 86400</f>
        <v>2.673611111111111E-3</v>
      </c>
      <c r="L398" s="5">
        <f>20 / 86400</f>
        <v>2.3148148148148149E-4</v>
      </c>
    </row>
    <row r="399" spans="1:12" x14ac:dyDescent="0.25">
      <c r="A399" s="3">
        <v>45711.629074074073</v>
      </c>
      <c r="B399" t="s">
        <v>332</v>
      </c>
      <c r="C399" s="3">
        <v>45711.62976851852</v>
      </c>
      <c r="D399" t="s">
        <v>333</v>
      </c>
      <c r="E399" s="4">
        <v>0.20806061100959777</v>
      </c>
      <c r="F399" s="4">
        <v>350265.5144161486</v>
      </c>
      <c r="G399" s="4">
        <v>350265.72247675963</v>
      </c>
      <c r="H399" s="5">
        <f t="shared" si="5"/>
        <v>0</v>
      </c>
      <c r="I399" t="s">
        <v>72</v>
      </c>
      <c r="J399" t="s">
        <v>128</v>
      </c>
      <c r="K399" s="5">
        <f>60 / 86400</f>
        <v>6.9444444444444447E-4</v>
      </c>
      <c r="L399" s="5">
        <f>15 / 86400</f>
        <v>1.7361111111111112E-4</v>
      </c>
    </row>
    <row r="400" spans="1:12" x14ac:dyDescent="0.25">
      <c r="A400" s="3">
        <v>45711.629942129628</v>
      </c>
      <c r="B400" t="s">
        <v>333</v>
      </c>
      <c r="C400" s="3">
        <v>45711.630474537036</v>
      </c>
      <c r="D400" t="s">
        <v>334</v>
      </c>
      <c r="E400" s="4">
        <v>0.13504908394813536</v>
      </c>
      <c r="F400" s="4">
        <v>350265.73473173671</v>
      </c>
      <c r="G400" s="4">
        <v>350265.86978082068</v>
      </c>
      <c r="H400" s="5">
        <f t="shared" si="5"/>
        <v>0</v>
      </c>
      <c r="I400" t="s">
        <v>120</v>
      </c>
      <c r="J400" t="s">
        <v>41</v>
      </c>
      <c r="K400" s="5">
        <f>46 / 86400</f>
        <v>5.3240740740740744E-4</v>
      </c>
      <c r="L400" s="5">
        <f>20 / 86400</f>
        <v>2.3148148148148149E-4</v>
      </c>
    </row>
    <row r="401" spans="1:12" x14ac:dyDescent="0.25">
      <c r="A401" s="3">
        <v>45711.630706018521</v>
      </c>
      <c r="B401" t="s">
        <v>334</v>
      </c>
      <c r="C401" s="3">
        <v>45711.632476851853</v>
      </c>
      <c r="D401" t="s">
        <v>235</v>
      </c>
      <c r="E401" s="4">
        <v>0.52784825628995891</v>
      </c>
      <c r="F401" s="4">
        <v>350265.87690785737</v>
      </c>
      <c r="G401" s="4">
        <v>350266.40475611365</v>
      </c>
      <c r="H401" s="5">
        <f t="shared" si="5"/>
        <v>0</v>
      </c>
      <c r="I401" t="s">
        <v>149</v>
      </c>
      <c r="J401" t="s">
        <v>128</v>
      </c>
      <c r="K401" s="5">
        <f>153 / 86400</f>
        <v>1.7708333333333332E-3</v>
      </c>
      <c r="L401" s="5">
        <f>20 / 86400</f>
        <v>2.3148148148148149E-4</v>
      </c>
    </row>
    <row r="402" spans="1:12" x14ac:dyDescent="0.25">
      <c r="A402" s="3">
        <v>45711.632708333331</v>
      </c>
      <c r="B402" t="s">
        <v>235</v>
      </c>
      <c r="C402" s="3">
        <v>45711.632939814815</v>
      </c>
      <c r="D402" t="s">
        <v>235</v>
      </c>
      <c r="E402" s="4">
        <v>4.8531480431556698E-3</v>
      </c>
      <c r="F402" s="4">
        <v>350266.41110643465</v>
      </c>
      <c r="G402" s="4">
        <v>350266.41595958266</v>
      </c>
      <c r="H402" s="5">
        <f t="shared" si="5"/>
        <v>0</v>
      </c>
      <c r="I402" t="s">
        <v>33</v>
      </c>
      <c r="J402" t="s">
        <v>21</v>
      </c>
      <c r="K402" s="5">
        <f>20 / 86400</f>
        <v>2.3148148148148149E-4</v>
      </c>
      <c r="L402" s="5">
        <f>191 / 86400</f>
        <v>2.2106481481481482E-3</v>
      </c>
    </row>
    <row r="403" spans="1:12" x14ac:dyDescent="0.25">
      <c r="A403" s="3">
        <v>45711.635150462964</v>
      </c>
      <c r="B403" t="s">
        <v>236</v>
      </c>
      <c r="C403" s="3">
        <v>45711.635381944448</v>
      </c>
      <c r="D403" t="s">
        <v>236</v>
      </c>
      <c r="E403" s="4">
        <v>5.322621047496796E-3</v>
      </c>
      <c r="F403" s="4">
        <v>350266.44007316738</v>
      </c>
      <c r="G403" s="4">
        <v>350266.44539578841</v>
      </c>
      <c r="H403" s="5">
        <f t="shared" si="5"/>
        <v>0</v>
      </c>
      <c r="I403" t="s">
        <v>34</v>
      </c>
      <c r="J403" t="s">
        <v>21</v>
      </c>
      <c r="K403" s="5">
        <f>20 / 86400</f>
        <v>2.3148148148148149E-4</v>
      </c>
      <c r="L403" s="5">
        <f>80 / 86400</f>
        <v>9.2592592592592596E-4</v>
      </c>
    </row>
    <row r="404" spans="1:12" x14ac:dyDescent="0.25">
      <c r="A404" s="3">
        <v>45711.636307870373</v>
      </c>
      <c r="B404" t="s">
        <v>236</v>
      </c>
      <c r="C404" s="3">
        <v>45711.63653935185</v>
      </c>
      <c r="D404" t="s">
        <v>236</v>
      </c>
      <c r="E404" s="4">
        <v>2.9536020159721373E-3</v>
      </c>
      <c r="F404" s="4">
        <v>350266.45293734042</v>
      </c>
      <c r="G404" s="4">
        <v>350266.45589094248</v>
      </c>
      <c r="H404" s="5">
        <f t="shared" si="5"/>
        <v>0</v>
      </c>
      <c r="I404" t="s">
        <v>21</v>
      </c>
      <c r="J404" t="s">
        <v>21</v>
      </c>
      <c r="K404" s="5">
        <f>20 / 86400</f>
        <v>2.3148148148148149E-4</v>
      </c>
      <c r="L404" s="5">
        <f>280 / 86400</f>
        <v>3.2407407407407406E-3</v>
      </c>
    </row>
    <row r="405" spans="1:12" x14ac:dyDescent="0.25">
      <c r="A405" s="3">
        <v>45711.639780092592</v>
      </c>
      <c r="B405" t="s">
        <v>236</v>
      </c>
      <c r="C405" s="3">
        <v>45711.640011574069</v>
      </c>
      <c r="D405" t="s">
        <v>236</v>
      </c>
      <c r="E405" s="4">
        <v>4.5613017678260807E-3</v>
      </c>
      <c r="F405" s="4">
        <v>350266.49544979446</v>
      </c>
      <c r="G405" s="4">
        <v>350266.50001109624</v>
      </c>
      <c r="H405" s="5">
        <f t="shared" si="5"/>
        <v>0</v>
      </c>
      <c r="I405" t="s">
        <v>21</v>
      </c>
      <c r="J405" t="s">
        <v>21</v>
      </c>
      <c r="K405" s="5">
        <f>20 / 86400</f>
        <v>2.3148148148148149E-4</v>
      </c>
      <c r="L405" s="5">
        <f>310 / 86400</f>
        <v>3.5879629629629629E-3</v>
      </c>
    </row>
    <row r="406" spans="1:12" x14ac:dyDescent="0.25">
      <c r="A406" s="3">
        <v>45711.643599537041</v>
      </c>
      <c r="B406" t="s">
        <v>235</v>
      </c>
      <c r="C406" s="3">
        <v>45711.645277777774</v>
      </c>
      <c r="D406" t="s">
        <v>251</v>
      </c>
      <c r="E406" s="4">
        <v>0.6468547804355621</v>
      </c>
      <c r="F406" s="4">
        <v>350266.53720867337</v>
      </c>
      <c r="G406" s="4">
        <v>350267.18406345381</v>
      </c>
      <c r="H406" s="5">
        <f t="shared" si="5"/>
        <v>0</v>
      </c>
      <c r="I406" t="s">
        <v>130</v>
      </c>
      <c r="J406" t="s">
        <v>112</v>
      </c>
      <c r="K406" s="5">
        <f>145 / 86400</f>
        <v>1.6782407407407408E-3</v>
      </c>
      <c r="L406" s="5">
        <f t="shared" ref="L406:L414" si="6">20 / 86400</f>
        <v>2.3148148148148149E-4</v>
      </c>
    </row>
    <row r="407" spans="1:12" x14ac:dyDescent="0.25">
      <c r="A407" s="3">
        <v>45711.645509259259</v>
      </c>
      <c r="B407" t="s">
        <v>251</v>
      </c>
      <c r="C407" s="3">
        <v>45711.647129629629</v>
      </c>
      <c r="D407" t="s">
        <v>335</v>
      </c>
      <c r="E407" s="4">
        <v>1.0451002322435379</v>
      </c>
      <c r="F407" s="4">
        <v>350267.24128204182</v>
      </c>
      <c r="G407" s="4">
        <v>350268.28638227412</v>
      </c>
      <c r="H407" s="5">
        <f t="shared" si="5"/>
        <v>0</v>
      </c>
      <c r="I407" t="s">
        <v>133</v>
      </c>
      <c r="J407" t="s">
        <v>149</v>
      </c>
      <c r="K407" s="5">
        <f>140 / 86400</f>
        <v>1.6203703703703703E-3</v>
      </c>
      <c r="L407" s="5">
        <f t="shared" si="6"/>
        <v>2.3148148148148149E-4</v>
      </c>
    </row>
    <row r="408" spans="1:12" x14ac:dyDescent="0.25">
      <c r="A408" s="3">
        <v>45711.647361111114</v>
      </c>
      <c r="B408" t="s">
        <v>44</v>
      </c>
      <c r="C408" s="3">
        <v>45711.648055555561</v>
      </c>
      <c r="D408" t="s">
        <v>233</v>
      </c>
      <c r="E408" s="4">
        <v>0.5107884238958359</v>
      </c>
      <c r="F408" s="4">
        <v>350268.45380579453</v>
      </c>
      <c r="G408" s="4">
        <v>350268.96459421841</v>
      </c>
      <c r="H408" s="5">
        <f t="shared" si="5"/>
        <v>0</v>
      </c>
      <c r="I408" t="s">
        <v>137</v>
      </c>
      <c r="J408" t="s">
        <v>119</v>
      </c>
      <c r="K408" s="5">
        <f>60 / 86400</f>
        <v>6.9444444444444447E-4</v>
      </c>
      <c r="L408" s="5">
        <f t="shared" si="6"/>
        <v>2.3148148148148149E-4</v>
      </c>
    </row>
    <row r="409" spans="1:12" x14ac:dyDescent="0.25">
      <c r="A409" s="3">
        <v>45711.648287037038</v>
      </c>
      <c r="B409" t="s">
        <v>233</v>
      </c>
      <c r="C409" s="3">
        <v>45711.651759259257</v>
      </c>
      <c r="D409" t="s">
        <v>336</v>
      </c>
      <c r="E409" s="4">
        <v>3.585920911550522</v>
      </c>
      <c r="F409" s="4">
        <v>350269.10841272754</v>
      </c>
      <c r="G409" s="4">
        <v>350272.69433363911</v>
      </c>
      <c r="H409" s="5">
        <f t="shared" si="5"/>
        <v>0</v>
      </c>
      <c r="I409" t="s">
        <v>178</v>
      </c>
      <c r="J409" t="s">
        <v>148</v>
      </c>
      <c r="K409" s="5">
        <f>300 / 86400</f>
        <v>3.472222222222222E-3</v>
      </c>
      <c r="L409" s="5">
        <f t="shared" si="6"/>
        <v>2.3148148148148149E-4</v>
      </c>
    </row>
    <row r="410" spans="1:12" x14ac:dyDescent="0.25">
      <c r="A410" s="3">
        <v>45711.651990740742</v>
      </c>
      <c r="B410" t="s">
        <v>328</v>
      </c>
      <c r="C410" s="3">
        <v>45711.654293981483</v>
      </c>
      <c r="D410" t="s">
        <v>237</v>
      </c>
      <c r="E410" s="4">
        <v>1.8615804701447487</v>
      </c>
      <c r="F410" s="4">
        <v>350272.86186701985</v>
      </c>
      <c r="G410" s="4">
        <v>350274.72344748996</v>
      </c>
      <c r="H410" s="5">
        <f t="shared" si="5"/>
        <v>0</v>
      </c>
      <c r="I410" t="s">
        <v>180</v>
      </c>
      <c r="J410" t="s">
        <v>72</v>
      </c>
      <c r="K410" s="5">
        <f>199 / 86400</f>
        <v>2.3032407407407407E-3</v>
      </c>
      <c r="L410" s="5">
        <f t="shared" si="6"/>
        <v>2.3148148148148149E-4</v>
      </c>
    </row>
    <row r="411" spans="1:12" x14ac:dyDescent="0.25">
      <c r="A411" s="3">
        <v>45711.65452546296</v>
      </c>
      <c r="B411" t="s">
        <v>237</v>
      </c>
      <c r="C411" s="3">
        <v>45711.656377314815</v>
      </c>
      <c r="D411" t="s">
        <v>29</v>
      </c>
      <c r="E411" s="4">
        <v>1.3048265139460564</v>
      </c>
      <c r="F411" s="4">
        <v>350274.79284796328</v>
      </c>
      <c r="G411" s="4">
        <v>350276.09767447721</v>
      </c>
      <c r="H411" s="5">
        <f t="shared" si="5"/>
        <v>0</v>
      </c>
      <c r="I411" t="s">
        <v>143</v>
      </c>
      <c r="J411" t="s">
        <v>130</v>
      </c>
      <c r="K411" s="5">
        <f>160 / 86400</f>
        <v>1.8518518518518519E-3</v>
      </c>
      <c r="L411" s="5">
        <f t="shared" si="6"/>
        <v>2.3148148148148149E-4</v>
      </c>
    </row>
    <row r="412" spans="1:12" x14ac:dyDescent="0.25">
      <c r="A412" s="3">
        <v>45711.6566087963</v>
      </c>
      <c r="B412" t="s">
        <v>29</v>
      </c>
      <c r="C412" s="3">
        <v>45711.657997685186</v>
      </c>
      <c r="D412" t="s">
        <v>237</v>
      </c>
      <c r="E412" s="4">
        <v>1.0459184857606887</v>
      </c>
      <c r="F412" s="4">
        <v>350276.10149523913</v>
      </c>
      <c r="G412" s="4">
        <v>350277.14741372492</v>
      </c>
      <c r="H412" s="5">
        <f t="shared" si="5"/>
        <v>0</v>
      </c>
      <c r="I412" t="s">
        <v>139</v>
      </c>
      <c r="J412" t="s">
        <v>119</v>
      </c>
      <c r="K412" s="5">
        <f>120 / 86400</f>
        <v>1.3888888888888889E-3</v>
      </c>
      <c r="L412" s="5">
        <f t="shared" si="6"/>
        <v>2.3148148148148149E-4</v>
      </c>
    </row>
    <row r="413" spans="1:12" x14ac:dyDescent="0.25">
      <c r="A413" s="3">
        <v>45711.658229166671</v>
      </c>
      <c r="B413" t="s">
        <v>231</v>
      </c>
      <c r="C413" s="3">
        <v>45711.658460648148</v>
      </c>
      <c r="D413" t="s">
        <v>50</v>
      </c>
      <c r="E413" s="4">
        <v>0.13082157951593398</v>
      </c>
      <c r="F413" s="4">
        <v>350277.26425048558</v>
      </c>
      <c r="G413" s="4">
        <v>350277.39507206512</v>
      </c>
      <c r="H413" s="5">
        <f t="shared" si="5"/>
        <v>0</v>
      </c>
      <c r="I413" t="s">
        <v>161</v>
      </c>
      <c r="J413" t="s">
        <v>31</v>
      </c>
      <c r="K413" s="5">
        <f>20 / 86400</f>
        <v>2.3148148148148149E-4</v>
      </c>
      <c r="L413" s="5">
        <f t="shared" si="6"/>
        <v>2.3148148148148149E-4</v>
      </c>
    </row>
    <row r="414" spans="1:12" x14ac:dyDescent="0.25">
      <c r="A414" s="3">
        <v>45711.658692129626</v>
      </c>
      <c r="B414" t="s">
        <v>231</v>
      </c>
      <c r="C414" s="3">
        <v>45711.659849537042</v>
      </c>
      <c r="D414" t="s">
        <v>231</v>
      </c>
      <c r="E414" s="4">
        <v>1.2554582602977753</v>
      </c>
      <c r="F414" s="4">
        <v>350277.57190726121</v>
      </c>
      <c r="G414" s="4">
        <v>350278.82736552152</v>
      </c>
      <c r="H414" s="5">
        <f t="shared" si="5"/>
        <v>0</v>
      </c>
      <c r="I414" t="s">
        <v>139</v>
      </c>
      <c r="J414" t="s">
        <v>186</v>
      </c>
      <c r="K414" s="5">
        <f>100 / 86400</f>
        <v>1.1574074074074073E-3</v>
      </c>
      <c r="L414" s="5">
        <f t="shared" si="6"/>
        <v>2.3148148148148149E-4</v>
      </c>
    </row>
    <row r="415" spans="1:12" x14ac:dyDescent="0.25">
      <c r="A415" s="3">
        <v>45711.660081018519</v>
      </c>
      <c r="B415" t="s">
        <v>229</v>
      </c>
      <c r="C415" s="3">
        <v>45711.663090277776</v>
      </c>
      <c r="D415" t="s">
        <v>227</v>
      </c>
      <c r="E415" s="4">
        <v>2.348251841545105</v>
      </c>
      <c r="F415" s="4">
        <v>350278.89769772434</v>
      </c>
      <c r="G415" s="4">
        <v>350281.2459495659</v>
      </c>
      <c r="H415" s="5">
        <f t="shared" si="5"/>
        <v>0</v>
      </c>
      <c r="I415" t="s">
        <v>139</v>
      </c>
      <c r="J415" t="s">
        <v>52</v>
      </c>
      <c r="K415" s="5">
        <f>260 / 86400</f>
        <v>3.0092592592592593E-3</v>
      </c>
      <c r="L415" s="5">
        <f>60 / 86400</f>
        <v>6.9444444444444447E-4</v>
      </c>
    </row>
    <row r="416" spans="1:12" x14ac:dyDescent="0.25">
      <c r="A416" s="3">
        <v>45711.663784722223</v>
      </c>
      <c r="B416" t="s">
        <v>227</v>
      </c>
      <c r="C416" s="3">
        <v>45711.664479166662</v>
      </c>
      <c r="D416" t="s">
        <v>74</v>
      </c>
      <c r="E416" s="4">
        <v>3.2578051805496215E-2</v>
      </c>
      <c r="F416" s="4">
        <v>350281.26295506186</v>
      </c>
      <c r="G416" s="4">
        <v>350281.29553311365</v>
      </c>
      <c r="H416" s="5">
        <f t="shared" si="5"/>
        <v>0</v>
      </c>
      <c r="I416" t="s">
        <v>20</v>
      </c>
      <c r="J416" t="s">
        <v>190</v>
      </c>
      <c r="K416" s="5">
        <f>60 / 86400</f>
        <v>6.9444444444444447E-4</v>
      </c>
      <c r="L416" s="5">
        <f>200 / 86400</f>
        <v>2.3148148148148147E-3</v>
      </c>
    </row>
    <row r="417" spans="1:12" x14ac:dyDescent="0.25">
      <c r="A417" s="3">
        <v>45711.66679398148</v>
      </c>
      <c r="B417" t="s">
        <v>74</v>
      </c>
      <c r="C417" s="3">
        <v>45711.667025462964</v>
      </c>
      <c r="D417" t="s">
        <v>74</v>
      </c>
      <c r="E417" s="4">
        <v>8.3945315480232242E-3</v>
      </c>
      <c r="F417" s="4">
        <v>350281.3123089259</v>
      </c>
      <c r="G417" s="4">
        <v>350281.32070345746</v>
      </c>
      <c r="H417" s="5">
        <f t="shared" si="5"/>
        <v>0</v>
      </c>
      <c r="I417" t="s">
        <v>190</v>
      </c>
      <c r="J417" t="s">
        <v>190</v>
      </c>
      <c r="K417" s="5">
        <f>20 / 86400</f>
        <v>2.3148148148148149E-4</v>
      </c>
      <c r="L417" s="5">
        <f>20 / 86400</f>
        <v>2.3148148148148149E-4</v>
      </c>
    </row>
    <row r="418" spans="1:12" x14ac:dyDescent="0.25">
      <c r="A418" s="3">
        <v>45711.667256944449</v>
      </c>
      <c r="B418" t="s">
        <v>74</v>
      </c>
      <c r="C418" s="3">
        <v>45711.669108796297</v>
      </c>
      <c r="D418" t="s">
        <v>102</v>
      </c>
      <c r="E418" s="4">
        <v>1.8988102302551269</v>
      </c>
      <c r="F418" s="4">
        <v>350281.35611414665</v>
      </c>
      <c r="G418" s="4">
        <v>350283.2549243769</v>
      </c>
      <c r="H418" s="5">
        <f t="shared" si="5"/>
        <v>0</v>
      </c>
      <c r="I418" t="s">
        <v>166</v>
      </c>
      <c r="J418" t="s">
        <v>148</v>
      </c>
      <c r="K418" s="5">
        <f>160 / 86400</f>
        <v>1.8518518518518519E-3</v>
      </c>
      <c r="L418" s="5">
        <f>20 / 86400</f>
        <v>2.3148148148148149E-4</v>
      </c>
    </row>
    <row r="419" spans="1:12" x14ac:dyDescent="0.25">
      <c r="A419" s="3">
        <v>45711.669340277775</v>
      </c>
      <c r="B419" t="s">
        <v>102</v>
      </c>
      <c r="C419" s="3">
        <v>45711.669803240744</v>
      </c>
      <c r="D419" t="s">
        <v>102</v>
      </c>
      <c r="E419" s="4">
        <v>0.34667279344797136</v>
      </c>
      <c r="F419" s="4">
        <v>350283.45384615223</v>
      </c>
      <c r="G419" s="4">
        <v>350283.80051894567</v>
      </c>
      <c r="H419" s="5">
        <f t="shared" si="5"/>
        <v>0</v>
      </c>
      <c r="I419" t="s">
        <v>239</v>
      </c>
      <c r="J419" t="s">
        <v>119</v>
      </c>
      <c r="K419" s="5">
        <f>40 / 86400</f>
        <v>4.6296296296296298E-4</v>
      </c>
      <c r="L419" s="5">
        <f>20 / 86400</f>
        <v>2.3148148148148149E-4</v>
      </c>
    </row>
    <row r="420" spans="1:12" x14ac:dyDescent="0.25">
      <c r="A420" s="3">
        <v>45711.670034722221</v>
      </c>
      <c r="B420" t="s">
        <v>65</v>
      </c>
      <c r="C420" s="3">
        <v>45711.670960648145</v>
      </c>
      <c r="D420" t="s">
        <v>102</v>
      </c>
      <c r="E420" s="4">
        <v>0.80470107847452166</v>
      </c>
      <c r="F420" s="4">
        <v>350283.85960195144</v>
      </c>
      <c r="G420" s="4">
        <v>350284.66430302989</v>
      </c>
      <c r="H420" s="5">
        <f t="shared" si="5"/>
        <v>0</v>
      </c>
      <c r="I420" t="s">
        <v>337</v>
      </c>
      <c r="J420" t="s">
        <v>176</v>
      </c>
      <c r="K420" s="5">
        <f>80 / 86400</f>
        <v>9.2592592592592596E-4</v>
      </c>
      <c r="L420" s="5">
        <f>20 / 86400</f>
        <v>2.3148148148148149E-4</v>
      </c>
    </row>
    <row r="421" spans="1:12" x14ac:dyDescent="0.25">
      <c r="A421" s="3">
        <v>45711.67119212963</v>
      </c>
      <c r="B421" t="s">
        <v>102</v>
      </c>
      <c r="C421" s="3">
        <v>45711.672118055554</v>
      </c>
      <c r="D421" t="s">
        <v>102</v>
      </c>
      <c r="E421" s="4">
        <v>0.75798550200462345</v>
      </c>
      <c r="F421" s="4">
        <v>350284.82912478113</v>
      </c>
      <c r="G421" s="4">
        <v>350285.58711028314</v>
      </c>
      <c r="H421" s="5">
        <f t="shared" si="5"/>
        <v>0</v>
      </c>
      <c r="I421" t="s">
        <v>46</v>
      </c>
      <c r="J421" t="s">
        <v>72</v>
      </c>
      <c r="K421" s="5">
        <f>80 / 86400</f>
        <v>9.2592592592592596E-4</v>
      </c>
      <c r="L421" s="5">
        <f>20 / 86400</f>
        <v>2.3148148148148149E-4</v>
      </c>
    </row>
    <row r="422" spans="1:12" x14ac:dyDescent="0.25">
      <c r="A422" s="3">
        <v>45711.672349537039</v>
      </c>
      <c r="B422" t="s">
        <v>102</v>
      </c>
      <c r="C422" s="3">
        <v>45711.673738425925</v>
      </c>
      <c r="D422" t="s">
        <v>81</v>
      </c>
      <c r="E422" s="4">
        <v>1.2706660717129707</v>
      </c>
      <c r="F422" s="4">
        <v>350285.58874773327</v>
      </c>
      <c r="G422" s="4">
        <v>350286.85941380501</v>
      </c>
      <c r="H422" s="5">
        <f t="shared" si="5"/>
        <v>0</v>
      </c>
      <c r="I422" t="s">
        <v>139</v>
      </c>
      <c r="J422" t="s">
        <v>161</v>
      </c>
      <c r="K422" s="5">
        <f>120 / 86400</f>
        <v>1.3888888888888889E-3</v>
      </c>
      <c r="L422" s="5">
        <f>40 / 86400</f>
        <v>4.6296296296296298E-4</v>
      </c>
    </row>
    <row r="423" spans="1:12" x14ac:dyDescent="0.25">
      <c r="A423" s="3">
        <v>45711.674201388887</v>
      </c>
      <c r="B423" t="s">
        <v>81</v>
      </c>
      <c r="C423" s="3">
        <v>45711.674675925926</v>
      </c>
      <c r="D423" t="s">
        <v>81</v>
      </c>
      <c r="E423" s="4">
        <v>0.48692578107118606</v>
      </c>
      <c r="F423" s="4">
        <v>350287.00188100472</v>
      </c>
      <c r="G423" s="4">
        <v>350287.48880678578</v>
      </c>
      <c r="H423" s="5">
        <f t="shared" si="5"/>
        <v>0</v>
      </c>
      <c r="I423" t="s">
        <v>166</v>
      </c>
      <c r="J423" t="s">
        <v>148</v>
      </c>
      <c r="K423" s="5">
        <f>41 / 86400</f>
        <v>4.7453703703703704E-4</v>
      </c>
      <c r="L423" s="5">
        <f>19 / 86400</f>
        <v>2.199074074074074E-4</v>
      </c>
    </row>
    <row r="424" spans="1:12" x14ac:dyDescent="0.25">
      <c r="A424" s="3">
        <v>45711.674895833334</v>
      </c>
      <c r="B424" t="s">
        <v>81</v>
      </c>
      <c r="C424" s="3">
        <v>45711.676053240742</v>
      </c>
      <c r="D424" t="s">
        <v>81</v>
      </c>
      <c r="E424" s="4">
        <v>0.82019654434919353</v>
      </c>
      <c r="F424" s="4">
        <v>350287.50028220646</v>
      </c>
      <c r="G424" s="4">
        <v>350288.3204787508</v>
      </c>
      <c r="H424" s="5">
        <f t="shared" si="5"/>
        <v>0</v>
      </c>
      <c r="I424" t="s">
        <v>210</v>
      </c>
      <c r="J424" t="s">
        <v>162</v>
      </c>
      <c r="K424" s="5">
        <f>100 / 86400</f>
        <v>1.1574074074074073E-3</v>
      </c>
      <c r="L424" s="5">
        <f>20 / 86400</f>
        <v>2.3148148148148149E-4</v>
      </c>
    </row>
    <row r="425" spans="1:12" x14ac:dyDescent="0.25">
      <c r="A425" s="3">
        <v>45711.676284722227</v>
      </c>
      <c r="B425" t="s">
        <v>81</v>
      </c>
      <c r="C425" s="3">
        <v>45711.676747685182</v>
      </c>
      <c r="D425" t="s">
        <v>81</v>
      </c>
      <c r="E425" s="4">
        <v>0.15325972604751587</v>
      </c>
      <c r="F425" s="4">
        <v>350288.48943257442</v>
      </c>
      <c r="G425" s="4">
        <v>350288.64269230049</v>
      </c>
      <c r="H425" s="5">
        <f t="shared" si="5"/>
        <v>0</v>
      </c>
      <c r="I425" t="s">
        <v>161</v>
      </c>
      <c r="J425" t="s">
        <v>116</v>
      </c>
      <c r="K425" s="5">
        <f>40 / 86400</f>
        <v>4.6296296296296298E-4</v>
      </c>
      <c r="L425" s="5">
        <f>40 / 86400</f>
        <v>4.6296296296296298E-4</v>
      </c>
    </row>
    <row r="426" spans="1:12" x14ac:dyDescent="0.25">
      <c r="A426" s="3">
        <v>45711.677210648151</v>
      </c>
      <c r="B426" t="s">
        <v>81</v>
      </c>
      <c r="C426" s="3">
        <v>45711.678136574075</v>
      </c>
      <c r="D426" t="s">
        <v>126</v>
      </c>
      <c r="E426" s="4">
        <v>0.48993788778781888</v>
      </c>
      <c r="F426" s="4">
        <v>350288.72395055275</v>
      </c>
      <c r="G426" s="4">
        <v>350289.21388844057</v>
      </c>
      <c r="H426" s="5">
        <f t="shared" si="5"/>
        <v>0</v>
      </c>
      <c r="I426" t="s">
        <v>133</v>
      </c>
      <c r="J426" t="s">
        <v>91</v>
      </c>
      <c r="K426" s="5">
        <f>80 / 86400</f>
        <v>9.2592592592592596E-4</v>
      </c>
      <c r="L426" s="5">
        <f>10 / 86400</f>
        <v>1.1574074074074075E-4</v>
      </c>
    </row>
    <row r="427" spans="1:12" x14ac:dyDescent="0.25">
      <c r="A427" s="3">
        <v>45711.678252314814</v>
      </c>
      <c r="B427" t="s">
        <v>126</v>
      </c>
      <c r="C427" s="3">
        <v>45711.679594907408</v>
      </c>
      <c r="D427" t="s">
        <v>81</v>
      </c>
      <c r="E427" s="4">
        <v>1.022719306588173</v>
      </c>
      <c r="F427" s="4">
        <v>350289.21999537363</v>
      </c>
      <c r="G427" s="4">
        <v>350290.24271468021</v>
      </c>
      <c r="H427" s="5">
        <f t="shared" ref="H427:H490" si="7">0 / 86400</f>
        <v>0</v>
      </c>
      <c r="I427" t="s">
        <v>166</v>
      </c>
      <c r="J427" t="s">
        <v>94</v>
      </c>
      <c r="K427" s="5">
        <f>116 / 86400</f>
        <v>1.3425925925925925E-3</v>
      </c>
      <c r="L427" s="5">
        <f>20 / 86400</f>
        <v>2.3148148148148149E-4</v>
      </c>
    </row>
    <row r="428" spans="1:12" x14ac:dyDescent="0.25">
      <c r="A428" s="3">
        <v>45711.679826388892</v>
      </c>
      <c r="B428" t="s">
        <v>81</v>
      </c>
      <c r="C428" s="3">
        <v>45711.680983796294</v>
      </c>
      <c r="D428" t="s">
        <v>77</v>
      </c>
      <c r="E428" s="4">
        <v>0.69515024989843366</v>
      </c>
      <c r="F428" s="4">
        <v>350290.33355709474</v>
      </c>
      <c r="G428" s="4">
        <v>350291.02870734467</v>
      </c>
      <c r="H428" s="5">
        <f t="shared" si="7"/>
        <v>0</v>
      </c>
      <c r="I428" t="s">
        <v>325</v>
      </c>
      <c r="J428" t="s">
        <v>212</v>
      </c>
      <c r="K428" s="5">
        <f>100 / 86400</f>
        <v>1.1574074074074073E-3</v>
      </c>
      <c r="L428" s="5">
        <f>20 / 86400</f>
        <v>2.3148148148148149E-4</v>
      </c>
    </row>
    <row r="429" spans="1:12" x14ac:dyDescent="0.25">
      <c r="A429" s="3">
        <v>45711.681215277778</v>
      </c>
      <c r="B429" t="s">
        <v>77</v>
      </c>
      <c r="C429" s="3">
        <v>45711.681909722218</v>
      </c>
      <c r="D429" t="s">
        <v>77</v>
      </c>
      <c r="E429" s="4">
        <v>0.70358599805831912</v>
      </c>
      <c r="F429" s="4">
        <v>350291.03457695054</v>
      </c>
      <c r="G429" s="4">
        <v>350291.73816294863</v>
      </c>
      <c r="H429" s="5">
        <f t="shared" si="7"/>
        <v>0</v>
      </c>
      <c r="I429" t="s">
        <v>185</v>
      </c>
      <c r="J429" t="s">
        <v>137</v>
      </c>
      <c r="K429" s="5">
        <f>60 / 86400</f>
        <v>6.9444444444444447E-4</v>
      </c>
      <c r="L429" s="5">
        <f>20 / 86400</f>
        <v>2.3148148148148149E-4</v>
      </c>
    </row>
    <row r="430" spans="1:12" x14ac:dyDescent="0.25">
      <c r="A430" s="3">
        <v>45711.682141203702</v>
      </c>
      <c r="B430" t="s">
        <v>77</v>
      </c>
      <c r="C430" s="3">
        <v>45711.683993055558</v>
      </c>
      <c r="D430" t="s">
        <v>95</v>
      </c>
      <c r="E430" s="4">
        <v>1.2228842784166336</v>
      </c>
      <c r="F430" s="4">
        <v>350291.85755525413</v>
      </c>
      <c r="G430" s="4">
        <v>350293.08043953252</v>
      </c>
      <c r="H430" s="5">
        <f t="shared" si="7"/>
        <v>0</v>
      </c>
      <c r="I430" t="s">
        <v>186</v>
      </c>
      <c r="J430" t="s">
        <v>138</v>
      </c>
      <c r="K430" s="5">
        <f>160 / 86400</f>
        <v>1.8518518518518519E-3</v>
      </c>
      <c r="L430" s="5">
        <f>20 / 86400</f>
        <v>2.3148148148148149E-4</v>
      </c>
    </row>
    <row r="431" spans="1:12" x14ac:dyDescent="0.25">
      <c r="A431" s="3">
        <v>45711.684224537035</v>
      </c>
      <c r="B431" t="s">
        <v>95</v>
      </c>
      <c r="C431" s="3">
        <v>45711.686377314814</v>
      </c>
      <c r="D431" t="s">
        <v>189</v>
      </c>
      <c r="E431" s="4">
        <v>0.63284802389144901</v>
      </c>
      <c r="F431" s="4">
        <v>350293.13678055722</v>
      </c>
      <c r="G431" s="4">
        <v>350293.76962858113</v>
      </c>
      <c r="H431" s="5">
        <f t="shared" si="7"/>
        <v>0</v>
      </c>
      <c r="I431" t="s">
        <v>134</v>
      </c>
      <c r="J431" t="s">
        <v>128</v>
      </c>
      <c r="K431" s="5">
        <f>186 / 86400</f>
        <v>2.1527777777777778E-3</v>
      </c>
      <c r="L431" s="5">
        <f>147 / 86400</f>
        <v>1.7013888888888888E-3</v>
      </c>
    </row>
    <row r="432" spans="1:12" x14ac:dyDescent="0.25">
      <c r="A432" s="3">
        <v>45711.688078703708</v>
      </c>
      <c r="B432" t="s">
        <v>318</v>
      </c>
      <c r="C432" s="3">
        <v>45711.690393518518</v>
      </c>
      <c r="D432" t="s">
        <v>189</v>
      </c>
      <c r="E432" s="4">
        <v>1.2085213064551354</v>
      </c>
      <c r="F432" s="4">
        <v>350293.82082405133</v>
      </c>
      <c r="G432" s="4">
        <v>350295.02934535779</v>
      </c>
      <c r="H432" s="5">
        <f t="shared" si="7"/>
        <v>0</v>
      </c>
      <c r="I432" t="s">
        <v>40</v>
      </c>
      <c r="J432" t="s">
        <v>91</v>
      </c>
      <c r="K432" s="5">
        <f>200 / 86400</f>
        <v>2.3148148148148147E-3</v>
      </c>
      <c r="L432" s="5">
        <f>40 / 86400</f>
        <v>4.6296296296296298E-4</v>
      </c>
    </row>
    <row r="433" spans="1:12" x14ac:dyDescent="0.25">
      <c r="A433" s="3">
        <v>45711.69085648148</v>
      </c>
      <c r="B433" t="s">
        <v>189</v>
      </c>
      <c r="C433" s="3">
        <v>45711.691087962958</v>
      </c>
      <c r="D433" t="s">
        <v>189</v>
      </c>
      <c r="E433" s="4">
        <v>1.4640574038028717E-2</v>
      </c>
      <c r="F433" s="4">
        <v>350295.0769646343</v>
      </c>
      <c r="G433" s="4">
        <v>350295.09160520835</v>
      </c>
      <c r="H433" s="5">
        <f t="shared" si="7"/>
        <v>0</v>
      </c>
      <c r="I433" t="s">
        <v>120</v>
      </c>
      <c r="J433" t="s">
        <v>69</v>
      </c>
      <c r="K433" s="5">
        <f>20 / 86400</f>
        <v>2.3148148148148149E-4</v>
      </c>
      <c r="L433" s="5">
        <f>20 / 86400</f>
        <v>2.3148148148148149E-4</v>
      </c>
    </row>
    <row r="434" spans="1:12" x14ac:dyDescent="0.25">
      <c r="A434" s="3">
        <v>45711.69131944445</v>
      </c>
      <c r="B434" t="s">
        <v>98</v>
      </c>
      <c r="C434" s="3">
        <v>45711.692048611112</v>
      </c>
      <c r="D434" t="s">
        <v>189</v>
      </c>
      <c r="E434" s="4">
        <v>0.15482470792531966</v>
      </c>
      <c r="F434" s="4">
        <v>350295.12644960324</v>
      </c>
      <c r="G434" s="4">
        <v>350295.28127431119</v>
      </c>
      <c r="H434" s="5">
        <f t="shared" si="7"/>
        <v>0</v>
      </c>
      <c r="I434" t="s">
        <v>113</v>
      </c>
      <c r="J434" t="s">
        <v>155</v>
      </c>
      <c r="K434" s="5">
        <f>63 / 86400</f>
        <v>7.291666666666667E-4</v>
      </c>
      <c r="L434" s="5">
        <f>100 / 86400</f>
        <v>1.1574074074074073E-3</v>
      </c>
    </row>
    <row r="435" spans="1:12" x14ac:dyDescent="0.25">
      <c r="A435" s="3">
        <v>45711.693206018521</v>
      </c>
      <c r="B435" t="s">
        <v>189</v>
      </c>
      <c r="C435" s="3">
        <v>45711.693900462968</v>
      </c>
      <c r="D435" t="s">
        <v>98</v>
      </c>
      <c r="E435" s="4">
        <v>0.42749917244911195</v>
      </c>
      <c r="F435" s="4">
        <v>350295.30999857263</v>
      </c>
      <c r="G435" s="4">
        <v>350295.73749774508</v>
      </c>
      <c r="H435" s="5">
        <f t="shared" si="7"/>
        <v>0</v>
      </c>
      <c r="I435" t="s">
        <v>176</v>
      </c>
      <c r="J435" t="s">
        <v>153</v>
      </c>
      <c r="K435" s="5">
        <f>60 / 86400</f>
        <v>6.9444444444444447E-4</v>
      </c>
      <c r="L435" s="5">
        <f>20 / 86400</f>
        <v>2.3148148148148149E-4</v>
      </c>
    </row>
    <row r="436" spans="1:12" x14ac:dyDescent="0.25">
      <c r="A436" s="3">
        <v>45711.694131944445</v>
      </c>
      <c r="B436" t="s">
        <v>189</v>
      </c>
      <c r="C436" s="3">
        <v>45711.695057870369</v>
      </c>
      <c r="D436" t="s">
        <v>189</v>
      </c>
      <c r="E436" s="4">
        <v>0.24046585810184479</v>
      </c>
      <c r="F436" s="4">
        <v>350295.80328860442</v>
      </c>
      <c r="G436" s="4">
        <v>350296.04375446256</v>
      </c>
      <c r="H436" s="5">
        <f t="shared" si="7"/>
        <v>0</v>
      </c>
      <c r="I436" t="s">
        <v>134</v>
      </c>
      <c r="J436" t="s">
        <v>41</v>
      </c>
      <c r="K436" s="5">
        <f>80 / 86400</f>
        <v>9.2592592592592596E-4</v>
      </c>
      <c r="L436" s="5">
        <f>40 / 86400</f>
        <v>4.6296296296296298E-4</v>
      </c>
    </row>
    <row r="437" spans="1:12" x14ac:dyDescent="0.25">
      <c r="A437" s="3">
        <v>45711.695520833338</v>
      </c>
      <c r="B437" t="s">
        <v>189</v>
      </c>
      <c r="C437" s="3">
        <v>45711.696446759262</v>
      </c>
      <c r="D437" t="s">
        <v>338</v>
      </c>
      <c r="E437" s="4">
        <v>0.73630330920219422</v>
      </c>
      <c r="F437" s="4">
        <v>350296.09559417091</v>
      </c>
      <c r="G437" s="4">
        <v>350296.83189748012</v>
      </c>
      <c r="H437" s="5">
        <f t="shared" si="7"/>
        <v>0</v>
      </c>
      <c r="I437" t="s">
        <v>223</v>
      </c>
      <c r="J437" t="s">
        <v>52</v>
      </c>
      <c r="K437" s="5">
        <f>80 / 86400</f>
        <v>9.2592592592592596E-4</v>
      </c>
      <c r="L437" s="5">
        <f>60 / 86400</f>
        <v>6.9444444444444447E-4</v>
      </c>
    </row>
    <row r="438" spans="1:12" x14ac:dyDescent="0.25">
      <c r="A438" s="3">
        <v>45711.697141203702</v>
      </c>
      <c r="B438" t="s">
        <v>339</v>
      </c>
      <c r="C438" s="3">
        <v>45711.699918981481</v>
      </c>
      <c r="D438" t="s">
        <v>316</v>
      </c>
      <c r="E438" s="4">
        <v>1.6875152019858359</v>
      </c>
      <c r="F438" s="4">
        <v>350296.87665889319</v>
      </c>
      <c r="G438" s="4">
        <v>350298.56417409517</v>
      </c>
      <c r="H438" s="5">
        <f t="shared" si="7"/>
        <v>0</v>
      </c>
      <c r="I438" t="s">
        <v>186</v>
      </c>
      <c r="J438" t="s">
        <v>212</v>
      </c>
      <c r="K438" s="5">
        <f>240 / 86400</f>
        <v>2.7777777777777779E-3</v>
      </c>
      <c r="L438" s="5">
        <f>20 / 86400</f>
        <v>2.3148148148148149E-4</v>
      </c>
    </row>
    <row r="439" spans="1:12" x14ac:dyDescent="0.25">
      <c r="A439" s="3">
        <v>45711.700150462959</v>
      </c>
      <c r="B439" t="s">
        <v>216</v>
      </c>
      <c r="C439" s="3">
        <v>45711.700613425928</v>
      </c>
      <c r="D439" t="s">
        <v>340</v>
      </c>
      <c r="E439" s="4">
        <v>0.3155012801885605</v>
      </c>
      <c r="F439" s="4">
        <v>350298.72119689698</v>
      </c>
      <c r="G439" s="4">
        <v>350299.03669817717</v>
      </c>
      <c r="H439" s="5">
        <f t="shared" si="7"/>
        <v>0</v>
      </c>
      <c r="I439" t="s">
        <v>186</v>
      </c>
      <c r="J439" t="s">
        <v>138</v>
      </c>
      <c r="K439" s="5">
        <f>40 / 86400</f>
        <v>4.6296296296296298E-4</v>
      </c>
      <c r="L439" s="5">
        <f>20 / 86400</f>
        <v>2.3148148148148149E-4</v>
      </c>
    </row>
    <row r="440" spans="1:12" x14ac:dyDescent="0.25">
      <c r="A440" s="3">
        <v>45711.700844907406</v>
      </c>
      <c r="B440" t="s">
        <v>340</v>
      </c>
      <c r="C440" s="3">
        <v>45711.701307870375</v>
      </c>
      <c r="D440" t="s">
        <v>341</v>
      </c>
      <c r="E440" s="4">
        <v>0.11305283576250076</v>
      </c>
      <c r="F440" s="4">
        <v>350299.04056906688</v>
      </c>
      <c r="G440" s="4">
        <v>350299.15362190263</v>
      </c>
      <c r="H440" s="5">
        <f t="shared" si="7"/>
        <v>0</v>
      </c>
      <c r="I440" t="s">
        <v>24</v>
      </c>
      <c r="J440" t="s">
        <v>208</v>
      </c>
      <c r="K440" s="5">
        <f>40 / 86400</f>
        <v>4.6296296296296298E-4</v>
      </c>
      <c r="L440" s="5">
        <f>20 / 86400</f>
        <v>2.3148148148148149E-4</v>
      </c>
    </row>
    <row r="441" spans="1:12" x14ac:dyDescent="0.25">
      <c r="A441" s="3">
        <v>45711.701539351852</v>
      </c>
      <c r="B441" t="s">
        <v>341</v>
      </c>
      <c r="C441" s="3">
        <v>45711.701863425929</v>
      </c>
      <c r="D441" t="s">
        <v>342</v>
      </c>
      <c r="E441" s="4">
        <v>3.312275683879852E-2</v>
      </c>
      <c r="F441" s="4">
        <v>350299.1550461697</v>
      </c>
      <c r="G441" s="4">
        <v>350299.18816892651</v>
      </c>
      <c r="H441" s="5">
        <f t="shared" si="7"/>
        <v>0</v>
      </c>
      <c r="I441" t="s">
        <v>155</v>
      </c>
      <c r="J441" t="s">
        <v>20</v>
      </c>
      <c r="K441" s="5">
        <f>28 / 86400</f>
        <v>3.2407407407407406E-4</v>
      </c>
      <c r="L441" s="5">
        <f>40 / 86400</f>
        <v>4.6296296296296298E-4</v>
      </c>
    </row>
    <row r="442" spans="1:12" x14ac:dyDescent="0.25">
      <c r="A442" s="3">
        <v>45711.702326388884</v>
      </c>
      <c r="B442" t="s">
        <v>342</v>
      </c>
      <c r="C442" s="3">
        <v>45711.702557870369</v>
      </c>
      <c r="D442" t="s">
        <v>216</v>
      </c>
      <c r="E442" s="4">
        <v>3.5077534914016726E-3</v>
      </c>
      <c r="F442" s="4">
        <v>350299.22592288163</v>
      </c>
      <c r="G442" s="4">
        <v>350299.22943063511</v>
      </c>
      <c r="H442" s="5">
        <f t="shared" si="7"/>
        <v>0</v>
      </c>
      <c r="I442" t="s">
        <v>155</v>
      </c>
      <c r="J442" t="s">
        <v>21</v>
      </c>
      <c r="K442" s="5">
        <f>20 / 86400</f>
        <v>2.3148148148148149E-4</v>
      </c>
      <c r="L442" s="5">
        <f>27 / 86400</f>
        <v>3.1250000000000001E-4</v>
      </c>
    </row>
    <row r="443" spans="1:12" x14ac:dyDescent="0.25">
      <c r="A443" s="3">
        <v>45711.702870370369</v>
      </c>
      <c r="B443" t="s">
        <v>216</v>
      </c>
      <c r="C443" s="3">
        <v>45711.705185185187</v>
      </c>
      <c r="D443" t="s">
        <v>343</v>
      </c>
      <c r="E443" s="4">
        <v>1.1071802339553833</v>
      </c>
      <c r="F443" s="4">
        <v>350299.23303517705</v>
      </c>
      <c r="G443" s="4">
        <v>350300.34021541098</v>
      </c>
      <c r="H443" s="5">
        <f t="shared" si="7"/>
        <v>0</v>
      </c>
      <c r="I443" t="s">
        <v>131</v>
      </c>
      <c r="J443" t="s">
        <v>24</v>
      </c>
      <c r="K443" s="5">
        <f>200 / 86400</f>
        <v>2.3148148148148147E-3</v>
      </c>
      <c r="L443" s="5">
        <f>90 / 86400</f>
        <v>1.0416666666666667E-3</v>
      </c>
    </row>
    <row r="444" spans="1:12" x14ac:dyDescent="0.25">
      <c r="A444" s="3">
        <v>45711.706226851849</v>
      </c>
      <c r="B444" t="s">
        <v>269</v>
      </c>
      <c r="C444" s="3">
        <v>45711.708032407405</v>
      </c>
      <c r="D444" t="s">
        <v>344</v>
      </c>
      <c r="E444" s="4">
        <v>1.5690848526358605</v>
      </c>
      <c r="F444" s="4">
        <v>350300.36089691601</v>
      </c>
      <c r="G444" s="4">
        <v>350301.92998176866</v>
      </c>
      <c r="H444" s="5">
        <f t="shared" si="7"/>
        <v>0</v>
      </c>
      <c r="I444" t="s">
        <v>210</v>
      </c>
      <c r="J444" t="s">
        <v>176</v>
      </c>
      <c r="K444" s="5">
        <f>156 / 86400</f>
        <v>1.8055555555555555E-3</v>
      </c>
      <c r="L444" s="5">
        <f>44 / 86400</f>
        <v>5.0925925925925921E-4</v>
      </c>
    </row>
    <row r="445" spans="1:12" x14ac:dyDescent="0.25">
      <c r="A445" s="3">
        <v>45711.708541666667</v>
      </c>
      <c r="B445" t="s">
        <v>270</v>
      </c>
      <c r="C445" s="3">
        <v>45711.718935185185</v>
      </c>
      <c r="D445" t="s">
        <v>275</v>
      </c>
      <c r="E445" s="4">
        <v>4.101354556143284</v>
      </c>
      <c r="F445" s="4">
        <v>350301.94020450639</v>
      </c>
      <c r="G445" s="4">
        <v>350306.04155906255</v>
      </c>
      <c r="H445" s="5">
        <f t="shared" si="7"/>
        <v>0</v>
      </c>
      <c r="I445" t="s">
        <v>164</v>
      </c>
      <c r="J445" t="s">
        <v>112</v>
      </c>
      <c r="K445" s="5">
        <f>898 / 86400</f>
        <v>1.0393518518518519E-2</v>
      </c>
      <c r="L445" s="5">
        <f>60 / 86400</f>
        <v>6.9444444444444447E-4</v>
      </c>
    </row>
    <row r="446" spans="1:12" x14ac:dyDescent="0.25">
      <c r="A446" s="3">
        <v>45711.719629629632</v>
      </c>
      <c r="B446" t="s">
        <v>275</v>
      </c>
      <c r="C446" s="3">
        <v>45711.719861111109</v>
      </c>
      <c r="D446" t="s">
        <v>275</v>
      </c>
      <c r="E446" s="4">
        <v>6.5957200527191158E-4</v>
      </c>
      <c r="F446" s="4">
        <v>350306.06218260806</v>
      </c>
      <c r="G446" s="4">
        <v>350306.06284218008</v>
      </c>
      <c r="H446" s="5">
        <f t="shared" si="7"/>
        <v>0</v>
      </c>
      <c r="I446" t="s">
        <v>21</v>
      </c>
      <c r="J446" t="s">
        <v>26</v>
      </c>
      <c r="K446" s="5">
        <f>20 / 86400</f>
        <v>2.3148148148148149E-4</v>
      </c>
      <c r="L446" s="5">
        <f>120 / 86400</f>
        <v>1.3888888888888889E-3</v>
      </c>
    </row>
    <row r="447" spans="1:12" x14ac:dyDescent="0.25">
      <c r="A447" s="3">
        <v>45711.721250000002</v>
      </c>
      <c r="B447" t="s">
        <v>275</v>
      </c>
      <c r="C447" s="3">
        <v>45711.721805555557</v>
      </c>
      <c r="D447" t="s">
        <v>277</v>
      </c>
      <c r="E447" s="4">
        <v>0.18865577125549315</v>
      </c>
      <c r="F447" s="4">
        <v>350306.07843123062</v>
      </c>
      <c r="G447" s="4">
        <v>350306.26708700188</v>
      </c>
      <c r="H447" s="5">
        <f t="shared" si="7"/>
        <v>0</v>
      </c>
      <c r="I447" t="s">
        <v>37</v>
      </c>
      <c r="J447" t="s">
        <v>116</v>
      </c>
      <c r="K447" s="5">
        <f>48 / 86400</f>
        <v>5.5555555555555556E-4</v>
      </c>
      <c r="L447" s="5">
        <f>80 / 86400</f>
        <v>9.2592592592592596E-4</v>
      </c>
    </row>
    <row r="448" spans="1:12" x14ac:dyDescent="0.25">
      <c r="A448" s="3">
        <v>45711.722731481481</v>
      </c>
      <c r="B448" t="s">
        <v>276</v>
      </c>
      <c r="C448" s="3">
        <v>45711.722962962958</v>
      </c>
      <c r="D448" t="s">
        <v>276</v>
      </c>
      <c r="E448" s="4">
        <v>5.6954530477523807E-3</v>
      </c>
      <c r="F448" s="4">
        <v>350306.29570992343</v>
      </c>
      <c r="G448" s="4">
        <v>350306.30140537652</v>
      </c>
      <c r="H448" s="5">
        <f t="shared" si="7"/>
        <v>0</v>
      </c>
      <c r="I448" t="s">
        <v>20</v>
      </c>
      <c r="J448" t="s">
        <v>21</v>
      </c>
      <c r="K448" s="5">
        <f>20 / 86400</f>
        <v>2.3148148148148149E-4</v>
      </c>
      <c r="L448" s="5">
        <f>100 / 86400</f>
        <v>1.1574074074074073E-3</v>
      </c>
    </row>
    <row r="449" spans="1:12" x14ac:dyDescent="0.25">
      <c r="A449" s="3">
        <v>45711.724120370374</v>
      </c>
      <c r="B449" t="s">
        <v>278</v>
      </c>
      <c r="C449" s="3">
        <v>45711.724814814814</v>
      </c>
      <c r="D449" t="s">
        <v>345</v>
      </c>
      <c r="E449" s="4">
        <v>0.41877385479211809</v>
      </c>
      <c r="F449" s="4">
        <v>350306.33576852042</v>
      </c>
      <c r="G449" s="4">
        <v>350306.75454237522</v>
      </c>
      <c r="H449" s="5">
        <f t="shared" si="7"/>
        <v>0</v>
      </c>
      <c r="I449" t="s">
        <v>164</v>
      </c>
      <c r="J449" t="s">
        <v>212</v>
      </c>
      <c r="K449" s="5">
        <f>60 / 86400</f>
        <v>6.9444444444444447E-4</v>
      </c>
      <c r="L449" s="5">
        <f>67 / 86400</f>
        <v>7.7546296296296293E-4</v>
      </c>
    </row>
    <row r="450" spans="1:12" x14ac:dyDescent="0.25">
      <c r="A450" s="3">
        <v>45711.725590277776</v>
      </c>
      <c r="B450" t="s">
        <v>202</v>
      </c>
      <c r="C450" s="3">
        <v>45711.726284722223</v>
      </c>
      <c r="D450" t="s">
        <v>346</v>
      </c>
      <c r="E450" s="4">
        <v>0.50909484189748766</v>
      </c>
      <c r="F450" s="4">
        <v>350306.76344875339</v>
      </c>
      <c r="G450" s="4">
        <v>350307.27254359529</v>
      </c>
      <c r="H450" s="5">
        <f t="shared" si="7"/>
        <v>0</v>
      </c>
      <c r="I450" t="s">
        <v>186</v>
      </c>
      <c r="J450" t="s">
        <v>119</v>
      </c>
      <c r="K450" s="5">
        <f>60 / 86400</f>
        <v>6.9444444444444447E-4</v>
      </c>
      <c r="L450" s="5">
        <f>20 / 86400</f>
        <v>2.3148148148148149E-4</v>
      </c>
    </row>
    <row r="451" spans="1:12" x14ac:dyDescent="0.25">
      <c r="A451" s="3">
        <v>45711.726516203707</v>
      </c>
      <c r="B451" t="s">
        <v>347</v>
      </c>
      <c r="C451" s="3">
        <v>45711.726747685185</v>
      </c>
      <c r="D451" t="s">
        <v>348</v>
      </c>
      <c r="E451" s="4">
        <v>0.15726131796836854</v>
      </c>
      <c r="F451" s="4">
        <v>350307.41318142187</v>
      </c>
      <c r="G451" s="4">
        <v>350307.57044273982</v>
      </c>
      <c r="H451" s="5">
        <f t="shared" si="7"/>
        <v>0</v>
      </c>
      <c r="I451" t="s">
        <v>131</v>
      </c>
      <c r="J451" t="s">
        <v>138</v>
      </c>
      <c r="K451" s="5">
        <f>20 / 86400</f>
        <v>2.3148148148148149E-4</v>
      </c>
      <c r="L451" s="5">
        <f>20 / 86400</f>
        <v>2.3148148148148149E-4</v>
      </c>
    </row>
    <row r="452" spans="1:12" x14ac:dyDescent="0.25">
      <c r="A452" s="3">
        <v>45711.726979166662</v>
      </c>
      <c r="B452" t="s">
        <v>348</v>
      </c>
      <c r="C452" s="3">
        <v>45711.728368055556</v>
      </c>
      <c r="D452" t="s">
        <v>349</v>
      </c>
      <c r="E452" s="4">
        <v>0.96516370129585272</v>
      </c>
      <c r="F452" s="4">
        <v>350307.60335159616</v>
      </c>
      <c r="G452" s="4">
        <v>350308.56851529749</v>
      </c>
      <c r="H452" s="5">
        <f t="shared" si="7"/>
        <v>0</v>
      </c>
      <c r="I452" t="s">
        <v>139</v>
      </c>
      <c r="J452" t="s">
        <v>130</v>
      </c>
      <c r="K452" s="5">
        <f>120 / 86400</f>
        <v>1.3888888888888889E-3</v>
      </c>
      <c r="L452" s="5">
        <f>12 / 86400</f>
        <v>1.3888888888888889E-4</v>
      </c>
    </row>
    <row r="453" spans="1:12" x14ac:dyDescent="0.25">
      <c r="A453" s="3">
        <v>45711.728506944448</v>
      </c>
      <c r="B453" t="s">
        <v>350</v>
      </c>
      <c r="C453" s="3">
        <v>45711.729201388887</v>
      </c>
      <c r="D453" t="s">
        <v>101</v>
      </c>
      <c r="E453" s="4">
        <v>0.16987317568063737</v>
      </c>
      <c r="F453" s="4">
        <v>350308.59928654978</v>
      </c>
      <c r="G453" s="4">
        <v>350308.76915972546</v>
      </c>
      <c r="H453" s="5">
        <f t="shared" si="7"/>
        <v>0</v>
      </c>
      <c r="I453" t="s">
        <v>91</v>
      </c>
      <c r="J453" t="s">
        <v>208</v>
      </c>
      <c r="K453" s="5">
        <f>60 / 86400</f>
        <v>6.9444444444444447E-4</v>
      </c>
      <c r="L453" s="5">
        <f>111 / 86400</f>
        <v>1.2847222222222223E-3</v>
      </c>
    </row>
    <row r="454" spans="1:12" x14ac:dyDescent="0.25">
      <c r="A454" s="3">
        <v>45711.730486111112</v>
      </c>
      <c r="B454" t="s">
        <v>101</v>
      </c>
      <c r="C454" s="3">
        <v>45711.730717592596</v>
      </c>
      <c r="D454" t="s">
        <v>101</v>
      </c>
      <c r="E454" s="4">
        <v>8.2969616055488579E-3</v>
      </c>
      <c r="F454" s="4">
        <v>350308.79848174838</v>
      </c>
      <c r="G454" s="4">
        <v>350308.80677870999</v>
      </c>
      <c r="H454" s="5">
        <f t="shared" si="7"/>
        <v>0</v>
      </c>
      <c r="I454" t="s">
        <v>34</v>
      </c>
      <c r="J454" t="s">
        <v>21</v>
      </c>
      <c r="K454" s="5">
        <f>20 / 86400</f>
        <v>2.3148148148148149E-4</v>
      </c>
      <c r="L454" s="5">
        <f>199 / 86400</f>
        <v>2.3032407407407407E-3</v>
      </c>
    </row>
    <row r="455" spans="1:12" x14ac:dyDescent="0.25">
      <c r="A455" s="3">
        <v>45711.73302083333</v>
      </c>
      <c r="B455" t="s">
        <v>351</v>
      </c>
      <c r="C455" s="3">
        <v>45711.733425925922</v>
      </c>
      <c r="D455" t="s">
        <v>199</v>
      </c>
      <c r="E455" s="4">
        <v>9.3863503277301794E-2</v>
      </c>
      <c r="F455" s="4">
        <v>350308.85692933295</v>
      </c>
      <c r="G455" s="4">
        <v>350308.95079283626</v>
      </c>
      <c r="H455" s="5">
        <f t="shared" si="7"/>
        <v>0</v>
      </c>
      <c r="I455" t="s">
        <v>112</v>
      </c>
      <c r="J455" t="s">
        <v>208</v>
      </c>
      <c r="K455" s="5">
        <f>35 / 86400</f>
        <v>4.0509259259259258E-4</v>
      </c>
      <c r="L455" s="5">
        <f>47 / 86400</f>
        <v>5.4398148148148144E-4</v>
      </c>
    </row>
    <row r="456" spans="1:12" x14ac:dyDescent="0.25">
      <c r="A456" s="3">
        <v>45711.733969907407</v>
      </c>
      <c r="B456" t="s">
        <v>199</v>
      </c>
      <c r="C456" s="3">
        <v>45711.734305555554</v>
      </c>
      <c r="D456" t="s">
        <v>201</v>
      </c>
      <c r="E456" s="4">
        <v>5.5192209184169769E-2</v>
      </c>
      <c r="F456" s="4">
        <v>350308.97273152857</v>
      </c>
      <c r="G456" s="4">
        <v>350309.02792373777</v>
      </c>
      <c r="H456" s="5">
        <f t="shared" si="7"/>
        <v>0</v>
      </c>
      <c r="I456" t="s">
        <v>208</v>
      </c>
      <c r="J456" t="s">
        <v>33</v>
      </c>
      <c r="K456" s="5">
        <f>29 / 86400</f>
        <v>3.3564814814814812E-4</v>
      </c>
      <c r="L456" s="5">
        <f>20 / 86400</f>
        <v>2.3148148148148149E-4</v>
      </c>
    </row>
    <row r="457" spans="1:12" x14ac:dyDescent="0.25">
      <c r="A457" s="3">
        <v>45711.734537037039</v>
      </c>
      <c r="B457" t="s">
        <v>352</v>
      </c>
      <c r="C457" s="3">
        <v>45711.734768518523</v>
      </c>
      <c r="D457" t="s">
        <v>352</v>
      </c>
      <c r="E457" s="4">
        <v>9.0818340182304384E-3</v>
      </c>
      <c r="F457" s="4">
        <v>350309.05732379871</v>
      </c>
      <c r="G457" s="4">
        <v>350309.06640563271</v>
      </c>
      <c r="H457" s="5">
        <f t="shared" si="7"/>
        <v>0</v>
      </c>
      <c r="I457" t="s">
        <v>21</v>
      </c>
      <c r="J457" t="s">
        <v>190</v>
      </c>
      <c r="K457" s="5">
        <f>20 / 86400</f>
        <v>2.3148148148148149E-4</v>
      </c>
      <c r="L457" s="5">
        <f>6 / 86400</f>
        <v>6.9444444444444444E-5</v>
      </c>
    </row>
    <row r="458" spans="1:12" x14ac:dyDescent="0.25">
      <c r="A458" s="3">
        <v>45711.734837962962</v>
      </c>
      <c r="B458" t="s">
        <v>352</v>
      </c>
      <c r="C458" s="3">
        <v>45711.735532407409</v>
      </c>
      <c r="D458" t="s">
        <v>353</v>
      </c>
      <c r="E458" s="4">
        <v>0.46409884333610535</v>
      </c>
      <c r="F458" s="4">
        <v>350309.07109337329</v>
      </c>
      <c r="G458" s="4">
        <v>350309.53519221663</v>
      </c>
      <c r="H458" s="5">
        <f t="shared" si="7"/>
        <v>0</v>
      </c>
      <c r="I458" t="s">
        <v>131</v>
      </c>
      <c r="J458" t="s">
        <v>138</v>
      </c>
      <c r="K458" s="5">
        <f>60 / 86400</f>
        <v>6.9444444444444447E-4</v>
      </c>
      <c r="L458" s="5">
        <f>20 / 86400</f>
        <v>2.3148148148148149E-4</v>
      </c>
    </row>
    <row r="459" spans="1:12" x14ac:dyDescent="0.25">
      <c r="A459" s="3">
        <v>45711.735763888893</v>
      </c>
      <c r="B459" t="s">
        <v>304</v>
      </c>
      <c r="C459" s="3">
        <v>45711.736226851848</v>
      </c>
      <c r="D459" t="s">
        <v>354</v>
      </c>
      <c r="E459" s="4">
        <v>0.42714267510175707</v>
      </c>
      <c r="F459" s="4">
        <v>350309.61997904733</v>
      </c>
      <c r="G459" s="4">
        <v>350310.04712172248</v>
      </c>
      <c r="H459" s="5">
        <f t="shared" si="7"/>
        <v>0</v>
      </c>
      <c r="I459" t="s">
        <v>40</v>
      </c>
      <c r="J459" t="s">
        <v>161</v>
      </c>
      <c r="K459" s="5">
        <f>40 / 86400</f>
        <v>4.6296296296296298E-4</v>
      </c>
      <c r="L459" s="5">
        <f>60 / 86400</f>
        <v>6.9444444444444447E-4</v>
      </c>
    </row>
    <row r="460" spans="1:12" x14ac:dyDescent="0.25">
      <c r="A460" s="3">
        <v>45711.736921296295</v>
      </c>
      <c r="B460" t="s">
        <v>348</v>
      </c>
      <c r="C460" s="3">
        <v>45711.738634259258</v>
      </c>
      <c r="D460" t="s">
        <v>277</v>
      </c>
      <c r="E460" s="4">
        <v>1.1956590191721916</v>
      </c>
      <c r="F460" s="4">
        <v>350310.12321038963</v>
      </c>
      <c r="G460" s="4">
        <v>350311.3188694088</v>
      </c>
      <c r="H460" s="5">
        <f t="shared" si="7"/>
        <v>0</v>
      </c>
      <c r="I460" t="s">
        <v>147</v>
      </c>
      <c r="J460" t="s">
        <v>130</v>
      </c>
      <c r="K460" s="5">
        <f>148 / 86400</f>
        <v>1.712962962962963E-3</v>
      </c>
      <c r="L460" s="5">
        <f>52 / 86400</f>
        <v>6.018518518518519E-4</v>
      </c>
    </row>
    <row r="461" spans="1:12" x14ac:dyDescent="0.25">
      <c r="A461" s="3">
        <v>45711.739236111112</v>
      </c>
      <c r="B461" t="s">
        <v>277</v>
      </c>
      <c r="C461" s="3">
        <v>45711.739699074074</v>
      </c>
      <c r="D461" t="s">
        <v>277</v>
      </c>
      <c r="E461" s="4">
        <v>0.17753990960121155</v>
      </c>
      <c r="F461" s="4">
        <v>350311.34182692331</v>
      </c>
      <c r="G461" s="4">
        <v>350311.51936683292</v>
      </c>
      <c r="H461" s="5">
        <f t="shared" si="7"/>
        <v>0</v>
      </c>
      <c r="I461" t="s">
        <v>91</v>
      </c>
      <c r="J461" t="s">
        <v>112</v>
      </c>
      <c r="K461" s="5">
        <f>40 / 86400</f>
        <v>4.6296296296296298E-4</v>
      </c>
      <c r="L461" s="5">
        <f>40 / 86400</f>
        <v>4.6296296296296298E-4</v>
      </c>
    </row>
    <row r="462" spans="1:12" x14ac:dyDescent="0.25">
      <c r="A462" s="3">
        <v>45711.740162037036</v>
      </c>
      <c r="B462" t="s">
        <v>309</v>
      </c>
      <c r="C462" s="3">
        <v>45711.74618055555</v>
      </c>
      <c r="D462" t="s">
        <v>205</v>
      </c>
      <c r="E462" s="4">
        <v>1.8817228255867957</v>
      </c>
      <c r="F462" s="4">
        <v>350311.5744477167</v>
      </c>
      <c r="G462" s="4">
        <v>350313.45617054228</v>
      </c>
      <c r="H462" s="5">
        <f t="shared" si="7"/>
        <v>0</v>
      </c>
      <c r="I462" t="s">
        <v>149</v>
      </c>
      <c r="J462" t="s">
        <v>120</v>
      </c>
      <c r="K462" s="5">
        <f>520 / 86400</f>
        <v>6.0185185185185185E-3</v>
      </c>
      <c r="L462" s="5">
        <f>20 / 86400</f>
        <v>2.3148148148148149E-4</v>
      </c>
    </row>
    <row r="463" spans="1:12" x14ac:dyDescent="0.25">
      <c r="A463" s="3">
        <v>45711.746412037042</v>
      </c>
      <c r="B463" t="s">
        <v>205</v>
      </c>
      <c r="C463" s="3">
        <v>45711.74664351852</v>
      </c>
      <c r="D463" t="s">
        <v>355</v>
      </c>
      <c r="E463" s="4">
        <v>1.4003978073596955E-2</v>
      </c>
      <c r="F463" s="4">
        <v>350313.45751377381</v>
      </c>
      <c r="G463" s="4">
        <v>350313.47151775187</v>
      </c>
      <c r="H463" s="5">
        <f t="shared" si="7"/>
        <v>0</v>
      </c>
      <c r="I463" t="s">
        <v>190</v>
      </c>
      <c r="J463" t="s">
        <v>69</v>
      </c>
      <c r="K463" s="5">
        <f>20 / 86400</f>
        <v>2.3148148148148149E-4</v>
      </c>
      <c r="L463" s="5">
        <f>3 / 86400</f>
        <v>3.4722222222222222E-5</v>
      </c>
    </row>
    <row r="464" spans="1:12" x14ac:dyDescent="0.25">
      <c r="A464" s="3">
        <v>45711.746678240743</v>
      </c>
      <c r="B464" t="s">
        <v>355</v>
      </c>
      <c r="C464" s="3">
        <v>45711.747974537036</v>
      </c>
      <c r="D464" t="s">
        <v>207</v>
      </c>
      <c r="E464" s="4">
        <v>0.57855434197187428</v>
      </c>
      <c r="F464" s="4">
        <v>350313.47693583579</v>
      </c>
      <c r="G464" s="4">
        <v>350314.05549017777</v>
      </c>
      <c r="H464" s="5">
        <f t="shared" si="7"/>
        <v>0</v>
      </c>
      <c r="I464" t="s">
        <v>134</v>
      </c>
      <c r="J464" t="s">
        <v>37</v>
      </c>
      <c r="K464" s="5">
        <f>112 / 86400</f>
        <v>1.2962962962962963E-3</v>
      </c>
      <c r="L464" s="5">
        <f>60 / 86400</f>
        <v>6.9444444444444447E-4</v>
      </c>
    </row>
    <row r="465" spans="1:12" x14ac:dyDescent="0.25">
      <c r="A465" s="3">
        <v>45711.748668981483</v>
      </c>
      <c r="B465" t="s">
        <v>207</v>
      </c>
      <c r="C465" s="3">
        <v>45711.751574074078</v>
      </c>
      <c r="D465" t="s">
        <v>209</v>
      </c>
      <c r="E465" s="4">
        <v>2.4893715595602988</v>
      </c>
      <c r="F465" s="4">
        <v>350314.06322948926</v>
      </c>
      <c r="G465" s="4">
        <v>350316.55260104884</v>
      </c>
      <c r="H465" s="5">
        <f t="shared" si="7"/>
        <v>0</v>
      </c>
      <c r="I465" t="s">
        <v>239</v>
      </c>
      <c r="J465" t="s">
        <v>176</v>
      </c>
      <c r="K465" s="5">
        <f>251 / 86400</f>
        <v>2.9050925925925928E-3</v>
      </c>
      <c r="L465" s="5">
        <f>40 / 86400</f>
        <v>4.6296296296296298E-4</v>
      </c>
    </row>
    <row r="466" spans="1:12" x14ac:dyDescent="0.25">
      <c r="A466" s="3">
        <v>45711.752037037033</v>
      </c>
      <c r="B466" t="s">
        <v>209</v>
      </c>
      <c r="C466" s="3">
        <v>45711.752500000002</v>
      </c>
      <c r="D466" t="s">
        <v>269</v>
      </c>
      <c r="E466" s="4">
        <v>0.39865324813127517</v>
      </c>
      <c r="F466" s="4">
        <v>350316.67150552623</v>
      </c>
      <c r="G466" s="4">
        <v>350317.07015877438</v>
      </c>
      <c r="H466" s="5">
        <f t="shared" si="7"/>
        <v>0</v>
      </c>
      <c r="I466" t="s">
        <v>147</v>
      </c>
      <c r="J466" t="s">
        <v>176</v>
      </c>
      <c r="K466" s="5">
        <f>40 / 86400</f>
        <v>4.6296296296296298E-4</v>
      </c>
      <c r="L466" s="5">
        <f>20 / 86400</f>
        <v>2.3148148148148149E-4</v>
      </c>
    </row>
    <row r="467" spans="1:12" x14ac:dyDescent="0.25">
      <c r="A467" s="3">
        <v>45711.75273148148</v>
      </c>
      <c r="B467" t="s">
        <v>165</v>
      </c>
      <c r="C467" s="3">
        <v>45711.753078703703</v>
      </c>
      <c r="D467" t="s">
        <v>356</v>
      </c>
      <c r="E467" s="4">
        <v>6.0445111215114596E-2</v>
      </c>
      <c r="F467" s="4">
        <v>350317.17887975712</v>
      </c>
      <c r="G467" s="4">
        <v>350317.23932486831</v>
      </c>
      <c r="H467" s="5">
        <f t="shared" si="7"/>
        <v>0</v>
      </c>
      <c r="I467" t="s">
        <v>153</v>
      </c>
      <c r="J467" t="s">
        <v>33</v>
      </c>
      <c r="K467" s="5">
        <f>30 / 86400</f>
        <v>3.4722222222222224E-4</v>
      </c>
      <c r="L467" s="5">
        <f>2 / 86400</f>
        <v>2.3148148148148147E-5</v>
      </c>
    </row>
    <row r="468" spans="1:12" x14ac:dyDescent="0.25">
      <c r="A468" s="3">
        <v>45711.753101851849</v>
      </c>
      <c r="B468" t="s">
        <v>357</v>
      </c>
      <c r="C468" s="3">
        <v>45711.754409722227</v>
      </c>
      <c r="D468" t="s">
        <v>214</v>
      </c>
      <c r="E468" s="4">
        <v>0.26544366312026979</v>
      </c>
      <c r="F468" s="4">
        <v>350317.33101459738</v>
      </c>
      <c r="G468" s="4">
        <v>350317.59645826049</v>
      </c>
      <c r="H468" s="5">
        <f t="shared" si="7"/>
        <v>0</v>
      </c>
      <c r="I468" t="s">
        <v>31</v>
      </c>
      <c r="J468" t="s">
        <v>113</v>
      </c>
      <c r="K468" s="5">
        <f>113 / 86400</f>
        <v>1.3078703703703703E-3</v>
      </c>
      <c r="L468" s="5">
        <f>20 / 86400</f>
        <v>2.3148148148148149E-4</v>
      </c>
    </row>
    <row r="469" spans="1:12" x14ac:dyDescent="0.25">
      <c r="A469" s="3">
        <v>45711.754641203705</v>
      </c>
      <c r="B469" t="s">
        <v>214</v>
      </c>
      <c r="C469" s="3">
        <v>45711.756388888884</v>
      </c>
      <c r="D469" t="s">
        <v>216</v>
      </c>
      <c r="E469" s="4">
        <v>0.66584297525882719</v>
      </c>
      <c r="F469" s="4">
        <v>350317.61081111361</v>
      </c>
      <c r="G469" s="4">
        <v>350318.27665408887</v>
      </c>
      <c r="H469" s="5">
        <f t="shared" si="7"/>
        <v>0</v>
      </c>
      <c r="I469" t="s">
        <v>176</v>
      </c>
      <c r="J469" t="s">
        <v>112</v>
      </c>
      <c r="K469" s="5">
        <f>151 / 86400</f>
        <v>1.7476851851851852E-3</v>
      </c>
      <c r="L469" s="5">
        <f>214 / 86400</f>
        <v>2.476851851851852E-3</v>
      </c>
    </row>
    <row r="470" spans="1:12" x14ac:dyDescent="0.25">
      <c r="A470" s="3">
        <v>45711.75886574074</v>
      </c>
      <c r="B470" t="s">
        <v>216</v>
      </c>
      <c r="C470" s="3">
        <v>45711.762118055558</v>
      </c>
      <c r="D470" t="s">
        <v>358</v>
      </c>
      <c r="E470" s="4">
        <v>1.7676063024401665</v>
      </c>
      <c r="F470" s="4">
        <v>350318.37227956316</v>
      </c>
      <c r="G470" s="4">
        <v>350320.13988586562</v>
      </c>
      <c r="H470" s="5">
        <f t="shared" si="7"/>
        <v>0</v>
      </c>
      <c r="I470" t="s">
        <v>137</v>
      </c>
      <c r="J470" t="s">
        <v>142</v>
      </c>
      <c r="K470" s="5">
        <f>281 / 86400</f>
        <v>3.2523148148148147E-3</v>
      </c>
      <c r="L470" s="5">
        <f>20 / 86400</f>
        <v>2.3148148148148149E-4</v>
      </c>
    </row>
    <row r="471" spans="1:12" x14ac:dyDescent="0.25">
      <c r="A471" s="3">
        <v>45711.762349537035</v>
      </c>
      <c r="B471" t="s">
        <v>317</v>
      </c>
      <c r="C471" s="3">
        <v>45711.762812500005</v>
      </c>
      <c r="D471" t="s">
        <v>317</v>
      </c>
      <c r="E471" s="4">
        <v>0.13968454551696777</v>
      </c>
      <c r="F471" s="4">
        <v>350320.20100909396</v>
      </c>
      <c r="G471" s="4">
        <v>350320.34069363947</v>
      </c>
      <c r="H471" s="5">
        <f t="shared" si="7"/>
        <v>0</v>
      </c>
      <c r="I471" t="s">
        <v>24</v>
      </c>
      <c r="J471" t="s">
        <v>120</v>
      </c>
      <c r="K471" s="5">
        <f>40 / 86400</f>
        <v>4.6296296296296298E-4</v>
      </c>
      <c r="L471" s="5">
        <f>21 / 86400</f>
        <v>2.4305555555555555E-4</v>
      </c>
    </row>
    <row r="472" spans="1:12" x14ac:dyDescent="0.25">
      <c r="A472" s="3">
        <v>45711.763055555552</v>
      </c>
      <c r="B472" t="s">
        <v>317</v>
      </c>
      <c r="C472" s="3">
        <v>45711.763969907406</v>
      </c>
      <c r="D472" t="s">
        <v>359</v>
      </c>
      <c r="E472" s="4">
        <v>0.36811013722419739</v>
      </c>
      <c r="F472" s="4">
        <v>350320.35099975881</v>
      </c>
      <c r="G472" s="4">
        <v>350320.71910989605</v>
      </c>
      <c r="H472" s="5">
        <f t="shared" si="7"/>
        <v>0</v>
      </c>
      <c r="I472" t="s">
        <v>176</v>
      </c>
      <c r="J472" t="s">
        <v>58</v>
      </c>
      <c r="K472" s="5">
        <f>79 / 86400</f>
        <v>9.1435185185185185E-4</v>
      </c>
      <c r="L472" s="5">
        <f>20 / 86400</f>
        <v>2.3148148148148149E-4</v>
      </c>
    </row>
    <row r="473" spans="1:12" x14ac:dyDescent="0.25">
      <c r="A473" s="3">
        <v>45711.764201388884</v>
      </c>
      <c r="B473" t="s">
        <v>359</v>
      </c>
      <c r="C473" s="3">
        <v>45711.764432870375</v>
      </c>
      <c r="D473" t="s">
        <v>339</v>
      </c>
      <c r="E473" s="4">
        <v>3.6533221602439879E-3</v>
      </c>
      <c r="F473" s="4">
        <v>350320.73687608854</v>
      </c>
      <c r="G473" s="4">
        <v>350320.74052941072</v>
      </c>
      <c r="H473" s="5">
        <f t="shared" si="7"/>
        <v>0</v>
      </c>
      <c r="I473" t="s">
        <v>20</v>
      </c>
      <c r="J473" t="s">
        <v>21</v>
      </c>
      <c r="K473" s="5">
        <f>20 / 86400</f>
        <v>2.3148148148148149E-4</v>
      </c>
      <c r="L473" s="5">
        <f>60 / 86400</f>
        <v>6.9444444444444447E-4</v>
      </c>
    </row>
    <row r="474" spans="1:12" x14ac:dyDescent="0.25">
      <c r="A474" s="3">
        <v>45711.765127314815</v>
      </c>
      <c r="B474" t="s">
        <v>339</v>
      </c>
      <c r="C474" s="3">
        <v>45711.767210648148</v>
      </c>
      <c r="D474" t="s">
        <v>189</v>
      </c>
      <c r="E474" s="4">
        <v>1.1298782668113709</v>
      </c>
      <c r="F474" s="4">
        <v>350320.75433703361</v>
      </c>
      <c r="G474" s="4">
        <v>350321.88421530044</v>
      </c>
      <c r="H474" s="5">
        <f t="shared" si="7"/>
        <v>0</v>
      </c>
      <c r="I474" t="s">
        <v>141</v>
      </c>
      <c r="J474" t="s">
        <v>142</v>
      </c>
      <c r="K474" s="5">
        <f>180 / 86400</f>
        <v>2.0833333333333333E-3</v>
      </c>
      <c r="L474" s="5">
        <f>4 / 86400</f>
        <v>4.6296296296296294E-5</v>
      </c>
    </row>
    <row r="475" spans="1:12" x14ac:dyDescent="0.25">
      <c r="A475" s="3">
        <v>45711.76725694444</v>
      </c>
      <c r="B475" t="s">
        <v>189</v>
      </c>
      <c r="C475" s="3">
        <v>45711.768414351856</v>
      </c>
      <c r="D475" t="s">
        <v>318</v>
      </c>
      <c r="E475" s="4">
        <v>0.51887873768806458</v>
      </c>
      <c r="F475" s="4">
        <v>350321.88601586001</v>
      </c>
      <c r="G475" s="4">
        <v>350322.40489459771</v>
      </c>
      <c r="H475" s="5">
        <f t="shared" si="7"/>
        <v>0</v>
      </c>
      <c r="I475" t="s">
        <v>147</v>
      </c>
      <c r="J475" t="s">
        <v>37</v>
      </c>
      <c r="K475" s="5">
        <f>100 / 86400</f>
        <v>1.1574074074074073E-3</v>
      </c>
      <c r="L475" s="5">
        <f>40 / 86400</f>
        <v>4.6296296296296298E-4</v>
      </c>
    </row>
    <row r="476" spans="1:12" x14ac:dyDescent="0.25">
      <c r="A476" s="3">
        <v>45711.768877314811</v>
      </c>
      <c r="B476" t="s">
        <v>318</v>
      </c>
      <c r="C476" s="3">
        <v>45711.769108796296</v>
      </c>
      <c r="D476" t="s">
        <v>318</v>
      </c>
      <c r="E476" s="4">
        <v>2.438696724176407E-2</v>
      </c>
      <c r="F476" s="4">
        <v>350322.44369228737</v>
      </c>
      <c r="G476" s="4">
        <v>350322.46807925461</v>
      </c>
      <c r="H476" s="5">
        <f t="shared" si="7"/>
        <v>0</v>
      </c>
      <c r="I476" t="s">
        <v>116</v>
      </c>
      <c r="J476" t="s">
        <v>20</v>
      </c>
      <c r="K476" s="5">
        <f>20 / 86400</f>
        <v>2.3148148148148149E-4</v>
      </c>
      <c r="L476" s="5">
        <f>20 / 86400</f>
        <v>2.3148148148148149E-4</v>
      </c>
    </row>
    <row r="477" spans="1:12" x14ac:dyDescent="0.25">
      <c r="A477" s="3">
        <v>45711.76934027778</v>
      </c>
      <c r="B477" t="s">
        <v>319</v>
      </c>
      <c r="C477" s="3">
        <v>45711.769571759258</v>
      </c>
      <c r="D477" t="s">
        <v>319</v>
      </c>
      <c r="E477" s="4">
        <v>9.474877715110779E-4</v>
      </c>
      <c r="F477" s="4">
        <v>350322.49099336722</v>
      </c>
      <c r="G477" s="4">
        <v>350322.49194085499</v>
      </c>
      <c r="H477" s="5">
        <f t="shared" si="7"/>
        <v>0</v>
      </c>
      <c r="I477" t="s">
        <v>69</v>
      </c>
      <c r="J477" t="s">
        <v>26</v>
      </c>
      <c r="K477" s="5">
        <f>20 / 86400</f>
        <v>2.3148148148148149E-4</v>
      </c>
      <c r="L477" s="5">
        <f>60 / 86400</f>
        <v>6.9444444444444447E-4</v>
      </c>
    </row>
    <row r="478" spans="1:12" x14ac:dyDescent="0.25">
      <c r="A478" s="3">
        <v>45711.770266203705</v>
      </c>
      <c r="B478" t="s">
        <v>319</v>
      </c>
      <c r="C478" s="3">
        <v>45711.770497685182</v>
      </c>
      <c r="D478" t="s">
        <v>318</v>
      </c>
      <c r="E478" s="4">
        <v>4.5181012988090512E-2</v>
      </c>
      <c r="F478" s="4">
        <v>350322.50427249307</v>
      </c>
      <c r="G478" s="4">
        <v>350322.54945350607</v>
      </c>
      <c r="H478" s="5">
        <f t="shared" si="7"/>
        <v>0</v>
      </c>
      <c r="I478" t="s">
        <v>21</v>
      </c>
      <c r="J478" t="s">
        <v>113</v>
      </c>
      <c r="K478" s="5">
        <f>20 / 86400</f>
        <v>2.3148148148148149E-4</v>
      </c>
      <c r="L478" s="5">
        <f>20 / 86400</f>
        <v>2.3148148148148149E-4</v>
      </c>
    </row>
    <row r="479" spans="1:12" x14ac:dyDescent="0.25">
      <c r="A479" s="3">
        <v>45711.770729166667</v>
      </c>
      <c r="B479" t="s">
        <v>318</v>
      </c>
      <c r="C479" s="3">
        <v>45711.771886574075</v>
      </c>
      <c r="D479" t="s">
        <v>321</v>
      </c>
      <c r="E479" s="4">
        <v>0.72019477570056911</v>
      </c>
      <c r="F479" s="4">
        <v>350322.66271724348</v>
      </c>
      <c r="G479" s="4">
        <v>350323.38291201921</v>
      </c>
      <c r="H479" s="5">
        <f t="shared" si="7"/>
        <v>0</v>
      </c>
      <c r="I479" t="s">
        <v>124</v>
      </c>
      <c r="J479" t="s">
        <v>153</v>
      </c>
      <c r="K479" s="5">
        <f>100 / 86400</f>
        <v>1.1574074074074073E-3</v>
      </c>
      <c r="L479" s="5">
        <f>40 / 86400</f>
        <v>4.6296296296296298E-4</v>
      </c>
    </row>
    <row r="480" spans="1:12" x14ac:dyDescent="0.25">
      <c r="A480" s="3">
        <v>45711.772349537037</v>
      </c>
      <c r="B480" t="s">
        <v>360</v>
      </c>
      <c r="C480" s="3">
        <v>45711.772581018522</v>
      </c>
      <c r="D480" t="s">
        <v>360</v>
      </c>
      <c r="E480" s="4">
        <v>1.2293129086494445E-2</v>
      </c>
      <c r="F480" s="4">
        <v>350323.82061643206</v>
      </c>
      <c r="G480" s="4">
        <v>350323.83290956117</v>
      </c>
      <c r="H480" s="5">
        <f t="shared" si="7"/>
        <v>0</v>
      </c>
      <c r="I480" t="s">
        <v>190</v>
      </c>
      <c r="J480" t="s">
        <v>190</v>
      </c>
      <c r="K480" s="5">
        <f>20 / 86400</f>
        <v>2.3148148148148149E-4</v>
      </c>
      <c r="L480" s="5">
        <f>20 / 86400</f>
        <v>2.3148148148148149E-4</v>
      </c>
    </row>
    <row r="481" spans="1:12" x14ac:dyDescent="0.25">
      <c r="A481" s="3">
        <v>45711.772812499999</v>
      </c>
      <c r="B481" t="s">
        <v>318</v>
      </c>
      <c r="C481" s="3">
        <v>45711.773275462961</v>
      </c>
      <c r="D481" t="s">
        <v>318</v>
      </c>
      <c r="E481" s="4">
        <v>2.5697121620178224E-3</v>
      </c>
      <c r="F481" s="4">
        <v>350323.85719610582</v>
      </c>
      <c r="G481" s="4">
        <v>350323.85976581799</v>
      </c>
      <c r="H481" s="5">
        <f t="shared" si="7"/>
        <v>0</v>
      </c>
      <c r="I481" t="s">
        <v>190</v>
      </c>
      <c r="J481" t="s">
        <v>26</v>
      </c>
      <c r="K481" s="5">
        <f>40 / 86400</f>
        <v>4.6296296296296298E-4</v>
      </c>
      <c r="L481" s="5">
        <f>20 / 86400</f>
        <v>2.3148148148148149E-4</v>
      </c>
    </row>
    <row r="482" spans="1:12" x14ac:dyDescent="0.25">
      <c r="A482" s="3">
        <v>45711.773506944446</v>
      </c>
      <c r="B482" t="s">
        <v>173</v>
      </c>
      <c r="C482" s="3">
        <v>45711.773738425924</v>
      </c>
      <c r="D482" t="s">
        <v>150</v>
      </c>
      <c r="E482" s="4">
        <v>2.5265288412570953E-2</v>
      </c>
      <c r="F482" s="4">
        <v>350323.86943078262</v>
      </c>
      <c r="G482" s="4">
        <v>350323.89469607105</v>
      </c>
      <c r="H482" s="5">
        <f t="shared" si="7"/>
        <v>0</v>
      </c>
      <c r="I482" t="s">
        <v>190</v>
      </c>
      <c r="J482" t="s">
        <v>34</v>
      </c>
      <c r="K482" s="5">
        <f>20 / 86400</f>
        <v>2.3148148148148149E-4</v>
      </c>
      <c r="L482" s="5">
        <f>60 / 86400</f>
        <v>6.9444444444444447E-4</v>
      </c>
    </row>
    <row r="483" spans="1:12" x14ac:dyDescent="0.25">
      <c r="A483" s="3">
        <v>45711.77443287037</v>
      </c>
      <c r="B483" t="s">
        <v>150</v>
      </c>
      <c r="C483" s="3">
        <v>45711.775358796294</v>
      </c>
      <c r="D483" t="s">
        <v>174</v>
      </c>
      <c r="E483" s="4">
        <v>0.30055424308776857</v>
      </c>
      <c r="F483" s="4">
        <v>350323.9040485252</v>
      </c>
      <c r="G483" s="4">
        <v>350324.2046027683</v>
      </c>
      <c r="H483" s="5">
        <f t="shared" si="7"/>
        <v>0</v>
      </c>
      <c r="I483" t="s">
        <v>138</v>
      </c>
      <c r="J483" t="s">
        <v>116</v>
      </c>
      <c r="K483" s="5">
        <f>80 / 86400</f>
        <v>9.2592592592592596E-4</v>
      </c>
      <c r="L483" s="5">
        <f>20 / 86400</f>
        <v>2.3148148148148149E-4</v>
      </c>
    </row>
    <row r="484" spans="1:12" x14ac:dyDescent="0.25">
      <c r="A484" s="3">
        <v>45711.775590277779</v>
      </c>
      <c r="B484" t="s">
        <v>150</v>
      </c>
      <c r="C484" s="3">
        <v>45711.77721064815</v>
      </c>
      <c r="D484" t="s">
        <v>189</v>
      </c>
      <c r="E484" s="4">
        <v>0.66515119695663449</v>
      </c>
      <c r="F484" s="4">
        <v>350324.23274609697</v>
      </c>
      <c r="G484" s="4">
        <v>350324.89789729391</v>
      </c>
      <c r="H484" s="5">
        <f t="shared" si="7"/>
        <v>0</v>
      </c>
      <c r="I484" t="s">
        <v>134</v>
      </c>
      <c r="J484" t="s">
        <v>58</v>
      </c>
      <c r="K484" s="5">
        <f>140 / 86400</f>
        <v>1.6203703703703703E-3</v>
      </c>
      <c r="L484" s="5">
        <f>20 / 86400</f>
        <v>2.3148148148148149E-4</v>
      </c>
    </row>
    <row r="485" spans="1:12" x14ac:dyDescent="0.25">
      <c r="A485" s="3">
        <v>45711.777442129634</v>
      </c>
      <c r="B485" t="s">
        <v>361</v>
      </c>
      <c r="C485" s="3">
        <v>45711.777673611112</v>
      </c>
      <c r="D485" t="s">
        <v>362</v>
      </c>
      <c r="E485" s="4">
        <v>7.2663173317909238E-2</v>
      </c>
      <c r="F485" s="4">
        <v>350325.01251067646</v>
      </c>
      <c r="G485" s="4">
        <v>350325.08517384977</v>
      </c>
      <c r="H485" s="5">
        <f t="shared" si="7"/>
        <v>0</v>
      </c>
      <c r="I485" t="s">
        <v>130</v>
      </c>
      <c r="J485" t="s">
        <v>120</v>
      </c>
      <c r="K485" s="5">
        <f>20 / 86400</f>
        <v>2.3148148148148149E-4</v>
      </c>
      <c r="L485" s="5">
        <f>20 / 86400</f>
        <v>2.3148148148148149E-4</v>
      </c>
    </row>
    <row r="486" spans="1:12" x14ac:dyDescent="0.25">
      <c r="A486" s="3">
        <v>45711.777905092589</v>
      </c>
      <c r="B486" t="s">
        <v>189</v>
      </c>
      <c r="C486" s="3">
        <v>45711.778831018513</v>
      </c>
      <c r="D486" t="s">
        <v>77</v>
      </c>
      <c r="E486" s="4">
        <v>0.51242242473363875</v>
      </c>
      <c r="F486" s="4">
        <v>350325.13483273576</v>
      </c>
      <c r="G486" s="4">
        <v>350325.6472551605</v>
      </c>
      <c r="H486" s="5">
        <f t="shared" si="7"/>
        <v>0</v>
      </c>
      <c r="I486" t="s">
        <v>183</v>
      </c>
      <c r="J486" t="s">
        <v>142</v>
      </c>
      <c r="K486" s="5">
        <f>80 / 86400</f>
        <v>9.2592592592592596E-4</v>
      </c>
      <c r="L486" s="5">
        <f>20 / 86400</f>
        <v>2.3148148148148149E-4</v>
      </c>
    </row>
    <row r="487" spans="1:12" x14ac:dyDescent="0.25">
      <c r="A487" s="3">
        <v>45711.779062500005</v>
      </c>
      <c r="B487" t="s">
        <v>77</v>
      </c>
      <c r="C487" s="3">
        <v>45711.78260416667</v>
      </c>
      <c r="D487" t="s">
        <v>81</v>
      </c>
      <c r="E487" s="4">
        <v>2.5720910578966141</v>
      </c>
      <c r="F487" s="4">
        <v>350325.78601736954</v>
      </c>
      <c r="G487" s="4">
        <v>350328.35810842743</v>
      </c>
      <c r="H487" s="5">
        <f t="shared" si="7"/>
        <v>0</v>
      </c>
      <c r="I487" t="s">
        <v>166</v>
      </c>
      <c r="J487" t="s">
        <v>162</v>
      </c>
      <c r="K487" s="5">
        <f>306 / 86400</f>
        <v>3.5416666666666665E-3</v>
      </c>
      <c r="L487" s="5">
        <f>17 / 86400</f>
        <v>1.9675925925925926E-4</v>
      </c>
    </row>
    <row r="488" spans="1:12" x14ac:dyDescent="0.25">
      <c r="A488" s="3">
        <v>45711.782800925925</v>
      </c>
      <c r="B488" t="s">
        <v>81</v>
      </c>
      <c r="C488" s="3">
        <v>45711.783032407402</v>
      </c>
      <c r="D488" t="s">
        <v>81</v>
      </c>
      <c r="E488" s="4">
        <v>1.7342607200145722E-2</v>
      </c>
      <c r="F488" s="4">
        <v>350328.37000500585</v>
      </c>
      <c r="G488" s="4">
        <v>350328.38734761305</v>
      </c>
      <c r="H488" s="5">
        <f t="shared" si="7"/>
        <v>0</v>
      </c>
      <c r="I488" t="s">
        <v>34</v>
      </c>
      <c r="J488" t="s">
        <v>69</v>
      </c>
      <c r="K488" s="5">
        <f>20 / 86400</f>
        <v>2.3148148148148149E-4</v>
      </c>
      <c r="L488" s="5">
        <f>32 / 86400</f>
        <v>3.7037037037037035E-4</v>
      </c>
    </row>
    <row r="489" spans="1:12" x14ac:dyDescent="0.25">
      <c r="A489" s="3">
        <v>45711.783402777779</v>
      </c>
      <c r="B489" t="s">
        <v>81</v>
      </c>
      <c r="C489" s="3">
        <v>45711.787800925929</v>
      </c>
      <c r="D489" t="s">
        <v>81</v>
      </c>
      <c r="E489" s="4">
        <v>3.3682601914405823</v>
      </c>
      <c r="F489" s="4">
        <v>350328.39066105674</v>
      </c>
      <c r="G489" s="4">
        <v>350331.7589212482</v>
      </c>
      <c r="H489" s="5">
        <f t="shared" si="7"/>
        <v>0</v>
      </c>
      <c r="I489" t="s">
        <v>140</v>
      </c>
      <c r="J489" t="s">
        <v>94</v>
      </c>
      <c r="K489" s="5">
        <f>380 / 86400</f>
        <v>4.3981481481481484E-3</v>
      </c>
      <c r="L489" s="5">
        <f>20 / 86400</f>
        <v>2.3148148148148149E-4</v>
      </c>
    </row>
    <row r="490" spans="1:12" x14ac:dyDescent="0.25">
      <c r="A490" s="3">
        <v>45711.788032407407</v>
      </c>
      <c r="B490" t="s">
        <v>81</v>
      </c>
      <c r="C490" s="3">
        <v>45711.789884259255</v>
      </c>
      <c r="D490" t="s">
        <v>102</v>
      </c>
      <c r="E490" s="4">
        <v>0.9868216426372528</v>
      </c>
      <c r="F490" s="4">
        <v>350331.8991728315</v>
      </c>
      <c r="G490" s="4">
        <v>350332.88599447411</v>
      </c>
      <c r="H490" s="5">
        <f t="shared" si="7"/>
        <v>0</v>
      </c>
      <c r="I490" t="s">
        <v>141</v>
      </c>
      <c r="J490" t="s">
        <v>91</v>
      </c>
      <c r="K490" s="5">
        <f>160 / 86400</f>
        <v>1.8518518518518519E-3</v>
      </c>
      <c r="L490" s="5">
        <f>20 / 86400</f>
        <v>2.3148148148148149E-4</v>
      </c>
    </row>
    <row r="491" spans="1:12" x14ac:dyDescent="0.25">
      <c r="A491" s="3">
        <v>45711.79011574074</v>
      </c>
      <c r="B491" t="s">
        <v>102</v>
      </c>
      <c r="C491" s="3">
        <v>45711.790347222224</v>
      </c>
      <c r="D491" t="s">
        <v>241</v>
      </c>
      <c r="E491" s="4">
        <v>2.4504879593849182E-2</v>
      </c>
      <c r="F491" s="4">
        <v>350332.89116830623</v>
      </c>
      <c r="G491" s="4">
        <v>350332.91567318584</v>
      </c>
      <c r="H491" s="5">
        <f t="shared" ref="H491:H544" si="8">0 / 86400</f>
        <v>0</v>
      </c>
      <c r="I491" t="s">
        <v>34</v>
      </c>
      <c r="J491" t="s">
        <v>20</v>
      </c>
      <c r="K491" s="5">
        <f>20 / 86400</f>
        <v>2.3148148148148149E-4</v>
      </c>
      <c r="L491" s="5">
        <f>20 / 86400</f>
        <v>2.3148148148148149E-4</v>
      </c>
    </row>
    <row r="492" spans="1:12" x14ac:dyDescent="0.25">
      <c r="A492" s="3">
        <v>45711.790578703702</v>
      </c>
      <c r="B492" t="s">
        <v>241</v>
      </c>
      <c r="C492" s="3">
        <v>45711.790879629625</v>
      </c>
      <c r="D492" t="s">
        <v>241</v>
      </c>
      <c r="E492" s="4">
        <v>1.1993639588356019E-2</v>
      </c>
      <c r="F492" s="4">
        <v>350332.91945749847</v>
      </c>
      <c r="G492" s="4">
        <v>350332.93145113805</v>
      </c>
      <c r="H492" s="5">
        <f t="shared" si="8"/>
        <v>0</v>
      </c>
      <c r="I492" t="s">
        <v>34</v>
      </c>
      <c r="J492" t="s">
        <v>190</v>
      </c>
      <c r="K492" s="5">
        <f>26 / 86400</f>
        <v>3.0092592592592595E-4</v>
      </c>
      <c r="L492" s="5">
        <f>40 / 86400</f>
        <v>4.6296296296296298E-4</v>
      </c>
    </row>
    <row r="493" spans="1:12" x14ac:dyDescent="0.25">
      <c r="A493" s="3">
        <v>45711.791342592594</v>
      </c>
      <c r="B493" t="s">
        <v>181</v>
      </c>
      <c r="C493" s="3">
        <v>45711.792499999996</v>
      </c>
      <c r="D493" t="s">
        <v>243</v>
      </c>
      <c r="E493" s="4">
        <v>0.76858400124311443</v>
      </c>
      <c r="F493" s="4">
        <v>350332.97689095006</v>
      </c>
      <c r="G493" s="4">
        <v>350333.74547495134</v>
      </c>
      <c r="H493" s="5">
        <f t="shared" si="8"/>
        <v>0</v>
      </c>
      <c r="I493" t="s">
        <v>139</v>
      </c>
      <c r="J493" t="s">
        <v>138</v>
      </c>
      <c r="K493" s="5">
        <f>100 / 86400</f>
        <v>1.1574074074074073E-3</v>
      </c>
      <c r="L493" s="5">
        <f>20 / 86400</f>
        <v>2.3148148148148149E-4</v>
      </c>
    </row>
    <row r="494" spans="1:12" x14ac:dyDescent="0.25">
      <c r="A494" s="3">
        <v>45711.792731481481</v>
      </c>
      <c r="B494" t="s">
        <v>65</v>
      </c>
      <c r="C494" s="3">
        <v>45711.79305555555</v>
      </c>
      <c r="D494" t="s">
        <v>226</v>
      </c>
      <c r="E494" s="4">
        <v>2.0309430658817292E-2</v>
      </c>
      <c r="F494" s="4">
        <v>350333.7515780484</v>
      </c>
      <c r="G494" s="4">
        <v>350333.77188747906</v>
      </c>
      <c r="H494" s="5">
        <f t="shared" si="8"/>
        <v>0</v>
      </c>
      <c r="I494" t="s">
        <v>155</v>
      </c>
      <c r="J494" t="s">
        <v>69</v>
      </c>
      <c r="K494" s="5">
        <f>28 / 86400</f>
        <v>3.2407407407407406E-4</v>
      </c>
      <c r="L494" s="5">
        <f>40 / 86400</f>
        <v>4.6296296296296298E-4</v>
      </c>
    </row>
    <row r="495" spans="1:12" x14ac:dyDescent="0.25">
      <c r="A495" s="3">
        <v>45711.79351851852</v>
      </c>
      <c r="B495" t="s">
        <v>65</v>
      </c>
      <c r="C495" s="3">
        <v>45711.793749999997</v>
      </c>
      <c r="D495" t="s">
        <v>363</v>
      </c>
      <c r="E495" s="4">
        <v>2.2987222671508791E-3</v>
      </c>
      <c r="F495" s="4">
        <v>350333.78407495579</v>
      </c>
      <c r="G495" s="4">
        <v>350333.78637367807</v>
      </c>
      <c r="H495" s="5">
        <f t="shared" si="8"/>
        <v>0</v>
      </c>
      <c r="I495" t="s">
        <v>190</v>
      </c>
      <c r="J495" t="s">
        <v>26</v>
      </c>
      <c r="K495" s="5">
        <f>20 / 86400</f>
        <v>2.3148148148148149E-4</v>
      </c>
      <c r="L495" s="5">
        <f>60 / 86400</f>
        <v>6.9444444444444447E-4</v>
      </c>
    </row>
    <row r="496" spans="1:12" x14ac:dyDescent="0.25">
      <c r="A496" s="3">
        <v>45711.794444444444</v>
      </c>
      <c r="B496" t="s">
        <v>102</v>
      </c>
      <c r="C496" s="3">
        <v>45711.797222222223</v>
      </c>
      <c r="D496" t="s">
        <v>227</v>
      </c>
      <c r="E496" s="4">
        <v>2.2052676832675933</v>
      </c>
      <c r="F496" s="4">
        <v>350333.89468969457</v>
      </c>
      <c r="G496" s="4">
        <v>350336.09995737782</v>
      </c>
      <c r="H496" s="5">
        <f t="shared" si="8"/>
        <v>0</v>
      </c>
      <c r="I496" t="s">
        <v>180</v>
      </c>
      <c r="J496" t="s">
        <v>52</v>
      </c>
      <c r="K496" s="5">
        <f>240 / 86400</f>
        <v>2.7777777777777779E-3</v>
      </c>
      <c r="L496" s="5">
        <f>20 / 86400</f>
        <v>2.3148148148148149E-4</v>
      </c>
    </row>
    <row r="497" spans="1:12" x14ac:dyDescent="0.25">
      <c r="A497" s="3">
        <v>45711.797453703708</v>
      </c>
      <c r="B497" t="s">
        <v>227</v>
      </c>
      <c r="C497" s="3">
        <v>45711.797685185185</v>
      </c>
      <c r="D497" t="s">
        <v>228</v>
      </c>
      <c r="E497" s="4">
        <v>1.7390889525413514E-2</v>
      </c>
      <c r="F497" s="4">
        <v>350336.10956817941</v>
      </c>
      <c r="G497" s="4">
        <v>350336.12695906893</v>
      </c>
      <c r="H497" s="5">
        <f t="shared" si="8"/>
        <v>0</v>
      </c>
      <c r="I497" t="s">
        <v>146</v>
      </c>
      <c r="J497" t="s">
        <v>69</v>
      </c>
      <c r="K497" s="5">
        <f>20 / 86400</f>
        <v>2.3148148148148149E-4</v>
      </c>
      <c r="L497" s="5">
        <f>40 / 86400</f>
        <v>4.6296296296296298E-4</v>
      </c>
    </row>
    <row r="498" spans="1:12" x14ac:dyDescent="0.25">
      <c r="A498" s="3">
        <v>45711.798148148147</v>
      </c>
      <c r="B498" t="s">
        <v>228</v>
      </c>
      <c r="C498" s="3">
        <v>45711.798611111109</v>
      </c>
      <c r="D498" t="s">
        <v>227</v>
      </c>
      <c r="E498" s="4">
        <v>4.0230515718460085E-2</v>
      </c>
      <c r="F498" s="4">
        <v>350336.14669264271</v>
      </c>
      <c r="G498" s="4">
        <v>350336.18692315841</v>
      </c>
      <c r="H498" s="5">
        <f t="shared" si="8"/>
        <v>0</v>
      </c>
      <c r="I498" t="s">
        <v>33</v>
      </c>
      <c r="J498" t="s">
        <v>20</v>
      </c>
      <c r="K498" s="5">
        <f>40 / 86400</f>
        <v>4.6296296296296298E-4</v>
      </c>
      <c r="L498" s="5">
        <f>60 / 86400</f>
        <v>6.9444444444444447E-4</v>
      </c>
    </row>
    <row r="499" spans="1:12" x14ac:dyDescent="0.25">
      <c r="A499" s="3">
        <v>45711.799305555556</v>
      </c>
      <c r="B499" t="s">
        <v>227</v>
      </c>
      <c r="C499" s="3">
        <v>45711.799537037034</v>
      </c>
      <c r="D499" t="s">
        <v>227</v>
      </c>
      <c r="E499" s="4">
        <v>3.1511725127696989E-2</v>
      </c>
      <c r="F499" s="4">
        <v>350336.19307785988</v>
      </c>
      <c r="G499" s="4">
        <v>350336.22458958498</v>
      </c>
      <c r="H499" s="5">
        <f t="shared" si="8"/>
        <v>0</v>
      </c>
      <c r="I499" t="s">
        <v>208</v>
      </c>
      <c r="J499" t="s">
        <v>146</v>
      </c>
      <c r="K499" s="5">
        <f>20 / 86400</f>
        <v>2.3148148148148149E-4</v>
      </c>
      <c r="L499" s="5">
        <f>40 / 86400</f>
        <v>4.6296296296296298E-4</v>
      </c>
    </row>
    <row r="500" spans="1:12" x14ac:dyDescent="0.25">
      <c r="A500" s="3">
        <v>45711.8</v>
      </c>
      <c r="B500" t="s">
        <v>227</v>
      </c>
      <c r="C500" s="3">
        <v>45711.80023148148</v>
      </c>
      <c r="D500" t="s">
        <v>227</v>
      </c>
      <c r="E500" s="4">
        <v>9.595346808433533E-3</v>
      </c>
      <c r="F500" s="4">
        <v>350336.24614763667</v>
      </c>
      <c r="G500" s="4">
        <v>350336.25574298349</v>
      </c>
      <c r="H500" s="5">
        <f t="shared" si="8"/>
        <v>0</v>
      </c>
      <c r="I500" t="s">
        <v>21</v>
      </c>
      <c r="J500" t="s">
        <v>190</v>
      </c>
      <c r="K500" s="5">
        <f>20 / 86400</f>
        <v>2.3148148148148149E-4</v>
      </c>
      <c r="L500" s="5">
        <f>18 / 86400</f>
        <v>2.0833333333333335E-4</v>
      </c>
    </row>
    <row r="501" spans="1:12" x14ac:dyDescent="0.25">
      <c r="A501" s="3">
        <v>45711.800439814819</v>
      </c>
      <c r="B501" t="s">
        <v>227</v>
      </c>
      <c r="C501" s="3">
        <v>45711.800671296296</v>
      </c>
      <c r="D501" t="s">
        <v>227</v>
      </c>
      <c r="E501" s="4">
        <v>2.5413787186145783E-2</v>
      </c>
      <c r="F501" s="4">
        <v>350336.25940436579</v>
      </c>
      <c r="G501" s="4">
        <v>350336.28481815296</v>
      </c>
      <c r="H501" s="5">
        <f t="shared" si="8"/>
        <v>0</v>
      </c>
      <c r="I501" t="s">
        <v>146</v>
      </c>
      <c r="J501" t="s">
        <v>34</v>
      </c>
      <c r="K501" s="5">
        <f>20 / 86400</f>
        <v>2.3148148148148149E-4</v>
      </c>
      <c r="L501" s="5">
        <f>20 / 86400</f>
        <v>2.3148148148148149E-4</v>
      </c>
    </row>
    <row r="502" spans="1:12" x14ac:dyDescent="0.25">
      <c r="A502" s="3">
        <v>45711.800902777773</v>
      </c>
      <c r="B502" t="s">
        <v>74</v>
      </c>
      <c r="C502" s="3">
        <v>45711.806458333333</v>
      </c>
      <c r="D502" t="s">
        <v>244</v>
      </c>
      <c r="E502" s="4">
        <v>4.5923488864302637</v>
      </c>
      <c r="F502" s="4">
        <v>350336.32061404793</v>
      </c>
      <c r="G502" s="4">
        <v>350340.91296293435</v>
      </c>
      <c r="H502" s="5">
        <f t="shared" si="8"/>
        <v>0</v>
      </c>
      <c r="I502" t="s">
        <v>210</v>
      </c>
      <c r="J502" t="s">
        <v>72</v>
      </c>
      <c r="K502" s="5">
        <f>480 / 86400</f>
        <v>5.5555555555555558E-3</v>
      </c>
      <c r="L502" s="5">
        <f>20 / 86400</f>
        <v>2.3148148148148149E-4</v>
      </c>
    </row>
    <row r="503" spans="1:12" x14ac:dyDescent="0.25">
      <c r="A503" s="3">
        <v>45711.80668981481</v>
      </c>
      <c r="B503" t="s">
        <v>237</v>
      </c>
      <c r="C503" s="3">
        <v>45711.80877314815</v>
      </c>
      <c r="D503" t="s">
        <v>364</v>
      </c>
      <c r="E503" s="4">
        <v>1.0885641256570815</v>
      </c>
      <c r="F503" s="4">
        <v>350341.24443704338</v>
      </c>
      <c r="G503" s="4">
        <v>350342.33300116903</v>
      </c>
      <c r="H503" s="5">
        <f t="shared" si="8"/>
        <v>0</v>
      </c>
      <c r="I503" t="s">
        <v>131</v>
      </c>
      <c r="J503" t="s">
        <v>91</v>
      </c>
      <c r="K503" s="5">
        <f>180 / 86400</f>
        <v>2.0833333333333333E-3</v>
      </c>
      <c r="L503" s="5">
        <f>20 / 86400</f>
        <v>2.3148148148148149E-4</v>
      </c>
    </row>
    <row r="504" spans="1:12" x14ac:dyDescent="0.25">
      <c r="A504" s="3">
        <v>45711.809004629627</v>
      </c>
      <c r="B504" t="s">
        <v>237</v>
      </c>
      <c r="C504" s="3">
        <v>45711.811087962968</v>
      </c>
      <c r="D504" t="s">
        <v>237</v>
      </c>
      <c r="E504" s="4">
        <v>1.328827994644642</v>
      </c>
      <c r="F504" s="4">
        <v>350342.45484652737</v>
      </c>
      <c r="G504" s="4">
        <v>350343.78367452207</v>
      </c>
      <c r="H504" s="5">
        <f t="shared" si="8"/>
        <v>0</v>
      </c>
      <c r="I504" t="s">
        <v>147</v>
      </c>
      <c r="J504" t="s">
        <v>149</v>
      </c>
      <c r="K504" s="5">
        <f>180 / 86400</f>
        <v>2.0833333333333333E-3</v>
      </c>
      <c r="L504" s="5">
        <f>20 / 86400</f>
        <v>2.3148148148148149E-4</v>
      </c>
    </row>
    <row r="505" spans="1:12" x14ac:dyDescent="0.25">
      <c r="A505" s="3">
        <v>45711.811319444445</v>
      </c>
      <c r="B505" t="s">
        <v>365</v>
      </c>
      <c r="C505" s="3">
        <v>45711.811550925922</v>
      </c>
      <c r="D505" t="s">
        <v>237</v>
      </c>
      <c r="E505" s="4">
        <v>0.11411249166727067</v>
      </c>
      <c r="F505" s="4">
        <v>350343.86866726895</v>
      </c>
      <c r="G505" s="4">
        <v>350343.98277976061</v>
      </c>
      <c r="H505" s="5">
        <f t="shared" si="8"/>
        <v>0</v>
      </c>
      <c r="I505" t="s">
        <v>149</v>
      </c>
      <c r="J505" t="s">
        <v>67</v>
      </c>
      <c r="K505" s="5">
        <f>20 / 86400</f>
        <v>2.3148148148148149E-4</v>
      </c>
      <c r="L505" s="5">
        <f>20 / 86400</f>
        <v>2.3148148148148149E-4</v>
      </c>
    </row>
    <row r="506" spans="1:12" x14ac:dyDescent="0.25">
      <c r="A506" s="3">
        <v>45711.811782407407</v>
      </c>
      <c r="B506" t="s">
        <v>237</v>
      </c>
      <c r="C506" s="3">
        <v>45711.812476851846</v>
      </c>
      <c r="D506" t="s">
        <v>237</v>
      </c>
      <c r="E506" s="4">
        <v>0.42968160533905031</v>
      </c>
      <c r="F506" s="4">
        <v>350344.14969030535</v>
      </c>
      <c r="G506" s="4">
        <v>350344.57937191072</v>
      </c>
      <c r="H506" s="5">
        <f t="shared" si="8"/>
        <v>0</v>
      </c>
      <c r="I506" t="s">
        <v>40</v>
      </c>
      <c r="J506" t="s">
        <v>153</v>
      </c>
      <c r="K506" s="5">
        <f>60 / 86400</f>
        <v>6.9444444444444447E-4</v>
      </c>
      <c r="L506" s="5">
        <f>10 / 86400</f>
        <v>1.1574074074074075E-4</v>
      </c>
    </row>
    <row r="507" spans="1:12" x14ac:dyDescent="0.25">
      <c r="A507" s="3">
        <v>45711.812592592592</v>
      </c>
      <c r="B507" t="s">
        <v>366</v>
      </c>
      <c r="C507" s="3">
        <v>45711.813287037032</v>
      </c>
      <c r="D507" t="s">
        <v>328</v>
      </c>
      <c r="E507" s="4">
        <v>0.66747412902116776</v>
      </c>
      <c r="F507" s="4">
        <v>350344.6189425136</v>
      </c>
      <c r="G507" s="4">
        <v>350345.2864166426</v>
      </c>
      <c r="H507" s="5">
        <f t="shared" si="8"/>
        <v>0</v>
      </c>
      <c r="I507" t="s">
        <v>139</v>
      </c>
      <c r="J507" t="s">
        <v>131</v>
      </c>
      <c r="K507" s="5">
        <f>60 / 86400</f>
        <v>6.9444444444444447E-4</v>
      </c>
      <c r="L507" s="5">
        <f>60 / 86400</f>
        <v>6.9444444444444447E-4</v>
      </c>
    </row>
    <row r="508" spans="1:12" x14ac:dyDescent="0.25">
      <c r="A508" s="3">
        <v>45711.813981481479</v>
      </c>
      <c r="B508" t="s">
        <v>328</v>
      </c>
      <c r="C508" s="3">
        <v>45711.821840277778</v>
      </c>
      <c r="D508" t="s">
        <v>235</v>
      </c>
      <c r="E508" s="4">
        <v>5.8822270759344102</v>
      </c>
      <c r="F508" s="4">
        <v>350345.37720918143</v>
      </c>
      <c r="G508" s="4">
        <v>350351.25943625736</v>
      </c>
      <c r="H508" s="5">
        <f t="shared" si="8"/>
        <v>0</v>
      </c>
      <c r="I508" t="s">
        <v>166</v>
      </c>
      <c r="J508" t="s">
        <v>119</v>
      </c>
      <c r="K508" s="5">
        <f>679 / 86400</f>
        <v>7.858796296296296E-3</v>
      </c>
      <c r="L508" s="5">
        <f>100 / 86400</f>
        <v>1.1574074074074073E-3</v>
      </c>
    </row>
    <row r="509" spans="1:12" x14ac:dyDescent="0.25">
      <c r="A509" s="3">
        <v>45711.822997685187</v>
      </c>
      <c r="B509" t="s">
        <v>235</v>
      </c>
      <c r="C509" s="3">
        <v>45711.823460648149</v>
      </c>
      <c r="D509" t="s">
        <v>236</v>
      </c>
      <c r="E509" s="4">
        <v>1.7686123490333557E-2</v>
      </c>
      <c r="F509" s="4">
        <v>350351.29451858345</v>
      </c>
      <c r="G509" s="4">
        <v>350351.31220470695</v>
      </c>
      <c r="H509" s="5">
        <f t="shared" si="8"/>
        <v>0</v>
      </c>
      <c r="I509" t="s">
        <v>34</v>
      </c>
      <c r="J509" t="s">
        <v>190</v>
      </c>
      <c r="K509" s="5">
        <f>40 / 86400</f>
        <v>4.6296296296296298E-4</v>
      </c>
      <c r="L509" s="5">
        <f>94 / 86400</f>
        <v>1.0879629629629629E-3</v>
      </c>
    </row>
    <row r="510" spans="1:12" x14ac:dyDescent="0.25">
      <c r="A510" s="3">
        <v>45711.824548611112</v>
      </c>
      <c r="B510" t="s">
        <v>235</v>
      </c>
      <c r="C510" s="3">
        <v>45711.824780092589</v>
      </c>
      <c r="D510" t="s">
        <v>235</v>
      </c>
      <c r="E510" s="4">
        <v>1.2825831711292267E-2</v>
      </c>
      <c r="F510" s="4">
        <v>350351.33548042999</v>
      </c>
      <c r="G510" s="4">
        <v>350351.3483062617</v>
      </c>
      <c r="H510" s="5">
        <f t="shared" si="8"/>
        <v>0</v>
      </c>
      <c r="I510" t="s">
        <v>34</v>
      </c>
      <c r="J510" t="s">
        <v>190</v>
      </c>
      <c r="K510" s="5">
        <f>20 / 86400</f>
        <v>2.3148148148148149E-4</v>
      </c>
      <c r="L510" s="5">
        <f>179 / 86400</f>
        <v>2.0717592592592593E-3</v>
      </c>
    </row>
    <row r="511" spans="1:12" x14ac:dyDescent="0.25">
      <c r="A511" s="3">
        <v>45711.826851851853</v>
      </c>
      <c r="B511" t="s">
        <v>235</v>
      </c>
      <c r="C511" s="3">
        <v>45711.827164351853</v>
      </c>
      <c r="D511" t="s">
        <v>253</v>
      </c>
      <c r="E511" s="4">
        <v>9.9397415578365331E-2</v>
      </c>
      <c r="F511" s="4">
        <v>350351.37740882003</v>
      </c>
      <c r="G511" s="4">
        <v>350351.47680623562</v>
      </c>
      <c r="H511" s="5">
        <f t="shared" si="8"/>
        <v>0</v>
      </c>
      <c r="I511" t="s">
        <v>33</v>
      </c>
      <c r="J511" t="s">
        <v>120</v>
      </c>
      <c r="K511" s="5">
        <f>27 / 86400</f>
        <v>3.1250000000000001E-4</v>
      </c>
      <c r="L511" s="5">
        <f>20 / 86400</f>
        <v>2.3148148148148149E-4</v>
      </c>
    </row>
    <row r="512" spans="1:12" x14ac:dyDescent="0.25">
      <c r="A512" s="3">
        <v>45711.82739583333</v>
      </c>
      <c r="B512" t="s">
        <v>253</v>
      </c>
      <c r="C512" s="3">
        <v>45711.831747685181</v>
      </c>
      <c r="D512" t="s">
        <v>233</v>
      </c>
      <c r="E512" s="4">
        <v>2.647864993274212</v>
      </c>
      <c r="F512" s="4">
        <v>350351.58555543108</v>
      </c>
      <c r="G512" s="4">
        <v>350354.23342042434</v>
      </c>
      <c r="H512" s="5">
        <f t="shared" si="8"/>
        <v>0</v>
      </c>
      <c r="I512" t="s">
        <v>186</v>
      </c>
      <c r="J512" t="s">
        <v>212</v>
      </c>
      <c r="K512" s="5">
        <f>376 / 86400</f>
        <v>4.3518518518518515E-3</v>
      </c>
      <c r="L512" s="5">
        <f>20 / 86400</f>
        <v>2.3148148148148149E-4</v>
      </c>
    </row>
    <row r="513" spans="1:12" x14ac:dyDescent="0.25">
      <c r="A513" s="3">
        <v>45711.831979166665</v>
      </c>
      <c r="B513" t="s">
        <v>233</v>
      </c>
      <c r="C513" s="3">
        <v>45711.834293981483</v>
      </c>
      <c r="D513" t="s">
        <v>328</v>
      </c>
      <c r="E513" s="4">
        <v>2.2660873097181322</v>
      </c>
      <c r="F513" s="4">
        <v>350354.381518043</v>
      </c>
      <c r="G513" s="4">
        <v>350356.64760535269</v>
      </c>
      <c r="H513" s="5">
        <f t="shared" si="8"/>
        <v>0</v>
      </c>
      <c r="I513" t="s">
        <v>198</v>
      </c>
      <c r="J513" t="s">
        <v>164</v>
      </c>
      <c r="K513" s="5">
        <f>200 / 86400</f>
        <v>2.3148148148148147E-3</v>
      </c>
      <c r="L513" s="5">
        <f>20 / 86400</f>
        <v>2.3148148148148149E-4</v>
      </c>
    </row>
    <row r="514" spans="1:12" x14ac:dyDescent="0.25">
      <c r="A514" s="3">
        <v>45711.834525462968</v>
      </c>
      <c r="B514" t="s">
        <v>328</v>
      </c>
      <c r="C514" s="3">
        <v>45711.834988425922</v>
      </c>
      <c r="D514" t="s">
        <v>328</v>
      </c>
      <c r="E514" s="4">
        <v>0.4158763888478279</v>
      </c>
      <c r="F514" s="4">
        <v>350356.76938747568</v>
      </c>
      <c r="G514" s="4">
        <v>350357.18526386452</v>
      </c>
      <c r="H514" s="5">
        <f t="shared" si="8"/>
        <v>0</v>
      </c>
      <c r="I514" t="s">
        <v>141</v>
      </c>
      <c r="J514" t="s">
        <v>133</v>
      </c>
      <c r="K514" s="5">
        <f>40 / 86400</f>
        <v>4.6296296296296298E-4</v>
      </c>
      <c r="L514" s="5">
        <f>20 / 86400</f>
        <v>2.3148148148148149E-4</v>
      </c>
    </row>
    <row r="515" spans="1:12" x14ac:dyDescent="0.25">
      <c r="A515" s="3">
        <v>45711.835219907407</v>
      </c>
      <c r="B515" t="s">
        <v>328</v>
      </c>
      <c r="C515" s="3">
        <v>45711.838402777779</v>
      </c>
      <c r="D515" t="s">
        <v>237</v>
      </c>
      <c r="E515" s="4">
        <v>2.2924189074039458</v>
      </c>
      <c r="F515" s="4">
        <v>350357.25381872483</v>
      </c>
      <c r="G515" s="4">
        <v>350359.54623763222</v>
      </c>
      <c r="H515" s="5">
        <f t="shared" si="8"/>
        <v>0</v>
      </c>
      <c r="I515" t="s">
        <v>143</v>
      </c>
      <c r="J515" t="s">
        <v>162</v>
      </c>
      <c r="K515" s="5">
        <f>275 / 86400</f>
        <v>3.1828703703703702E-3</v>
      </c>
      <c r="L515" s="5">
        <f>20 / 86400</f>
        <v>2.3148148148148149E-4</v>
      </c>
    </row>
    <row r="516" spans="1:12" x14ac:dyDescent="0.25">
      <c r="A516" s="3">
        <v>45711.838634259257</v>
      </c>
      <c r="B516" t="s">
        <v>237</v>
      </c>
      <c r="C516" s="3">
        <v>45711.840474537035</v>
      </c>
      <c r="D516" t="s">
        <v>29</v>
      </c>
      <c r="E516" s="4">
        <v>1.332527326285839</v>
      </c>
      <c r="F516" s="4">
        <v>350359.59484337945</v>
      </c>
      <c r="G516" s="4">
        <v>350360.9273707057</v>
      </c>
      <c r="H516" s="5">
        <f t="shared" si="8"/>
        <v>0</v>
      </c>
      <c r="I516" t="s">
        <v>185</v>
      </c>
      <c r="J516" t="s">
        <v>162</v>
      </c>
      <c r="K516" s="5">
        <f>159 / 86400</f>
        <v>1.8402777777777777E-3</v>
      </c>
      <c r="L516" s="5">
        <f>29 / 86400</f>
        <v>3.3564814814814812E-4</v>
      </c>
    </row>
    <row r="517" spans="1:12" x14ac:dyDescent="0.25">
      <c r="A517" s="3">
        <v>45711.840810185182</v>
      </c>
      <c r="B517" t="s">
        <v>29</v>
      </c>
      <c r="C517" s="3">
        <v>45711.841099537036</v>
      </c>
      <c r="D517" t="s">
        <v>29</v>
      </c>
      <c r="E517" s="4">
        <v>2.1016139209270476E-2</v>
      </c>
      <c r="F517" s="4">
        <v>350360.94226183952</v>
      </c>
      <c r="G517" s="4">
        <v>350360.96327797871</v>
      </c>
      <c r="H517" s="5">
        <f t="shared" si="8"/>
        <v>0</v>
      </c>
      <c r="I517" t="s">
        <v>33</v>
      </c>
      <c r="J517" t="s">
        <v>69</v>
      </c>
      <c r="K517" s="5">
        <f>25 / 86400</f>
        <v>2.8935185185185184E-4</v>
      </c>
      <c r="L517" s="5">
        <f>40 / 86400</f>
        <v>4.6296296296296298E-4</v>
      </c>
    </row>
    <row r="518" spans="1:12" x14ac:dyDescent="0.25">
      <c r="A518" s="3">
        <v>45711.841562500005</v>
      </c>
      <c r="B518" t="s">
        <v>29</v>
      </c>
      <c r="C518" s="3">
        <v>45711.842256944445</v>
      </c>
      <c r="D518" t="s">
        <v>237</v>
      </c>
      <c r="E518" s="4">
        <v>0.51999625170230868</v>
      </c>
      <c r="F518" s="4">
        <v>350361.06011496071</v>
      </c>
      <c r="G518" s="4">
        <v>350361.58011121245</v>
      </c>
      <c r="H518" s="5">
        <f t="shared" si="8"/>
        <v>0</v>
      </c>
      <c r="I518" t="s">
        <v>186</v>
      </c>
      <c r="J518" t="s">
        <v>119</v>
      </c>
      <c r="K518" s="5">
        <f>60 / 86400</f>
        <v>6.9444444444444447E-4</v>
      </c>
      <c r="L518" s="5">
        <f>40 / 86400</f>
        <v>4.6296296296296298E-4</v>
      </c>
    </row>
    <row r="519" spans="1:12" x14ac:dyDescent="0.25">
      <c r="A519" s="3">
        <v>45711.842719907407</v>
      </c>
      <c r="B519" t="s">
        <v>244</v>
      </c>
      <c r="C519" s="3">
        <v>45711.843645833331</v>
      </c>
      <c r="D519" t="s">
        <v>50</v>
      </c>
      <c r="E519" s="4">
        <v>0.59915355473756793</v>
      </c>
      <c r="F519" s="4">
        <v>350361.6615265052</v>
      </c>
      <c r="G519" s="4">
        <v>350362.2606800599</v>
      </c>
      <c r="H519" s="5">
        <f t="shared" si="8"/>
        <v>0</v>
      </c>
      <c r="I519" t="s">
        <v>140</v>
      </c>
      <c r="J519" t="s">
        <v>149</v>
      </c>
      <c r="K519" s="5">
        <f>80 / 86400</f>
        <v>9.2592592592592596E-4</v>
      </c>
      <c r="L519" s="5">
        <f>60 / 86400</f>
        <v>6.9444444444444447E-4</v>
      </c>
    </row>
    <row r="520" spans="1:12" x14ac:dyDescent="0.25">
      <c r="A520" s="3">
        <v>45711.844340277778</v>
      </c>
      <c r="B520" t="s">
        <v>50</v>
      </c>
      <c r="C520" s="3">
        <v>45711.845960648148</v>
      </c>
      <c r="D520" t="s">
        <v>231</v>
      </c>
      <c r="E520" s="4">
        <v>1.3623134883642196</v>
      </c>
      <c r="F520" s="4">
        <v>350362.33930317499</v>
      </c>
      <c r="G520" s="4">
        <v>350363.70161666331</v>
      </c>
      <c r="H520" s="5">
        <f t="shared" si="8"/>
        <v>0</v>
      </c>
      <c r="I520" t="s">
        <v>46</v>
      </c>
      <c r="J520" t="s">
        <v>134</v>
      </c>
      <c r="K520" s="5">
        <f>140 / 86400</f>
        <v>1.6203703703703703E-3</v>
      </c>
      <c r="L520" s="5">
        <f>20 / 86400</f>
        <v>2.3148148148148149E-4</v>
      </c>
    </row>
    <row r="521" spans="1:12" x14ac:dyDescent="0.25">
      <c r="A521" s="3">
        <v>45711.846192129626</v>
      </c>
      <c r="B521" t="s">
        <v>231</v>
      </c>
      <c r="C521" s="3">
        <v>45711.847812499997</v>
      </c>
      <c r="D521" t="s">
        <v>229</v>
      </c>
      <c r="E521" s="4">
        <v>1.4477110870480538</v>
      </c>
      <c r="F521" s="4">
        <v>350363.70260165166</v>
      </c>
      <c r="G521" s="4">
        <v>350365.15031273873</v>
      </c>
      <c r="H521" s="5">
        <f t="shared" si="8"/>
        <v>0</v>
      </c>
      <c r="I521" t="s">
        <v>110</v>
      </c>
      <c r="J521" t="s">
        <v>133</v>
      </c>
      <c r="K521" s="5">
        <f>140 / 86400</f>
        <v>1.6203703703703703E-3</v>
      </c>
      <c r="L521" s="5">
        <f>20 / 86400</f>
        <v>2.3148148148148149E-4</v>
      </c>
    </row>
    <row r="522" spans="1:12" x14ac:dyDescent="0.25">
      <c r="A522" s="3">
        <v>45711.848043981481</v>
      </c>
      <c r="B522" t="s">
        <v>229</v>
      </c>
      <c r="C522" s="3">
        <v>45711.848969907413</v>
      </c>
      <c r="D522" t="s">
        <v>229</v>
      </c>
      <c r="E522" s="4">
        <v>9.3094276428222655E-2</v>
      </c>
      <c r="F522" s="4">
        <v>350365.31068964105</v>
      </c>
      <c r="G522" s="4">
        <v>350365.40378391749</v>
      </c>
      <c r="H522" s="5">
        <f t="shared" si="8"/>
        <v>0</v>
      </c>
      <c r="I522" t="s">
        <v>130</v>
      </c>
      <c r="J522" t="s">
        <v>20</v>
      </c>
      <c r="K522" s="5">
        <f>80 / 86400</f>
        <v>9.2592592592592596E-4</v>
      </c>
      <c r="L522" s="5">
        <f>40 / 86400</f>
        <v>4.6296296296296298E-4</v>
      </c>
    </row>
    <row r="523" spans="1:12" x14ac:dyDescent="0.25">
      <c r="A523" s="3">
        <v>45711.849432870367</v>
      </c>
      <c r="B523" t="s">
        <v>367</v>
      </c>
      <c r="C523" s="3">
        <v>45711.850636574076</v>
      </c>
      <c r="D523" t="s">
        <v>367</v>
      </c>
      <c r="E523" s="4">
        <v>0.30452785742282867</v>
      </c>
      <c r="F523" s="4">
        <v>350365.44301057648</v>
      </c>
      <c r="G523" s="4">
        <v>350365.74753843393</v>
      </c>
      <c r="H523" s="5">
        <f t="shared" si="8"/>
        <v>0</v>
      </c>
      <c r="I523" t="s">
        <v>31</v>
      </c>
      <c r="J523" t="s">
        <v>41</v>
      </c>
      <c r="K523" s="5">
        <f>104 / 86400</f>
        <v>1.2037037037037038E-3</v>
      </c>
      <c r="L523" s="5">
        <f>40 / 86400</f>
        <v>4.6296296296296298E-4</v>
      </c>
    </row>
    <row r="524" spans="1:12" x14ac:dyDescent="0.25">
      <c r="A524" s="3">
        <v>45711.851099537038</v>
      </c>
      <c r="B524" t="s">
        <v>367</v>
      </c>
      <c r="C524" s="3">
        <v>45711.851793981477</v>
      </c>
      <c r="D524" t="s">
        <v>367</v>
      </c>
      <c r="E524" s="4">
        <v>2.3513913273811339E-2</v>
      </c>
      <c r="F524" s="4">
        <v>350365.77260942222</v>
      </c>
      <c r="G524" s="4">
        <v>350365.79612333549</v>
      </c>
      <c r="H524" s="5">
        <f t="shared" si="8"/>
        <v>0</v>
      </c>
      <c r="I524" t="s">
        <v>20</v>
      </c>
      <c r="J524" t="s">
        <v>21</v>
      </c>
      <c r="K524" s="5">
        <f>60 / 86400</f>
        <v>6.9444444444444447E-4</v>
      </c>
      <c r="L524" s="5">
        <f>40 / 86400</f>
        <v>4.6296296296296298E-4</v>
      </c>
    </row>
    <row r="525" spans="1:12" x14ac:dyDescent="0.25">
      <c r="A525" s="3">
        <v>45711.852256944447</v>
      </c>
      <c r="B525" t="s">
        <v>367</v>
      </c>
      <c r="C525" s="3">
        <v>45711.852951388893</v>
      </c>
      <c r="D525" t="s">
        <v>368</v>
      </c>
      <c r="E525" s="4">
        <v>0.23674326848983765</v>
      </c>
      <c r="F525" s="4">
        <v>350365.84818987589</v>
      </c>
      <c r="G525" s="4">
        <v>350366.08493314439</v>
      </c>
      <c r="H525" s="5">
        <f t="shared" si="8"/>
        <v>0</v>
      </c>
      <c r="I525" t="s">
        <v>149</v>
      </c>
      <c r="J525" t="s">
        <v>116</v>
      </c>
      <c r="K525" s="5">
        <f>60 / 86400</f>
        <v>6.9444444444444447E-4</v>
      </c>
      <c r="L525" s="5">
        <f>20 / 86400</f>
        <v>2.3148148148148149E-4</v>
      </c>
    </row>
    <row r="526" spans="1:12" x14ac:dyDescent="0.25">
      <c r="A526" s="3">
        <v>45711.853182870371</v>
      </c>
      <c r="B526" t="s">
        <v>368</v>
      </c>
      <c r="C526" s="3">
        <v>45711.853414351848</v>
      </c>
      <c r="D526" t="s">
        <v>368</v>
      </c>
      <c r="E526" s="4">
        <v>1.3984836995601654E-2</v>
      </c>
      <c r="F526" s="4">
        <v>350366.08698472893</v>
      </c>
      <c r="G526" s="4">
        <v>350366.10096956592</v>
      </c>
      <c r="H526" s="5">
        <f t="shared" si="8"/>
        <v>0</v>
      </c>
      <c r="I526" t="s">
        <v>69</v>
      </c>
      <c r="J526" t="s">
        <v>69</v>
      </c>
      <c r="K526" s="5">
        <f>20 / 86400</f>
        <v>2.3148148148148149E-4</v>
      </c>
      <c r="L526" s="5">
        <f>20 / 86400</f>
        <v>2.3148148148148149E-4</v>
      </c>
    </row>
    <row r="527" spans="1:12" x14ac:dyDescent="0.25">
      <c r="A527" s="3">
        <v>45711.853645833333</v>
      </c>
      <c r="B527" t="s">
        <v>368</v>
      </c>
      <c r="C527" s="3">
        <v>45711.853877314818</v>
      </c>
      <c r="D527" t="s">
        <v>368</v>
      </c>
      <c r="E527" s="4">
        <v>1.2944695830345155E-2</v>
      </c>
      <c r="F527" s="4">
        <v>350366.11318110494</v>
      </c>
      <c r="G527" s="4">
        <v>350366.12612580077</v>
      </c>
      <c r="H527" s="5">
        <f t="shared" si="8"/>
        <v>0</v>
      </c>
      <c r="I527" t="s">
        <v>113</v>
      </c>
      <c r="J527" t="s">
        <v>190</v>
      </c>
      <c r="K527" s="5">
        <f>20 / 86400</f>
        <v>2.3148148148148149E-4</v>
      </c>
      <c r="L527" s="5">
        <f>60 / 86400</f>
        <v>6.9444444444444447E-4</v>
      </c>
    </row>
    <row r="528" spans="1:12" x14ac:dyDescent="0.25">
      <c r="A528" s="3">
        <v>45711.854571759264</v>
      </c>
      <c r="B528" t="s">
        <v>368</v>
      </c>
      <c r="C528" s="3">
        <v>45711.854803240742</v>
      </c>
      <c r="D528" t="s">
        <v>368</v>
      </c>
      <c r="E528" s="4">
        <v>9.0941491127014152E-3</v>
      </c>
      <c r="F528" s="4">
        <v>350366.16745590075</v>
      </c>
      <c r="G528" s="4">
        <v>350366.17655004986</v>
      </c>
      <c r="H528" s="5">
        <f t="shared" si="8"/>
        <v>0</v>
      </c>
      <c r="I528" t="s">
        <v>146</v>
      </c>
      <c r="J528" t="s">
        <v>190</v>
      </c>
      <c r="K528" s="5">
        <f>20 / 86400</f>
        <v>2.3148148148148149E-4</v>
      </c>
      <c r="L528" s="5">
        <f>20 / 86400</f>
        <v>2.3148148148148149E-4</v>
      </c>
    </row>
    <row r="529" spans="1:12" x14ac:dyDescent="0.25">
      <c r="A529" s="3">
        <v>45711.855034722219</v>
      </c>
      <c r="B529" t="s">
        <v>368</v>
      </c>
      <c r="C529" s="3">
        <v>45711.856516203705</v>
      </c>
      <c r="D529" t="s">
        <v>227</v>
      </c>
      <c r="E529" s="4">
        <v>0.35445942240953443</v>
      </c>
      <c r="F529" s="4">
        <v>350366.18095735408</v>
      </c>
      <c r="G529" s="4">
        <v>350366.53541677649</v>
      </c>
      <c r="H529" s="5">
        <f t="shared" si="8"/>
        <v>0</v>
      </c>
      <c r="I529" t="s">
        <v>37</v>
      </c>
      <c r="J529" t="s">
        <v>208</v>
      </c>
      <c r="K529" s="5">
        <f>128 / 86400</f>
        <v>1.4814814814814814E-3</v>
      </c>
      <c r="L529" s="5">
        <f>3 / 86400</f>
        <v>3.4722222222222222E-5</v>
      </c>
    </row>
    <row r="530" spans="1:12" x14ac:dyDescent="0.25">
      <c r="A530" s="3">
        <v>45711.856550925921</v>
      </c>
      <c r="B530" t="s">
        <v>227</v>
      </c>
      <c r="C530" s="3">
        <v>45711.857361111106</v>
      </c>
      <c r="D530" t="s">
        <v>227</v>
      </c>
      <c r="E530" s="4">
        <v>0.46989784634113313</v>
      </c>
      <c r="F530" s="4">
        <v>350366.53740158118</v>
      </c>
      <c r="G530" s="4">
        <v>350367.00729942753</v>
      </c>
      <c r="H530" s="5">
        <f t="shared" si="8"/>
        <v>0</v>
      </c>
      <c r="I530" t="s">
        <v>183</v>
      </c>
      <c r="J530" t="s">
        <v>31</v>
      </c>
      <c r="K530" s="5">
        <f>70 / 86400</f>
        <v>8.1018518518518516E-4</v>
      </c>
      <c r="L530" s="5">
        <f>20 / 86400</f>
        <v>2.3148148148148149E-4</v>
      </c>
    </row>
    <row r="531" spans="1:12" x14ac:dyDescent="0.25">
      <c r="A531" s="3">
        <v>45711.857592592598</v>
      </c>
      <c r="B531" t="s">
        <v>227</v>
      </c>
      <c r="C531" s="3">
        <v>45711.858981481477</v>
      </c>
      <c r="D531" t="s">
        <v>102</v>
      </c>
      <c r="E531" s="4">
        <v>1.1077328959703445</v>
      </c>
      <c r="F531" s="4">
        <v>350367.09485924692</v>
      </c>
      <c r="G531" s="4">
        <v>350368.20259214286</v>
      </c>
      <c r="H531" s="5">
        <f t="shared" si="8"/>
        <v>0</v>
      </c>
      <c r="I531" t="s">
        <v>223</v>
      </c>
      <c r="J531" t="s">
        <v>52</v>
      </c>
      <c r="K531" s="5">
        <f>120 / 86400</f>
        <v>1.3888888888888889E-3</v>
      </c>
      <c r="L531" s="5">
        <f>6 / 86400</f>
        <v>6.9444444444444444E-5</v>
      </c>
    </row>
    <row r="532" spans="1:12" x14ac:dyDescent="0.25">
      <c r="A532" s="3">
        <v>45711.859050925923</v>
      </c>
      <c r="B532" t="s">
        <v>102</v>
      </c>
      <c r="C532" s="3">
        <v>45711.85974537037</v>
      </c>
      <c r="D532" t="s">
        <v>102</v>
      </c>
      <c r="E532" s="4">
        <v>0.4999985029697418</v>
      </c>
      <c r="F532" s="4">
        <v>350368.20553085802</v>
      </c>
      <c r="G532" s="4">
        <v>350368.70552936103</v>
      </c>
      <c r="H532" s="5">
        <f t="shared" si="8"/>
        <v>0</v>
      </c>
      <c r="I532" t="s">
        <v>40</v>
      </c>
      <c r="J532" t="s">
        <v>162</v>
      </c>
      <c r="K532" s="5">
        <f>60 / 86400</f>
        <v>6.9444444444444447E-4</v>
      </c>
      <c r="L532" s="5">
        <f>40 / 86400</f>
        <v>4.6296296296296298E-4</v>
      </c>
    </row>
    <row r="533" spans="1:12" x14ac:dyDescent="0.25">
      <c r="A533" s="3">
        <v>45711.860208333332</v>
      </c>
      <c r="B533" t="s">
        <v>102</v>
      </c>
      <c r="C533" s="3">
        <v>45711.86136574074</v>
      </c>
      <c r="D533" t="s">
        <v>102</v>
      </c>
      <c r="E533" s="4">
        <v>0.76384308052062988</v>
      </c>
      <c r="F533" s="4">
        <v>350368.71179507131</v>
      </c>
      <c r="G533" s="4">
        <v>350369.47563815181</v>
      </c>
      <c r="H533" s="5">
        <f t="shared" si="8"/>
        <v>0</v>
      </c>
      <c r="I533" t="s">
        <v>141</v>
      </c>
      <c r="J533" t="s">
        <v>149</v>
      </c>
      <c r="K533" s="5">
        <f>100 / 86400</f>
        <v>1.1574074074074073E-3</v>
      </c>
      <c r="L533" s="5">
        <f>20 / 86400</f>
        <v>2.3148148148148149E-4</v>
      </c>
    </row>
    <row r="534" spans="1:12" x14ac:dyDescent="0.25">
      <c r="A534" s="3">
        <v>45711.861597222218</v>
      </c>
      <c r="B534" t="s">
        <v>102</v>
      </c>
      <c r="C534" s="3">
        <v>45711.861828703702</v>
      </c>
      <c r="D534" t="s">
        <v>102</v>
      </c>
      <c r="E534" s="4">
        <v>1.2388150632381439E-2</v>
      </c>
      <c r="F534" s="4">
        <v>350369.5238234651</v>
      </c>
      <c r="G534" s="4">
        <v>350369.53621161572</v>
      </c>
      <c r="H534" s="5">
        <f t="shared" si="8"/>
        <v>0</v>
      </c>
      <c r="I534" t="s">
        <v>116</v>
      </c>
      <c r="J534" t="s">
        <v>190</v>
      </c>
      <c r="K534" s="5">
        <f>20 / 86400</f>
        <v>2.3148148148148149E-4</v>
      </c>
      <c r="L534" s="5">
        <f>40 / 86400</f>
        <v>4.6296296296296298E-4</v>
      </c>
    </row>
    <row r="535" spans="1:12" x14ac:dyDescent="0.25">
      <c r="A535" s="3">
        <v>45711.862291666665</v>
      </c>
      <c r="B535" t="s">
        <v>102</v>
      </c>
      <c r="C535" s="3">
        <v>45711.863217592589</v>
      </c>
      <c r="D535" t="s">
        <v>102</v>
      </c>
      <c r="E535" s="4">
        <v>0.85611897450685503</v>
      </c>
      <c r="F535" s="4">
        <v>350369.63248617924</v>
      </c>
      <c r="G535" s="4">
        <v>350370.48860515375</v>
      </c>
      <c r="H535" s="5">
        <f t="shared" si="8"/>
        <v>0</v>
      </c>
      <c r="I535" t="s">
        <v>143</v>
      </c>
      <c r="J535" t="s">
        <v>183</v>
      </c>
      <c r="K535" s="5">
        <f>80 / 86400</f>
        <v>9.2592592592592596E-4</v>
      </c>
      <c r="L535" s="5">
        <f>20 / 86400</f>
        <v>2.3148148148148149E-4</v>
      </c>
    </row>
    <row r="536" spans="1:12" x14ac:dyDescent="0.25">
      <c r="A536" s="3">
        <v>45711.863449074073</v>
      </c>
      <c r="B536" t="s">
        <v>102</v>
      </c>
      <c r="C536" s="3">
        <v>45711.864606481482</v>
      </c>
      <c r="D536" t="s">
        <v>81</v>
      </c>
      <c r="E536" s="4">
        <v>1.2497158707380296</v>
      </c>
      <c r="F536" s="4">
        <v>350370.49499586265</v>
      </c>
      <c r="G536" s="4">
        <v>350371.74471173342</v>
      </c>
      <c r="H536" s="5">
        <f t="shared" si="8"/>
        <v>0</v>
      </c>
      <c r="I536" t="s">
        <v>337</v>
      </c>
      <c r="J536" t="s">
        <v>186</v>
      </c>
      <c r="K536" s="5">
        <f>100 / 86400</f>
        <v>1.1574074074074073E-3</v>
      </c>
      <c r="L536" s="5">
        <f>40 / 86400</f>
        <v>4.6296296296296298E-4</v>
      </c>
    </row>
    <row r="537" spans="1:12" x14ac:dyDescent="0.25">
      <c r="A537" s="3">
        <v>45711.865069444444</v>
      </c>
      <c r="B537" t="s">
        <v>81</v>
      </c>
      <c r="C537" s="3">
        <v>45711.868078703701</v>
      </c>
      <c r="D537" t="s">
        <v>126</v>
      </c>
      <c r="E537" s="4">
        <v>2.133695391356945</v>
      </c>
      <c r="F537" s="4">
        <v>350371.95929445315</v>
      </c>
      <c r="G537" s="4">
        <v>350374.0929898445</v>
      </c>
      <c r="H537" s="5">
        <f t="shared" si="8"/>
        <v>0</v>
      </c>
      <c r="I537" t="s">
        <v>239</v>
      </c>
      <c r="J537" t="s">
        <v>162</v>
      </c>
      <c r="K537" s="5">
        <f>260 / 86400</f>
        <v>3.0092592592592593E-3</v>
      </c>
      <c r="L537" s="5">
        <f>40 / 86400</f>
        <v>4.6296296296296298E-4</v>
      </c>
    </row>
    <row r="538" spans="1:12" x14ac:dyDescent="0.25">
      <c r="A538" s="3">
        <v>45711.86854166667</v>
      </c>
      <c r="B538" t="s">
        <v>126</v>
      </c>
      <c r="C538" s="3">
        <v>45711.868773148148</v>
      </c>
      <c r="D538" t="s">
        <v>126</v>
      </c>
      <c r="E538" s="4">
        <v>1.3148497939109802E-2</v>
      </c>
      <c r="F538" s="4">
        <v>350374.10294739873</v>
      </c>
      <c r="G538" s="4">
        <v>350374.11609589664</v>
      </c>
      <c r="H538" s="5">
        <f t="shared" si="8"/>
        <v>0</v>
      </c>
      <c r="I538" t="s">
        <v>21</v>
      </c>
      <c r="J538" t="s">
        <v>190</v>
      </c>
      <c r="K538" s="5">
        <f>20 / 86400</f>
        <v>2.3148148148148149E-4</v>
      </c>
      <c r="L538" s="5">
        <f>80 / 86400</f>
        <v>9.2592592592592596E-4</v>
      </c>
    </row>
    <row r="539" spans="1:12" x14ac:dyDescent="0.25">
      <c r="A539" s="3">
        <v>45711.869699074072</v>
      </c>
      <c r="B539" t="s">
        <v>126</v>
      </c>
      <c r="C539" s="3">
        <v>45711.870092592595</v>
      </c>
      <c r="D539" t="s">
        <v>126</v>
      </c>
      <c r="E539" s="4">
        <v>7.2002365589141845E-2</v>
      </c>
      <c r="F539" s="4">
        <v>350374.12816475914</v>
      </c>
      <c r="G539" s="4">
        <v>350374.20016712474</v>
      </c>
      <c r="H539" s="5">
        <f t="shared" si="8"/>
        <v>0</v>
      </c>
      <c r="I539" t="s">
        <v>58</v>
      </c>
      <c r="J539" t="s">
        <v>113</v>
      </c>
      <c r="K539" s="5">
        <f>34 / 86400</f>
        <v>3.9351851851851852E-4</v>
      </c>
      <c r="L539" s="5">
        <f>20 / 86400</f>
        <v>2.3148148148148149E-4</v>
      </c>
    </row>
    <row r="540" spans="1:12" x14ac:dyDescent="0.25">
      <c r="A540" s="3">
        <v>45711.870324074072</v>
      </c>
      <c r="B540" t="s">
        <v>81</v>
      </c>
      <c r="C540" s="3">
        <v>45711.871481481481</v>
      </c>
      <c r="D540" t="s">
        <v>81</v>
      </c>
      <c r="E540" s="4">
        <v>0.73215139657258987</v>
      </c>
      <c r="F540" s="4">
        <v>350374.2560471287</v>
      </c>
      <c r="G540" s="4">
        <v>350374.98819852527</v>
      </c>
      <c r="H540" s="5">
        <f t="shared" si="8"/>
        <v>0</v>
      </c>
      <c r="I540" t="s">
        <v>137</v>
      </c>
      <c r="J540" t="s">
        <v>153</v>
      </c>
      <c r="K540" s="5">
        <f>100 / 86400</f>
        <v>1.1574074074074073E-3</v>
      </c>
      <c r="L540" s="5">
        <f>12 / 86400</f>
        <v>1.3888888888888889E-4</v>
      </c>
    </row>
    <row r="541" spans="1:12" x14ac:dyDescent="0.25">
      <c r="A541" s="3">
        <v>45711.871620370366</v>
      </c>
      <c r="B541" t="s">
        <v>81</v>
      </c>
      <c r="C541" s="3">
        <v>45711.872777777782</v>
      </c>
      <c r="D541" t="s">
        <v>81</v>
      </c>
      <c r="E541" s="4">
        <v>0.81632614380121227</v>
      </c>
      <c r="F541" s="4">
        <v>350374.99014480377</v>
      </c>
      <c r="G541" s="4">
        <v>350375.80647094757</v>
      </c>
      <c r="H541" s="5">
        <f t="shared" si="8"/>
        <v>0</v>
      </c>
      <c r="I541" t="s">
        <v>141</v>
      </c>
      <c r="J541" t="s">
        <v>130</v>
      </c>
      <c r="K541" s="5">
        <f>100 / 86400</f>
        <v>1.1574074074074073E-3</v>
      </c>
      <c r="L541" s="5">
        <f>20 / 86400</f>
        <v>2.3148148148148149E-4</v>
      </c>
    </row>
    <row r="542" spans="1:12" x14ac:dyDescent="0.25">
      <c r="A542" s="3">
        <v>45711.87300925926</v>
      </c>
      <c r="B542" t="s">
        <v>81</v>
      </c>
      <c r="C542" s="3">
        <v>45711.875324074077</v>
      </c>
      <c r="D542" t="s">
        <v>81</v>
      </c>
      <c r="E542" s="4">
        <v>1.889340480029583</v>
      </c>
      <c r="F542" s="4">
        <v>350375.81348833273</v>
      </c>
      <c r="G542" s="4">
        <v>350377.70282881276</v>
      </c>
      <c r="H542" s="5">
        <f t="shared" si="8"/>
        <v>0</v>
      </c>
      <c r="I542" t="s">
        <v>198</v>
      </c>
      <c r="J542" t="s">
        <v>72</v>
      </c>
      <c r="K542" s="5">
        <f>200 / 86400</f>
        <v>2.3148148148148147E-3</v>
      </c>
      <c r="L542" s="5">
        <f>32 / 86400</f>
        <v>3.7037037037037035E-4</v>
      </c>
    </row>
    <row r="543" spans="1:12" x14ac:dyDescent="0.25">
      <c r="A543" s="3">
        <v>45711.875694444447</v>
      </c>
      <c r="B543" t="s">
        <v>81</v>
      </c>
      <c r="C543" s="3">
        <v>45711.876076388886</v>
      </c>
      <c r="D543" t="s">
        <v>240</v>
      </c>
      <c r="E543" s="4">
        <v>9.8528616249561315E-2</v>
      </c>
      <c r="F543" s="4">
        <v>350377.70966395381</v>
      </c>
      <c r="G543" s="4">
        <v>350377.80819257005</v>
      </c>
      <c r="H543" s="5">
        <f t="shared" si="8"/>
        <v>0</v>
      </c>
      <c r="I543" t="s">
        <v>208</v>
      </c>
      <c r="J543" t="s">
        <v>41</v>
      </c>
      <c r="K543" s="5">
        <f>33 / 86400</f>
        <v>3.8194444444444446E-4</v>
      </c>
      <c r="L543" s="5">
        <f>692 / 86400</f>
        <v>8.0092592592592594E-3</v>
      </c>
    </row>
    <row r="544" spans="1:12" x14ac:dyDescent="0.25">
      <c r="A544" s="3">
        <v>45711.884085648147</v>
      </c>
      <c r="B544" t="s">
        <v>240</v>
      </c>
      <c r="C544" s="3">
        <v>45711.887430555551</v>
      </c>
      <c r="D544" t="s">
        <v>25</v>
      </c>
      <c r="E544" s="4">
        <v>0.88404274320602416</v>
      </c>
      <c r="F544" s="4">
        <v>350377.81843003433</v>
      </c>
      <c r="G544" s="4">
        <v>350378.70247277757</v>
      </c>
      <c r="H544" s="5">
        <f t="shared" si="8"/>
        <v>0</v>
      </c>
      <c r="I544" t="s">
        <v>212</v>
      </c>
      <c r="J544" t="s">
        <v>41</v>
      </c>
      <c r="K544" s="5">
        <f>289 / 86400</f>
        <v>3.3449074074074076E-3</v>
      </c>
      <c r="L544" s="5">
        <f>9725 / 86400</f>
        <v>0.11255787037037036</v>
      </c>
    </row>
    <row r="545" spans="1:12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</row>
    <row r="546" spans="1:12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</row>
    <row r="547" spans="1:12" s="10" customFormat="1" ht="20.100000000000001" customHeight="1" x14ac:dyDescent="0.35">
      <c r="A547" s="12" t="s">
        <v>442</v>
      </c>
      <c r="B547" s="12"/>
      <c r="C547" s="12"/>
      <c r="D547" s="12"/>
      <c r="E547" s="12"/>
      <c r="F547" s="12"/>
      <c r="G547" s="12"/>
      <c r="H547" s="12"/>
      <c r="I547" s="12"/>
      <c r="J547" s="12"/>
    </row>
    <row r="548" spans="1:12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</row>
    <row r="549" spans="1:12" ht="30" x14ac:dyDescent="0.25">
      <c r="A549" s="2" t="s">
        <v>6</v>
      </c>
      <c r="B549" s="2" t="s">
        <v>7</v>
      </c>
      <c r="C549" s="2" t="s">
        <v>8</v>
      </c>
      <c r="D549" s="2" t="s">
        <v>9</v>
      </c>
      <c r="E549" s="2" t="s">
        <v>10</v>
      </c>
      <c r="F549" s="2" t="s">
        <v>11</v>
      </c>
      <c r="G549" s="2" t="s">
        <v>12</v>
      </c>
      <c r="H549" s="2" t="s">
        <v>13</v>
      </c>
      <c r="I549" s="2" t="s">
        <v>14</v>
      </c>
      <c r="J549" s="2" t="s">
        <v>15</v>
      </c>
      <c r="K549" s="2" t="s">
        <v>16</v>
      </c>
      <c r="L549" s="2" t="s">
        <v>17</v>
      </c>
    </row>
    <row r="550" spans="1:12" x14ac:dyDescent="0.25">
      <c r="A550" s="3">
        <v>45711.40561342593</v>
      </c>
      <c r="B550" t="s">
        <v>32</v>
      </c>
      <c r="C550" s="3">
        <v>45711.407372685186</v>
      </c>
      <c r="D550" t="s">
        <v>32</v>
      </c>
      <c r="E550" s="4">
        <v>1.2999999999999999E-2</v>
      </c>
      <c r="F550" s="4">
        <v>509970.24200000003</v>
      </c>
      <c r="G550" s="4">
        <v>509970.255</v>
      </c>
      <c r="H550" s="5">
        <f>119 / 86400</f>
        <v>1.3773148148148147E-3</v>
      </c>
      <c r="I550" t="s">
        <v>69</v>
      </c>
      <c r="J550" t="s">
        <v>26</v>
      </c>
      <c r="K550" s="5">
        <f>151 / 86400</f>
        <v>1.7476851851851852E-3</v>
      </c>
      <c r="L550" s="5">
        <f>45503 / 86400</f>
        <v>0.52665509259259258</v>
      </c>
    </row>
    <row r="551" spans="1:12" x14ac:dyDescent="0.25">
      <c r="A551" s="3">
        <v>45711.528414351851</v>
      </c>
      <c r="B551" t="s">
        <v>32</v>
      </c>
      <c r="C551" s="3">
        <v>45711.529212962967</v>
      </c>
      <c r="D551" t="s">
        <v>32</v>
      </c>
      <c r="E551" s="4">
        <v>1.4E-2</v>
      </c>
      <c r="F551" s="4">
        <v>509970.255</v>
      </c>
      <c r="G551" s="4">
        <v>509970.26899999997</v>
      </c>
      <c r="H551" s="5">
        <f>39 / 86400</f>
        <v>4.5138888888888887E-4</v>
      </c>
      <c r="I551" t="s">
        <v>33</v>
      </c>
      <c r="J551" t="s">
        <v>21</v>
      </c>
      <c r="K551" s="5">
        <f>68 / 86400</f>
        <v>7.8703703703703705E-4</v>
      </c>
      <c r="L551" s="5">
        <f>31501 / 86400</f>
        <v>0.36459490740740741</v>
      </c>
    </row>
    <row r="552" spans="1:12" x14ac:dyDescent="0.25">
      <c r="A552" s="3">
        <v>45711.893807870365</v>
      </c>
      <c r="B552" t="s">
        <v>32</v>
      </c>
      <c r="C552" s="3">
        <v>45711.895648148144</v>
      </c>
      <c r="D552" t="s">
        <v>32</v>
      </c>
      <c r="E552" s="4">
        <v>0</v>
      </c>
      <c r="F552" s="4">
        <v>509970.26899999997</v>
      </c>
      <c r="G552" s="4">
        <v>509970.26899999997</v>
      </c>
      <c r="H552" s="5">
        <f>139 / 86400</f>
        <v>1.6087962962962963E-3</v>
      </c>
      <c r="I552" t="s">
        <v>26</v>
      </c>
      <c r="J552" t="s">
        <v>26</v>
      </c>
      <c r="K552" s="5">
        <f>158 / 86400</f>
        <v>1.8287037037037037E-3</v>
      </c>
      <c r="L552" s="5">
        <f>204 / 86400</f>
        <v>2.3611111111111111E-3</v>
      </c>
    </row>
    <row r="553" spans="1:12" x14ac:dyDescent="0.25">
      <c r="A553" s="3">
        <v>45711.898009259261</v>
      </c>
      <c r="B553" t="s">
        <v>32</v>
      </c>
      <c r="C553" s="3">
        <v>45711.898923611108</v>
      </c>
      <c r="D553" t="s">
        <v>32</v>
      </c>
      <c r="E553" s="4">
        <v>4.8000000000000001E-2</v>
      </c>
      <c r="F553" s="4">
        <v>509970.26899999997</v>
      </c>
      <c r="G553" s="4">
        <v>509970.31699999998</v>
      </c>
      <c r="H553" s="5">
        <f>0 / 86400</f>
        <v>0</v>
      </c>
      <c r="I553" t="s">
        <v>69</v>
      </c>
      <c r="J553" t="s">
        <v>190</v>
      </c>
      <c r="K553" s="5">
        <f>78 / 86400</f>
        <v>9.0277777777777774E-4</v>
      </c>
      <c r="L553" s="5">
        <f>8732 / 86400</f>
        <v>0.10106481481481482</v>
      </c>
    </row>
    <row r="554" spans="1:12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</row>
    <row r="555" spans="1:12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</row>
    <row r="556" spans="1:12" s="10" customFormat="1" ht="20.100000000000001" customHeight="1" x14ac:dyDescent="0.35">
      <c r="A556" s="12" t="s">
        <v>443</v>
      </c>
      <c r="B556" s="12"/>
      <c r="C556" s="12"/>
      <c r="D556" s="12"/>
      <c r="E556" s="12"/>
      <c r="F556" s="12"/>
      <c r="G556" s="12"/>
      <c r="H556" s="12"/>
      <c r="I556" s="12"/>
      <c r="J556" s="12"/>
    </row>
    <row r="557" spans="1:12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</row>
    <row r="558" spans="1:12" ht="30" x14ac:dyDescent="0.25">
      <c r="A558" s="2" t="s">
        <v>6</v>
      </c>
      <c r="B558" s="2" t="s">
        <v>7</v>
      </c>
      <c r="C558" s="2" t="s">
        <v>8</v>
      </c>
      <c r="D558" s="2" t="s">
        <v>9</v>
      </c>
      <c r="E558" s="2" t="s">
        <v>10</v>
      </c>
      <c r="F558" s="2" t="s">
        <v>11</v>
      </c>
      <c r="G558" s="2" t="s">
        <v>12</v>
      </c>
      <c r="H558" s="2" t="s">
        <v>13</v>
      </c>
      <c r="I558" s="2" t="s">
        <v>14</v>
      </c>
      <c r="J558" s="2" t="s">
        <v>15</v>
      </c>
      <c r="K558" s="2" t="s">
        <v>16</v>
      </c>
      <c r="L558" s="2" t="s">
        <v>17</v>
      </c>
    </row>
    <row r="559" spans="1:12" x14ac:dyDescent="0.25">
      <c r="A559" s="3">
        <v>45711.402407407411</v>
      </c>
      <c r="B559" t="s">
        <v>32</v>
      </c>
      <c r="C559" s="3">
        <v>45711.403981481482</v>
      </c>
      <c r="D559" t="s">
        <v>32</v>
      </c>
      <c r="E559" s="4">
        <v>0</v>
      </c>
      <c r="F559" s="4">
        <v>56461.154000000002</v>
      </c>
      <c r="G559" s="4">
        <v>56461.154000000002</v>
      </c>
      <c r="H559" s="5">
        <f>119 / 86400</f>
        <v>1.3773148148148147E-3</v>
      </c>
      <c r="I559" t="s">
        <v>26</v>
      </c>
      <c r="J559" t="s">
        <v>26</v>
      </c>
      <c r="K559" s="5">
        <f>135 / 86400</f>
        <v>1.5625000000000001E-3</v>
      </c>
      <c r="L559" s="5">
        <f>34776 / 86400</f>
        <v>0.40250000000000002</v>
      </c>
    </row>
    <row r="560" spans="1:12" x14ac:dyDescent="0.25">
      <c r="A560" s="3">
        <v>45711.404074074075</v>
      </c>
      <c r="B560" t="s">
        <v>32</v>
      </c>
      <c r="C560" s="3">
        <v>45711.404363425929</v>
      </c>
      <c r="D560" t="s">
        <v>32</v>
      </c>
      <c r="E560" s="4">
        <v>8.9999999999999993E-3</v>
      </c>
      <c r="F560" s="4">
        <v>56461.154000000002</v>
      </c>
      <c r="G560" s="4">
        <v>56461.163</v>
      </c>
      <c r="H560" s="5">
        <f>0 / 86400</f>
        <v>0</v>
      </c>
      <c r="I560" t="s">
        <v>20</v>
      </c>
      <c r="J560" t="s">
        <v>21</v>
      </c>
      <c r="K560" s="5">
        <f>25 / 86400</f>
        <v>2.8935185185185184E-4</v>
      </c>
      <c r="L560" s="5">
        <f>326 / 86400</f>
        <v>3.7731481481481483E-3</v>
      </c>
    </row>
    <row r="561" spans="1:12" x14ac:dyDescent="0.25">
      <c r="A561" s="3">
        <v>45711.408136574071</v>
      </c>
      <c r="B561" t="s">
        <v>32</v>
      </c>
      <c r="C561" s="3">
        <v>45711.408425925925</v>
      </c>
      <c r="D561" t="s">
        <v>32</v>
      </c>
      <c r="E561" s="4">
        <v>1.4999999999999999E-2</v>
      </c>
      <c r="F561" s="4">
        <v>56461.163</v>
      </c>
      <c r="G561" s="4">
        <v>56461.178</v>
      </c>
      <c r="H561" s="5">
        <f>0 / 86400</f>
        <v>0</v>
      </c>
      <c r="I561" t="s">
        <v>34</v>
      </c>
      <c r="J561" t="s">
        <v>190</v>
      </c>
      <c r="K561" s="5">
        <f>25 / 86400</f>
        <v>2.8935185185185184E-4</v>
      </c>
      <c r="L561" s="5">
        <f>10510 / 86400</f>
        <v>0.12164351851851851</v>
      </c>
    </row>
    <row r="562" spans="1:12" x14ac:dyDescent="0.25">
      <c r="A562" s="3">
        <v>45711.530069444445</v>
      </c>
      <c r="B562" t="s">
        <v>32</v>
      </c>
      <c r="C562" s="3">
        <v>45711.531967592593</v>
      </c>
      <c r="D562" t="s">
        <v>32</v>
      </c>
      <c r="E562" s="4">
        <v>4.9000000000000002E-2</v>
      </c>
      <c r="F562" s="4">
        <v>56461.178</v>
      </c>
      <c r="G562" s="4">
        <v>56461.226999999999</v>
      </c>
      <c r="H562" s="5">
        <f>59 / 86400</f>
        <v>6.8287037037037036E-4</v>
      </c>
      <c r="I562" t="s">
        <v>34</v>
      </c>
      <c r="J562" t="s">
        <v>21</v>
      </c>
      <c r="K562" s="5">
        <f>163 / 86400</f>
        <v>1.8865740740740742E-3</v>
      </c>
      <c r="L562" s="5">
        <f>30979 / 86400</f>
        <v>0.35855324074074074</v>
      </c>
    </row>
    <row r="563" spans="1:12" x14ac:dyDescent="0.25">
      <c r="A563" s="3">
        <v>45711.890520833331</v>
      </c>
      <c r="B563" t="s">
        <v>32</v>
      </c>
      <c r="C563" s="3">
        <v>45711.891030092593</v>
      </c>
      <c r="D563" t="s">
        <v>32</v>
      </c>
      <c r="E563" s="4">
        <v>0</v>
      </c>
      <c r="F563" s="4">
        <v>56461.226999999999</v>
      </c>
      <c r="G563" s="4">
        <v>56461.226999999999</v>
      </c>
      <c r="H563" s="5">
        <f>39 / 86400</f>
        <v>4.5138888888888887E-4</v>
      </c>
      <c r="I563" t="s">
        <v>26</v>
      </c>
      <c r="J563" t="s">
        <v>26</v>
      </c>
      <c r="K563" s="5">
        <f>43 / 86400</f>
        <v>4.9768518518518521E-4</v>
      </c>
      <c r="L563" s="5">
        <f>464 / 86400</f>
        <v>5.37037037037037E-3</v>
      </c>
    </row>
    <row r="564" spans="1:12" x14ac:dyDescent="0.25">
      <c r="A564" s="3">
        <v>45711.896400462967</v>
      </c>
      <c r="B564" t="s">
        <v>32</v>
      </c>
      <c r="C564" s="3">
        <v>45711.89744212963</v>
      </c>
      <c r="D564" t="s">
        <v>32</v>
      </c>
      <c r="E564" s="4">
        <v>4.9000000000000002E-2</v>
      </c>
      <c r="F564" s="4">
        <v>56461.226999999999</v>
      </c>
      <c r="G564" s="4">
        <v>56461.275999999998</v>
      </c>
      <c r="H564" s="5">
        <f>59 / 86400</f>
        <v>6.8287037037037036E-4</v>
      </c>
      <c r="I564" t="s">
        <v>34</v>
      </c>
      <c r="J564" t="s">
        <v>190</v>
      </c>
      <c r="K564" s="5">
        <f>90 / 86400</f>
        <v>1.0416666666666667E-3</v>
      </c>
      <c r="L564" s="5">
        <f>8860 / 86400</f>
        <v>0.1025462962962963</v>
      </c>
    </row>
    <row r="565" spans="1:12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</row>
    <row r="566" spans="1:12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</row>
    <row r="567" spans="1:12" s="10" customFormat="1" ht="20.100000000000001" customHeight="1" x14ac:dyDescent="0.35">
      <c r="A567" s="12" t="s">
        <v>444</v>
      </c>
      <c r="B567" s="12"/>
      <c r="C567" s="12"/>
      <c r="D567" s="12"/>
      <c r="E567" s="12"/>
      <c r="F567" s="12"/>
      <c r="G567" s="12"/>
      <c r="H567" s="12"/>
      <c r="I567" s="12"/>
      <c r="J567" s="12"/>
    </row>
    <row r="568" spans="1:12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</row>
    <row r="569" spans="1:12" ht="30" x14ac:dyDescent="0.25">
      <c r="A569" s="2" t="s">
        <v>6</v>
      </c>
      <c r="B569" s="2" t="s">
        <v>7</v>
      </c>
      <c r="C569" s="2" t="s">
        <v>8</v>
      </c>
      <c r="D569" s="2" t="s">
        <v>9</v>
      </c>
      <c r="E569" s="2" t="s">
        <v>10</v>
      </c>
      <c r="F569" s="2" t="s">
        <v>11</v>
      </c>
      <c r="G569" s="2" t="s">
        <v>12</v>
      </c>
      <c r="H569" s="2" t="s">
        <v>13</v>
      </c>
      <c r="I569" s="2" t="s">
        <v>14</v>
      </c>
      <c r="J569" s="2" t="s">
        <v>15</v>
      </c>
      <c r="K569" s="2" t="s">
        <v>16</v>
      </c>
      <c r="L569" s="2" t="s">
        <v>17</v>
      </c>
    </row>
    <row r="570" spans="1:12" x14ac:dyDescent="0.25">
      <c r="A570" s="3">
        <v>45711.249398148153</v>
      </c>
      <c r="B570" t="s">
        <v>35</v>
      </c>
      <c r="C570" s="3">
        <v>45711.258310185185</v>
      </c>
      <c r="D570" t="s">
        <v>229</v>
      </c>
      <c r="E570" s="4">
        <v>1.5249999999999999</v>
      </c>
      <c r="F570" s="4">
        <v>526897.24</v>
      </c>
      <c r="G570" s="4">
        <v>526898.76500000001</v>
      </c>
      <c r="H570" s="5">
        <f>359 / 86400</f>
        <v>4.1550925925925922E-3</v>
      </c>
      <c r="I570" t="s">
        <v>94</v>
      </c>
      <c r="J570" t="s">
        <v>33</v>
      </c>
      <c r="K570" s="5">
        <f>769 / 86400</f>
        <v>8.9004629629629625E-3</v>
      </c>
      <c r="L570" s="5">
        <f>24761 / 86400</f>
        <v>0.28658564814814813</v>
      </c>
    </row>
    <row r="571" spans="1:12" x14ac:dyDescent="0.25">
      <c r="A571" s="3">
        <v>45711.295497685191</v>
      </c>
      <c r="B571" t="s">
        <v>229</v>
      </c>
      <c r="C571" s="3">
        <v>45711.295578703706</v>
      </c>
      <c r="D571" t="s">
        <v>229</v>
      </c>
      <c r="E571" s="4">
        <v>0</v>
      </c>
      <c r="F571" s="4">
        <v>526898.76500000001</v>
      </c>
      <c r="G571" s="4">
        <v>526898.76500000001</v>
      </c>
      <c r="H571" s="5">
        <f>0 / 86400</f>
        <v>0</v>
      </c>
      <c r="I571" t="s">
        <v>26</v>
      </c>
      <c r="J571" t="s">
        <v>26</v>
      </c>
      <c r="K571" s="5">
        <f>7 / 86400</f>
        <v>8.1018518518518516E-5</v>
      </c>
      <c r="L571" s="5">
        <f>468 / 86400</f>
        <v>5.4166666666666669E-3</v>
      </c>
    </row>
    <row r="572" spans="1:12" x14ac:dyDescent="0.25">
      <c r="A572" s="3">
        <v>45711.300995370373</v>
      </c>
      <c r="B572" t="s">
        <v>229</v>
      </c>
      <c r="C572" s="3">
        <v>45711.369953703703</v>
      </c>
      <c r="D572" t="s">
        <v>289</v>
      </c>
      <c r="E572" s="4">
        <v>31.666</v>
      </c>
      <c r="F572" s="4">
        <v>526898.76500000001</v>
      </c>
      <c r="G572" s="4">
        <v>526930.43099999998</v>
      </c>
      <c r="H572" s="5">
        <f>1419 / 86400</f>
        <v>1.6423611111111111E-2</v>
      </c>
      <c r="I572" t="s">
        <v>36</v>
      </c>
      <c r="J572" t="s">
        <v>37</v>
      </c>
      <c r="K572" s="5">
        <f>5958 / 86400</f>
        <v>6.895833333333333E-2</v>
      </c>
      <c r="L572" s="5">
        <f>742 / 86400</f>
        <v>8.5879629629629622E-3</v>
      </c>
    </row>
    <row r="573" spans="1:12" x14ac:dyDescent="0.25">
      <c r="A573" s="3">
        <v>45711.378541666665</v>
      </c>
      <c r="B573" t="s">
        <v>289</v>
      </c>
      <c r="C573" s="3">
        <v>45711.494108796294</v>
      </c>
      <c r="D573" t="s">
        <v>129</v>
      </c>
      <c r="E573" s="4">
        <v>52.616</v>
      </c>
      <c r="F573" s="4">
        <v>526930.43099999998</v>
      </c>
      <c r="G573" s="4">
        <v>526983.04700000002</v>
      </c>
      <c r="H573" s="5">
        <f>2452 / 86400</f>
        <v>2.837962962962963E-2</v>
      </c>
      <c r="I573" t="s">
        <v>145</v>
      </c>
      <c r="J573" t="s">
        <v>37</v>
      </c>
      <c r="K573" s="5">
        <f>9984 / 86400</f>
        <v>0.11555555555555555</v>
      </c>
      <c r="L573" s="5">
        <f>1530 / 86400</f>
        <v>1.7708333333333333E-2</v>
      </c>
    </row>
    <row r="574" spans="1:12" x14ac:dyDescent="0.25">
      <c r="A574" s="3">
        <v>45711.511817129634</v>
      </c>
      <c r="B574" t="s">
        <v>129</v>
      </c>
      <c r="C574" s="3">
        <v>45711.516504629632</v>
      </c>
      <c r="D574" t="s">
        <v>57</v>
      </c>
      <c r="E574" s="4">
        <v>0.80200000005960459</v>
      </c>
      <c r="F574" s="4">
        <v>526983.04700000002</v>
      </c>
      <c r="G574" s="4">
        <v>526983.84900000005</v>
      </c>
      <c r="H574" s="5">
        <f>159 / 86400</f>
        <v>1.8402777777777777E-3</v>
      </c>
      <c r="I574" t="s">
        <v>178</v>
      </c>
      <c r="J574" t="s">
        <v>33</v>
      </c>
      <c r="K574" s="5">
        <f>405 / 86400</f>
        <v>4.6874999999999998E-3</v>
      </c>
      <c r="L574" s="5">
        <f>1551 / 86400</f>
        <v>1.7951388888888888E-2</v>
      </c>
    </row>
    <row r="575" spans="1:12" x14ac:dyDescent="0.25">
      <c r="A575" s="3">
        <v>45711.534456018519</v>
      </c>
      <c r="B575" t="s">
        <v>57</v>
      </c>
      <c r="C575" s="3">
        <v>45711.538993055554</v>
      </c>
      <c r="D575" t="s">
        <v>118</v>
      </c>
      <c r="E575" s="4">
        <v>0.89099999994039536</v>
      </c>
      <c r="F575" s="4">
        <v>526983.84900000005</v>
      </c>
      <c r="G575" s="4">
        <v>526984.74</v>
      </c>
      <c r="H575" s="5">
        <f>159 / 86400</f>
        <v>1.8402777777777777E-3</v>
      </c>
      <c r="I575" t="s">
        <v>161</v>
      </c>
      <c r="J575" t="s">
        <v>113</v>
      </c>
      <c r="K575" s="5">
        <f>392 / 86400</f>
        <v>4.5370370370370373E-3</v>
      </c>
      <c r="L575" s="5">
        <f>588 / 86400</f>
        <v>6.8055555555555551E-3</v>
      </c>
    </row>
    <row r="576" spans="1:12" x14ac:dyDescent="0.25">
      <c r="A576" s="3">
        <v>45711.545798611114</v>
      </c>
      <c r="B576" t="s">
        <v>118</v>
      </c>
      <c r="C576" s="3">
        <v>45711.547858796301</v>
      </c>
      <c r="D576" t="s">
        <v>258</v>
      </c>
      <c r="E576" s="4">
        <v>0.52700000000000002</v>
      </c>
      <c r="F576" s="4">
        <v>526984.74</v>
      </c>
      <c r="G576" s="4">
        <v>526985.26699999999</v>
      </c>
      <c r="H576" s="5">
        <f>39 / 86400</f>
        <v>4.5138888888888887E-4</v>
      </c>
      <c r="I576" t="s">
        <v>180</v>
      </c>
      <c r="J576" t="s">
        <v>41</v>
      </c>
      <c r="K576" s="5">
        <f>177 / 86400</f>
        <v>2.0486111111111113E-3</v>
      </c>
      <c r="L576" s="5">
        <f>502 / 86400</f>
        <v>5.8101851851851856E-3</v>
      </c>
    </row>
    <row r="577" spans="1:12" x14ac:dyDescent="0.25">
      <c r="A577" s="3">
        <v>45711.553668981476</v>
      </c>
      <c r="B577" t="s">
        <v>258</v>
      </c>
      <c r="C577" s="3">
        <v>45711.553807870368</v>
      </c>
      <c r="D577" t="s">
        <v>258</v>
      </c>
      <c r="E577" s="4">
        <v>3.9999999403953551E-3</v>
      </c>
      <c r="F577" s="4">
        <v>526985.26699999999</v>
      </c>
      <c r="G577" s="4">
        <v>526985.27099999995</v>
      </c>
      <c r="H577" s="5">
        <f>0 / 86400</f>
        <v>0</v>
      </c>
      <c r="I577" t="s">
        <v>26</v>
      </c>
      <c r="J577" t="s">
        <v>21</v>
      </c>
      <c r="K577" s="5">
        <f>11 / 86400</f>
        <v>1.273148148148148E-4</v>
      </c>
      <c r="L577" s="5">
        <f>564 / 86400</f>
        <v>6.5277777777777782E-3</v>
      </c>
    </row>
    <row r="578" spans="1:12" x14ac:dyDescent="0.25">
      <c r="A578" s="3">
        <v>45711.560335648144</v>
      </c>
      <c r="B578" t="s">
        <v>258</v>
      </c>
      <c r="C578" s="3">
        <v>45711.656828703708</v>
      </c>
      <c r="D578" t="s">
        <v>289</v>
      </c>
      <c r="E578" s="4">
        <v>50.222999999999999</v>
      </c>
      <c r="F578" s="4">
        <v>526985.27099999995</v>
      </c>
      <c r="G578" s="4">
        <v>527035.49399999995</v>
      </c>
      <c r="H578" s="5">
        <f>2420 / 86400</f>
        <v>2.8009259259259258E-2</v>
      </c>
      <c r="I578" t="s">
        <v>369</v>
      </c>
      <c r="J578" t="s">
        <v>91</v>
      </c>
      <c r="K578" s="5">
        <f>8336 / 86400</f>
        <v>9.6481481481481488E-2</v>
      </c>
      <c r="L578" s="5">
        <f>1034 / 86400</f>
        <v>1.1967592592592592E-2</v>
      </c>
    </row>
    <row r="579" spans="1:12" x14ac:dyDescent="0.25">
      <c r="A579" s="3">
        <v>45711.668796296297</v>
      </c>
      <c r="B579" t="s">
        <v>289</v>
      </c>
      <c r="C579" s="3">
        <v>45711.669710648144</v>
      </c>
      <c r="D579" t="s">
        <v>292</v>
      </c>
      <c r="E579" s="4">
        <v>0.13900000011920929</v>
      </c>
      <c r="F579" s="4">
        <v>527035.49399999995</v>
      </c>
      <c r="G579" s="4">
        <v>527035.63300000003</v>
      </c>
      <c r="H579" s="5">
        <f>20 / 86400</f>
        <v>2.3148148148148149E-4</v>
      </c>
      <c r="I579" t="s">
        <v>130</v>
      </c>
      <c r="J579" t="s">
        <v>146</v>
      </c>
      <c r="K579" s="5">
        <f>78 / 86400</f>
        <v>9.0277777777777774E-4</v>
      </c>
      <c r="L579" s="5">
        <f>362 / 86400</f>
        <v>4.1898148148148146E-3</v>
      </c>
    </row>
    <row r="580" spans="1:12" x14ac:dyDescent="0.25">
      <c r="A580" s="3">
        <v>45711.673900462964</v>
      </c>
      <c r="B580" t="s">
        <v>292</v>
      </c>
      <c r="C580" s="3">
        <v>45711.674050925925</v>
      </c>
      <c r="D580" t="s">
        <v>292</v>
      </c>
      <c r="E580" s="4">
        <v>8.9999999403953552E-3</v>
      </c>
      <c r="F580" s="4">
        <v>527035.63300000003</v>
      </c>
      <c r="G580" s="4">
        <v>527035.64199999999</v>
      </c>
      <c r="H580" s="5">
        <f>0 / 86400</f>
        <v>0</v>
      </c>
      <c r="I580" t="s">
        <v>113</v>
      </c>
      <c r="J580" t="s">
        <v>190</v>
      </c>
      <c r="K580" s="5">
        <f>13 / 86400</f>
        <v>1.5046296296296297E-4</v>
      </c>
      <c r="L580" s="5">
        <f>559 / 86400</f>
        <v>6.4699074074074077E-3</v>
      </c>
    </row>
    <row r="581" spans="1:12" x14ac:dyDescent="0.25">
      <c r="A581" s="3">
        <v>45711.680520833332</v>
      </c>
      <c r="B581" t="s">
        <v>293</v>
      </c>
      <c r="C581" s="3">
        <v>45711.74355324074</v>
      </c>
      <c r="D581" t="s">
        <v>243</v>
      </c>
      <c r="E581" s="4">
        <v>28.29</v>
      </c>
      <c r="F581" s="4">
        <v>527035.64199999999</v>
      </c>
      <c r="G581" s="4">
        <v>527063.93200000003</v>
      </c>
      <c r="H581" s="5">
        <f>1659 / 86400</f>
        <v>1.9201388888888889E-2</v>
      </c>
      <c r="I581" t="s">
        <v>370</v>
      </c>
      <c r="J581" t="s">
        <v>37</v>
      </c>
      <c r="K581" s="5">
        <f>5445 / 86400</f>
        <v>6.3020833333333331E-2</v>
      </c>
      <c r="L581" s="5">
        <f>676 / 86400</f>
        <v>7.8240740740740736E-3</v>
      </c>
    </row>
    <row r="582" spans="1:12" x14ac:dyDescent="0.25">
      <c r="A582" s="3">
        <v>45711.751377314809</v>
      </c>
      <c r="B582" t="s">
        <v>243</v>
      </c>
      <c r="C582" s="3">
        <v>45711.753240740742</v>
      </c>
      <c r="D582" t="s">
        <v>371</v>
      </c>
      <c r="E582" s="4">
        <v>0.70400000005960461</v>
      </c>
      <c r="F582" s="4">
        <v>527063.93200000003</v>
      </c>
      <c r="G582" s="4">
        <v>527064.63600000006</v>
      </c>
      <c r="H582" s="5">
        <f>40 / 86400</f>
        <v>4.6296296296296298E-4</v>
      </c>
      <c r="I582" t="s">
        <v>72</v>
      </c>
      <c r="J582" t="s">
        <v>112</v>
      </c>
      <c r="K582" s="5">
        <f>161 / 86400</f>
        <v>1.8634259259259259E-3</v>
      </c>
      <c r="L582" s="5">
        <f>38 / 86400</f>
        <v>4.3981481481481481E-4</v>
      </c>
    </row>
    <row r="583" spans="1:12" x14ac:dyDescent="0.25">
      <c r="A583" s="3">
        <v>45711.753680555557</v>
      </c>
      <c r="B583" t="s">
        <v>371</v>
      </c>
      <c r="C583" s="3">
        <v>45711.758877314816</v>
      </c>
      <c r="D583" t="s">
        <v>35</v>
      </c>
      <c r="E583" s="4">
        <v>1.9839999999403954</v>
      </c>
      <c r="F583" s="4">
        <v>527064.63600000006</v>
      </c>
      <c r="G583" s="4">
        <v>527066.62</v>
      </c>
      <c r="H583" s="5">
        <f>80 / 86400</f>
        <v>9.2592592592592596E-4</v>
      </c>
      <c r="I583" t="s">
        <v>186</v>
      </c>
      <c r="J583" t="s">
        <v>112</v>
      </c>
      <c r="K583" s="5">
        <f>448 / 86400</f>
        <v>5.185185185185185E-3</v>
      </c>
      <c r="L583" s="5">
        <f>20832 / 86400</f>
        <v>0.24111111111111111</v>
      </c>
    </row>
    <row r="584" spans="1:12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</row>
    <row r="585" spans="1:12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</row>
    <row r="586" spans="1:12" s="10" customFormat="1" ht="20.100000000000001" customHeight="1" x14ac:dyDescent="0.35">
      <c r="A586" s="12" t="s">
        <v>445</v>
      </c>
      <c r="B586" s="12"/>
      <c r="C586" s="12"/>
      <c r="D586" s="12"/>
      <c r="E586" s="12"/>
      <c r="F586" s="12"/>
      <c r="G586" s="12"/>
      <c r="H586" s="12"/>
      <c r="I586" s="12"/>
      <c r="J586" s="12"/>
    </row>
    <row r="587" spans="1:12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</row>
    <row r="588" spans="1:12" ht="30" x14ac:dyDescent="0.25">
      <c r="A588" s="2" t="s">
        <v>6</v>
      </c>
      <c r="B588" s="2" t="s">
        <v>7</v>
      </c>
      <c r="C588" s="2" t="s">
        <v>8</v>
      </c>
      <c r="D588" s="2" t="s">
        <v>9</v>
      </c>
      <c r="E588" s="2" t="s">
        <v>10</v>
      </c>
      <c r="F588" s="2" t="s">
        <v>11</v>
      </c>
      <c r="G588" s="2" t="s">
        <v>12</v>
      </c>
      <c r="H588" s="2" t="s">
        <v>13</v>
      </c>
      <c r="I588" s="2" t="s">
        <v>14</v>
      </c>
      <c r="J588" s="2" t="s">
        <v>15</v>
      </c>
      <c r="K588" s="2" t="s">
        <v>16</v>
      </c>
      <c r="L588" s="2" t="s">
        <v>17</v>
      </c>
    </row>
    <row r="589" spans="1:12" x14ac:dyDescent="0.25">
      <c r="A589" s="3">
        <v>45711.275763888887</v>
      </c>
      <c r="B589" t="s">
        <v>25</v>
      </c>
      <c r="C589" s="3">
        <v>45711.280173611114</v>
      </c>
      <c r="D589" t="s">
        <v>19</v>
      </c>
      <c r="E589" s="4">
        <v>0.33800000000000002</v>
      </c>
      <c r="F589" s="4">
        <v>14299.282999999999</v>
      </c>
      <c r="G589" s="4">
        <v>14299.620999999999</v>
      </c>
      <c r="H589" s="5">
        <f>279 / 86400</f>
        <v>3.2291666666666666E-3</v>
      </c>
      <c r="I589" t="s">
        <v>120</v>
      </c>
      <c r="J589" t="s">
        <v>69</v>
      </c>
      <c r="K589" s="5">
        <f>380 / 86400</f>
        <v>4.3981481481481484E-3</v>
      </c>
      <c r="L589" s="5">
        <f>23883 / 86400</f>
        <v>0.27642361111111113</v>
      </c>
    </row>
    <row r="590" spans="1:12" x14ac:dyDescent="0.25">
      <c r="A590" s="3">
        <v>45711.280833333338</v>
      </c>
      <c r="B590" t="s">
        <v>372</v>
      </c>
      <c r="C590" s="3">
        <v>45711.357395833329</v>
      </c>
      <c r="D590" t="s">
        <v>289</v>
      </c>
      <c r="E590" s="4">
        <v>33.203000000000003</v>
      </c>
      <c r="F590" s="4">
        <v>14299.620999999999</v>
      </c>
      <c r="G590" s="4">
        <v>14332.824000000001</v>
      </c>
      <c r="H590" s="5">
        <f>1720 / 86400</f>
        <v>1.9907407407407408E-2</v>
      </c>
      <c r="I590" t="s">
        <v>178</v>
      </c>
      <c r="J590" t="s">
        <v>38</v>
      </c>
      <c r="K590" s="5">
        <f>6614 / 86400</f>
        <v>7.6550925925925925E-2</v>
      </c>
      <c r="L590" s="5">
        <f>227 / 86400</f>
        <v>2.627314814814815E-3</v>
      </c>
    </row>
    <row r="591" spans="1:12" x14ac:dyDescent="0.25">
      <c r="A591" s="3">
        <v>45711.360023148147</v>
      </c>
      <c r="B591" t="s">
        <v>289</v>
      </c>
      <c r="C591" s="3">
        <v>45711.474259259259</v>
      </c>
      <c r="D591" t="s">
        <v>118</v>
      </c>
      <c r="E591" s="4">
        <v>49.482999999999997</v>
      </c>
      <c r="F591" s="4">
        <v>14332.824000000001</v>
      </c>
      <c r="G591" s="4">
        <v>14382.307000000001</v>
      </c>
      <c r="H591" s="5">
        <f>2936 / 86400</f>
        <v>3.3981481481481481E-2</v>
      </c>
      <c r="I591" t="s">
        <v>124</v>
      </c>
      <c r="J591" t="s">
        <v>38</v>
      </c>
      <c r="K591" s="5">
        <f>9869 / 86400</f>
        <v>0.11422453703703704</v>
      </c>
      <c r="L591" s="5">
        <f>176 / 86400</f>
        <v>2.0370370370370369E-3</v>
      </c>
    </row>
    <row r="592" spans="1:12" x14ac:dyDescent="0.25">
      <c r="A592" s="3">
        <v>45711.4762962963</v>
      </c>
      <c r="B592" t="s">
        <v>118</v>
      </c>
      <c r="C592" s="3">
        <v>45711.478865740741</v>
      </c>
      <c r="D592" t="s">
        <v>373</v>
      </c>
      <c r="E592" s="4">
        <v>0.91100000000000003</v>
      </c>
      <c r="F592" s="4">
        <v>14382.307000000001</v>
      </c>
      <c r="G592" s="4">
        <v>14383.218000000001</v>
      </c>
      <c r="H592" s="5">
        <f>40 / 86400</f>
        <v>4.6296296296296298E-4</v>
      </c>
      <c r="I592" t="s">
        <v>161</v>
      </c>
      <c r="J592" t="s">
        <v>47</v>
      </c>
      <c r="K592" s="5">
        <f>221 / 86400</f>
        <v>2.5578703703703705E-3</v>
      </c>
      <c r="L592" s="5">
        <f>1683 / 86400</f>
        <v>1.9479166666666665E-2</v>
      </c>
    </row>
    <row r="593" spans="1:12" x14ac:dyDescent="0.25">
      <c r="A593" s="3">
        <v>45711.498344907406</v>
      </c>
      <c r="B593" t="s">
        <v>57</v>
      </c>
      <c r="C593" s="3">
        <v>45711.500416666662</v>
      </c>
      <c r="D593" t="s">
        <v>115</v>
      </c>
      <c r="E593" s="4">
        <v>0.79300000000000004</v>
      </c>
      <c r="F593" s="4">
        <v>14383.218000000001</v>
      </c>
      <c r="G593" s="4">
        <v>14384.011</v>
      </c>
      <c r="H593" s="5">
        <f>0 / 86400</f>
        <v>0</v>
      </c>
      <c r="I593" t="s">
        <v>94</v>
      </c>
      <c r="J593" t="s">
        <v>112</v>
      </c>
      <c r="K593" s="5">
        <f>179 / 86400</f>
        <v>2.0717592592592593E-3</v>
      </c>
      <c r="L593" s="5">
        <f>1665 / 86400</f>
        <v>1.9270833333333334E-2</v>
      </c>
    </row>
    <row r="594" spans="1:12" x14ac:dyDescent="0.25">
      <c r="A594" s="3">
        <v>45711.519687499997</v>
      </c>
      <c r="B594" t="s">
        <v>115</v>
      </c>
      <c r="C594" s="3">
        <v>45711.589594907404</v>
      </c>
      <c r="D594" t="s">
        <v>374</v>
      </c>
      <c r="E594" s="4">
        <v>41.850999999999999</v>
      </c>
      <c r="F594" s="4">
        <v>14384.011</v>
      </c>
      <c r="G594" s="4">
        <v>14425.861999999999</v>
      </c>
      <c r="H594" s="5">
        <f>1480 / 86400</f>
        <v>1.712962962962963E-2</v>
      </c>
      <c r="I594" t="s">
        <v>23</v>
      </c>
      <c r="J594" t="s">
        <v>212</v>
      </c>
      <c r="K594" s="5">
        <f>6039 / 86400</f>
        <v>6.9895833333333338E-2</v>
      </c>
      <c r="L594" s="5">
        <f>18 / 86400</f>
        <v>2.0833333333333335E-4</v>
      </c>
    </row>
    <row r="595" spans="1:12" x14ac:dyDescent="0.25">
      <c r="A595" s="3">
        <v>45711.589803240742</v>
      </c>
      <c r="B595" t="s">
        <v>374</v>
      </c>
      <c r="C595" s="3">
        <v>45711.712372685186</v>
      </c>
      <c r="D595" t="s">
        <v>50</v>
      </c>
      <c r="E595" s="4">
        <v>51.89</v>
      </c>
      <c r="F595" s="4">
        <v>14425.861999999999</v>
      </c>
      <c r="G595" s="4">
        <v>14477.752</v>
      </c>
      <c r="H595" s="5">
        <f>3920 / 86400</f>
        <v>4.5370370370370373E-2</v>
      </c>
      <c r="I595" t="s">
        <v>337</v>
      </c>
      <c r="J595" t="s">
        <v>38</v>
      </c>
      <c r="K595" s="5">
        <f>10590 / 86400</f>
        <v>0.12256944444444444</v>
      </c>
      <c r="L595" s="5">
        <f>386 / 86400</f>
        <v>4.4675925925925924E-3</v>
      </c>
    </row>
    <row r="596" spans="1:12" x14ac:dyDescent="0.25">
      <c r="A596" s="3">
        <v>45711.716840277775</v>
      </c>
      <c r="B596" t="s">
        <v>50</v>
      </c>
      <c r="C596" s="3">
        <v>45711.717164351852</v>
      </c>
      <c r="D596" t="s">
        <v>375</v>
      </c>
      <c r="E596" s="4">
        <v>4.8000000000000001E-2</v>
      </c>
      <c r="F596" s="4">
        <v>14477.752</v>
      </c>
      <c r="G596" s="4">
        <v>14477.8</v>
      </c>
      <c r="H596" s="5">
        <f>0 / 86400</f>
        <v>0</v>
      </c>
      <c r="I596" t="s">
        <v>208</v>
      </c>
      <c r="J596" t="s">
        <v>146</v>
      </c>
      <c r="K596" s="5">
        <f>27 / 86400</f>
        <v>3.1250000000000001E-4</v>
      </c>
      <c r="L596" s="5">
        <f>174 / 86400</f>
        <v>2.0138888888888888E-3</v>
      </c>
    </row>
    <row r="597" spans="1:12" x14ac:dyDescent="0.25">
      <c r="A597" s="3">
        <v>45711.719178240739</v>
      </c>
      <c r="B597" t="s">
        <v>375</v>
      </c>
      <c r="C597" s="3">
        <v>45711.743159722224</v>
      </c>
      <c r="D597" t="s">
        <v>372</v>
      </c>
      <c r="E597" s="4">
        <v>8.1270000000000007</v>
      </c>
      <c r="F597" s="4">
        <v>14477.8</v>
      </c>
      <c r="G597" s="4">
        <v>14485.927</v>
      </c>
      <c r="H597" s="5">
        <f>600 / 86400</f>
        <v>6.9444444444444441E-3</v>
      </c>
      <c r="I597" t="s">
        <v>143</v>
      </c>
      <c r="J597" t="s">
        <v>116</v>
      </c>
      <c r="K597" s="5">
        <f>2072 / 86400</f>
        <v>2.3981481481481482E-2</v>
      </c>
      <c r="L597" s="5">
        <f>218 / 86400</f>
        <v>2.5231481481481481E-3</v>
      </c>
    </row>
    <row r="598" spans="1:12" x14ac:dyDescent="0.25">
      <c r="A598" s="3">
        <v>45711.745682870373</v>
      </c>
      <c r="B598" t="s">
        <v>372</v>
      </c>
      <c r="C598" s="3">
        <v>45711.748460648145</v>
      </c>
      <c r="D598" t="s">
        <v>372</v>
      </c>
      <c r="E598" s="4">
        <v>0.73799999999999999</v>
      </c>
      <c r="F598" s="4">
        <v>14485.927</v>
      </c>
      <c r="G598" s="4">
        <v>14486.665000000001</v>
      </c>
      <c r="H598" s="5">
        <f>0 / 86400</f>
        <v>0</v>
      </c>
      <c r="I598" t="s">
        <v>58</v>
      </c>
      <c r="J598" t="s">
        <v>41</v>
      </c>
      <c r="K598" s="5">
        <f>239 / 86400</f>
        <v>2.7662037037037039E-3</v>
      </c>
      <c r="L598" s="5">
        <f>216 / 86400</f>
        <v>2.5000000000000001E-3</v>
      </c>
    </row>
    <row r="599" spans="1:12" x14ac:dyDescent="0.25">
      <c r="A599" s="3">
        <v>45711.750960648147</v>
      </c>
      <c r="B599" t="s">
        <v>372</v>
      </c>
      <c r="C599" s="3">
        <v>45711.752337962964</v>
      </c>
      <c r="D599" t="s">
        <v>376</v>
      </c>
      <c r="E599" s="4">
        <v>0.45900000000000002</v>
      </c>
      <c r="F599" s="4">
        <v>14486.665000000001</v>
      </c>
      <c r="G599" s="4">
        <v>14487.124</v>
      </c>
      <c r="H599" s="5">
        <f>0 / 86400</f>
        <v>0</v>
      </c>
      <c r="I599" t="s">
        <v>37</v>
      </c>
      <c r="J599" t="s">
        <v>116</v>
      </c>
      <c r="K599" s="5">
        <f>118 / 86400</f>
        <v>1.3657407407407407E-3</v>
      </c>
      <c r="L599" s="5">
        <f>698 / 86400</f>
        <v>8.0787037037037043E-3</v>
      </c>
    </row>
    <row r="600" spans="1:12" x14ac:dyDescent="0.25">
      <c r="A600" s="3">
        <v>45711.760416666672</v>
      </c>
      <c r="B600" t="s">
        <v>376</v>
      </c>
      <c r="C600" s="3">
        <v>45711.764097222222</v>
      </c>
      <c r="D600" t="s">
        <v>25</v>
      </c>
      <c r="E600" s="4">
        <v>0.59099999999999997</v>
      </c>
      <c r="F600" s="4">
        <v>14487.124</v>
      </c>
      <c r="G600" s="4">
        <v>14487.715</v>
      </c>
      <c r="H600" s="5">
        <f>100 / 86400</f>
        <v>1.1574074074074073E-3</v>
      </c>
      <c r="I600" t="s">
        <v>67</v>
      </c>
      <c r="J600" t="s">
        <v>33</v>
      </c>
      <c r="K600" s="5">
        <f>317 / 86400</f>
        <v>3.6689814814814814E-3</v>
      </c>
      <c r="L600" s="5">
        <f>148 / 86400</f>
        <v>1.712962962962963E-3</v>
      </c>
    </row>
    <row r="601" spans="1:12" x14ac:dyDescent="0.25">
      <c r="A601" s="3">
        <v>45711.765810185185</v>
      </c>
      <c r="B601" t="s">
        <v>25</v>
      </c>
      <c r="C601" s="3">
        <v>45711.766412037032</v>
      </c>
      <c r="D601" t="s">
        <v>25</v>
      </c>
      <c r="E601" s="4">
        <v>4.0000000000000001E-3</v>
      </c>
      <c r="F601" s="4">
        <v>14487.715</v>
      </c>
      <c r="G601" s="4">
        <v>14487.718999999999</v>
      </c>
      <c r="H601" s="5">
        <f>20 / 86400</f>
        <v>2.3148148148148149E-4</v>
      </c>
      <c r="I601" t="s">
        <v>190</v>
      </c>
      <c r="J601" t="s">
        <v>26</v>
      </c>
      <c r="K601" s="5">
        <f>52 / 86400</f>
        <v>6.018518518518519E-4</v>
      </c>
      <c r="L601" s="5">
        <f>20181 / 86400</f>
        <v>0.23357638888888888</v>
      </c>
    </row>
    <row r="602" spans="1:12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</row>
    <row r="603" spans="1:12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</row>
    <row r="604" spans="1:12" s="10" customFormat="1" ht="20.100000000000001" customHeight="1" x14ac:dyDescent="0.35">
      <c r="A604" s="12" t="s">
        <v>446</v>
      </c>
      <c r="B604" s="12"/>
      <c r="C604" s="12"/>
      <c r="D604" s="12"/>
      <c r="E604" s="12"/>
      <c r="F604" s="12"/>
      <c r="G604" s="12"/>
      <c r="H604" s="12"/>
      <c r="I604" s="12"/>
      <c r="J604" s="12"/>
    </row>
    <row r="605" spans="1:12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</row>
    <row r="606" spans="1:12" ht="30" x14ac:dyDescent="0.25">
      <c r="A606" s="2" t="s">
        <v>6</v>
      </c>
      <c r="B606" s="2" t="s">
        <v>7</v>
      </c>
      <c r="C606" s="2" t="s">
        <v>8</v>
      </c>
      <c r="D606" s="2" t="s">
        <v>9</v>
      </c>
      <c r="E606" s="2" t="s">
        <v>10</v>
      </c>
      <c r="F606" s="2" t="s">
        <v>11</v>
      </c>
      <c r="G606" s="2" t="s">
        <v>12</v>
      </c>
      <c r="H606" s="2" t="s">
        <v>13</v>
      </c>
      <c r="I606" s="2" t="s">
        <v>14</v>
      </c>
      <c r="J606" s="2" t="s">
        <v>15</v>
      </c>
      <c r="K606" s="2" t="s">
        <v>16</v>
      </c>
      <c r="L606" s="2" t="s">
        <v>17</v>
      </c>
    </row>
    <row r="607" spans="1:12" x14ac:dyDescent="0.25">
      <c r="A607" s="3">
        <v>45711.682824074072</v>
      </c>
      <c r="B607" t="s">
        <v>39</v>
      </c>
      <c r="C607" s="3">
        <v>45711.683437500003</v>
      </c>
      <c r="D607" t="s">
        <v>39</v>
      </c>
      <c r="E607" s="4">
        <v>2E-3</v>
      </c>
      <c r="F607" s="4">
        <v>139780.54300000001</v>
      </c>
      <c r="G607" s="4">
        <v>139780.54500000001</v>
      </c>
      <c r="H607" s="5">
        <f>19 / 86400</f>
        <v>2.199074074074074E-4</v>
      </c>
      <c r="I607" t="s">
        <v>21</v>
      </c>
      <c r="J607" t="s">
        <v>26</v>
      </c>
      <c r="K607" s="5">
        <f>52 / 86400</f>
        <v>6.018518518518519E-4</v>
      </c>
      <c r="L607" s="5">
        <f>59245 / 86400</f>
        <v>0.68570601851851853</v>
      </c>
    </row>
    <row r="608" spans="1:12" x14ac:dyDescent="0.25">
      <c r="A608" s="3">
        <v>45711.686319444445</v>
      </c>
      <c r="B608" t="s">
        <v>39</v>
      </c>
      <c r="C608" s="3">
        <v>45711.687372685185</v>
      </c>
      <c r="D608" t="s">
        <v>39</v>
      </c>
      <c r="E608" s="4">
        <v>2.7E-2</v>
      </c>
      <c r="F608" s="4">
        <v>139780.54500000001</v>
      </c>
      <c r="G608" s="4">
        <v>139780.57199999999</v>
      </c>
      <c r="H608" s="5">
        <f>79 / 86400</f>
        <v>9.1435185185185185E-4</v>
      </c>
      <c r="I608" t="s">
        <v>26</v>
      </c>
      <c r="J608" t="s">
        <v>21</v>
      </c>
      <c r="K608" s="5">
        <f>90 / 86400</f>
        <v>1.0416666666666667E-3</v>
      </c>
      <c r="L608" s="5">
        <f>430 / 86400</f>
        <v>4.9768518518518521E-3</v>
      </c>
    </row>
    <row r="609" spans="1:12" x14ac:dyDescent="0.25">
      <c r="A609" s="3">
        <v>45711.692349537036</v>
      </c>
      <c r="B609" t="s">
        <v>39</v>
      </c>
      <c r="C609" s="3">
        <v>45711.693518518514</v>
      </c>
      <c r="D609" t="s">
        <v>39</v>
      </c>
      <c r="E609" s="4">
        <v>3.6999999999999998E-2</v>
      </c>
      <c r="F609" s="4">
        <v>139780.57199999999</v>
      </c>
      <c r="G609" s="4">
        <v>139780.609</v>
      </c>
      <c r="H609" s="5">
        <f>19 / 86400</f>
        <v>2.199074074074074E-4</v>
      </c>
      <c r="I609" t="s">
        <v>34</v>
      </c>
      <c r="J609" t="s">
        <v>21</v>
      </c>
      <c r="K609" s="5">
        <f>100 / 86400</f>
        <v>1.1574074074074073E-3</v>
      </c>
      <c r="L609" s="5">
        <f>578 / 86400</f>
        <v>6.6898148148148151E-3</v>
      </c>
    </row>
    <row r="610" spans="1:12" x14ac:dyDescent="0.25">
      <c r="A610" s="3">
        <v>45711.700208333335</v>
      </c>
      <c r="B610" t="s">
        <v>39</v>
      </c>
      <c r="C610" s="3">
        <v>45711.700925925921</v>
      </c>
      <c r="D610" t="s">
        <v>39</v>
      </c>
      <c r="E610" s="4">
        <v>2.5000000000000001E-2</v>
      </c>
      <c r="F610" s="4">
        <v>139780.609</v>
      </c>
      <c r="G610" s="4">
        <v>139780.63399999999</v>
      </c>
      <c r="H610" s="5">
        <f>0 / 86400</f>
        <v>0</v>
      </c>
      <c r="I610" t="s">
        <v>34</v>
      </c>
      <c r="J610" t="s">
        <v>21</v>
      </c>
      <c r="K610" s="5">
        <f>62 / 86400</f>
        <v>7.1759259259259259E-4</v>
      </c>
      <c r="L610" s="5">
        <f>2569 / 86400</f>
        <v>2.9733796296296296E-2</v>
      </c>
    </row>
    <row r="611" spans="1:12" x14ac:dyDescent="0.25">
      <c r="A611" s="3">
        <v>45711.73065972222</v>
      </c>
      <c r="B611" t="s">
        <v>39</v>
      </c>
      <c r="C611" s="3">
        <v>45711.736793981487</v>
      </c>
      <c r="D611" t="s">
        <v>377</v>
      </c>
      <c r="E611" s="4">
        <v>2.0299999999999998</v>
      </c>
      <c r="F611" s="4">
        <v>139780.63399999999</v>
      </c>
      <c r="G611" s="4">
        <v>139782.66399999999</v>
      </c>
      <c r="H611" s="5">
        <f>100 / 86400</f>
        <v>1.1574074074074073E-3</v>
      </c>
      <c r="I611" t="s">
        <v>40</v>
      </c>
      <c r="J611" t="s">
        <v>116</v>
      </c>
      <c r="K611" s="5">
        <f>530 / 86400</f>
        <v>6.1342592592592594E-3</v>
      </c>
      <c r="L611" s="5">
        <f>3938 / 86400</f>
        <v>4.5578703703703705E-2</v>
      </c>
    </row>
    <row r="612" spans="1:12" x14ac:dyDescent="0.25">
      <c r="A612" s="3">
        <v>45711.782372685186</v>
      </c>
      <c r="B612" t="s">
        <v>377</v>
      </c>
      <c r="C612" s="3">
        <v>45711.788275462968</v>
      </c>
      <c r="D612" t="s">
        <v>39</v>
      </c>
      <c r="E612" s="4">
        <v>2.0619999999999998</v>
      </c>
      <c r="F612" s="4">
        <v>139782.66399999999</v>
      </c>
      <c r="G612" s="4">
        <v>139784.726</v>
      </c>
      <c r="H612" s="5">
        <f>59 / 86400</f>
        <v>6.8287037037037036E-4</v>
      </c>
      <c r="I612" t="s">
        <v>72</v>
      </c>
      <c r="J612" t="s">
        <v>47</v>
      </c>
      <c r="K612" s="5">
        <f>509 / 86400</f>
        <v>5.8912037037037041E-3</v>
      </c>
      <c r="L612" s="5">
        <f>18292 / 86400</f>
        <v>0.21171296296296296</v>
      </c>
    </row>
    <row r="613" spans="1:12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</row>
    <row r="614" spans="1:12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</row>
    <row r="615" spans="1:12" s="10" customFormat="1" ht="20.100000000000001" customHeight="1" x14ac:dyDescent="0.35">
      <c r="A615" s="12" t="s">
        <v>447</v>
      </c>
      <c r="B615" s="12"/>
      <c r="C615" s="12"/>
      <c r="D615" s="12"/>
      <c r="E615" s="12"/>
      <c r="F615" s="12"/>
      <c r="G615" s="12"/>
      <c r="H615" s="12"/>
      <c r="I615" s="12"/>
      <c r="J615" s="12"/>
    </row>
    <row r="616" spans="1:12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</row>
    <row r="617" spans="1:12" ht="30" x14ac:dyDescent="0.25">
      <c r="A617" s="2" t="s">
        <v>6</v>
      </c>
      <c r="B617" s="2" t="s">
        <v>7</v>
      </c>
      <c r="C617" s="2" t="s">
        <v>8</v>
      </c>
      <c r="D617" s="2" t="s">
        <v>9</v>
      </c>
      <c r="E617" s="2" t="s">
        <v>10</v>
      </c>
      <c r="F617" s="2" t="s">
        <v>11</v>
      </c>
      <c r="G617" s="2" t="s">
        <v>12</v>
      </c>
      <c r="H617" s="2" t="s">
        <v>13</v>
      </c>
      <c r="I617" s="2" t="s">
        <v>14</v>
      </c>
      <c r="J617" s="2" t="s">
        <v>15</v>
      </c>
      <c r="K617" s="2" t="s">
        <v>16</v>
      </c>
      <c r="L617" s="2" t="s">
        <v>17</v>
      </c>
    </row>
    <row r="618" spans="1:12" x14ac:dyDescent="0.25">
      <c r="A618" s="3">
        <v>45711.275405092594</v>
      </c>
      <c r="B618" t="s">
        <v>25</v>
      </c>
      <c r="C618" s="3">
        <v>45711.27715277778</v>
      </c>
      <c r="D618" t="s">
        <v>25</v>
      </c>
      <c r="E618" s="4">
        <v>0</v>
      </c>
      <c r="F618" s="4">
        <v>6954.0990000000002</v>
      </c>
      <c r="G618" s="4">
        <v>6954.0990000000002</v>
      </c>
      <c r="H618" s="5">
        <f>139 / 86400</f>
        <v>1.6087962962962963E-3</v>
      </c>
      <c r="I618" t="s">
        <v>26</v>
      </c>
      <c r="J618" t="s">
        <v>26</v>
      </c>
      <c r="K618" s="5">
        <f>151 / 86400</f>
        <v>1.7476851851851852E-3</v>
      </c>
      <c r="L618" s="5">
        <f>86248 / 86400</f>
        <v>0.99824074074074076</v>
      </c>
    </row>
    <row r="619" spans="1:12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</row>
    <row r="620" spans="1:12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</row>
    <row r="621" spans="1:12" s="10" customFormat="1" ht="20.100000000000001" customHeight="1" x14ac:dyDescent="0.35">
      <c r="A621" s="12" t="s">
        <v>448</v>
      </c>
      <c r="B621" s="12"/>
      <c r="C621" s="12"/>
      <c r="D621" s="12"/>
      <c r="E621" s="12"/>
      <c r="F621" s="12"/>
      <c r="G621" s="12"/>
      <c r="H621" s="12"/>
      <c r="I621" s="12"/>
      <c r="J621" s="12"/>
    </row>
    <row r="622" spans="1:12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</row>
    <row r="623" spans="1:12" ht="30" x14ac:dyDescent="0.25">
      <c r="A623" s="2" t="s">
        <v>6</v>
      </c>
      <c r="B623" s="2" t="s">
        <v>7</v>
      </c>
      <c r="C623" s="2" t="s">
        <v>8</v>
      </c>
      <c r="D623" s="2" t="s">
        <v>9</v>
      </c>
      <c r="E623" s="2" t="s">
        <v>10</v>
      </c>
      <c r="F623" s="2" t="s">
        <v>11</v>
      </c>
      <c r="G623" s="2" t="s">
        <v>12</v>
      </c>
      <c r="H623" s="2" t="s">
        <v>13</v>
      </c>
      <c r="I623" s="2" t="s">
        <v>14</v>
      </c>
      <c r="J623" s="2" t="s">
        <v>15</v>
      </c>
      <c r="K623" s="2" t="s">
        <v>16</v>
      </c>
      <c r="L623" s="2" t="s">
        <v>17</v>
      </c>
    </row>
    <row r="624" spans="1:12" x14ac:dyDescent="0.25">
      <c r="A624" s="3">
        <v>45711.147523148145</v>
      </c>
      <c r="B624" t="s">
        <v>42</v>
      </c>
      <c r="C624" s="3">
        <v>45711.149548611109</v>
      </c>
      <c r="D624" t="s">
        <v>378</v>
      </c>
      <c r="E624" s="4">
        <v>0.37100000005960465</v>
      </c>
      <c r="F624" s="4">
        <v>525467.88899999997</v>
      </c>
      <c r="G624" s="4">
        <v>525468.26</v>
      </c>
      <c r="H624" s="5">
        <f>79 / 86400</f>
        <v>9.1435185185185185E-4</v>
      </c>
      <c r="I624" t="s">
        <v>112</v>
      </c>
      <c r="J624" t="s">
        <v>113</v>
      </c>
      <c r="K624" s="5">
        <f>174 / 86400</f>
        <v>2.0138888888888888E-3</v>
      </c>
      <c r="L624" s="5">
        <f>12766 / 86400</f>
        <v>0.14775462962962962</v>
      </c>
    </row>
    <row r="625" spans="1:12" x14ac:dyDescent="0.25">
      <c r="A625" s="3">
        <v>45711.149780092594</v>
      </c>
      <c r="B625" t="s">
        <v>378</v>
      </c>
      <c r="C625" s="3">
        <v>45711.311307870375</v>
      </c>
      <c r="D625" t="s">
        <v>129</v>
      </c>
      <c r="E625" s="4">
        <v>81.177000000059607</v>
      </c>
      <c r="F625" s="4">
        <v>525468.26</v>
      </c>
      <c r="G625" s="4">
        <v>525549.43700000003</v>
      </c>
      <c r="H625" s="5">
        <f>3160 / 86400</f>
        <v>3.6574074074074071E-2</v>
      </c>
      <c r="I625" t="s">
        <v>239</v>
      </c>
      <c r="J625" t="s">
        <v>67</v>
      </c>
      <c r="K625" s="5">
        <f>13956 / 86400</f>
        <v>0.16152777777777777</v>
      </c>
      <c r="L625" s="5">
        <f>428 / 86400</f>
        <v>4.9537037037037041E-3</v>
      </c>
    </row>
    <row r="626" spans="1:12" x14ac:dyDescent="0.25">
      <c r="A626" s="3">
        <v>45711.316261574073</v>
      </c>
      <c r="B626" t="s">
        <v>129</v>
      </c>
      <c r="C626" s="3">
        <v>45711.316840277781</v>
      </c>
      <c r="D626" t="s">
        <v>129</v>
      </c>
      <c r="E626" s="4">
        <v>5.2999999940395358E-2</v>
      </c>
      <c r="F626" s="4">
        <v>525549.43700000003</v>
      </c>
      <c r="G626" s="4">
        <v>525549.49</v>
      </c>
      <c r="H626" s="5">
        <f>0 / 86400</f>
        <v>0</v>
      </c>
      <c r="I626" t="s">
        <v>208</v>
      </c>
      <c r="J626" t="s">
        <v>20</v>
      </c>
      <c r="K626" s="5">
        <f>50 / 86400</f>
        <v>5.7870370370370367E-4</v>
      </c>
      <c r="L626" s="5">
        <f>732 / 86400</f>
        <v>8.472222222222223E-3</v>
      </c>
    </row>
    <row r="627" spans="1:12" x14ac:dyDescent="0.25">
      <c r="A627" s="3">
        <v>45711.325312500005</v>
      </c>
      <c r="B627" t="s">
        <v>129</v>
      </c>
      <c r="C627" s="3">
        <v>45711.325636574074</v>
      </c>
      <c r="D627" t="s">
        <v>129</v>
      </c>
      <c r="E627" s="4">
        <v>3.6999999999999998E-2</v>
      </c>
      <c r="F627" s="4">
        <v>525549.49</v>
      </c>
      <c r="G627" s="4">
        <v>525549.527</v>
      </c>
      <c r="H627" s="5">
        <f>0 / 86400</f>
        <v>0</v>
      </c>
      <c r="I627" t="s">
        <v>33</v>
      </c>
      <c r="J627" t="s">
        <v>34</v>
      </c>
      <c r="K627" s="5">
        <f>28 / 86400</f>
        <v>3.2407407407407406E-4</v>
      </c>
      <c r="L627" s="5">
        <f>1408 / 86400</f>
        <v>1.6296296296296295E-2</v>
      </c>
    </row>
    <row r="628" spans="1:12" x14ac:dyDescent="0.25">
      <c r="A628" s="3">
        <v>45711.341932870375</v>
      </c>
      <c r="B628" t="s">
        <v>129</v>
      </c>
      <c r="C628" s="3">
        <v>45711.553912037038</v>
      </c>
      <c r="D628" t="s">
        <v>379</v>
      </c>
      <c r="E628" s="4">
        <v>98.295000000059602</v>
      </c>
      <c r="F628" s="4">
        <v>525549.527</v>
      </c>
      <c r="G628" s="4">
        <v>525647.82200000004</v>
      </c>
      <c r="H628" s="5">
        <f>4682 / 86400</f>
        <v>5.4189814814814816E-2</v>
      </c>
      <c r="I628" t="s">
        <v>61</v>
      </c>
      <c r="J628" t="s">
        <v>37</v>
      </c>
      <c r="K628" s="5">
        <f>18314 / 86400</f>
        <v>0.2119675925925926</v>
      </c>
      <c r="L628" s="5">
        <f>312 / 86400</f>
        <v>3.6111111111111109E-3</v>
      </c>
    </row>
    <row r="629" spans="1:12" x14ac:dyDescent="0.25">
      <c r="A629" s="3">
        <v>45711.557523148149</v>
      </c>
      <c r="B629" t="s">
        <v>379</v>
      </c>
      <c r="C629" s="3">
        <v>45711.589687500003</v>
      </c>
      <c r="D629" t="s">
        <v>42</v>
      </c>
      <c r="E629" s="4">
        <v>19.443999999880791</v>
      </c>
      <c r="F629" s="4">
        <v>525647.82200000004</v>
      </c>
      <c r="G629" s="4">
        <v>525667.26599999995</v>
      </c>
      <c r="H629" s="5">
        <f>679 / 86400</f>
        <v>7.858796296296296E-3</v>
      </c>
      <c r="I629" t="s">
        <v>43</v>
      </c>
      <c r="J629" t="s">
        <v>212</v>
      </c>
      <c r="K629" s="5">
        <f>2779 / 86400</f>
        <v>3.2164351851851854E-2</v>
      </c>
      <c r="L629" s="5">
        <f>35450 / 86400</f>
        <v>0.41030092592592593</v>
      </c>
    </row>
    <row r="630" spans="1:12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</row>
    <row r="631" spans="1:12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</row>
    <row r="632" spans="1:12" s="10" customFormat="1" ht="20.100000000000001" customHeight="1" x14ac:dyDescent="0.35">
      <c r="A632" s="12" t="s">
        <v>449</v>
      </c>
      <c r="B632" s="12"/>
      <c r="C632" s="12"/>
      <c r="D632" s="12"/>
      <c r="E632" s="12"/>
      <c r="F632" s="12"/>
      <c r="G632" s="12"/>
      <c r="H632" s="12"/>
      <c r="I632" s="12"/>
      <c r="J632" s="12"/>
    </row>
    <row r="633" spans="1:12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</row>
    <row r="634" spans="1:12" ht="30" x14ac:dyDescent="0.25">
      <c r="A634" s="2" t="s">
        <v>6</v>
      </c>
      <c r="B634" s="2" t="s">
        <v>7</v>
      </c>
      <c r="C634" s="2" t="s">
        <v>8</v>
      </c>
      <c r="D634" s="2" t="s">
        <v>9</v>
      </c>
      <c r="E634" s="2" t="s">
        <v>10</v>
      </c>
      <c r="F634" s="2" t="s">
        <v>11</v>
      </c>
      <c r="G634" s="2" t="s">
        <v>12</v>
      </c>
      <c r="H634" s="2" t="s">
        <v>13</v>
      </c>
      <c r="I634" s="2" t="s">
        <v>14</v>
      </c>
      <c r="J634" s="2" t="s">
        <v>15</v>
      </c>
      <c r="K634" s="2" t="s">
        <v>16</v>
      </c>
      <c r="L634" s="2" t="s">
        <v>17</v>
      </c>
    </row>
    <row r="635" spans="1:12" x14ac:dyDescent="0.25">
      <c r="A635" s="3">
        <v>45711</v>
      </c>
      <c r="B635" t="s">
        <v>44</v>
      </c>
      <c r="C635" s="3">
        <v>45711.014513888891</v>
      </c>
      <c r="D635" t="s">
        <v>259</v>
      </c>
      <c r="E635" s="4">
        <v>4.7690000000000001</v>
      </c>
      <c r="F635" s="4">
        <v>413247.15600000002</v>
      </c>
      <c r="G635" s="4">
        <v>413251.92499999999</v>
      </c>
      <c r="H635" s="5">
        <f>320 / 86400</f>
        <v>3.7037037037037038E-3</v>
      </c>
      <c r="I635" t="s">
        <v>134</v>
      </c>
      <c r="J635" t="s">
        <v>116</v>
      </c>
      <c r="K635" s="5">
        <f>1254 / 86400</f>
        <v>1.4513888888888889E-2</v>
      </c>
      <c r="L635" s="5">
        <f>1612 / 86400</f>
        <v>1.8657407407407407E-2</v>
      </c>
    </row>
    <row r="636" spans="1:12" x14ac:dyDescent="0.25">
      <c r="A636" s="3">
        <v>45711.033171296294</v>
      </c>
      <c r="B636" t="s">
        <v>259</v>
      </c>
      <c r="C636" s="3">
        <v>45711.033275462964</v>
      </c>
      <c r="D636" t="s">
        <v>259</v>
      </c>
      <c r="E636" s="4">
        <v>0</v>
      </c>
      <c r="F636" s="4">
        <v>413251.92499999999</v>
      </c>
      <c r="G636" s="4">
        <v>413251.92499999999</v>
      </c>
      <c r="H636" s="5">
        <f>0 / 86400</f>
        <v>0</v>
      </c>
      <c r="I636" t="s">
        <v>26</v>
      </c>
      <c r="J636" t="s">
        <v>26</v>
      </c>
      <c r="K636" s="5">
        <f>8 / 86400</f>
        <v>9.2592592592592588E-5</v>
      </c>
      <c r="L636" s="5">
        <f>1656 / 86400</f>
        <v>1.9166666666666665E-2</v>
      </c>
    </row>
    <row r="637" spans="1:12" x14ac:dyDescent="0.25">
      <c r="A637" s="3">
        <v>45711.052442129629</v>
      </c>
      <c r="B637" t="s">
        <v>259</v>
      </c>
      <c r="C637" s="3">
        <v>45711.061874999999</v>
      </c>
      <c r="D637" t="s">
        <v>380</v>
      </c>
      <c r="E637" s="4">
        <v>2.0299999999999998</v>
      </c>
      <c r="F637" s="4">
        <v>413251.92499999999</v>
      </c>
      <c r="G637" s="4">
        <v>413253.95500000002</v>
      </c>
      <c r="H637" s="5">
        <f>199 / 86400</f>
        <v>2.3032407407407407E-3</v>
      </c>
      <c r="I637" t="s">
        <v>24</v>
      </c>
      <c r="J637" t="s">
        <v>155</v>
      </c>
      <c r="K637" s="5">
        <f>815 / 86400</f>
        <v>9.432870370370371E-3</v>
      </c>
      <c r="L637" s="5">
        <f>28410 / 86400</f>
        <v>0.32881944444444444</v>
      </c>
    </row>
    <row r="638" spans="1:12" x14ac:dyDescent="0.25">
      <c r="A638" s="3">
        <v>45711.390694444446</v>
      </c>
      <c r="B638" t="s">
        <v>380</v>
      </c>
      <c r="C638" s="3">
        <v>45711.410949074074</v>
      </c>
      <c r="D638" t="s">
        <v>381</v>
      </c>
      <c r="E638" s="4">
        <v>9.0020000000000007</v>
      </c>
      <c r="F638" s="4">
        <v>413253.95500000002</v>
      </c>
      <c r="G638" s="4">
        <v>413262.95699999999</v>
      </c>
      <c r="H638" s="5">
        <f>499 / 86400</f>
        <v>5.7754629629629631E-3</v>
      </c>
      <c r="I638" t="s">
        <v>140</v>
      </c>
      <c r="J638" t="s">
        <v>37</v>
      </c>
      <c r="K638" s="5">
        <f>1750 / 86400</f>
        <v>2.0254629629629629E-2</v>
      </c>
      <c r="L638" s="5">
        <f>2674 / 86400</f>
        <v>3.0949074074074073E-2</v>
      </c>
    </row>
    <row r="639" spans="1:12" x14ac:dyDescent="0.25">
      <c r="A639" s="3">
        <v>45711.441898148143</v>
      </c>
      <c r="B639" t="s">
        <v>381</v>
      </c>
      <c r="C639" s="3">
        <v>45711.444699074069</v>
      </c>
      <c r="D639" t="s">
        <v>382</v>
      </c>
      <c r="E639" s="4">
        <v>0.71599999999999997</v>
      </c>
      <c r="F639" s="4">
        <v>413262.95699999999</v>
      </c>
      <c r="G639" s="4">
        <v>413263.67300000001</v>
      </c>
      <c r="H639" s="5">
        <f>19 / 86400</f>
        <v>2.199074074074074E-4</v>
      </c>
      <c r="I639" t="s">
        <v>67</v>
      </c>
      <c r="J639" t="s">
        <v>41</v>
      </c>
      <c r="K639" s="5">
        <f>241 / 86400</f>
        <v>2.7893518518518519E-3</v>
      </c>
      <c r="L639" s="5">
        <f>31316 / 86400</f>
        <v>0.36245370370370372</v>
      </c>
    </row>
    <row r="640" spans="1:12" x14ac:dyDescent="0.25">
      <c r="A640" s="3">
        <v>45711.807152777779</v>
      </c>
      <c r="B640" t="s">
        <v>383</v>
      </c>
      <c r="C640" s="3">
        <v>45711.807222222225</v>
      </c>
      <c r="D640" t="s">
        <v>383</v>
      </c>
      <c r="E640" s="4">
        <v>0</v>
      </c>
      <c r="F640" s="4">
        <v>413263.67300000001</v>
      </c>
      <c r="G640" s="4">
        <v>413263.67300000001</v>
      </c>
      <c r="H640" s="5">
        <f>0 / 86400</f>
        <v>0</v>
      </c>
      <c r="I640" t="s">
        <v>26</v>
      </c>
      <c r="J640" t="s">
        <v>26</v>
      </c>
      <c r="K640" s="5">
        <f>6 / 86400</f>
        <v>6.9444444444444444E-5</v>
      </c>
      <c r="L640" s="5">
        <f>21 / 86400</f>
        <v>2.4305555555555555E-4</v>
      </c>
    </row>
    <row r="641" spans="1:12" x14ac:dyDescent="0.25">
      <c r="A641" s="3">
        <v>45711.80746527778</v>
      </c>
      <c r="B641" t="s">
        <v>383</v>
      </c>
      <c r="C641" s="3">
        <v>45711.836157407408</v>
      </c>
      <c r="D641" t="s">
        <v>118</v>
      </c>
      <c r="E641" s="4">
        <v>8.3249999999999993</v>
      </c>
      <c r="F641" s="4">
        <v>413263.67300000001</v>
      </c>
      <c r="G641" s="4">
        <v>413271.99800000002</v>
      </c>
      <c r="H641" s="5">
        <f>760 / 86400</f>
        <v>8.7962962962962968E-3</v>
      </c>
      <c r="I641" t="s">
        <v>161</v>
      </c>
      <c r="J641" t="s">
        <v>128</v>
      </c>
      <c r="K641" s="5">
        <f>2479 / 86400</f>
        <v>2.869212962962963E-2</v>
      </c>
      <c r="L641" s="5">
        <f>368 / 86400</f>
        <v>4.2592592592592595E-3</v>
      </c>
    </row>
    <row r="642" spans="1:12" x14ac:dyDescent="0.25">
      <c r="A642" s="3">
        <v>45711.840416666666</v>
      </c>
      <c r="B642" t="s">
        <v>118</v>
      </c>
      <c r="C642" s="3">
        <v>45711.897696759261</v>
      </c>
      <c r="D642" t="s">
        <v>384</v>
      </c>
      <c r="E642" s="4">
        <v>24.463000000000001</v>
      </c>
      <c r="F642" s="4">
        <v>413271.99800000002</v>
      </c>
      <c r="G642" s="4">
        <v>413296.46100000001</v>
      </c>
      <c r="H642" s="5">
        <f>1459 / 86400</f>
        <v>1.6886574074074075E-2</v>
      </c>
      <c r="I642" t="s">
        <v>46</v>
      </c>
      <c r="J642" t="s">
        <v>38</v>
      </c>
      <c r="K642" s="5">
        <f>4948 / 86400</f>
        <v>5.7268518518518517E-2</v>
      </c>
      <c r="L642" s="5">
        <f>46 / 86400</f>
        <v>5.3240740740740744E-4</v>
      </c>
    </row>
    <row r="643" spans="1:12" x14ac:dyDescent="0.25">
      <c r="A643" s="3">
        <v>45711.898229166662</v>
      </c>
      <c r="B643" t="s">
        <v>384</v>
      </c>
      <c r="C643" s="3">
        <v>45711.900081018517</v>
      </c>
      <c r="D643" t="s">
        <v>45</v>
      </c>
      <c r="E643" s="4">
        <v>0.372</v>
      </c>
      <c r="F643" s="4">
        <v>413296.46100000001</v>
      </c>
      <c r="G643" s="4">
        <v>413296.83299999998</v>
      </c>
      <c r="H643" s="5">
        <f>40 / 86400</f>
        <v>4.6296296296296298E-4</v>
      </c>
      <c r="I643" t="s">
        <v>116</v>
      </c>
      <c r="J643" t="s">
        <v>113</v>
      </c>
      <c r="K643" s="5">
        <f>160 / 86400</f>
        <v>1.8518518518518519E-3</v>
      </c>
      <c r="L643" s="5">
        <f>8632 / 86400</f>
        <v>9.9907407407407403E-2</v>
      </c>
    </row>
    <row r="644" spans="1:12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</row>
    <row r="645" spans="1:12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</row>
    <row r="646" spans="1:12" s="10" customFormat="1" ht="20.100000000000001" customHeight="1" x14ac:dyDescent="0.35">
      <c r="A646" s="12" t="s">
        <v>450</v>
      </c>
      <c r="B646" s="12"/>
      <c r="C646" s="12"/>
      <c r="D646" s="12"/>
      <c r="E646" s="12"/>
      <c r="F646" s="12"/>
      <c r="G646" s="12"/>
      <c r="H646" s="12"/>
      <c r="I646" s="12"/>
      <c r="J646" s="12"/>
    </row>
    <row r="647" spans="1:12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</row>
    <row r="648" spans="1:12" ht="30" x14ac:dyDescent="0.25">
      <c r="A648" s="2" t="s">
        <v>6</v>
      </c>
      <c r="B648" s="2" t="s">
        <v>7</v>
      </c>
      <c r="C648" s="2" t="s">
        <v>8</v>
      </c>
      <c r="D648" s="2" t="s">
        <v>9</v>
      </c>
      <c r="E648" s="2" t="s">
        <v>10</v>
      </c>
      <c r="F648" s="2" t="s">
        <v>11</v>
      </c>
      <c r="G648" s="2" t="s">
        <v>12</v>
      </c>
      <c r="H648" s="2" t="s">
        <v>13</v>
      </c>
      <c r="I648" s="2" t="s">
        <v>14</v>
      </c>
      <c r="J648" s="2" t="s">
        <v>15</v>
      </c>
      <c r="K648" s="2" t="s">
        <v>16</v>
      </c>
      <c r="L648" s="2" t="s">
        <v>17</v>
      </c>
    </row>
    <row r="649" spans="1:12" x14ac:dyDescent="0.25">
      <c r="A649" s="3">
        <v>45711.629548611112</v>
      </c>
      <c r="B649" t="s">
        <v>48</v>
      </c>
      <c r="C649" s="3">
        <v>45711.629884259259</v>
      </c>
      <c r="D649" t="s">
        <v>48</v>
      </c>
      <c r="E649" s="4">
        <v>0</v>
      </c>
      <c r="F649" s="4">
        <v>404553.17700000003</v>
      </c>
      <c r="G649" s="4">
        <v>404553.17700000003</v>
      </c>
      <c r="H649" s="5">
        <f>19 / 86400</f>
        <v>2.199074074074074E-4</v>
      </c>
      <c r="I649" t="s">
        <v>26</v>
      </c>
      <c r="J649" t="s">
        <v>26</v>
      </c>
      <c r="K649" s="5">
        <f>29 / 86400</f>
        <v>3.3564814814814812E-4</v>
      </c>
      <c r="L649" s="5">
        <f>55063 / 86400</f>
        <v>0.63730324074074074</v>
      </c>
    </row>
    <row r="650" spans="1:12" x14ac:dyDescent="0.25">
      <c r="A650" s="3">
        <v>45711.637638888889</v>
      </c>
      <c r="B650" t="s">
        <v>48</v>
      </c>
      <c r="C650" s="3">
        <v>45711.637754629628</v>
      </c>
      <c r="D650" t="s">
        <v>48</v>
      </c>
      <c r="E650" s="4">
        <v>0</v>
      </c>
      <c r="F650" s="4">
        <v>404553.17700000003</v>
      </c>
      <c r="G650" s="4">
        <v>404553.17700000003</v>
      </c>
      <c r="H650" s="5">
        <f>0 / 86400</f>
        <v>0</v>
      </c>
      <c r="I650" t="s">
        <v>26</v>
      </c>
      <c r="J650" t="s">
        <v>26</v>
      </c>
      <c r="K650" s="5">
        <f>10 / 86400</f>
        <v>1.1574074074074075E-4</v>
      </c>
      <c r="L650" s="5">
        <f>31297 / 86400</f>
        <v>0.36223379629629632</v>
      </c>
    </row>
    <row r="651" spans="1:12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</row>
    <row r="652" spans="1:12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</row>
    <row r="653" spans="1:12" s="10" customFormat="1" ht="20.100000000000001" customHeight="1" x14ac:dyDescent="0.35">
      <c r="A653" s="12" t="s">
        <v>451</v>
      </c>
      <c r="B653" s="12"/>
      <c r="C653" s="12"/>
      <c r="D653" s="12"/>
      <c r="E653" s="12"/>
      <c r="F653" s="12"/>
      <c r="G653" s="12"/>
      <c r="H653" s="12"/>
      <c r="I653" s="12"/>
      <c r="J653" s="12"/>
    </row>
    <row r="654" spans="1:12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</row>
    <row r="655" spans="1:12" ht="30" x14ac:dyDescent="0.25">
      <c r="A655" s="2" t="s">
        <v>6</v>
      </c>
      <c r="B655" s="2" t="s">
        <v>7</v>
      </c>
      <c r="C655" s="2" t="s">
        <v>8</v>
      </c>
      <c r="D655" s="2" t="s">
        <v>9</v>
      </c>
      <c r="E655" s="2" t="s">
        <v>10</v>
      </c>
      <c r="F655" s="2" t="s">
        <v>11</v>
      </c>
      <c r="G655" s="2" t="s">
        <v>12</v>
      </c>
      <c r="H655" s="2" t="s">
        <v>13</v>
      </c>
      <c r="I655" s="2" t="s">
        <v>14</v>
      </c>
      <c r="J655" s="2" t="s">
        <v>15</v>
      </c>
      <c r="K655" s="2" t="s">
        <v>16</v>
      </c>
      <c r="L655" s="2" t="s">
        <v>17</v>
      </c>
    </row>
    <row r="656" spans="1:12" x14ac:dyDescent="0.25">
      <c r="A656" s="3">
        <v>45711</v>
      </c>
      <c r="B656" t="s">
        <v>49</v>
      </c>
      <c r="C656" s="3">
        <v>45711.99618055555</v>
      </c>
      <c r="D656" t="s">
        <v>49</v>
      </c>
      <c r="E656" s="4">
        <v>1E-3</v>
      </c>
      <c r="F656" s="4">
        <v>348947.68699999998</v>
      </c>
      <c r="G656" s="4">
        <v>348947.68800000002</v>
      </c>
      <c r="H656" s="5">
        <f>86041 / 86400</f>
        <v>0.99584490740740739</v>
      </c>
      <c r="I656" t="s">
        <v>21</v>
      </c>
      <c r="J656" t="s">
        <v>26</v>
      </c>
      <c r="K656" s="5">
        <f>86070 / 86400</f>
        <v>0.99618055555555551</v>
      </c>
      <c r="L656" s="5">
        <f>5 / 86400</f>
        <v>5.7870370370370373E-5</v>
      </c>
    </row>
    <row r="657" spans="1:12" x14ac:dyDescent="0.25">
      <c r="A657" s="3">
        <v>45711.996238425927</v>
      </c>
      <c r="B657" t="s">
        <v>49</v>
      </c>
      <c r="C657" s="3">
        <v>45711.996365740742</v>
      </c>
      <c r="D657" t="s">
        <v>49</v>
      </c>
      <c r="E657" s="4">
        <v>0</v>
      </c>
      <c r="F657" s="4">
        <v>348947.68800000002</v>
      </c>
      <c r="G657" s="4">
        <v>348947.68800000002</v>
      </c>
      <c r="H657" s="5">
        <f>6 / 86400</f>
        <v>6.9444444444444444E-5</v>
      </c>
      <c r="I657" t="s">
        <v>26</v>
      </c>
      <c r="J657" t="s">
        <v>26</v>
      </c>
      <c r="K657" s="5">
        <f>11 / 86400</f>
        <v>1.273148148148148E-4</v>
      </c>
      <c r="L657" s="5">
        <f>313 / 86400</f>
        <v>3.6226851851851854E-3</v>
      </c>
    </row>
    <row r="658" spans="1:12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</row>
    <row r="659" spans="1:12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</row>
    <row r="660" spans="1:12" s="10" customFormat="1" ht="20.100000000000001" customHeight="1" x14ac:dyDescent="0.35">
      <c r="A660" s="12" t="s">
        <v>452</v>
      </c>
      <c r="B660" s="12"/>
      <c r="C660" s="12"/>
      <c r="D660" s="12"/>
      <c r="E660" s="12"/>
      <c r="F660" s="12"/>
      <c r="G660" s="12"/>
      <c r="H660" s="12"/>
      <c r="I660" s="12"/>
      <c r="J660" s="12"/>
    </row>
    <row r="661" spans="1:12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</row>
    <row r="662" spans="1:12" ht="30" x14ac:dyDescent="0.25">
      <c r="A662" s="2" t="s">
        <v>6</v>
      </c>
      <c r="B662" s="2" t="s">
        <v>7</v>
      </c>
      <c r="C662" s="2" t="s">
        <v>8</v>
      </c>
      <c r="D662" s="2" t="s">
        <v>9</v>
      </c>
      <c r="E662" s="2" t="s">
        <v>10</v>
      </c>
      <c r="F662" s="2" t="s">
        <v>11</v>
      </c>
      <c r="G662" s="2" t="s">
        <v>12</v>
      </c>
      <c r="H662" s="2" t="s">
        <v>13</v>
      </c>
      <c r="I662" s="2" t="s">
        <v>14</v>
      </c>
      <c r="J662" s="2" t="s">
        <v>15</v>
      </c>
      <c r="K662" s="2" t="s">
        <v>16</v>
      </c>
      <c r="L662" s="2" t="s">
        <v>17</v>
      </c>
    </row>
    <row r="663" spans="1:12" x14ac:dyDescent="0.25">
      <c r="A663" s="3">
        <v>45711.243020833332</v>
      </c>
      <c r="B663" t="s">
        <v>50</v>
      </c>
      <c r="C663" s="3">
        <v>45711.27412037037</v>
      </c>
      <c r="D663" t="s">
        <v>118</v>
      </c>
      <c r="E663" s="4">
        <v>18.670999999999999</v>
      </c>
      <c r="F663" s="4">
        <v>48801.374000000003</v>
      </c>
      <c r="G663" s="4">
        <v>48820.044999999998</v>
      </c>
      <c r="H663" s="5">
        <f>739 / 86400</f>
        <v>8.5532407407407415E-3</v>
      </c>
      <c r="I663" t="s">
        <v>224</v>
      </c>
      <c r="J663" t="s">
        <v>212</v>
      </c>
      <c r="K663" s="5">
        <f>2687 / 86400</f>
        <v>3.1099537037037037E-2</v>
      </c>
      <c r="L663" s="5">
        <f>21910 / 86400</f>
        <v>0.25358796296296299</v>
      </c>
    </row>
    <row r="664" spans="1:12" x14ac:dyDescent="0.25">
      <c r="A664" s="3">
        <v>45711.284687499996</v>
      </c>
      <c r="B664" t="s">
        <v>118</v>
      </c>
      <c r="C664" s="3">
        <v>45711.308356481481</v>
      </c>
      <c r="D664" t="s">
        <v>45</v>
      </c>
      <c r="E664" s="4">
        <v>20.341999999999999</v>
      </c>
      <c r="F664" s="4">
        <v>48820.044999999998</v>
      </c>
      <c r="G664" s="4">
        <v>48840.387000000002</v>
      </c>
      <c r="H664" s="5">
        <f>80 / 86400</f>
        <v>9.2592592592592596E-4</v>
      </c>
      <c r="I664" t="s">
        <v>43</v>
      </c>
      <c r="J664" t="s">
        <v>176</v>
      </c>
      <c r="K664" s="5">
        <f>2045 / 86400</f>
        <v>2.3668981481481482E-2</v>
      </c>
      <c r="L664" s="5">
        <f>4 / 86400</f>
        <v>4.6296296296296294E-5</v>
      </c>
    </row>
    <row r="665" spans="1:12" x14ac:dyDescent="0.25">
      <c r="A665" s="3">
        <v>45711.30840277778</v>
      </c>
      <c r="B665" t="s">
        <v>45</v>
      </c>
      <c r="C665" s="3">
        <v>45711.308530092589</v>
      </c>
      <c r="D665" t="s">
        <v>45</v>
      </c>
      <c r="E665" s="4">
        <v>0</v>
      </c>
      <c r="F665" s="4">
        <v>48840.387000000002</v>
      </c>
      <c r="G665" s="4">
        <v>48840.387000000002</v>
      </c>
      <c r="H665" s="5">
        <f>9 / 86400</f>
        <v>1.0416666666666667E-4</v>
      </c>
      <c r="I665" t="s">
        <v>26</v>
      </c>
      <c r="J665" t="s">
        <v>26</v>
      </c>
      <c r="K665" s="5">
        <f>11 / 86400</f>
        <v>1.273148148148148E-4</v>
      </c>
      <c r="L665" s="5">
        <f>533 / 86400</f>
        <v>6.1689814814814819E-3</v>
      </c>
    </row>
    <row r="666" spans="1:12" x14ac:dyDescent="0.25">
      <c r="A666" s="3">
        <v>45711.314699074079</v>
      </c>
      <c r="B666" t="s">
        <v>45</v>
      </c>
      <c r="C666" s="3">
        <v>45711.315162037034</v>
      </c>
      <c r="D666" t="s">
        <v>45</v>
      </c>
      <c r="E666" s="4">
        <v>2.1999999999999999E-2</v>
      </c>
      <c r="F666" s="4">
        <v>48840.387000000002</v>
      </c>
      <c r="G666" s="4">
        <v>48840.409</v>
      </c>
      <c r="H666" s="5">
        <f>0 / 86400</f>
        <v>0</v>
      </c>
      <c r="I666" t="s">
        <v>34</v>
      </c>
      <c r="J666" t="s">
        <v>190</v>
      </c>
      <c r="K666" s="5">
        <f>39 / 86400</f>
        <v>4.5138888888888887E-4</v>
      </c>
      <c r="L666" s="5">
        <f>770 / 86400</f>
        <v>8.9120370370370378E-3</v>
      </c>
    </row>
    <row r="667" spans="1:12" x14ac:dyDescent="0.25">
      <c r="A667" s="3">
        <v>45711.324074074073</v>
      </c>
      <c r="B667" t="s">
        <v>45</v>
      </c>
      <c r="C667" s="3">
        <v>45711.339421296296</v>
      </c>
      <c r="D667" t="s">
        <v>189</v>
      </c>
      <c r="E667" s="4">
        <v>11.606</v>
      </c>
      <c r="F667" s="4">
        <v>48840.409</v>
      </c>
      <c r="G667" s="4">
        <v>48852.014999999999</v>
      </c>
      <c r="H667" s="5">
        <f>179 / 86400</f>
        <v>2.0717592592592593E-3</v>
      </c>
      <c r="I667" t="s">
        <v>61</v>
      </c>
      <c r="J667" t="s">
        <v>94</v>
      </c>
      <c r="K667" s="5">
        <f>1326 / 86400</f>
        <v>1.5347222222222222E-2</v>
      </c>
      <c r="L667" s="5">
        <f>263 / 86400</f>
        <v>3.0439814814814813E-3</v>
      </c>
    </row>
    <row r="668" spans="1:12" x14ac:dyDescent="0.25">
      <c r="A668" s="3">
        <v>45711.342465277776</v>
      </c>
      <c r="B668" t="s">
        <v>189</v>
      </c>
      <c r="C668" s="3">
        <v>45711.411296296297</v>
      </c>
      <c r="D668" t="s">
        <v>385</v>
      </c>
      <c r="E668" s="4">
        <v>70.754000000000005</v>
      </c>
      <c r="F668" s="4">
        <v>48852.014999999999</v>
      </c>
      <c r="G668" s="4">
        <v>48922.769</v>
      </c>
      <c r="H668" s="5">
        <f>699 / 86400</f>
        <v>8.0902777777777778E-3</v>
      </c>
      <c r="I668" t="s">
        <v>28</v>
      </c>
      <c r="J668" t="s">
        <v>148</v>
      </c>
      <c r="K668" s="5">
        <f>5947 / 86400</f>
        <v>6.8831018518518514E-2</v>
      </c>
      <c r="L668" s="5">
        <f>27893 / 86400</f>
        <v>0.32283564814814814</v>
      </c>
    </row>
    <row r="669" spans="1:12" x14ac:dyDescent="0.25">
      <c r="A669" s="3">
        <v>45711.734131944446</v>
      </c>
      <c r="B669" t="s">
        <v>385</v>
      </c>
      <c r="C669" s="3">
        <v>45711.853900462964</v>
      </c>
      <c r="D669" t="s">
        <v>50</v>
      </c>
      <c r="E669" s="4">
        <v>84.628</v>
      </c>
      <c r="F669" s="4">
        <v>48922.769</v>
      </c>
      <c r="G669" s="4">
        <v>49007.396999999997</v>
      </c>
      <c r="H669" s="5">
        <f>2879 / 86400</f>
        <v>3.3321759259259259E-2</v>
      </c>
      <c r="I669" t="s">
        <v>51</v>
      </c>
      <c r="J669" t="s">
        <v>130</v>
      </c>
      <c r="K669" s="5">
        <f>10347 / 86400</f>
        <v>0.11975694444444444</v>
      </c>
      <c r="L669" s="5">
        <f>12622 / 86400</f>
        <v>0.14608796296296298</v>
      </c>
    </row>
    <row r="670" spans="1:12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</row>
    <row r="671" spans="1:12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</row>
    <row r="672" spans="1:12" s="10" customFormat="1" ht="20.100000000000001" customHeight="1" x14ac:dyDescent="0.35">
      <c r="A672" s="12" t="s">
        <v>453</v>
      </c>
      <c r="B672" s="12"/>
      <c r="C672" s="12"/>
      <c r="D672" s="12"/>
      <c r="E672" s="12"/>
      <c r="F672" s="12"/>
      <c r="G672" s="12"/>
      <c r="H672" s="12"/>
      <c r="I672" s="12"/>
      <c r="J672" s="12"/>
    </row>
    <row r="673" spans="1:12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</row>
    <row r="674" spans="1:12" ht="30" x14ac:dyDescent="0.25">
      <c r="A674" s="2" t="s">
        <v>6</v>
      </c>
      <c r="B674" s="2" t="s">
        <v>7</v>
      </c>
      <c r="C674" s="2" t="s">
        <v>8</v>
      </c>
      <c r="D674" s="2" t="s">
        <v>9</v>
      </c>
      <c r="E674" s="2" t="s">
        <v>10</v>
      </c>
      <c r="F674" s="2" t="s">
        <v>11</v>
      </c>
      <c r="G674" s="2" t="s">
        <v>12</v>
      </c>
      <c r="H674" s="2" t="s">
        <v>13</v>
      </c>
      <c r="I674" s="2" t="s">
        <v>14</v>
      </c>
      <c r="J674" s="2" t="s">
        <v>15</v>
      </c>
      <c r="K674" s="2" t="s">
        <v>16</v>
      </c>
      <c r="L674" s="2" t="s">
        <v>17</v>
      </c>
    </row>
    <row r="675" spans="1:12" x14ac:dyDescent="0.25">
      <c r="A675" s="3">
        <v>45711</v>
      </c>
      <c r="B675" t="s">
        <v>53</v>
      </c>
      <c r="C675" s="3">
        <v>45711.10665509259</v>
      </c>
      <c r="D675" t="s">
        <v>229</v>
      </c>
      <c r="E675" s="4">
        <v>45.268000000059608</v>
      </c>
      <c r="F675" s="4">
        <v>530445.52099999995</v>
      </c>
      <c r="G675" s="4">
        <v>530490.78899999999</v>
      </c>
      <c r="H675" s="5">
        <f>3639 / 86400</f>
        <v>4.2118055555555554E-2</v>
      </c>
      <c r="I675" t="s">
        <v>92</v>
      </c>
      <c r="J675" t="s">
        <v>38</v>
      </c>
      <c r="K675" s="5">
        <f>9215 / 86400</f>
        <v>0.10665509259259259</v>
      </c>
      <c r="L675" s="5">
        <f>72 / 86400</f>
        <v>8.3333333333333339E-4</v>
      </c>
    </row>
    <row r="676" spans="1:12" x14ac:dyDescent="0.25">
      <c r="A676" s="3">
        <v>45711.107488425929</v>
      </c>
      <c r="B676" t="s">
        <v>229</v>
      </c>
      <c r="C676" s="3">
        <v>45711.108101851853</v>
      </c>
      <c r="D676" t="s">
        <v>50</v>
      </c>
      <c r="E676" s="4">
        <v>0.128</v>
      </c>
      <c r="F676" s="4">
        <v>530490.78899999999</v>
      </c>
      <c r="G676" s="4">
        <v>530490.91700000002</v>
      </c>
      <c r="H676" s="5">
        <f>20 / 86400</f>
        <v>2.3148148148148149E-4</v>
      </c>
      <c r="I676" t="s">
        <v>37</v>
      </c>
      <c r="J676" t="s">
        <v>155</v>
      </c>
      <c r="K676" s="5">
        <f>52 / 86400</f>
        <v>6.018518518518519E-4</v>
      </c>
      <c r="L676" s="5">
        <f>584 / 86400</f>
        <v>6.7592592592592591E-3</v>
      </c>
    </row>
    <row r="677" spans="1:12" x14ac:dyDescent="0.25">
      <c r="A677" s="3">
        <v>45711.114861111113</v>
      </c>
      <c r="B677" t="s">
        <v>386</v>
      </c>
      <c r="C677" s="3">
        <v>45711.11645833333</v>
      </c>
      <c r="D677" t="s">
        <v>375</v>
      </c>
      <c r="E677" s="4">
        <v>0.10199999999999999</v>
      </c>
      <c r="F677" s="4">
        <v>530490.91700000002</v>
      </c>
      <c r="G677" s="4">
        <v>530491.01899999997</v>
      </c>
      <c r="H677" s="5">
        <f>80 / 86400</f>
        <v>9.2592592592592596E-4</v>
      </c>
      <c r="I677" t="s">
        <v>155</v>
      </c>
      <c r="J677" t="s">
        <v>69</v>
      </c>
      <c r="K677" s="5">
        <f>137 / 86400</f>
        <v>1.5856481481481481E-3</v>
      </c>
      <c r="L677" s="5">
        <f>4212 / 86400</f>
        <v>4.8750000000000002E-2</v>
      </c>
    </row>
    <row r="678" spans="1:12" x14ac:dyDescent="0.25">
      <c r="A678" s="3">
        <v>45711.165208333332</v>
      </c>
      <c r="B678" t="s">
        <v>375</v>
      </c>
      <c r="C678" s="3">
        <v>45711.165590277778</v>
      </c>
      <c r="D678" t="s">
        <v>386</v>
      </c>
      <c r="E678" s="4">
        <v>0.05</v>
      </c>
      <c r="F678" s="4">
        <v>530491.01899999997</v>
      </c>
      <c r="G678" s="4">
        <v>530491.06900000002</v>
      </c>
      <c r="H678" s="5">
        <f>0 / 86400</f>
        <v>0</v>
      </c>
      <c r="I678" t="s">
        <v>208</v>
      </c>
      <c r="J678" t="s">
        <v>146</v>
      </c>
      <c r="K678" s="5">
        <f>32 / 86400</f>
        <v>3.7037037037037035E-4</v>
      </c>
      <c r="L678" s="5">
        <f>639 / 86400</f>
        <v>7.3958333333333333E-3</v>
      </c>
    </row>
    <row r="679" spans="1:12" x14ac:dyDescent="0.25">
      <c r="A679" s="3">
        <v>45711.172986111109</v>
      </c>
      <c r="B679" t="s">
        <v>386</v>
      </c>
      <c r="C679" s="3">
        <v>45711.179918981477</v>
      </c>
      <c r="D679" t="s">
        <v>29</v>
      </c>
      <c r="E679" s="4">
        <v>4.774</v>
      </c>
      <c r="F679" s="4">
        <v>530491.06900000002</v>
      </c>
      <c r="G679" s="4">
        <v>530495.84299999999</v>
      </c>
      <c r="H679" s="5">
        <f>0 / 86400</f>
        <v>0</v>
      </c>
      <c r="I679" t="s">
        <v>180</v>
      </c>
      <c r="J679" t="s">
        <v>130</v>
      </c>
      <c r="K679" s="5">
        <f>599 / 86400</f>
        <v>6.9328703703703705E-3</v>
      </c>
      <c r="L679" s="5">
        <f>217 / 86400</f>
        <v>2.5115740740740741E-3</v>
      </c>
    </row>
    <row r="680" spans="1:12" x14ac:dyDescent="0.25">
      <c r="A680" s="3">
        <v>45711.182430555556</v>
      </c>
      <c r="B680" t="s">
        <v>29</v>
      </c>
      <c r="C680" s="3">
        <v>45711.347418981481</v>
      </c>
      <c r="D680" t="s">
        <v>105</v>
      </c>
      <c r="E680" s="4">
        <v>86.992999999999995</v>
      </c>
      <c r="F680" s="4">
        <v>530495.84299999999</v>
      </c>
      <c r="G680" s="4">
        <v>530582.83600000001</v>
      </c>
      <c r="H680" s="5">
        <f>3200 / 86400</f>
        <v>3.7037037037037035E-2</v>
      </c>
      <c r="I680" t="s">
        <v>83</v>
      </c>
      <c r="J680" t="s">
        <v>91</v>
      </c>
      <c r="K680" s="5">
        <f>14254 / 86400</f>
        <v>0.16497685185185185</v>
      </c>
      <c r="L680" s="5">
        <f>2322 / 86400</f>
        <v>2.6875E-2</v>
      </c>
    </row>
    <row r="681" spans="1:12" x14ac:dyDescent="0.25">
      <c r="A681" s="3">
        <v>45711.374293981484</v>
      </c>
      <c r="B681" t="s">
        <v>105</v>
      </c>
      <c r="C681" s="3">
        <v>45711.378703703704</v>
      </c>
      <c r="D681" t="s">
        <v>115</v>
      </c>
      <c r="E681" s="4">
        <v>1.1319999999999999</v>
      </c>
      <c r="F681" s="4">
        <v>530582.83600000001</v>
      </c>
      <c r="G681" s="4">
        <v>530583.96799999999</v>
      </c>
      <c r="H681" s="5">
        <f>19 / 86400</f>
        <v>2.199074074074074E-4</v>
      </c>
      <c r="I681" t="s">
        <v>138</v>
      </c>
      <c r="J681" t="s">
        <v>41</v>
      </c>
      <c r="K681" s="5">
        <f>381 / 86400</f>
        <v>4.409722222222222E-3</v>
      </c>
      <c r="L681" s="5">
        <f>297 / 86400</f>
        <v>3.4375E-3</v>
      </c>
    </row>
    <row r="682" spans="1:12" x14ac:dyDescent="0.25">
      <c r="A682" s="3">
        <v>45711.382141203707</v>
      </c>
      <c r="B682" t="s">
        <v>115</v>
      </c>
      <c r="C682" s="3">
        <v>45711.588518518518</v>
      </c>
      <c r="D682" t="s">
        <v>118</v>
      </c>
      <c r="E682" s="4">
        <v>100.562</v>
      </c>
      <c r="F682" s="4">
        <v>530583.96799999999</v>
      </c>
      <c r="G682" s="4">
        <v>530684.53</v>
      </c>
      <c r="H682" s="5">
        <f>5140 / 86400</f>
        <v>5.949074074074074E-2</v>
      </c>
      <c r="I682" t="s">
        <v>55</v>
      </c>
      <c r="J682" t="s">
        <v>24</v>
      </c>
      <c r="K682" s="5">
        <f>17830 / 86400</f>
        <v>0.20636574074074074</v>
      </c>
      <c r="L682" s="5">
        <f>285 / 86400</f>
        <v>3.2986111111111111E-3</v>
      </c>
    </row>
    <row r="683" spans="1:12" x14ac:dyDescent="0.25">
      <c r="A683" s="3">
        <v>45711.591817129629</v>
      </c>
      <c r="B683" t="s">
        <v>118</v>
      </c>
      <c r="C683" s="3">
        <v>45711.611168981486</v>
      </c>
      <c r="D683" t="s">
        <v>387</v>
      </c>
      <c r="E683" s="4">
        <v>13.292999999999999</v>
      </c>
      <c r="F683" s="4">
        <v>530684.53</v>
      </c>
      <c r="G683" s="4">
        <v>530697.82299999997</v>
      </c>
      <c r="H683" s="5">
        <f>80 / 86400</f>
        <v>9.2592592592592596E-4</v>
      </c>
      <c r="I683" t="s">
        <v>210</v>
      </c>
      <c r="J683" t="s">
        <v>130</v>
      </c>
      <c r="K683" s="5">
        <f>1672 / 86400</f>
        <v>1.9351851851851853E-2</v>
      </c>
      <c r="L683" s="5">
        <f>6300 / 86400</f>
        <v>7.2916666666666671E-2</v>
      </c>
    </row>
    <row r="684" spans="1:12" x14ac:dyDescent="0.25">
      <c r="A684" s="3">
        <v>45711.684085648143</v>
      </c>
      <c r="B684" t="s">
        <v>387</v>
      </c>
      <c r="C684" s="3">
        <v>45711.684942129628</v>
      </c>
      <c r="D684" t="s">
        <v>388</v>
      </c>
      <c r="E684" s="4">
        <v>0.25400000005960466</v>
      </c>
      <c r="F684" s="4">
        <v>530697.82299999997</v>
      </c>
      <c r="G684" s="4">
        <v>530698.07700000005</v>
      </c>
      <c r="H684" s="5">
        <f>39 / 86400</f>
        <v>4.5138888888888887E-4</v>
      </c>
      <c r="I684" t="s">
        <v>212</v>
      </c>
      <c r="J684" t="s">
        <v>128</v>
      </c>
      <c r="K684" s="5">
        <f>74 / 86400</f>
        <v>8.564814814814815E-4</v>
      </c>
      <c r="L684" s="5">
        <f>109 / 86400</f>
        <v>1.261574074074074E-3</v>
      </c>
    </row>
    <row r="685" spans="1:12" x14ac:dyDescent="0.25">
      <c r="A685" s="3">
        <v>45711.686203703706</v>
      </c>
      <c r="B685" t="s">
        <v>388</v>
      </c>
      <c r="C685" s="3">
        <v>45711.866388888884</v>
      </c>
      <c r="D685" t="s">
        <v>235</v>
      </c>
      <c r="E685" s="4">
        <v>79.235999999880789</v>
      </c>
      <c r="F685" s="4">
        <v>530698.07700000005</v>
      </c>
      <c r="G685" s="4">
        <v>530777.31299999997</v>
      </c>
      <c r="H685" s="5">
        <f>5760 / 86400</f>
        <v>6.6666666666666666E-2</v>
      </c>
      <c r="I685" t="s">
        <v>389</v>
      </c>
      <c r="J685" t="s">
        <v>38</v>
      </c>
      <c r="K685" s="5">
        <f>15567 / 86400</f>
        <v>0.1801736111111111</v>
      </c>
      <c r="L685" s="5">
        <f>44 / 86400</f>
        <v>5.0925925925925921E-4</v>
      </c>
    </row>
    <row r="686" spans="1:12" x14ac:dyDescent="0.25">
      <c r="A686" s="3">
        <v>45711.866898148146</v>
      </c>
      <c r="B686" t="s">
        <v>235</v>
      </c>
      <c r="C686" s="3">
        <v>45711.867037037038</v>
      </c>
      <c r="D686" t="s">
        <v>236</v>
      </c>
      <c r="E686" s="4">
        <v>1.0000000596046448E-3</v>
      </c>
      <c r="F686" s="4">
        <v>530777.31299999997</v>
      </c>
      <c r="G686" s="4">
        <v>530777.31400000001</v>
      </c>
      <c r="H686" s="5">
        <f>0 / 86400</f>
        <v>0</v>
      </c>
      <c r="I686" t="s">
        <v>26</v>
      </c>
      <c r="J686" t="s">
        <v>26</v>
      </c>
      <c r="K686" s="5">
        <f>12 / 86400</f>
        <v>1.3888888888888889E-4</v>
      </c>
      <c r="L686" s="5">
        <f>2842 / 86400</f>
        <v>3.2893518518518516E-2</v>
      </c>
    </row>
    <row r="687" spans="1:12" x14ac:dyDescent="0.25">
      <c r="A687" s="3">
        <v>45711.899930555555</v>
      </c>
      <c r="B687" t="s">
        <v>235</v>
      </c>
      <c r="C687" s="3">
        <v>45711.900335648148</v>
      </c>
      <c r="D687" t="s">
        <v>236</v>
      </c>
      <c r="E687" s="4">
        <v>0</v>
      </c>
      <c r="F687" s="4">
        <v>530777.31400000001</v>
      </c>
      <c r="G687" s="4">
        <v>530777.31400000001</v>
      </c>
      <c r="H687" s="5">
        <f>19 / 86400</f>
        <v>2.199074074074074E-4</v>
      </c>
      <c r="I687" t="s">
        <v>26</v>
      </c>
      <c r="J687" t="s">
        <v>26</v>
      </c>
      <c r="K687" s="5">
        <f>35 / 86400</f>
        <v>4.0509259259259258E-4</v>
      </c>
      <c r="L687" s="5">
        <f>396 / 86400</f>
        <v>4.5833333333333334E-3</v>
      </c>
    </row>
    <row r="688" spans="1:12" x14ac:dyDescent="0.25">
      <c r="A688" s="3">
        <v>45711.904918981483</v>
      </c>
      <c r="B688" t="s">
        <v>236</v>
      </c>
      <c r="C688" s="3">
        <v>45711.997592592597</v>
      </c>
      <c r="D688" t="s">
        <v>54</v>
      </c>
      <c r="E688" s="4">
        <v>43.387</v>
      </c>
      <c r="F688" s="4">
        <v>530777.31400000001</v>
      </c>
      <c r="G688" s="4">
        <v>530820.701</v>
      </c>
      <c r="H688" s="5">
        <f>2798 / 86400</f>
        <v>3.2384259259259258E-2</v>
      </c>
      <c r="I688" t="s">
        <v>55</v>
      </c>
      <c r="J688" t="s">
        <v>24</v>
      </c>
      <c r="K688" s="5">
        <f>8007 / 86400</f>
        <v>9.2673611111111109E-2</v>
      </c>
      <c r="L688" s="5">
        <f>207 / 86400</f>
        <v>2.3958333333333331E-3</v>
      </c>
    </row>
    <row r="689" spans="1:12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</row>
    <row r="690" spans="1:12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</row>
    <row r="691" spans="1:12" s="10" customFormat="1" ht="20.100000000000001" customHeight="1" x14ac:dyDescent="0.35">
      <c r="A691" s="12" t="s">
        <v>454</v>
      </c>
      <c r="B691" s="12"/>
      <c r="C691" s="12"/>
      <c r="D691" s="12"/>
      <c r="E691" s="12"/>
      <c r="F691" s="12"/>
      <c r="G691" s="12"/>
      <c r="H691" s="12"/>
      <c r="I691" s="12"/>
      <c r="J691" s="12"/>
    </row>
    <row r="692" spans="1:12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</row>
    <row r="693" spans="1:12" ht="30" x14ac:dyDescent="0.25">
      <c r="A693" s="2" t="s">
        <v>6</v>
      </c>
      <c r="B693" s="2" t="s">
        <v>7</v>
      </c>
      <c r="C693" s="2" t="s">
        <v>8</v>
      </c>
      <c r="D693" s="2" t="s">
        <v>9</v>
      </c>
      <c r="E693" s="2" t="s">
        <v>10</v>
      </c>
      <c r="F693" s="2" t="s">
        <v>11</v>
      </c>
      <c r="G693" s="2" t="s">
        <v>12</v>
      </c>
      <c r="H693" s="2" t="s">
        <v>13</v>
      </c>
      <c r="I693" s="2" t="s">
        <v>14</v>
      </c>
      <c r="J693" s="2" t="s">
        <v>15</v>
      </c>
      <c r="K693" s="2" t="s">
        <v>16</v>
      </c>
      <c r="L693" s="2" t="s">
        <v>17</v>
      </c>
    </row>
    <row r="694" spans="1:12" x14ac:dyDescent="0.25">
      <c r="A694" s="3">
        <v>45711.271736111114</v>
      </c>
      <c r="B694" t="s">
        <v>25</v>
      </c>
      <c r="C694" s="3">
        <v>45711.272986111115</v>
      </c>
      <c r="D694" t="s">
        <v>25</v>
      </c>
      <c r="E694" s="4">
        <v>4.8000000000000001E-2</v>
      </c>
      <c r="F694" s="4">
        <v>569733.54399999999</v>
      </c>
      <c r="G694" s="4">
        <v>569733.59199999995</v>
      </c>
      <c r="H694" s="5">
        <f>19 / 86400</f>
        <v>2.199074074074074E-4</v>
      </c>
      <c r="I694" t="s">
        <v>34</v>
      </c>
      <c r="J694" t="s">
        <v>190</v>
      </c>
      <c r="K694" s="5">
        <f>107 / 86400</f>
        <v>1.238425925925926E-3</v>
      </c>
      <c r="L694" s="5">
        <f>25440 / 86400</f>
        <v>0.29444444444444445</v>
      </c>
    </row>
    <row r="695" spans="1:12" x14ac:dyDescent="0.25">
      <c r="A695" s="3">
        <v>45711.295694444445</v>
      </c>
      <c r="B695" t="s">
        <v>25</v>
      </c>
      <c r="C695" s="3">
        <v>45711.374618055561</v>
      </c>
      <c r="D695" t="s">
        <v>390</v>
      </c>
      <c r="E695" s="4">
        <v>34.402000000000001</v>
      </c>
      <c r="F695" s="4">
        <v>569733.59199999995</v>
      </c>
      <c r="G695" s="4">
        <v>569767.99399999995</v>
      </c>
      <c r="H695" s="5">
        <f>1245 / 86400</f>
        <v>1.4409722222222223E-2</v>
      </c>
      <c r="I695" t="s">
        <v>391</v>
      </c>
      <c r="J695" t="s">
        <v>38</v>
      </c>
      <c r="K695" s="5">
        <f>6818 / 86400</f>
        <v>7.8912037037037031E-2</v>
      </c>
      <c r="L695" s="5">
        <f>1331 / 86400</f>
        <v>1.5405092592592592E-2</v>
      </c>
    </row>
    <row r="696" spans="1:12" x14ac:dyDescent="0.25">
      <c r="A696" s="3">
        <v>45711.390023148153</v>
      </c>
      <c r="B696" t="s">
        <v>390</v>
      </c>
      <c r="C696" s="3">
        <v>45711.487789351857</v>
      </c>
      <c r="D696" t="s">
        <v>392</v>
      </c>
      <c r="E696" s="4">
        <v>44.627000000000002</v>
      </c>
      <c r="F696" s="4">
        <v>569767.99399999995</v>
      </c>
      <c r="G696" s="4">
        <v>569812.62100000004</v>
      </c>
      <c r="H696" s="5">
        <f>1941 / 86400</f>
        <v>2.2465277777777778E-2</v>
      </c>
      <c r="I696" t="s">
        <v>370</v>
      </c>
      <c r="J696" t="s">
        <v>37</v>
      </c>
      <c r="K696" s="5">
        <f>8447 / 86400</f>
        <v>9.7766203703703702E-2</v>
      </c>
      <c r="L696" s="5">
        <f>209 / 86400</f>
        <v>2.4189814814814816E-3</v>
      </c>
    </row>
    <row r="697" spans="1:12" x14ac:dyDescent="0.25">
      <c r="A697" s="3">
        <v>45711.490208333329</v>
      </c>
      <c r="B697" t="s">
        <v>392</v>
      </c>
      <c r="C697" s="3">
        <v>45711.491041666668</v>
      </c>
      <c r="D697" t="s">
        <v>393</v>
      </c>
      <c r="E697" s="4">
        <v>0.17399999999999999</v>
      </c>
      <c r="F697" s="4">
        <v>569812.62100000004</v>
      </c>
      <c r="G697" s="4">
        <v>569812.79500000004</v>
      </c>
      <c r="H697" s="5">
        <f>20 / 86400</f>
        <v>2.3148148148148149E-4</v>
      </c>
      <c r="I697" t="s">
        <v>47</v>
      </c>
      <c r="J697" t="s">
        <v>155</v>
      </c>
      <c r="K697" s="5">
        <f>72 / 86400</f>
        <v>8.3333333333333339E-4</v>
      </c>
      <c r="L697" s="5">
        <f>176 / 86400</f>
        <v>2.0370370370370369E-3</v>
      </c>
    </row>
    <row r="698" spans="1:12" x14ac:dyDescent="0.25">
      <c r="A698" s="3">
        <v>45711.493078703701</v>
      </c>
      <c r="B698" t="s">
        <v>393</v>
      </c>
      <c r="C698" s="3">
        <v>45711.497812500005</v>
      </c>
      <c r="D698" t="s">
        <v>235</v>
      </c>
      <c r="E698" s="4">
        <v>0.82</v>
      </c>
      <c r="F698" s="4">
        <v>569812.79500000004</v>
      </c>
      <c r="G698" s="4">
        <v>569813.61499999999</v>
      </c>
      <c r="H698" s="5">
        <f>200 / 86400</f>
        <v>2.3148148148148147E-3</v>
      </c>
      <c r="I698" t="s">
        <v>67</v>
      </c>
      <c r="J698" t="s">
        <v>33</v>
      </c>
      <c r="K698" s="5">
        <f>409 / 86400</f>
        <v>4.7337962962962967E-3</v>
      </c>
      <c r="L698" s="5">
        <f>84 / 86400</f>
        <v>9.7222222222222219E-4</v>
      </c>
    </row>
    <row r="699" spans="1:12" x14ac:dyDescent="0.25">
      <c r="A699" s="3">
        <v>45711.498784722222</v>
      </c>
      <c r="B699" t="s">
        <v>235</v>
      </c>
      <c r="C699" s="3">
        <v>45711.499074074076</v>
      </c>
      <c r="D699" t="s">
        <v>235</v>
      </c>
      <c r="E699" s="4">
        <v>7.0000000000000001E-3</v>
      </c>
      <c r="F699" s="4">
        <v>569813.61499999999</v>
      </c>
      <c r="G699" s="4">
        <v>569813.62199999997</v>
      </c>
      <c r="H699" s="5">
        <f>19 / 86400</f>
        <v>2.199074074074074E-4</v>
      </c>
      <c r="I699" t="s">
        <v>26</v>
      </c>
      <c r="J699" t="s">
        <v>21</v>
      </c>
      <c r="K699" s="5">
        <f>25 / 86400</f>
        <v>2.8935185185185184E-4</v>
      </c>
      <c r="L699" s="5">
        <f>62 / 86400</f>
        <v>7.1759259259259259E-4</v>
      </c>
    </row>
    <row r="700" spans="1:12" x14ac:dyDescent="0.25">
      <c r="A700" s="3">
        <v>45711.499791666662</v>
      </c>
      <c r="B700" t="s">
        <v>235</v>
      </c>
      <c r="C700" s="3">
        <v>45711.58865740741</v>
      </c>
      <c r="D700" t="s">
        <v>394</v>
      </c>
      <c r="E700" s="4">
        <v>44.996000000000002</v>
      </c>
      <c r="F700" s="4">
        <v>569813.62199999997</v>
      </c>
      <c r="G700" s="4">
        <v>569858.61800000002</v>
      </c>
      <c r="H700" s="5">
        <f>1798 / 86400</f>
        <v>2.0810185185185185E-2</v>
      </c>
      <c r="I700" t="s">
        <v>28</v>
      </c>
      <c r="J700" t="s">
        <v>67</v>
      </c>
      <c r="K700" s="5">
        <f>7678 / 86400</f>
        <v>8.8865740740740745E-2</v>
      </c>
      <c r="L700" s="5">
        <f>3630 / 86400</f>
        <v>4.2013888888888892E-2</v>
      </c>
    </row>
    <row r="701" spans="1:12" x14ac:dyDescent="0.25">
      <c r="A701" s="3">
        <v>45711.630671296298</v>
      </c>
      <c r="B701" t="s">
        <v>394</v>
      </c>
      <c r="C701" s="3">
        <v>45711.698136574079</v>
      </c>
      <c r="D701" t="s">
        <v>74</v>
      </c>
      <c r="E701" s="4">
        <v>30.062000000000001</v>
      </c>
      <c r="F701" s="4">
        <v>569858.61800000002</v>
      </c>
      <c r="G701" s="4">
        <v>569888.68000000005</v>
      </c>
      <c r="H701" s="5">
        <f>1259 / 86400</f>
        <v>1.457175925925926E-2</v>
      </c>
      <c r="I701" t="s">
        <v>178</v>
      </c>
      <c r="J701" t="s">
        <v>37</v>
      </c>
      <c r="K701" s="5">
        <f>5829 / 86400</f>
        <v>6.7465277777777777E-2</v>
      </c>
      <c r="L701" s="5">
        <f>2 / 86400</f>
        <v>2.3148148148148147E-5</v>
      </c>
    </row>
    <row r="702" spans="1:12" x14ac:dyDescent="0.25">
      <c r="A702" s="3">
        <v>45711.698159722218</v>
      </c>
      <c r="B702" t="s">
        <v>74</v>
      </c>
      <c r="C702" s="3">
        <v>45711.805127314816</v>
      </c>
      <c r="D702" t="s">
        <v>395</v>
      </c>
      <c r="E702" s="4">
        <v>51.616999999999997</v>
      </c>
      <c r="F702" s="4">
        <v>569888.68299999996</v>
      </c>
      <c r="G702" s="4">
        <v>569940.30000000005</v>
      </c>
      <c r="H702" s="5">
        <f>2299 / 86400</f>
        <v>2.6608796296296297E-2</v>
      </c>
      <c r="I702" t="s">
        <v>64</v>
      </c>
      <c r="J702" t="s">
        <v>24</v>
      </c>
      <c r="K702" s="5">
        <f>9242 / 86400</f>
        <v>0.10696759259259259</v>
      </c>
      <c r="L702" s="5">
        <f>120 / 86400</f>
        <v>1.3888888888888889E-3</v>
      </c>
    </row>
    <row r="703" spans="1:12" x14ac:dyDescent="0.25">
      <c r="A703" s="3">
        <v>45711.806516203702</v>
      </c>
      <c r="B703" t="s">
        <v>395</v>
      </c>
      <c r="C703" s="3">
        <v>45711.850949074069</v>
      </c>
      <c r="D703" t="s">
        <v>243</v>
      </c>
      <c r="E703" s="4">
        <v>21.81</v>
      </c>
      <c r="F703" s="4">
        <v>569940.30000000005</v>
      </c>
      <c r="G703" s="4">
        <v>569962.11</v>
      </c>
      <c r="H703" s="5">
        <f>780 / 86400</f>
        <v>9.0277777777777769E-3</v>
      </c>
      <c r="I703" t="s">
        <v>92</v>
      </c>
      <c r="J703" t="s">
        <v>24</v>
      </c>
      <c r="K703" s="5">
        <f>3839 / 86400</f>
        <v>4.4432870370370373E-2</v>
      </c>
      <c r="L703" s="5">
        <f>806 / 86400</f>
        <v>9.3287037037037036E-3</v>
      </c>
    </row>
    <row r="704" spans="1:12" x14ac:dyDescent="0.25">
      <c r="A704" s="3">
        <v>45711.860277777778</v>
      </c>
      <c r="B704" t="s">
        <v>243</v>
      </c>
      <c r="C704" s="3">
        <v>45711.86619212963</v>
      </c>
      <c r="D704" t="s">
        <v>25</v>
      </c>
      <c r="E704" s="4">
        <v>2.21</v>
      </c>
      <c r="F704" s="4">
        <v>569962.11</v>
      </c>
      <c r="G704" s="4">
        <v>569964.31999999995</v>
      </c>
      <c r="H704" s="5">
        <f>40 / 86400</f>
        <v>4.6296296296296298E-4</v>
      </c>
      <c r="I704" t="s">
        <v>72</v>
      </c>
      <c r="J704" t="s">
        <v>112</v>
      </c>
      <c r="K704" s="5">
        <f>511 / 86400</f>
        <v>5.9143518518518521E-3</v>
      </c>
      <c r="L704" s="5">
        <f>185 / 86400</f>
        <v>2.1412037037037038E-3</v>
      </c>
    </row>
    <row r="705" spans="1:12" x14ac:dyDescent="0.25">
      <c r="A705" s="3">
        <v>45711.868333333332</v>
      </c>
      <c r="B705" t="s">
        <v>25</v>
      </c>
      <c r="C705" s="3">
        <v>45711.868900462963</v>
      </c>
      <c r="D705" t="s">
        <v>25</v>
      </c>
      <c r="E705" s="4">
        <v>2.3E-2</v>
      </c>
      <c r="F705" s="4">
        <v>569964.31999999995</v>
      </c>
      <c r="G705" s="4">
        <v>569964.34299999999</v>
      </c>
      <c r="H705" s="5">
        <f>20 / 86400</f>
        <v>2.3148148148148149E-4</v>
      </c>
      <c r="I705" t="s">
        <v>69</v>
      </c>
      <c r="J705" t="s">
        <v>190</v>
      </c>
      <c r="K705" s="5">
        <f>49 / 86400</f>
        <v>5.6712962962962967E-4</v>
      </c>
      <c r="L705" s="5">
        <f>1095 / 86400</f>
        <v>1.2673611111111111E-2</v>
      </c>
    </row>
    <row r="706" spans="1:12" x14ac:dyDescent="0.25">
      <c r="A706" s="3">
        <v>45711.881574074076</v>
      </c>
      <c r="B706" t="s">
        <v>25</v>
      </c>
      <c r="C706" s="3">
        <v>45711.882476851853</v>
      </c>
      <c r="D706" t="s">
        <v>25</v>
      </c>
      <c r="E706" s="4">
        <v>4.9000000000000002E-2</v>
      </c>
      <c r="F706" s="4">
        <v>569964.34299999999</v>
      </c>
      <c r="G706" s="4">
        <v>569964.39199999999</v>
      </c>
      <c r="H706" s="5">
        <f>0 / 86400</f>
        <v>0</v>
      </c>
      <c r="I706" t="s">
        <v>33</v>
      </c>
      <c r="J706" t="s">
        <v>190</v>
      </c>
      <c r="K706" s="5">
        <f>78 / 86400</f>
        <v>9.0277777777777774E-4</v>
      </c>
      <c r="L706" s="5">
        <f>10153 / 86400</f>
        <v>0.11751157407407407</v>
      </c>
    </row>
    <row r="707" spans="1:12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</row>
    <row r="708" spans="1:12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</row>
    <row r="709" spans="1:12" s="10" customFormat="1" ht="20.100000000000001" customHeight="1" x14ac:dyDescent="0.35">
      <c r="A709" s="12" t="s">
        <v>455</v>
      </c>
      <c r="B709" s="12"/>
      <c r="C709" s="12"/>
      <c r="D709" s="12"/>
      <c r="E709" s="12"/>
      <c r="F709" s="12"/>
      <c r="G709" s="12"/>
      <c r="H709" s="12"/>
      <c r="I709" s="12"/>
      <c r="J709" s="12"/>
    </row>
    <row r="710" spans="1:12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</row>
    <row r="711" spans="1:12" ht="30" x14ac:dyDescent="0.25">
      <c r="A711" s="2" t="s">
        <v>6</v>
      </c>
      <c r="B711" s="2" t="s">
        <v>7</v>
      </c>
      <c r="C711" s="2" t="s">
        <v>8</v>
      </c>
      <c r="D711" s="2" t="s">
        <v>9</v>
      </c>
      <c r="E711" s="2" t="s">
        <v>10</v>
      </c>
      <c r="F711" s="2" t="s">
        <v>11</v>
      </c>
      <c r="G711" s="2" t="s">
        <v>12</v>
      </c>
      <c r="H711" s="2" t="s">
        <v>13</v>
      </c>
      <c r="I711" s="2" t="s">
        <v>14</v>
      </c>
      <c r="J711" s="2" t="s">
        <v>15</v>
      </c>
      <c r="K711" s="2" t="s">
        <v>16</v>
      </c>
      <c r="L711" s="2" t="s">
        <v>17</v>
      </c>
    </row>
    <row r="712" spans="1:12" x14ac:dyDescent="0.25">
      <c r="A712" s="3">
        <v>45711.845370370371</v>
      </c>
      <c r="B712" t="s">
        <v>56</v>
      </c>
      <c r="C712" s="3">
        <v>45711.84684027778</v>
      </c>
      <c r="D712" t="s">
        <v>56</v>
      </c>
      <c r="E712" s="4">
        <v>1.4999999999999999E-2</v>
      </c>
      <c r="F712" s="4">
        <v>436634.06699999998</v>
      </c>
      <c r="G712" s="4">
        <v>436634.08199999999</v>
      </c>
      <c r="H712" s="5">
        <f>99 / 86400</f>
        <v>1.1458333333333333E-3</v>
      </c>
      <c r="I712" t="s">
        <v>21</v>
      </c>
      <c r="J712" t="s">
        <v>26</v>
      </c>
      <c r="K712" s="5">
        <f>127 / 86400</f>
        <v>1.4699074074074074E-3</v>
      </c>
      <c r="L712" s="5">
        <f>86272 / 86400</f>
        <v>0.99851851851851847</v>
      </c>
    </row>
    <row r="713" spans="1:12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</row>
    <row r="714" spans="1:12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</row>
    <row r="715" spans="1:12" s="10" customFormat="1" ht="20.100000000000001" customHeight="1" x14ac:dyDescent="0.35">
      <c r="A715" s="12" t="s">
        <v>456</v>
      </c>
      <c r="B715" s="12"/>
      <c r="C715" s="12"/>
      <c r="D715" s="12"/>
      <c r="E715" s="12"/>
      <c r="F715" s="12"/>
      <c r="G715" s="12"/>
      <c r="H715" s="12"/>
      <c r="I715" s="12"/>
      <c r="J715" s="12"/>
    </row>
    <row r="716" spans="1:12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</row>
    <row r="717" spans="1:12" ht="30" x14ac:dyDescent="0.25">
      <c r="A717" s="2" t="s">
        <v>6</v>
      </c>
      <c r="B717" s="2" t="s">
        <v>7</v>
      </c>
      <c r="C717" s="2" t="s">
        <v>8</v>
      </c>
      <c r="D717" s="2" t="s">
        <v>9</v>
      </c>
      <c r="E717" s="2" t="s">
        <v>10</v>
      </c>
      <c r="F717" s="2" t="s">
        <v>11</v>
      </c>
      <c r="G717" s="2" t="s">
        <v>12</v>
      </c>
      <c r="H717" s="2" t="s">
        <v>13</v>
      </c>
      <c r="I717" s="2" t="s">
        <v>14</v>
      </c>
      <c r="J717" s="2" t="s">
        <v>15</v>
      </c>
      <c r="K717" s="2" t="s">
        <v>16</v>
      </c>
      <c r="L717" s="2" t="s">
        <v>17</v>
      </c>
    </row>
    <row r="718" spans="1:12" x14ac:dyDescent="0.25">
      <c r="A718" s="3">
        <v>45711.294282407413</v>
      </c>
      <c r="B718" t="s">
        <v>57</v>
      </c>
      <c r="C718" s="3">
        <v>45711.29892361111</v>
      </c>
      <c r="D718" t="s">
        <v>115</v>
      </c>
      <c r="E718" s="4">
        <v>0.871</v>
      </c>
      <c r="F718" s="4">
        <v>517453.11499999999</v>
      </c>
      <c r="G718" s="4">
        <v>517453.98599999998</v>
      </c>
      <c r="H718" s="5">
        <f>90 / 86400</f>
        <v>1.0416666666666667E-3</v>
      </c>
      <c r="I718" t="s">
        <v>37</v>
      </c>
      <c r="J718" t="s">
        <v>113</v>
      </c>
      <c r="K718" s="5">
        <f>401 / 86400</f>
        <v>4.6412037037037038E-3</v>
      </c>
      <c r="L718" s="5">
        <f>25956 / 86400</f>
        <v>0.30041666666666667</v>
      </c>
    </row>
    <row r="719" spans="1:12" x14ac:dyDescent="0.25">
      <c r="A719" s="3">
        <v>45711.30505787037</v>
      </c>
      <c r="B719" t="s">
        <v>115</v>
      </c>
      <c r="C719" s="3">
        <v>45711.543449074074</v>
      </c>
      <c r="D719" t="s">
        <v>396</v>
      </c>
      <c r="E719" s="4">
        <v>102.217</v>
      </c>
      <c r="F719" s="4">
        <v>517453.98599999998</v>
      </c>
      <c r="G719" s="4">
        <v>517556.20299999998</v>
      </c>
      <c r="H719" s="5">
        <f>6330 / 86400</f>
        <v>7.3263888888888892E-2</v>
      </c>
      <c r="I719" t="s">
        <v>178</v>
      </c>
      <c r="J719" t="s">
        <v>38</v>
      </c>
      <c r="K719" s="5">
        <f>20597 / 86400</f>
        <v>0.2383912037037037</v>
      </c>
      <c r="L719" s="5">
        <f>3 / 86400</f>
        <v>3.4722222222222222E-5</v>
      </c>
    </row>
    <row r="720" spans="1:12" x14ac:dyDescent="0.25">
      <c r="A720" s="3">
        <v>45711.543483796297</v>
      </c>
      <c r="B720" t="s">
        <v>396</v>
      </c>
      <c r="C720" s="3">
        <v>45711.548078703709</v>
      </c>
      <c r="D720" t="s">
        <v>397</v>
      </c>
      <c r="E720" s="4">
        <v>0.94099999999999995</v>
      </c>
      <c r="F720" s="4">
        <v>517556.212</v>
      </c>
      <c r="G720" s="4">
        <v>517557.15299999999</v>
      </c>
      <c r="H720" s="5">
        <f>60 / 86400</f>
        <v>6.9444444444444447E-4</v>
      </c>
      <c r="I720" t="s">
        <v>24</v>
      </c>
      <c r="J720" t="s">
        <v>155</v>
      </c>
      <c r="K720" s="5">
        <f>397 / 86400</f>
        <v>4.5949074074074078E-3</v>
      </c>
      <c r="L720" s="5">
        <f>2440 / 86400</f>
        <v>2.824074074074074E-2</v>
      </c>
    </row>
    <row r="721" spans="1:12" x14ac:dyDescent="0.25">
      <c r="A721" s="3">
        <v>45711.576319444444</v>
      </c>
      <c r="B721" t="s">
        <v>397</v>
      </c>
      <c r="C721" s="3">
        <v>45711.580451388887</v>
      </c>
      <c r="D721" t="s">
        <v>115</v>
      </c>
      <c r="E721" s="4">
        <v>1.0089999999999999</v>
      </c>
      <c r="F721" s="4">
        <v>517557.15299999999</v>
      </c>
      <c r="G721" s="4">
        <v>517558.16200000001</v>
      </c>
      <c r="H721" s="5">
        <f>1 / 86400</f>
        <v>1.1574074074074073E-5</v>
      </c>
      <c r="I721" t="s">
        <v>24</v>
      </c>
      <c r="J721" t="s">
        <v>208</v>
      </c>
      <c r="K721" s="5">
        <f>357 / 86400</f>
        <v>4.1319444444444442E-3</v>
      </c>
      <c r="L721" s="5">
        <f>1547 / 86400</f>
        <v>1.7905092592592594E-2</v>
      </c>
    </row>
    <row r="722" spans="1:12" x14ac:dyDescent="0.25">
      <c r="A722" s="3">
        <v>45711.598356481481</v>
      </c>
      <c r="B722" t="s">
        <v>115</v>
      </c>
      <c r="C722" s="3">
        <v>45711.602395833332</v>
      </c>
      <c r="D722" t="s">
        <v>115</v>
      </c>
      <c r="E722" s="4">
        <v>6.0000000000000001E-3</v>
      </c>
      <c r="F722" s="4">
        <v>517558.16200000001</v>
      </c>
      <c r="G722" s="4">
        <v>517558.16800000001</v>
      </c>
      <c r="H722" s="5">
        <f>300 / 86400</f>
        <v>3.472222222222222E-3</v>
      </c>
      <c r="I722" t="s">
        <v>69</v>
      </c>
      <c r="J722" t="s">
        <v>26</v>
      </c>
      <c r="K722" s="5">
        <f>349 / 86400</f>
        <v>4.0393518518518521E-3</v>
      </c>
      <c r="L722" s="5">
        <f>100 / 86400</f>
        <v>1.1574074074074073E-3</v>
      </c>
    </row>
    <row r="723" spans="1:12" x14ac:dyDescent="0.25">
      <c r="A723" s="3">
        <v>45711.60355324074</v>
      </c>
      <c r="B723" t="s">
        <v>115</v>
      </c>
      <c r="C723" s="3">
        <v>45711.628078703703</v>
      </c>
      <c r="D723" t="s">
        <v>44</v>
      </c>
      <c r="E723" s="4">
        <v>7.3239999999999998</v>
      </c>
      <c r="F723" s="4">
        <v>517558.16800000001</v>
      </c>
      <c r="G723" s="4">
        <v>517565.49200000003</v>
      </c>
      <c r="H723" s="5">
        <f>1052 / 86400</f>
        <v>1.2175925925925925E-2</v>
      </c>
      <c r="I723" t="s">
        <v>110</v>
      </c>
      <c r="J723" t="s">
        <v>128</v>
      </c>
      <c r="K723" s="5">
        <f>2119 / 86400</f>
        <v>2.4525462962962964E-2</v>
      </c>
      <c r="L723" s="5">
        <f>30 / 86400</f>
        <v>3.4722222222222224E-4</v>
      </c>
    </row>
    <row r="724" spans="1:12" x14ac:dyDescent="0.25">
      <c r="A724" s="3">
        <v>45711.628425925926</v>
      </c>
      <c r="B724" t="s">
        <v>233</v>
      </c>
      <c r="C724" s="3">
        <v>45711.670312499999</v>
      </c>
      <c r="D724" t="s">
        <v>189</v>
      </c>
      <c r="E724" s="4">
        <v>25.913</v>
      </c>
      <c r="F724" s="4">
        <v>517565.978</v>
      </c>
      <c r="G724" s="4">
        <v>517591.891</v>
      </c>
      <c r="H724" s="5">
        <f>1047 / 86400</f>
        <v>1.2118055555555556E-2</v>
      </c>
      <c r="I724" t="s">
        <v>30</v>
      </c>
      <c r="J724" t="s">
        <v>153</v>
      </c>
      <c r="K724" s="5">
        <f>3619 / 86400</f>
        <v>4.1886574074074076E-2</v>
      </c>
      <c r="L724" s="5">
        <f>5 / 86400</f>
        <v>5.7870370370370373E-5</v>
      </c>
    </row>
    <row r="725" spans="1:12" x14ac:dyDescent="0.25">
      <c r="A725" s="3">
        <v>45711.670370370368</v>
      </c>
      <c r="B725" t="s">
        <v>318</v>
      </c>
      <c r="C725" s="3">
        <v>45711.752372685187</v>
      </c>
      <c r="D725" t="s">
        <v>209</v>
      </c>
      <c r="E725" s="4">
        <v>27.7</v>
      </c>
      <c r="F725" s="4">
        <v>517591.90100000001</v>
      </c>
      <c r="G725" s="4">
        <v>517619.60100000002</v>
      </c>
      <c r="H725" s="5">
        <f>2879 / 86400</f>
        <v>3.3321759259259259E-2</v>
      </c>
      <c r="I725" t="s">
        <v>398</v>
      </c>
      <c r="J725" t="s">
        <v>116</v>
      </c>
      <c r="K725" s="5">
        <f>7085 / 86400</f>
        <v>8.200231481481482E-2</v>
      </c>
      <c r="L725" s="5">
        <f>30 / 86400</f>
        <v>3.4722222222222224E-4</v>
      </c>
    </row>
    <row r="726" spans="1:12" x14ac:dyDescent="0.25">
      <c r="A726" s="3">
        <v>45711.75271990741</v>
      </c>
      <c r="B726" t="s">
        <v>165</v>
      </c>
      <c r="C726" s="3">
        <v>45711.756157407406</v>
      </c>
      <c r="D726" t="s">
        <v>216</v>
      </c>
      <c r="E726" s="4">
        <v>0.57499999999999996</v>
      </c>
      <c r="F726" s="4">
        <v>517620.022</v>
      </c>
      <c r="G726" s="4">
        <v>517620.59700000001</v>
      </c>
      <c r="H726" s="5">
        <f>120 / 86400</f>
        <v>1.3888888888888889E-3</v>
      </c>
      <c r="I726" t="s">
        <v>40</v>
      </c>
      <c r="J726" t="s">
        <v>33</v>
      </c>
      <c r="K726" s="5">
        <f>297 / 86400</f>
        <v>3.4375E-3</v>
      </c>
      <c r="L726" s="5">
        <f>19 / 86400</f>
        <v>2.199074074074074E-4</v>
      </c>
    </row>
    <row r="727" spans="1:12" x14ac:dyDescent="0.25">
      <c r="A727" s="3">
        <v>45711.756377314814</v>
      </c>
      <c r="B727" t="s">
        <v>315</v>
      </c>
      <c r="C727" s="3">
        <v>45711.756423611107</v>
      </c>
      <c r="D727" t="s">
        <v>216</v>
      </c>
      <c r="E727" s="4">
        <v>1.7000000000000001E-2</v>
      </c>
      <c r="F727" s="4">
        <v>517620.60600000003</v>
      </c>
      <c r="G727" s="4">
        <v>517620.62300000002</v>
      </c>
      <c r="H727" s="5">
        <f>0 / 86400</f>
        <v>0</v>
      </c>
      <c r="I727" t="s">
        <v>94</v>
      </c>
      <c r="J727" t="s">
        <v>47</v>
      </c>
      <c r="K727" s="5">
        <f>4 / 86400</f>
        <v>4.6296296296296294E-5</v>
      </c>
      <c r="L727" s="5">
        <f>50 / 86400</f>
        <v>5.7870370370370367E-4</v>
      </c>
    </row>
    <row r="728" spans="1:12" x14ac:dyDescent="0.25">
      <c r="A728" s="3">
        <v>45711.757002314815</v>
      </c>
      <c r="B728" t="s">
        <v>315</v>
      </c>
      <c r="C728" s="3">
        <v>45711.77920138889</v>
      </c>
      <c r="D728" t="s">
        <v>77</v>
      </c>
      <c r="E728" s="4">
        <v>8.4949999999999992</v>
      </c>
      <c r="F728" s="4">
        <v>517620.63</v>
      </c>
      <c r="G728" s="4">
        <v>517629.125</v>
      </c>
      <c r="H728" s="5">
        <f>720 / 86400</f>
        <v>8.3333333333333332E-3</v>
      </c>
      <c r="I728" t="s">
        <v>185</v>
      </c>
      <c r="J728" t="s">
        <v>112</v>
      </c>
      <c r="K728" s="5">
        <f>1918 / 86400</f>
        <v>2.2199074074074072E-2</v>
      </c>
      <c r="L728" s="5">
        <f>2 / 86400</f>
        <v>2.3148148148148147E-5</v>
      </c>
    </row>
    <row r="729" spans="1:12" x14ac:dyDescent="0.25">
      <c r="A729" s="3">
        <v>45711.779224537036</v>
      </c>
      <c r="B729" t="s">
        <v>77</v>
      </c>
      <c r="C729" s="3">
        <v>45711.787719907406</v>
      </c>
      <c r="D729" t="s">
        <v>81</v>
      </c>
      <c r="E729" s="4">
        <v>3.2160000000000002</v>
      </c>
      <c r="F729" s="4">
        <v>517629.13</v>
      </c>
      <c r="G729" s="4">
        <v>517632.34600000002</v>
      </c>
      <c r="H729" s="5">
        <f>301 / 86400</f>
        <v>3.4837962962962965E-3</v>
      </c>
      <c r="I729" t="s">
        <v>140</v>
      </c>
      <c r="J729" t="s">
        <v>112</v>
      </c>
      <c r="K729" s="5">
        <f>734 / 86400</f>
        <v>8.4953703703703701E-3</v>
      </c>
      <c r="L729" s="5">
        <f>7 / 86400</f>
        <v>8.1018518518518516E-5</v>
      </c>
    </row>
    <row r="730" spans="1:12" x14ac:dyDescent="0.25">
      <c r="A730" s="3">
        <v>45711.787800925929</v>
      </c>
      <c r="B730" t="s">
        <v>81</v>
      </c>
      <c r="C730" s="3">
        <v>45711.788159722222</v>
      </c>
      <c r="D730" t="s">
        <v>81</v>
      </c>
      <c r="E730" s="4">
        <v>0.248</v>
      </c>
      <c r="F730" s="4">
        <v>517632.34600000002</v>
      </c>
      <c r="G730" s="4">
        <v>517632.59399999998</v>
      </c>
      <c r="H730" s="5">
        <f>1 / 86400</f>
        <v>1.1574074074074073E-5</v>
      </c>
      <c r="I730" t="s">
        <v>134</v>
      </c>
      <c r="J730" t="s">
        <v>130</v>
      </c>
      <c r="K730" s="5">
        <f>31 / 86400</f>
        <v>3.5879629629629629E-4</v>
      </c>
      <c r="L730" s="5">
        <f>1 / 86400</f>
        <v>1.1574074074074073E-5</v>
      </c>
    </row>
    <row r="731" spans="1:12" x14ac:dyDescent="0.25">
      <c r="A731" s="3">
        <v>45711.788171296299</v>
      </c>
      <c r="B731" t="s">
        <v>81</v>
      </c>
      <c r="C731" s="3">
        <v>45711.816284722227</v>
      </c>
      <c r="D731" t="s">
        <v>233</v>
      </c>
      <c r="E731" s="4">
        <v>18.201000000000001</v>
      </c>
      <c r="F731" s="4">
        <v>517632.603</v>
      </c>
      <c r="G731" s="4">
        <v>517650.804</v>
      </c>
      <c r="H731" s="5">
        <f>450 / 86400</f>
        <v>5.208333333333333E-3</v>
      </c>
      <c r="I731" t="s">
        <v>61</v>
      </c>
      <c r="J731" t="s">
        <v>149</v>
      </c>
      <c r="K731" s="5">
        <f>2429 / 86400</f>
        <v>2.8113425925925927E-2</v>
      </c>
      <c r="L731" s="5">
        <f>30 / 86400</f>
        <v>3.4722222222222224E-4</v>
      </c>
    </row>
    <row r="732" spans="1:12" x14ac:dyDescent="0.25">
      <c r="A732" s="3">
        <v>45711.816631944443</v>
      </c>
      <c r="B732" t="s">
        <v>44</v>
      </c>
      <c r="C732" s="3">
        <v>45711.816979166666</v>
      </c>
      <c r="D732" t="s">
        <v>44</v>
      </c>
      <c r="E732" s="4">
        <v>0.33900000000000002</v>
      </c>
      <c r="F732" s="4">
        <v>517651.098</v>
      </c>
      <c r="G732" s="4">
        <v>517651.43699999998</v>
      </c>
      <c r="H732" s="5">
        <f>0 / 86400</f>
        <v>0</v>
      </c>
      <c r="I732" t="s">
        <v>183</v>
      </c>
      <c r="J732" t="s">
        <v>164</v>
      </c>
      <c r="K732" s="5">
        <f>30 / 86400</f>
        <v>3.4722222222222224E-4</v>
      </c>
      <c r="L732" s="5">
        <f>9 / 86400</f>
        <v>1.0416666666666667E-4</v>
      </c>
    </row>
    <row r="733" spans="1:12" x14ac:dyDescent="0.25">
      <c r="A733" s="3">
        <v>45711.817083333328</v>
      </c>
      <c r="B733" t="s">
        <v>44</v>
      </c>
      <c r="C733" s="3">
        <v>45711.838912037041</v>
      </c>
      <c r="D733" t="s">
        <v>118</v>
      </c>
      <c r="E733" s="4">
        <v>7.5739999999999998</v>
      </c>
      <c r="F733" s="4">
        <v>517651.51500000001</v>
      </c>
      <c r="G733" s="4">
        <v>517659.08899999998</v>
      </c>
      <c r="H733" s="5">
        <f>690 / 86400</f>
        <v>7.9861111111111105E-3</v>
      </c>
      <c r="I733" t="s">
        <v>137</v>
      </c>
      <c r="J733" t="s">
        <v>116</v>
      </c>
      <c r="K733" s="5">
        <f>1886 / 86400</f>
        <v>2.1828703703703704E-2</v>
      </c>
      <c r="L733" s="5">
        <f>855 / 86400</f>
        <v>9.8958333333333329E-3</v>
      </c>
    </row>
    <row r="734" spans="1:12" x14ac:dyDescent="0.25">
      <c r="A734" s="3">
        <v>45711.848807870367</v>
      </c>
      <c r="B734" t="s">
        <v>118</v>
      </c>
      <c r="C734" s="3">
        <v>45711.851770833338</v>
      </c>
      <c r="D734" t="s">
        <v>111</v>
      </c>
      <c r="E734" s="4">
        <v>0.27</v>
      </c>
      <c r="F734" s="4">
        <v>517659.08899999998</v>
      </c>
      <c r="G734" s="4">
        <v>517659.359</v>
      </c>
      <c r="H734" s="5">
        <f>119 / 86400</f>
        <v>1.3773148148148147E-3</v>
      </c>
      <c r="I734" t="s">
        <v>58</v>
      </c>
      <c r="J734" t="s">
        <v>20</v>
      </c>
      <c r="K734" s="5">
        <f>256 / 86400</f>
        <v>2.9629629629629628E-3</v>
      </c>
      <c r="L734" s="5">
        <f>2557 / 86400</f>
        <v>2.9594907407407407E-2</v>
      </c>
    </row>
    <row r="735" spans="1:12" x14ac:dyDescent="0.25">
      <c r="A735" s="3">
        <v>45711.881365740745</v>
      </c>
      <c r="B735" t="s">
        <v>111</v>
      </c>
      <c r="C735" s="3">
        <v>45711.883483796293</v>
      </c>
      <c r="D735" t="s">
        <v>118</v>
      </c>
      <c r="E735" s="4">
        <v>0.32400000000000001</v>
      </c>
      <c r="F735" s="4">
        <v>517659.359</v>
      </c>
      <c r="G735" s="4">
        <v>517659.68300000002</v>
      </c>
      <c r="H735" s="5">
        <f>30 / 86400</f>
        <v>3.4722222222222224E-4</v>
      </c>
      <c r="I735" t="s">
        <v>91</v>
      </c>
      <c r="J735" t="s">
        <v>146</v>
      </c>
      <c r="K735" s="5">
        <f>183 / 86400</f>
        <v>2.1180555555555558E-3</v>
      </c>
      <c r="L735" s="5">
        <f>1026 / 86400</f>
        <v>1.1875E-2</v>
      </c>
    </row>
    <row r="736" spans="1:12" x14ac:dyDescent="0.25">
      <c r="A736" s="3">
        <v>45711.895358796297</v>
      </c>
      <c r="B736" t="s">
        <v>118</v>
      </c>
      <c r="C736" s="3">
        <v>45711.900972222225</v>
      </c>
      <c r="D736" t="s">
        <v>57</v>
      </c>
      <c r="E736" s="4">
        <v>0.95099999999999996</v>
      </c>
      <c r="F736" s="4">
        <v>517659.68300000002</v>
      </c>
      <c r="G736" s="4">
        <v>517660.63400000002</v>
      </c>
      <c r="H736" s="5">
        <f>180 / 86400</f>
        <v>2.0833333333333333E-3</v>
      </c>
      <c r="I736" t="s">
        <v>183</v>
      </c>
      <c r="J736" t="s">
        <v>33</v>
      </c>
      <c r="K736" s="5">
        <f>485 / 86400</f>
        <v>5.6134259259259262E-3</v>
      </c>
      <c r="L736" s="5">
        <f>8555 / 86400</f>
        <v>9.9016203703703703E-2</v>
      </c>
    </row>
    <row r="737" spans="1:12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</row>
    <row r="738" spans="1:12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</row>
    <row r="739" spans="1:12" s="10" customFormat="1" ht="20.100000000000001" customHeight="1" x14ac:dyDescent="0.35">
      <c r="A739" s="12" t="s">
        <v>457</v>
      </c>
      <c r="B739" s="12"/>
      <c r="C739" s="12"/>
      <c r="D739" s="12"/>
      <c r="E739" s="12"/>
      <c r="F739" s="12"/>
      <c r="G739" s="12"/>
      <c r="H739" s="12"/>
      <c r="I739" s="12"/>
      <c r="J739" s="12"/>
    </row>
    <row r="740" spans="1:12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</row>
    <row r="741" spans="1:12" ht="30" x14ac:dyDescent="0.25">
      <c r="A741" s="2" t="s">
        <v>6</v>
      </c>
      <c r="B741" s="2" t="s">
        <v>7</v>
      </c>
      <c r="C741" s="2" t="s">
        <v>8</v>
      </c>
      <c r="D741" s="2" t="s">
        <v>9</v>
      </c>
      <c r="E741" s="2" t="s">
        <v>10</v>
      </c>
      <c r="F741" s="2" t="s">
        <v>11</v>
      </c>
      <c r="G741" s="2" t="s">
        <v>12</v>
      </c>
      <c r="H741" s="2" t="s">
        <v>13</v>
      </c>
      <c r="I741" s="2" t="s">
        <v>14</v>
      </c>
      <c r="J741" s="2" t="s">
        <v>15</v>
      </c>
      <c r="K741" s="2" t="s">
        <v>16</v>
      </c>
      <c r="L741" s="2" t="s">
        <v>17</v>
      </c>
    </row>
    <row r="742" spans="1:12" x14ac:dyDescent="0.25">
      <c r="A742" s="3">
        <v>45711</v>
      </c>
      <c r="B742" t="s">
        <v>59</v>
      </c>
      <c r="C742" s="3">
        <v>45711.00503472222</v>
      </c>
      <c r="D742" t="s">
        <v>393</v>
      </c>
      <c r="E742" s="4">
        <v>0.72399999999999998</v>
      </c>
      <c r="F742" s="4">
        <v>353586.76400000002</v>
      </c>
      <c r="G742" s="4">
        <v>353587.48800000001</v>
      </c>
      <c r="H742" s="5">
        <f>200 / 86400</f>
        <v>2.3148148148148147E-3</v>
      </c>
      <c r="I742" t="s">
        <v>72</v>
      </c>
      <c r="J742" t="s">
        <v>146</v>
      </c>
      <c r="K742" s="5">
        <f>435 / 86400</f>
        <v>5.0347222222222225E-3</v>
      </c>
      <c r="L742" s="5">
        <f>2232 / 86400</f>
        <v>2.5833333333333333E-2</v>
      </c>
    </row>
    <row r="743" spans="1:12" x14ac:dyDescent="0.25">
      <c r="A743" s="3">
        <v>45711.030868055561</v>
      </c>
      <c r="B743" t="s">
        <v>393</v>
      </c>
      <c r="C743" s="3">
        <v>45711.031006944446</v>
      </c>
      <c r="D743" t="s">
        <v>393</v>
      </c>
      <c r="E743" s="4">
        <v>5.0000000000000001E-3</v>
      </c>
      <c r="F743" s="4">
        <v>353587.48800000001</v>
      </c>
      <c r="G743" s="4">
        <v>353587.49300000002</v>
      </c>
      <c r="H743" s="5">
        <f>0 / 86400</f>
        <v>0</v>
      </c>
      <c r="I743" t="s">
        <v>26</v>
      </c>
      <c r="J743" t="s">
        <v>190</v>
      </c>
      <c r="K743" s="5">
        <f>12 / 86400</f>
        <v>1.3888888888888889E-4</v>
      </c>
      <c r="L743" s="5">
        <f>27942 / 86400</f>
        <v>0.32340277777777776</v>
      </c>
    </row>
    <row r="744" spans="1:12" x14ac:dyDescent="0.25">
      <c r="A744" s="3">
        <v>45711.354409722218</v>
      </c>
      <c r="B744" t="s">
        <v>393</v>
      </c>
      <c r="C744" s="3">
        <v>45711.358842592592</v>
      </c>
      <c r="D744" t="s">
        <v>59</v>
      </c>
      <c r="E744" s="4">
        <v>0.79200000000000004</v>
      </c>
      <c r="F744" s="4">
        <v>353587.49300000002</v>
      </c>
      <c r="G744" s="4">
        <v>353588.28499999997</v>
      </c>
      <c r="H744" s="5">
        <f>120 / 86400</f>
        <v>1.3888888888888889E-3</v>
      </c>
      <c r="I744" t="s">
        <v>153</v>
      </c>
      <c r="J744" t="s">
        <v>33</v>
      </c>
      <c r="K744" s="5">
        <f>383 / 86400</f>
        <v>4.43287037037037E-3</v>
      </c>
      <c r="L744" s="5">
        <f>44 / 86400</f>
        <v>5.0925925925925921E-4</v>
      </c>
    </row>
    <row r="745" spans="1:12" x14ac:dyDescent="0.25">
      <c r="A745" s="3">
        <v>45711.359351851846</v>
      </c>
      <c r="B745" t="s">
        <v>59</v>
      </c>
      <c r="C745" s="3">
        <v>45711.361145833333</v>
      </c>
      <c r="D745" t="s">
        <v>399</v>
      </c>
      <c r="E745" s="4">
        <v>6.0999999999999999E-2</v>
      </c>
      <c r="F745" s="4">
        <v>353588.28499999997</v>
      </c>
      <c r="G745" s="4">
        <v>353588.34600000002</v>
      </c>
      <c r="H745" s="5">
        <f>99 / 86400</f>
        <v>1.1458333333333333E-3</v>
      </c>
      <c r="I745" t="s">
        <v>155</v>
      </c>
      <c r="J745" t="s">
        <v>21</v>
      </c>
      <c r="K745" s="5">
        <f>155 / 86400</f>
        <v>1.7939814814814815E-3</v>
      </c>
      <c r="L745" s="5">
        <f>47 / 86400</f>
        <v>5.4398148148148144E-4</v>
      </c>
    </row>
    <row r="746" spans="1:12" x14ac:dyDescent="0.25">
      <c r="A746" s="3">
        <v>45711.361689814818</v>
      </c>
      <c r="B746" t="s">
        <v>399</v>
      </c>
      <c r="C746" s="3">
        <v>45711.376215277778</v>
      </c>
      <c r="D746" t="s">
        <v>115</v>
      </c>
      <c r="E746" s="4">
        <v>5.8280000000000003</v>
      </c>
      <c r="F746" s="4">
        <v>353588.34600000002</v>
      </c>
      <c r="G746" s="4">
        <v>353594.174</v>
      </c>
      <c r="H746" s="5">
        <f>180 / 86400</f>
        <v>2.0833333333333333E-3</v>
      </c>
      <c r="I746" t="s">
        <v>148</v>
      </c>
      <c r="J746" t="s">
        <v>58</v>
      </c>
      <c r="K746" s="5">
        <f>1254 / 86400</f>
        <v>1.4513888888888889E-2</v>
      </c>
      <c r="L746" s="5">
        <f>215 / 86400</f>
        <v>2.488425925925926E-3</v>
      </c>
    </row>
    <row r="747" spans="1:12" x14ac:dyDescent="0.25">
      <c r="A747" s="3">
        <v>45711.378703703704</v>
      </c>
      <c r="B747" t="s">
        <v>115</v>
      </c>
      <c r="C747" s="3">
        <v>45711.378935185188</v>
      </c>
      <c r="D747" t="s">
        <v>115</v>
      </c>
      <c r="E747" s="4">
        <v>1.7000000000000001E-2</v>
      </c>
      <c r="F747" s="4">
        <v>353594.174</v>
      </c>
      <c r="G747" s="4">
        <v>353594.19099999999</v>
      </c>
      <c r="H747" s="5">
        <f>0 / 86400</f>
        <v>0</v>
      </c>
      <c r="I747" t="s">
        <v>26</v>
      </c>
      <c r="J747" t="s">
        <v>69</v>
      </c>
      <c r="K747" s="5">
        <f>20 / 86400</f>
        <v>2.3148148148148149E-4</v>
      </c>
      <c r="L747" s="5">
        <f>761 / 86400</f>
        <v>8.8078703703703704E-3</v>
      </c>
    </row>
    <row r="748" spans="1:12" x14ac:dyDescent="0.25">
      <c r="A748" s="3">
        <v>45711.387743055559</v>
      </c>
      <c r="B748" t="s">
        <v>115</v>
      </c>
      <c r="C748" s="3">
        <v>45711.389745370368</v>
      </c>
      <c r="D748" t="s">
        <v>114</v>
      </c>
      <c r="E748" s="4">
        <v>0.64100000000000001</v>
      </c>
      <c r="F748" s="4">
        <v>353594.19099999999</v>
      </c>
      <c r="G748" s="4">
        <v>353594.83199999999</v>
      </c>
      <c r="H748" s="5">
        <f>0 / 86400</f>
        <v>0</v>
      </c>
      <c r="I748" t="s">
        <v>38</v>
      </c>
      <c r="J748" t="s">
        <v>120</v>
      </c>
      <c r="K748" s="5">
        <f>173 / 86400</f>
        <v>2.0023148148148148E-3</v>
      </c>
      <c r="L748" s="5">
        <f>1554 / 86400</f>
        <v>1.7986111111111112E-2</v>
      </c>
    </row>
    <row r="749" spans="1:12" x14ac:dyDescent="0.25">
      <c r="A749" s="3">
        <v>45711.407731481479</v>
      </c>
      <c r="B749" t="s">
        <v>114</v>
      </c>
      <c r="C749" s="3">
        <v>45711.409282407403</v>
      </c>
      <c r="D749" t="s">
        <v>258</v>
      </c>
      <c r="E749" s="4">
        <v>0.13600000000000001</v>
      </c>
      <c r="F749" s="4">
        <v>353594.83199999999</v>
      </c>
      <c r="G749" s="4">
        <v>353594.96799999999</v>
      </c>
      <c r="H749" s="5">
        <f>80 / 86400</f>
        <v>9.2592592592592596E-4</v>
      </c>
      <c r="I749" t="s">
        <v>47</v>
      </c>
      <c r="J749" t="s">
        <v>20</v>
      </c>
      <c r="K749" s="5">
        <f>133 / 86400</f>
        <v>1.5393518518518519E-3</v>
      </c>
      <c r="L749" s="5">
        <f>289 / 86400</f>
        <v>3.3449074074074076E-3</v>
      </c>
    </row>
    <row r="750" spans="1:12" x14ac:dyDescent="0.25">
      <c r="A750" s="3">
        <v>45711.412627314814</v>
      </c>
      <c r="B750" t="s">
        <v>258</v>
      </c>
      <c r="C750" s="3">
        <v>45711.536944444444</v>
      </c>
      <c r="D750" t="s">
        <v>400</v>
      </c>
      <c r="E750" s="4">
        <v>52.024999999999999</v>
      </c>
      <c r="F750" s="4">
        <v>353594.96799999999</v>
      </c>
      <c r="G750" s="4">
        <v>353646.99300000002</v>
      </c>
      <c r="H750" s="5">
        <f>3619 / 86400</f>
        <v>4.1886574074074076E-2</v>
      </c>
      <c r="I750" t="s">
        <v>124</v>
      </c>
      <c r="J750" t="s">
        <v>58</v>
      </c>
      <c r="K750" s="5">
        <f>10740 / 86400</f>
        <v>0.12430555555555556</v>
      </c>
      <c r="L750" s="5">
        <f>23 / 86400</f>
        <v>2.6620370370370372E-4</v>
      </c>
    </row>
    <row r="751" spans="1:12" x14ac:dyDescent="0.25">
      <c r="A751" s="3">
        <v>45711.537210648152</v>
      </c>
      <c r="B751" t="s">
        <v>401</v>
      </c>
      <c r="C751" s="3">
        <v>45711.675995370373</v>
      </c>
      <c r="D751" t="s">
        <v>236</v>
      </c>
      <c r="E751" s="4">
        <v>54.331000000000003</v>
      </c>
      <c r="F751" s="4">
        <v>353646.99300000002</v>
      </c>
      <c r="G751" s="4">
        <v>353701.32400000002</v>
      </c>
      <c r="H751" s="5">
        <f>4159 / 86400</f>
        <v>4.8136574074074075E-2</v>
      </c>
      <c r="I751" t="s">
        <v>61</v>
      </c>
      <c r="J751" t="s">
        <v>112</v>
      </c>
      <c r="K751" s="5">
        <f>11991 / 86400</f>
        <v>0.13878472222222221</v>
      </c>
      <c r="L751" s="5">
        <f>65 / 86400</f>
        <v>7.5231481481481482E-4</v>
      </c>
    </row>
    <row r="752" spans="1:12" x14ac:dyDescent="0.25">
      <c r="A752" s="3">
        <v>45711.676747685182</v>
      </c>
      <c r="B752" t="s">
        <v>236</v>
      </c>
      <c r="C752" s="3">
        <v>45711.676990740743</v>
      </c>
      <c r="D752" t="s">
        <v>236</v>
      </c>
      <c r="E752" s="4">
        <v>2.1000000000000001E-2</v>
      </c>
      <c r="F752" s="4">
        <v>353701.32400000002</v>
      </c>
      <c r="G752" s="4">
        <v>353701.34499999997</v>
      </c>
      <c r="H752" s="5">
        <f>0 / 86400</f>
        <v>0</v>
      </c>
      <c r="I752" t="s">
        <v>26</v>
      </c>
      <c r="J752" t="s">
        <v>20</v>
      </c>
      <c r="K752" s="5">
        <f>20 / 86400</f>
        <v>2.3148148148148149E-4</v>
      </c>
      <c r="L752" s="5">
        <f>48 / 86400</f>
        <v>5.5555555555555556E-4</v>
      </c>
    </row>
    <row r="753" spans="1:12" x14ac:dyDescent="0.25">
      <c r="A753" s="3">
        <v>45711.677546296298</v>
      </c>
      <c r="B753" t="s">
        <v>236</v>
      </c>
      <c r="C753" s="3">
        <v>45711.873935185184</v>
      </c>
      <c r="D753" t="s">
        <v>118</v>
      </c>
      <c r="E753" s="4">
        <v>88.391000000000005</v>
      </c>
      <c r="F753" s="4">
        <v>353701.34499999997</v>
      </c>
      <c r="G753" s="4">
        <v>353789.73599999998</v>
      </c>
      <c r="H753" s="5">
        <f>4898 / 86400</f>
        <v>5.6689814814814818E-2</v>
      </c>
      <c r="I753" t="s">
        <v>337</v>
      </c>
      <c r="J753" t="s">
        <v>37</v>
      </c>
      <c r="K753" s="5">
        <f>16968 / 86400</f>
        <v>0.19638888888888889</v>
      </c>
      <c r="L753" s="5">
        <f>543 / 86400</f>
        <v>6.2847222222222219E-3</v>
      </c>
    </row>
    <row r="754" spans="1:12" x14ac:dyDescent="0.25">
      <c r="A754" s="3">
        <v>45711.880219907413</v>
      </c>
      <c r="B754" t="s">
        <v>118</v>
      </c>
      <c r="C754" s="3">
        <v>45711.882245370369</v>
      </c>
      <c r="D754" t="s">
        <v>402</v>
      </c>
      <c r="E754" s="4">
        <v>0.28100000000000003</v>
      </c>
      <c r="F754" s="4">
        <v>353789.73599999998</v>
      </c>
      <c r="G754" s="4">
        <v>353790.01699999999</v>
      </c>
      <c r="H754" s="5">
        <f>44 / 86400</f>
        <v>5.0925925925925921E-4</v>
      </c>
      <c r="I754" t="s">
        <v>31</v>
      </c>
      <c r="J754" t="s">
        <v>146</v>
      </c>
      <c r="K754" s="5">
        <f>175 / 86400</f>
        <v>2.0254629629629629E-3</v>
      </c>
      <c r="L754" s="5">
        <f>962 / 86400</f>
        <v>1.1134259259259259E-2</v>
      </c>
    </row>
    <row r="755" spans="1:12" x14ac:dyDescent="0.25">
      <c r="A755" s="3">
        <v>45711.893379629633</v>
      </c>
      <c r="B755" t="s">
        <v>260</v>
      </c>
      <c r="C755" s="3">
        <v>45711.909918981481</v>
      </c>
      <c r="D755" t="s">
        <v>60</v>
      </c>
      <c r="E755" s="4">
        <v>5.0030000000000001</v>
      </c>
      <c r="F755" s="4">
        <v>353790.01699999999</v>
      </c>
      <c r="G755" s="4">
        <v>353795.02</v>
      </c>
      <c r="H755" s="5">
        <f>378 / 86400</f>
        <v>4.3750000000000004E-3</v>
      </c>
      <c r="I755" t="s">
        <v>133</v>
      </c>
      <c r="J755" t="s">
        <v>120</v>
      </c>
      <c r="K755" s="5">
        <f>1429 / 86400</f>
        <v>1.653935185185185E-2</v>
      </c>
      <c r="L755" s="5">
        <f>7782 / 86400</f>
        <v>9.0069444444444438E-2</v>
      </c>
    </row>
    <row r="756" spans="1:12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</row>
    <row r="757" spans="1:12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</row>
    <row r="758" spans="1:12" s="10" customFormat="1" ht="20.100000000000001" customHeight="1" x14ac:dyDescent="0.35">
      <c r="A758" s="12" t="s">
        <v>458</v>
      </c>
      <c r="B758" s="12"/>
      <c r="C758" s="12"/>
      <c r="D758" s="12"/>
      <c r="E758" s="12"/>
      <c r="F758" s="12"/>
      <c r="G758" s="12"/>
      <c r="H758" s="12"/>
      <c r="I758" s="12"/>
      <c r="J758" s="12"/>
    </row>
    <row r="759" spans="1:12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</row>
    <row r="760" spans="1:12" ht="30" x14ac:dyDescent="0.25">
      <c r="A760" s="2" t="s">
        <v>6</v>
      </c>
      <c r="B760" s="2" t="s">
        <v>7</v>
      </c>
      <c r="C760" s="2" t="s">
        <v>8</v>
      </c>
      <c r="D760" s="2" t="s">
        <v>9</v>
      </c>
      <c r="E760" s="2" t="s">
        <v>10</v>
      </c>
      <c r="F760" s="2" t="s">
        <v>11</v>
      </c>
      <c r="G760" s="2" t="s">
        <v>12</v>
      </c>
      <c r="H760" s="2" t="s">
        <v>13</v>
      </c>
      <c r="I760" s="2" t="s">
        <v>14</v>
      </c>
      <c r="J760" s="2" t="s">
        <v>15</v>
      </c>
      <c r="K760" s="2" t="s">
        <v>16</v>
      </c>
      <c r="L760" s="2" t="s">
        <v>17</v>
      </c>
    </row>
    <row r="761" spans="1:12" x14ac:dyDescent="0.25">
      <c r="A761" s="3">
        <v>45711.79686342593</v>
      </c>
      <c r="B761" t="s">
        <v>62</v>
      </c>
      <c r="C761" s="3">
        <v>45711.799120370371</v>
      </c>
      <c r="D761" t="s">
        <v>62</v>
      </c>
      <c r="E761" s="4">
        <v>2.5999999999999999E-2</v>
      </c>
      <c r="F761" s="4">
        <v>412503.72100000002</v>
      </c>
      <c r="G761" s="4">
        <v>412503.74699999997</v>
      </c>
      <c r="H761" s="5">
        <f>139 / 86400</f>
        <v>1.6087962962962963E-3</v>
      </c>
      <c r="I761" t="s">
        <v>21</v>
      </c>
      <c r="J761" t="s">
        <v>26</v>
      </c>
      <c r="K761" s="5">
        <f>194 / 86400</f>
        <v>2.2453703703703702E-3</v>
      </c>
      <c r="L761" s="5">
        <f>86204 / 86400</f>
        <v>0.9977314814814815</v>
      </c>
    </row>
    <row r="762" spans="1:12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</row>
    <row r="763" spans="1:12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</row>
    <row r="764" spans="1:12" s="10" customFormat="1" ht="20.100000000000001" customHeight="1" x14ac:dyDescent="0.35">
      <c r="A764" s="12" t="s">
        <v>459</v>
      </c>
      <c r="B764" s="12"/>
      <c r="C764" s="12"/>
      <c r="D764" s="12"/>
      <c r="E764" s="12"/>
      <c r="F764" s="12"/>
      <c r="G764" s="12"/>
      <c r="H764" s="12"/>
      <c r="I764" s="12"/>
      <c r="J764" s="12"/>
    </row>
    <row r="765" spans="1:12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</row>
    <row r="766" spans="1:12" ht="30" x14ac:dyDescent="0.25">
      <c r="A766" s="2" t="s">
        <v>6</v>
      </c>
      <c r="B766" s="2" t="s">
        <v>7</v>
      </c>
      <c r="C766" s="2" t="s">
        <v>8</v>
      </c>
      <c r="D766" s="2" t="s">
        <v>9</v>
      </c>
      <c r="E766" s="2" t="s">
        <v>10</v>
      </c>
      <c r="F766" s="2" t="s">
        <v>11</v>
      </c>
      <c r="G766" s="2" t="s">
        <v>12</v>
      </c>
      <c r="H766" s="2" t="s">
        <v>13</v>
      </c>
      <c r="I766" s="2" t="s">
        <v>14</v>
      </c>
      <c r="J766" s="2" t="s">
        <v>15</v>
      </c>
      <c r="K766" s="2" t="s">
        <v>16</v>
      </c>
      <c r="L766" s="2" t="s">
        <v>17</v>
      </c>
    </row>
    <row r="767" spans="1:12" x14ac:dyDescent="0.25">
      <c r="A767" s="3">
        <v>45711.151944444442</v>
      </c>
      <c r="B767" t="s">
        <v>63</v>
      </c>
      <c r="C767" s="3">
        <v>45711.288495370369</v>
      </c>
      <c r="D767" t="s">
        <v>229</v>
      </c>
      <c r="E767" s="4">
        <v>68.834999999999994</v>
      </c>
      <c r="F767" s="4">
        <v>443222.88699999999</v>
      </c>
      <c r="G767" s="4">
        <v>443291.72200000001</v>
      </c>
      <c r="H767" s="5">
        <f>2838 / 86400</f>
        <v>3.2847222222222222E-2</v>
      </c>
      <c r="I767" t="s">
        <v>64</v>
      </c>
      <c r="J767" t="s">
        <v>67</v>
      </c>
      <c r="K767" s="5">
        <f>11798 / 86400</f>
        <v>0.13655092592592594</v>
      </c>
      <c r="L767" s="5">
        <f>13130 / 86400</f>
        <v>0.1519675925925926</v>
      </c>
    </row>
    <row r="768" spans="1:12" x14ac:dyDescent="0.25">
      <c r="A768" s="3">
        <v>45711.288518518515</v>
      </c>
      <c r="B768" t="s">
        <v>229</v>
      </c>
      <c r="C768" s="3">
        <v>45711.290532407409</v>
      </c>
      <c r="D768" t="s">
        <v>50</v>
      </c>
      <c r="E768" s="4">
        <v>0</v>
      </c>
      <c r="F768" s="4">
        <v>443291.72200000001</v>
      </c>
      <c r="G768" s="4">
        <v>443291.72200000001</v>
      </c>
      <c r="H768" s="5">
        <f>171 / 86400</f>
        <v>1.9791666666666668E-3</v>
      </c>
      <c r="I768" t="s">
        <v>26</v>
      </c>
      <c r="J768" t="s">
        <v>26</v>
      </c>
      <c r="K768" s="5">
        <f>174 / 86400</f>
        <v>2.0138888888888888E-3</v>
      </c>
      <c r="L768" s="5">
        <f>64 / 86400</f>
        <v>7.407407407407407E-4</v>
      </c>
    </row>
    <row r="769" spans="1:12" x14ac:dyDescent="0.25">
      <c r="A769" s="3">
        <v>45711.291273148148</v>
      </c>
      <c r="B769" t="s">
        <v>229</v>
      </c>
      <c r="C769" s="3">
        <v>45711.322071759263</v>
      </c>
      <c r="D769" t="s">
        <v>25</v>
      </c>
      <c r="E769" s="4">
        <v>15.006</v>
      </c>
      <c r="F769" s="4">
        <v>443291.72200000001</v>
      </c>
      <c r="G769" s="4">
        <v>443306.728</v>
      </c>
      <c r="H769" s="5">
        <f>520 / 86400</f>
        <v>6.0185185185185185E-3</v>
      </c>
      <c r="I769" t="s">
        <v>83</v>
      </c>
      <c r="J769" t="s">
        <v>24</v>
      </c>
      <c r="K769" s="5">
        <f>2661 / 86400</f>
        <v>3.079861111111111E-2</v>
      </c>
      <c r="L769" s="5">
        <f>11545 / 86400</f>
        <v>0.13362268518518519</v>
      </c>
    </row>
    <row r="770" spans="1:12" x14ac:dyDescent="0.25">
      <c r="A770" s="3">
        <v>45711.455694444448</v>
      </c>
      <c r="B770" t="s">
        <v>25</v>
      </c>
      <c r="C770" s="3">
        <v>45711.462812500002</v>
      </c>
      <c r="D770" t="s">
        <v>372</v>
      </c>
      <c r="E770" s="4">
        <v>1.4079999999999999</v>
      </c>
      <c r="F770" s="4">
        <v>443306.728</v>
      </c>
      <c r="G770" s="4">
        <v>443308.136</v>
      </c>
      <c r="H770" s="5">
        <f>239 / 86400</f>
        <v>2.7662037037037039E-3</v>
      </c>
      <c r="I770" t="s">
        <v>52</v>
      </c>
      <c r="J770" t="s">
        <v>113</v>
      </c>
      <c r="K770" s="5">
        <f>614 / 86400</f>
        <v>7.1064814814814819E-3</v>
      </c>
      <c r="L770" s="5">
        <f>318 / 86400</f>
        <v>3.6805555555555554E-3</v>
      </c>
    </row>
    <row r="771" spans="1:12" x14ac:dyDescent="0.25">
      <c r="A771" s="3">
        <v>45711.466493055559</v>
      </c>
      <c r="B771" t="s">
        <v>372</v>
      </c>
      <c r="C771" s="3">
        <v>45711.504050925927</v>
      </c>
      <c r="D771" t="s">
        <v>372</v>
      </c>
      <c r="E771" s="4">
        <v>11.106999999999999</v>
      </c>
      <c r="F771" s="4">
        <v>443308.136</v>
      </c>
      <c r="G771" s="4">
        <v>443319.24300000002</v>
      </c>
      <c r="H771" s="5">
        <f>720 / 86400</f>
        <v>8.3333333333333332E-3</v>
      </c>
      <c r="I771" t="s">
        <v>148</v>
      </c>
      <c r="J771" t="s">
        <v>128</v>
      </c>
      <c r="K771" s="5">
        <f>3245 / 86400</f>
        <v>3.7557870370370373E-2</v>
      </c>
      <c r="L771" s="5">
        <f>1040 / 86400</f>
        <v>1.2037037037037037E-2</v>
      </c>
    </row>
    <row r="772" spans="1:12" x14ac:dyDescent="0.25">
      <c r="A772" s="3">
        <v>45711.516087962962</v>
      </c>
      <c r="B772" t="s">
        <v>372</v>
      </c>
      <c r="C772" s="3">
        <v>45711.516215277778</v>
      </c>
      <c r="D772" t="s">
        <v>372</v>
      </c>
      <c r="E772" s="4">
        <v>0</v>
      </c>
      <c r="F772" s="4">
        <v>443319.24300000002</v>
      </c>
      <c r="G772" s="4">
        <v>443319.24300000002</v>
      </c>
      <c r="H772" s="5">
        <f>0 / 86400</f>
        <v>0</v>
      </c>
      <c r="I772" t="s">
        <v>26</v>
      </c>
      <c r="J772" t="s">
        <v>26</v>
      </c>
      <c r="K772" s="5">
        <f>10 / 86400</f>
        <v>1.1574074074074075E-4</v>
      </c>
      <c r="L772" s="5">
        <f>470 / 86400</f>
        <v>5.4398148148148149E-3</v>
      </c>
    </row>
    <row r="773" spans="1:12" x14ac:dyDescent="0.25">
      <c r="A773" s="3">
        <v>45711.521655092598</v>
      </c>
      <c r="B773" t="s">
        <v>372</v>
      </c>
      <c r="C773" s="3">
        <v>45711.522662037038</v>
      </c>
      <c r="D773" t="s">
        <v>372</v>
      </c>
      <c r="E773" s="4">
        <v>8.7999999999999995E-2</v>
      </c>
      <c r="F773" s="4">
        <v>443319.24300000002</v>
      </c>
      <c r="G773" s="4">
        <v>443319.33100000001</v>
      </c>
      <c r="H773" s="5">
        <f>19 / 86400</f>
        <v>2.199074074074074E-4</v>
      </c>
      <c r="I773" t="s">
        <v>120</v>
      </c>
      <c r="J773" t="s">
        <v>20</v>
      </c>
      <c r="K773" s="5">
        <f>86 / 86400</f>
        <v>9.9537037037037042E-4</v>
      </c>
      <c r="L773" s="5">
        <f>111 / 86400</f>
        <v>1.2847222222222223E-3</v>
      </c>
    </row>
    <row r="774" spans="1:12" x14ac:dyDescent="0.25">
      <c r="A774" s="3">
        <v>45711.523946759262</v>
      </c>
      <c r="B774" t="s">
        <v>372</v>
      </c>
      <c r="C774" s="3">
        <v>45711.528645833328</v>
      </c>
      <c r="D774" t="s">
        <v>25</v>
      </c>
      <c r="E774" s="4">
        <v>1.492</v>
      </c>
      <c r="F774" s="4">
        <v>443319.33100000001</v>
      </c>
      <c r="G774" s="4">
        <v>443320.82299999997</v>
      </c>
      <c r="H774" s="5">
        <f>20 / 86400</f>
        <v>2.3148148148148149E-4</v>
      </c>
      <c r="I774" t="s">
        <v>149</v>
      </c>
      <c r="J774" t="s">
        <v>120</v>
      </c>
      <c r="K774" s="5">
        <f>406 / 86400</f>
        <v>4.6990740740740743E-3</v>
      </c>
      <c r="L774" s="5">
        <f>40724 / 86400</f>
        <v>0.47134259259259259</v>
      </c>
    </row>
    <row r="775" spans="1:12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</row>
    <row r="776" spans="1:12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</row>
    <row r="777" spans="1:12" s="10" customFormat="1" ht="20.100000000000001" customHeight="1" x14ac:dyDescent="0.35">
      <c r="A777" s="12" t="s">
        <v>460</v>
      </c>
      <c r="B777" s="12"/>
      <c r="C777" s="12"/>
      <c r="D777" s="12"/>
      <c r="E777" s="12"/>
      <c r="F777" s="12"/>
      <c r="G777" s="12"/>
      <c r="H777" s="12"/>
      <c r="I777" s="12"/>
      <c r="J777" s="12"/>
    </row>
    <row r="778" spans="1:12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</row>
    <row r="779" spans="1:12" ht="30" x14ac:dyDescent="0.25">
      <c r="A779" s="2" t="s">
        <v>6</v>
      </c>
      <c r="B779" s="2" t="s">
        <v>7</v>
      </c>
      <c r="C779" s="2" t="s">
        <v>8</v>
      </c>
      <c r="D779" s="2" t="s">
        <v>9</v>
      </c>
      <c r="E779" s="2" t="s">
        <v>10</v>
      </c>
      <c r="F779" s="2" t="s">
        <v>11</v>
      </c>
      <c r="G779" s="2" t="s">
        <v>12</v>
      </c>
      <c r="H779" s="2" t="s">
        <v>13</v>
      </c>
      <c r="I779" s="2" t="s">
        <v>14</v>
      </c>
      <c r="J779" s="2" t="s">
        <v>15</v>
      </c>
      <c r="K779" s="2" t="s">
        <v>16</v>
      </c>
      <c r="L779" s="2" t="s">
        <v>17</v>
      </c>
    </row>
    <row r="780" spans="1:12" x14ac:dyDescent="0.25">
      <c r="A780" s="3">
        <v>45711.416481481487</v>
      </c>
      <c r="B780" t="s">
        <v>60</v>
      </c>
      <c r="C780" s="3">
        <v>45711.429791666669</v>
      </c>
      <c r="D780" t="s">
        <v>402</v>
      </c>
      <c r="E780" s="4">
        <v>4.4169999999999998</v>
      </c>
      <c r="F780" s="4">
        <v>475487.39799999999</v>
      </c>
      <c r="G780" s="4">
        <v>475491.815</v>
      </c>
      <c r="H780" s="5">
        <f>399 / 86400</f>
        <v>4.6180555555555558E-3</v>
      </c>
      <c r="I780" t="s">
        <v>141</v>
      </c>
      <c r="J780" t="s">
        <v>116</v>
      </c>
      <c r="K780" s="5">
        <f>1150 / 86400</f>
        <v>1.3310185185185185E-2</v>
      </c>
      <c r="L780" s="5">
        <f>36013 / 86400</f>
        <v>0.41681712962962963</v>
      </c>
    </row>
    <row r="781" spans="1:12" x14ac:dyDescent="0.25">
      <c r="A781" s="3">
        <v>45711.430127314816</v>
      </c>
      <c r="B781" t="s">
        <v>402</v>
      </c>
      <c r="C781" s="3">
        <v>45711.430208333331</v>
      </c>
      <c r="D781" t="s">
        <v>402</v>
      </c>
      <c r="E781" s="4">
        <v>2E-3</v>
      </c>
      <c r="F781" s="4">
        <v>475491.815</v>
      </c>
      <c r="G781" s="4">
        <v>475491.81699999998</v>
      </c>
      <c r="H781" s="5">
        <f>0 / 86400</f>
        <v>0</v>
      </c>
      <c r="I781" t="s">
        <v>26</v>
      </c>
      <c r="J781" t="s">
        <v>21</v>
      </c>
      <c r="K781" s="5">
        <f>7 / 86400</f>
        <v>8.1018518518518516E-5</v>
      </c>
      <c r="L781" s="5">
        <f>7587 / 86400</f>
        <v>8.7812500000000002E-2</v>
      </c>
    </row>
    <row r="782" spans="1:12" x14ac:dyDescent="0.25">
      <c r="A782" s="3">
        <v>45711.518020833333</v>
      </c>
      <c r="B782" t="s">
        <v>402</v>
      </c>
      <c r="C782" s="3">
        <v>45711.532291666663</v>
      </c>
      <c r="D782" t="s">
        <v>60</v>
      </c>
      <c r="E782" s="4">
        <v>4.6260000000000003</v>
      </c>
      <c r="F782" s="4">
        <v>475491.81699999998</v>
      </c>
      <c r="G782" s="4">
        <v>475496.44300000003</v>
      </c>
      <c r="H782" s="5">
        <f>200 / 86400</f>
        <v>2.3148148148148147E-3</v>
      </c>
      <c r="I782" t="s">
        <v>161</v>
      </c>
      <c r="J782" t="s">
        <v>116</v>
      </c>
      <c r="K782" s="5">
        <f>1232 / 86400</f>
        <v>1.425925925925926E-2</v>
      </c>
      <c r="L782" s="5">
        <f>12900 / 86400</f>
        <v>0.14930555555555555</v>
      </c>
    </row>
    <row r="783" spans="1:12" x14ac:dyDescent="0.25">
      <c r="A783" s="3">
        <v>45711.681597222225</v>
      </c>
      <c r="B783" t="s">
        <v>60</v>
      </c>
      <c r="C783" s="3">
        <v>45711.688148148147</v>
      </c>
      <c r="D783" t="s">
        <v>235</v>
      </c>
      <c r="E783" s="4">
        <v>1.119</v>
      </c>
      <c r="F783" s="4">
        <v>475496.44300000003</v>
      </c>
      <c r="G783" s="4">
        <v>475497.56199999998</v>
      </c>
      <c r="H783" s="5">
        <f>199 / 86400</f>
        <v>2.3032407407407407E-3</v>
      </c>
      <c r="I783" t="s">
        <v>67</v>
      </c>
      <c r="J783" t="s">
        <v>33</v>
      </c>
      <c r="K783" s="5">
        <f>565 / 86400</f>
        <v>6.5393518518518517E-3</v>
      </c>
      <c r="L783" s="5">
        <f>54 / 86400</f>
        <v>6.2500000000000001E-4</v>
      </c>
    </row>
    <row r="784" spans="1:12" x14ac:dyDescent="0.25">
      <c r="A784" s="3">
        <v>45711.688773148147</v>
      </c>
      <c r="B784" t="s">
        <v>235</v>
      </c>
      <c r="C784" s="3">
        <v>45711.689039351855</v>
      </c>
      <c r="D784" t="s">
        <v>235</v>
      </c>
      <c r="E784" s="4">
        <v>4.0000000000000001E-3</v>
      </c>
      <c r="F784" s="4">
        <v>475497.56199999998</v>
      </c>
      <c r="G784" s="4">
        <v>475497.56599999999</v>
      </c>
      <c r="H784" s="5">
        <f>19 / 86400</f>
        <v>2.199074074074074E-4</v>
      </c>
      <c r="I784" t="s">
        <v>26</v>
      </c>
      <c r="J784" t="s">
        <v>21</v>
      </c>
      <c r="K784" s="5">
        <f>22 / 86400</f>
        <v>2.5462962962962961E-4</v>
      </c>
      <c r="L784" s="5">
        <f>160 / 86400</f>
        <v>1.8518518518518519E-3</v>
      </c>
    </row>
    <row r="785" spans="1:12" x14ac:dyDescent="0.25">
      <c r="A785" s="3">
        <v>45711.690891203703</v>
      </c>
      <c r="B785" t="s">
        <v>235</v>
      </c>
      <c r="C785" s="3">
        <v>45711.693032407406</v>
      </c>
      <c r="D785" t="s">
        <v>235</v>
      </c>
      <c r="E785" s="4">
        <v>1.2999999999999999E-2</v>
      </c>
      <c r="F785" s="4">
        <v>475497.56599999999</v>
      </c>
      <c r="G785" s="4">
        <v>475497.57900000003</v>
      </c>
      <c r="H785" s="5">
        <f>179 / 86400</f>
        <v>2.0717592592592593E-3</v>
      </c>
      <c r="I785" t="s">
        <v>26</v>
      </c>
      <c r="J785" t="s">
        <v>26</v>
      </c>
      <c r="K785" s="5">
        <f>184 / 86400</f>
        <v>2.1296296296296298E-3</v>
      </c>
      <c r="L785" s="5">
        <f>32 / 86400</f>
        <v>3.7037037037037035E-4</v>
      </c>
    </row>
    <row r="786" spans="1:12" x14ac:dyDescent="0.25">
      <c r="A786" s="3">
        <v>45711.693402777775</v>
      </c>
      <c r="B786" t="s">
        <v>236</v>
      </c>
      <c r="C786" s="3">
        <v>45711.783391203702</v>
      </c>
      <c r="D786" t="s">
        <v>347</v>
      </c>
      <c r="E786" s="4">
        <v>41.456000000000003</v>
      </c>
      <c r="F786" s="4">
        <v>475497.57900000003</v>
      </c>
      <c r="G786" s="4">
        <v>475539.03499999997</v>
      </c>
      <c r="H786" s="5">
        <f>2459 / 86400</f>
        <v>2.8460648148148148E-2</v>
      </c>
      <c r="I786" t="s">
        <v>78</v>
      </c>
      <c r="J786" t="s">
        <v>37</v>
      </c>
      <c r="K786" s="5">
        <f>7774 / 86400</f>
        <v>8.997685185185185E-2</v>
      </c>
      <c r="L786" s="5">
        <f>49 / 86400</f>
        <v>5.6712962962962967E-4</v>
      </c>
    </row>
    <row r="787" spans="1:12" x14ac:dyDescent="0.25">
      <c r="A787" s="3">
        <v>45711.783958333333</v>
      </c>
      <c r="B787" t="s">
        <v>347</v>
      </c>
      <c r="C787" s="3">
        <v>45711.78606481482</v>
      </c>
      <c r="D787" t="s">
        <v>101</v>
      </c>
      <c r="E787" s="4">
        <v>1.893</v>
      </c>
      <c r="F787" s="4">
        <v>475539.03499999997</v>
      </c>
      <c r="G787" s="4">
        <v>475540.92800000001</v>
      </c>
      <c r="H787" s="5">
        <f>0 / 86400</f>
        <v>0</v>
      </c>
      <c r="I787" t="s">
        <v>66</v>
      </c>
      <c r="J787" t="s">
        <v>161</v>
      </c>
      <c r="K787" s="5">
        <f>181 / 86400</f>
        <v>2.0949074074074073E-3</v>
      </c>
      <c r="L787" s="5">
        <f>28 / 86400</f>
        <v>3.2407407407407406E-4</v>
      </c>
    </row>
    <row r="788" spans="1:12" x14ac:dyDescent="0.25">
      <c r="A788" s="3">
        <v>45711.78638888889</v>
      </c>
      <c r="B788" t="s">
        <v>101</v>
      </c>
      <c r="C788" s="3">
        <v>45711.951377314814</v>
      </c>
      <c r="D788" t="s">
        <v>54</v>
      </c>
      <c r="E788" s="4">
        <v>88.450999999999993</v>
      </c>
      <c r="F788" s="4">
        <v>475540.92800000001</v>
      </c>
      <c r="G788" s="4">
        <v>475629.37900000002</v>
      </c>
      <c r="H788" s="5">
        <f>3720 / 86400</f>
        <v>4.3055555555555555E-2</v>
      </c>
      <c r="I788" t="s">
        <v>370</v>
      </c>
      <c r="J788" t="s">
        <v>91</v>
      </c>
      <c r="K788" s="5">
        <f>14254 / 86400</f>
        <v>0.16497685185185185</v>
      </c>
      <c r="L788" s="5">
        <f>27 / 86400</f>
        <v>3.1250000000000001E-4</v>
      </c>
    </row>
    <row r="789" spans="1:12" x14ac:dyDescent="0.25">
      <c r="A789" s="3">
        <v>45711.951689814814</v>
      </c>
      <c r="B789" t="s">
        <v>403</v>
      </c>
      <c r="C789" s="3">
        <v>45711.99998842593</v>
      </c>
      <c r="D789" t="s">
        <v>65</v>
      </c>
      <c r="E789" s="4">
        <v>26.492000000000001</v>
      </c>
      <c r="F789" s="4">
        <v>475629.37900000002</v>
      </c>
      <c r="G789" s="4">
        <v>475655.87099999998</v>
      </c>
      <c r="H789" s="5">
        <f>1099 / 86400</f>
        <v>1.2719907407407407E-2</v>
      </c>
      <c r="I789" t="s">
        <v>370</v>
      </c>
      <c r="J789" t="s">
        <v>142</v>
      </c>
      <c r="K789" s="5">
        <f>4173 / 86400</f>
        <v>4.8298611111111112E-2</v>
      </c>
      <c r="L789" s="5">
        <f>0 / 86400</f>
        <v>0</v>
      </c>
    </row>
    <row r="790" spans="1:12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</row>
    <row r="791" spans="1:12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</row>
    <row r="792" spans="1:12" s="10" customFormat="1" ht="20.100000000000001" customHeight="1" x14ac:dyDescent="0.35">
      <c r="A792" s="12" t="s">
        <v>461</v>
      </c>
      <c r="B792" s="12"/>
      <c r="C792" s="12"/>
      <c r="D792" s="12"/>
      <c r="E792" s="12"/>
      <c r="F792" s="12"/>
      <c r="G792" s="12"/>
      <c r="H792" s="12"/>
      <c r="I792" s="12"/>
      <c r="J792" s="12"/>
    </row>
    <row r="793" spans="1:12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</row>
    <row r="794" spans="1:12" ht="30" x14ac:dyDescent="0.25">
      <c r="A794" s="2" t="s">
        <v>6</v>
      </c>
      <c r="B794" s="2" t="s">
        <v>7</v>
      </c>
      <c r="C794" s="2" t="s">
        <v>8</v>
      </c>
      <c r="D794" s="2" t="s">
        <v>9</v>
      </c>
      <c r="E794" s="2" t="s">
        <v>10</v>
      </c>
      <c r="F794" s="2" t="s">
        <v>11</v>
      </c>
      <c r="G794" s="2" t="s">
        <v>12</v>
      </c>
      <c r="H794" s="2" t="s">
        <v>13</v>
      </c>
      <c r="I794" s="2" t="s">
        <v>14</v>
      </c>
      <c r="J794" s="2" t="s">
        <v>15</v>
      </c>
      <c r="K794" s="2" t="s">
        <v>16</v>
      </c>
      <c r="L794" s="2" t="s">
        <v>17</v>
      </c>
    </row>
    <row r="795" spans="1:12" x14ac:dyDescent="0.25">
      <c r="A795" s="3">
        <v>45711</v>
      </c>
      <c r="B795" t="s">
        <v>68</v>
      </c>
      <c r="C795" s="3">
        <v>45711.000231481477</v>
      </c>
      <c r="D795" t="s">
        <v>68</v>
      </c>
      <c r="E795" s="4">
        <v>1.6E-2</v>
      </c>
      <c r="F795" s="4">
        <v>416151.41800000001</v>
      </c>
      <c r="G795" s="4">
        <v>416151.43400000001</v>
      </c>
      <c r="H795" s="5">
        <f>0 / 86400</f>
        <v>0</v>
      </c>
      <c r="I795" t="s">
        <v>33</v>
      </c>
      <c r="J795" t="s">
        <v>69</v>
      </c>
      <c r="K795" s="5">
        <f>20 / 86400</f>
        <v>2.3148148148148149E-4</v>
      </c>
      <c r="L795" s="5">
        <f>86379 / 86400</f>
        <v>0.99975694444444441</v>
      </c>
    </row>
    <row r="796" spans="1:12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</row>
    <row r="797" spans="1:12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</row>
    <row r="798" spans="1:12" s="10" customFormat="1" ht="20.100000000000001" customHeight="1" x14ac:dyDescent="0.35">
      <c r="A798" s="12" t="s">
        <v>462</v>
      </c>
      <c r="B798" s="12"/>
      <c r="C798" s="12"/>
      <c r="D798" s="12"/>
      <c r="E798" s="12"/>
      <c r="F798" s="12"/>
      <c r="G798" s="12"/>
      <c r="H798" s="12"/>
      <c r="I798" s="12"/>
      <c r="J798" s="12"/>
    </row>
    <row r="799" spans="1:12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</row>
    <row r="800" spans="1:12" ht="30" x14ac:dyDescent="0.25">
      <c r="A800" s="2" t="s">
        <v>6</v>
      </c>
      <c r="B800" s="2" t="s">
        <v>7</v>
      </c>
      <c r="C800" s="2" t="s">
        <v>8</v>
      </c>
      <c r="D800" s="2" t="s">
        <v>9</v>
      </c>
      <c r="E800" s="2" t="s">
        <v>10</v>
      </c>
      <c r="F800" s="2" t="s">
        <v>11</v>
      </c>
      <c r="G800" s="2" t="s">
        <v>12</v>
      </c>
      <c r="H800" s="2" t="s">
        <v>13</v>
      </c>
      <c r="I800" s="2" t="s">
        <v>14</v>
      </c>
      <c r="J800" s="2" t="s">
        <v>15</v>
      </c>
      <c r="K800" s="2" t="s">
        <v>16</v>
      </c>
      <c r="L800" s="2" t="s">
        <v>17</v>
      </c>
    </row>
    <row r="801" spans="1:12" x14ac:dyDescent="0.25">
      <c r="A801" s="3">
        <v>45711</v>
      </c>
      <c r="B801" t="s">
        <v>70</v>
      </c>
      <c r="C801" s="3">
        <v>45711.002604166672</v>
      </c>
      <c r="D801" t="s">
        <v>25</v>
      </c>
      <c r="E801" s="4">
        <v>1.417</v>
      </c>
      <c r="F801" s="4">
        <v>330393.88299999997</v>
      </c>
      <c r="G801" s="4">
        <v>330395.3</v>
      </c>
      <c r="H801" s="5">
        <f>40 / 86400</f>
        <v>4.6296296296296298E-4</v>
      </c>
      <c r="I801" t="s">
        <v>223</v>
      </c>
      <c r="J801" t="s">
        <v>142</v>
      </c>
      <c r="K801" s="5">
        <f>225 / 86400</f>
        <v>2.6041666666666665E-3</v>
      </c>
      <c r="L801" s="5">
        <f>320 / 86400</f>
        <v>3.7037037037037038E-3</v>
      </c>
    </row>
    <row r="802" spans="1:12" x14ac:dyDescent="0.25">
      <c r="A802" s="3">
        <v>45711.006307870368</v>
      </c>
      <c r="B802" t="s">
        <v>25</v>
      </c>
      <c r="C802" s="3">
        <v>45711.007361111115</v>
      </c>
      <c r="D802" t="s">
        <v>25</v>
      </c>
      <c r="E802" s="4">
        <v>4.2000000000000003E-2</v>
      </c>
      <c r="F802" s="4">
        <v>330395.3</v>
      </c>
      <c r="G802" s="4">
        <v>330395.342</v>
      </c>
      <c r="H802" s="5">
        <f>40 / 86400</f>
        <v>4.6296296296296298E-4</v>
      </c>
      <c r="I802" t="s">
        <v>34</v>
      </c>
      <c r="J802" t="s">
        <v>190</v>
      </c>
      <c r="K802" s="5">
        <f>90 / 86400</f>
        <v>1.0416666666666667E-3</v>
      </c>
      <c r="L802" s="5">
        <f>11933 / 86400</f>
        <v>0.13811342592592593</v>
      </c>
    </row>
    <row r="803" spans="1:12" x14ac:dyDescent="0.25">
      <c r="A803" s="3">
        <v>45711.145474537036</v>
      </c>
      <c r="B803" t="s">
        <v>25</v>
      </c>
      <c r="C803" s="3">
        <v>45711.14806712963</v>
      </c>
      <c r="D803" t="s">
        <v>25</v>
      </c>
      <c r="E803" s="4">
        <v>3.2000000000000001E-2</v>
      </c>
      <c r="F803" s="4">
        <v>330395.342</v>
      </c>
      <c r="G803" s="4">
        <v>330395.37400000001</v>
      </c>
      <c r="H803" s="5">
        <f>199 / 86400</f>
        <v>2.3032407407407407E-3</v>
      </c>
      <c r="I803" t="s">
        <v>33</v>
      </c>
      <c r="J803" t="s">
        <v>21</v>
      </c>
      <c r="K803" s="5">
        <f>224 / 86400</f>
        <v>2.5925925925925925E-3</v>
      </c>
      <c r="L803" s="5">
        <f>782 / 86400</f>
        <v>9.0509259259259258E-3</v>
      </c>
    </row>
    <row r="804" spans="1:12" x14ac:dyDescent="0.25">
      <c r="A804" s="3">
        <v>45711.157118055555</v>
      </c>
      <c r="B804" t="s">
        <v>25</v>
      </c>
      <c r="C804" s="3">
        <v>45711.201342592598</v>
      </c>
      <c r="D804" t="s">
        <v>102</v>
      </c>
      <c r="E804" s="4">
        <v>12.673</v>
      </c>
      <c r="F804" s="4">
        <v>330395.37400000001</v>
      </c>
      <c r="G804" s="4">
        <v>330408.04700000002</v>
      </c>
      <c r="H804" s="5">
        <f>1821 / 86400</f>
        <v>2.1076388888888888E-2</v>
      </c>
      <c r="I804" t="s">
        <v>337</v>
      </c>
      <c r="J804" t="s">
        <v>128</v>
      </c>
      <c r="K804" s="5">
        <f>3820 / 86400</f>
        <v>4.4212962962962961E-2</v>
      </c>
      <c r="L804" s="5">
        <f>537 / 86400</f>
        <v>6.2152777777777779E-3</v>
      </c>
    </row>
    <row r="805" spans="1:12" x14ac:dyDescent="0.25">
      <c r="A805" s="3">
        <v>45711.207557870366</v>
      </c>
      <c r="B805" t="s">
        <v>102</v>
      </c>
      <c r="C805" s="3">
        <v>45711.268310185187</v>
      </c>
      <c r="D805" t="s">
        <v>404</v>
      </c>
      <c r="E805" s="4">
        <v>68.012</v>
      </c>
      <c r="F805" s="4">
        <v>330408.04700000002</v>
      </c>
      <c r="G805" s="4">
        <v>330476.05900000001</v>
      </c>
      <c r="H805" s="5">
        <f>479 / 86400</f>
        <v>5.5439814814814813E-3</v>
      </c>
      <c r="I805" t="s">
        <v>64</v>
      </c>
      <c r="J805" t="s">
        <v>141</v>
      </c>
      <c r="K805" s="5">
        <f>5248 / 86400</f>
        <v>6.0740740740740741E-2</v>
      </c>
      <c r="L805" s="5">
        <f>53 / 86400</f>
        <v>6.134259259259259E-4</v>
      </c>
    </row>
    <row r="806" spans="1:12" x14ac:dyDescent="0.25">
      <c r="A806" s="3">
        <v>45711.268923611111</v>
      </c>
      <c r="B806" t="s">
        <v>404</v>
      </c>
      <c r="C806" s="3">
        <v>45711.327569444446</v>
      </c>
      <c r="D806" t="s">
        <v>405</v>
      </c>
      <c r="E806" s="4">
        <v>55.04</v>
      </c>
      <c r="F806" s="4">
        <v>330476.05900000001</v>
      </c>
      <c r="G806" s="4">
        <v>330531.09899999999</v>
      </c>
      <c r="H806" s="5">
        <f>1500 / 86400</f>
        <v>1.7361111111111112E-2</v>
      </c>
      <c r="I806" t="s">
        <v>406</v>
      </c>
      <c r="J806" t="s">
        <v>183</v>
      </c>
      <c r="K806" s="5">
        <f>5067 / 86400</f>
        <v>5.8645833333333335E-2</v>
      </c>
      <c r="L806" s="5">
        <f>96 / 86400</f>
        <v>1.1111111111111111E-3</v>
      </c>
    </row>
    <row r="807" spans="1:12" x14ac:dyDescent="0.25">
      <c r="A807" s="3">
        <v>45711.328680555554</v>
      </c>
      <c r="B807" t="s">
        <v>405</v>
      </c>
      <c r="C807" s="3">
        <v>45711.354872685188</v>
      </c>
      <c r="D807" t="s">
        <v>407</v>
      </c>
      <c r="E807" s="4">
        <v>27.800999999999998</v>
      </c>
      <c r="F807" s="4">
        <v>330531.09899999999</v>
      </c>
      <c r="G807" s="4">
        <v>330558.90000000002</v>
      </c>
      <c r="H807" s="5">
        <f>559 / 86400</f>
        <v>6.4699074074074077E-3</v>
      </c>
      <c r="I807" t="s">
        <v>103</v>
      </c>
      <c r="J807" t="s">
        <v>147</v>
      </c>
      <c r="K807" s="5">
        <f>2262 / 86400</f>
        <v>2.6180555555555554E-2</v>
      </c>
      <c r="L807" s="5">
        <f>30837 / 86400</f>
        <v>0.35690972222222223</v>
      </c>
    </row>
    <row r="808" spans="1:12" x14ac:dyDescent="0.25">
      <c r="A808" s="3">
        <v>45711.711782407408</v>
      </c>
      <c r="B808" t="s">
        <v>407</v>
      </c>
      <c r="C808" s="3">
        <v>45711.891238425931</v>
      </c>
      <c r="D808" t="s">
        <v>25</v>
      </c>
      <c r="E808" s="4">
        <v>152.34899999999999</v>
      </c>
      <c r="F808" s="4">
        <v>330558.90000000002</v>
      </c>
      <c r="G808" s="4">
        <v>330711.24900000001</v>
      </c>
      <c r="H808" s="5">
        <f>1820 / 86400</f>
        <v>2.1064814814814814E-2</v>
      </c>
      <c r="I808" t="s">
        <v>71</v>
      </c>
      <c r="J808" t="s">
        <v>134</v>
      </c>
      <c r="K808" s="5">
        <f>15505 / 86400</f>
        <v>0.17945601851851853</v>
      </c>
      <c r="L808" s="5">
        <f>234 / 86400</f>
        <v>2.7083333333333334E-3</v>
      </c>
    </row>
    <row r="809" spans="1:12" x14ac:dyDescent="0.25">
      <c r="A809" s="3">
        <v>45711.893946759257</v>
      </c>
      <c r="B809" t="s">
        <v>25</v>
      </c>
      <c r="C809" s="3">
        <v>45711.909710648149</v>
      </c>
      <c r="D809" t="s">
        <v>408</v>
      </c>
      <c r="E809" s="4">
        <v>5.742</v>
      </c>
      <c r="F809" s="4">
        <v>330711.24900000001</v>
      </c>
      <c r="G809" s="4">
        <v>330716.99099999998</v>
      </c>
      <c r="H809" s="5">
        <f>120 / 86400</f>
        <v>1.3888888888888889E-3</v>
      </c>
      <c r="I809" t="s">
        <v>133</v>
      </c>
      <c r="J809" t="s">
        <v>47</v>
      </c>
      <c r="K809" s="5">
        <f>1362 / 86400</f>
        <v>1.576388888888889E-2</v>
      </c>
      <c r="L809" s="5">
        <f>757 / 86400</f>
        <v>8.7615740740740744E-3</v>
      </c>
    </row>
    <row r="810" spans="1:12" x14ac:dyDescent="0.25">
      <c r="A810" s="3">
        <v>45711.918472222227</v>
      </c>
      <c r="B810" t="s">
        <v>25</v>
      </c>
      <c r="C810" s="3">
        <v>45711.923252314809</v>
      </c>
      <c r="D810" t="s">
        <v>19</v>
      </c>
      <c r="E810" s="4">
        <v>1.633</v>
      </c>
      <c r="F810" s="4">
        <v>330716.99099999998</v>
      </c>
      <c r="G810" s="4">
        <v>330718.62400000001</v>
      </c>
      <c r="H810" s="5">
        <f>40 / 86400</f>
        <v>4.6296296296296298E-4</v>
      </c>
      <c r="I810" t="s">
        <v>130</v>
      </c>
      <c r="J810" t="s">
        <v>116</v>
      </c>
      <c r="K810" s="5">
        <f>413 / 86400</f>
        <v>4.7800925925925927E-3</v>
      </c>
      <c r="L810" s="5">
        <f>278 / 86400</f>
        <v>3.2175925925925926E-3</v>
      </c>
    </row>
    <row r="811" spans="1:12" x14ac:dyDescent="0.25">
      <c r="A811" s="3">
        <v>45711.926469907412</v>
      </c>
      <c r="B811" t="s">
        <v>19</v>
      </c>
      <c r="C811" s="3">
        <v>45711.92931712963</v>
      </c>
      <c r="D811" t="s">
        <v>25</v>
      </c>
      <c r="E811" s="4">
        <v>0.51600000000000001</v>
      </c>
      <c r="F811" s="4">
        <v>330718.62400000001</v>
      </c>
      <c r="G811" s="4">
        <v>330719.14</v>
      </c>
      <c r="H811" s="5">
        <f>100 / 86400</f>
        <v>1.1574074074074073E-3</v>
      </c>
      <c r="I811" t="s">
        <v>67</v>
      </c>
      <c r="J811" t="s">
        <v>113</v>
      </c>
      <c r="K811" s="5">
        <f>245 / 86400</f>
        <v>2.8356481481481483E-3</v>
      </c>
      <c r="L811" s="5">
        <f>3080 / 86400</f>
        <v>3.5648148148148151E-2</v>
      </c>
    </row>
    <row r="812" spans="1:12" x14ac:dyDescent="0.25">
      <c r="A812" s="3">
        <v>45711.964965277773</v>
      </c>
      <c r="B812" t="s">
        <v>25</v>
      </c>
      <c r="C812" s="3">
        <v>45711.96607638889</v>
      </c>
      <c r="D812" t="s">
        <v>25</v>
      </c>
      <c r="E812" s="4">
        <v>2.4E-2</v>
      </c>
      <c r="F812" s="4">
        <v>330719.14</v>
      </c>
      <c r="G812" s="4">
        <v>330719.16399999999</v>
      </c>
      <c r="H812" s="5">
        <f>39 / 86400</f>
        <v>4.5138888888888887E-4</v>
      </c>
      <c r="I812" t="s">
        <v>20</v>
      </c>
      <c r="J812" t="s">
        <v>21</v>
      </c>
      <c r="K812" s="5">
        <f>95 / 86400</f>
        <v>1.0995370370370371E-3</v>
      </c>
      <c r="L812" s="5">
        <f>2930 / 86400</f>
        <v>3.3912037037037039E-2</v>
      </c>
    </row>
    <row r="813" spans="1:12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</row>
    <row r="814" spans="1:12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</row>
    <row r="815" spans="1:12" s="10" customFormat="1" ht="20.100000000000001" customHeight="1" x14ac:dyDescent="0.35">
      <c r="A815" s="12" t="s">
        <v>463</v>
      </c>
      <c r="B815" s="12"/>
      <c r="C815" s="12"/>
      <c r="D815" s="12"/>
      <c r="E815" s="12"/>
      <c r="F815" s="12"/>
      <c r="G815" s="12"/>
      <c r="H815" s="12"/>
      <c r="I815" s="12"/>
      <c r="J815" s="12"/>
    </row>
    <row r="816" spans="1:12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</row>
    <row r="817" spans="1:12" ht="30" x14ac:dyDescent="0.25">
      <c r="A817" s="2" t="s">
        <v>6</v>
      </c>
      <c r="B817" s="2" t="s">
        <v>7</v>
      </c>
      <c r="C817" s="2" t="s">
        <v>8</v>
      </c>
      <c r="D817" s="2" t="s">
        <v>9</v>
      </c>
      <c r="E817" s="2" t="s">
        <v>10</v>
      </c>
      <c r="F817" s="2" t="s">
        <v>11</v>
      </c>
      <c r="G817" s="2" t="s">
        <v>12</v>
      </c>
      <c r="H817" s="2" t="s">
        <v>13</v>
      </c>
      <c r="I817" s="2" t="s">
        <v>14</v>
      </c>
      <c r="J817" s="2" t="s">
        <v>15</v>
      </c>
      <c r="K817" s="2" t="s">
        <v>16</v>
      </c>
      <c r="L817" s="2" t="s">
        <v>17</v>
      </c>
    </row>
    <row r="818" spans="1:12" x14ac:dyDescent="0.25">
      <c r="A818" s="3">
        <v>45711.311377314814</v>
      </c>
      <c r="B818" t="s">
        <v>73</v>
      </c>
      <c r="C818" s="3">
        <v>45711.31454861111</v>
      </c>
      <c r="D818" t="s">
        <v>73</v>
      </c>
      <c r="E818" s="4">
        <v>0.124</v>
      </c>
      <c r="F818" s="4">
        <v>82800.967000000004</v>
      </c>
      <c r="G818" s="4">
        <v>82801.091</v>
      </c>
      <c r="H818" s="5">
        <f>199 / 86400</f>
        <v>2.3032407407407407E-3</v>
      </c>
      <c r="I818" t="s">
        <v>113</v>
      </c>
      <c r="J818" t="s">
        <v>190</v>
      </c>
      <c r="K818" s="5">
        <f>274 / 86400</f>
        <v>3.1712962962962962E-3</v>
      </c>
      <c r="L818" s="5">
        <f>26910 / 86400</f>
        <v>0.31145833333333334</v>
      </c>
    </row>
    <row r="819" spans="1:12" x14ac:dyDescent="0.25">
      <c r="A819" s="3">
        <v>45711.314629629633</v>
      </c>
      <c r="B819" t="s">
        <v>73</v>
      </c>
      <c r="C819" s="3">
        <v>45711.334247685183</v>
      </c>
      <c r="D819" t="s">
        <v>73</v>
      </c>
      <c r="E819" s="4">
        <v>0</v>
      </c>
      <c r="F819" s="4">
        <v>82801.091</v>
      </c>
      <c r="G819" s="4">
        <v>82801.091</v>
      </c>
      <c r="H819" s="5">
        <f>1685 / 86400</f>
        <v>1.9502314814814816E-2</v>
      </c>
      <c r="I819" t="s">
        <v>26</v>
      </c>
      <c r="J819" t="s">
        <v>26</v>
      </c>
      <c r="K819" s="5">
        <f>1695 / 86400</f>
        <v>1.9618055555555555E-2</v>
      </c>
      <c r="L819" s="5">
        <f>4361 / 86400</f>
        <v>5.047453703703704E-2</v>
      </c>
    </row>
    <row r="820" spans="1:12" x14ac:dyDescent="0.25">
      <c r="A820" s="3">
        <v>45711.384722222225</v>
      </c>
      <c r="B820" t="s">
        <v>73</v>
      </c>
      <c r="C820" s="3">
        <v>45711.433495370366</v>
      </c>
      <c r="D820" t="s">
        <v>73</v>
      </c>
      <c r="E820" s="4">
        <v>0</v>
      </c>
      <c r="F820" s="4">
        <v>82801.091</v>
      </c>
      <c r="G820" s="4">
        <v>82801.091</v>
      </c>
      <c r="H820" s="5">
        <f>4200 / 86400</f>
        <v>4.8611111111111112E-2</v>
      </c>
      <c r="I820" t="s">
        <v>26</v>
      </c>
      <c r="J820" t="s">
        <v>26</v>
      </c>
      <c r="K820" s="5">
        <f>4214 / 86400</f>
        <v>4.8773148148148149E-2</v>
      </c>
      <c r="L820" s="5">
        <f>4 / 86400</f>
        <v>4.6296296296296294E-5</v>
      </c>
    </row>
    <row r="821" spans="1:12" x14ac:dyDescent="0.25">
      <c r="A821" s="3">
        <v>45711.433541666665</v>
      </c>
      <c r="B821" t="s">
        <v>73</v>
      </c>
      <c r="C821" s="3">
        <v>45711.433576388888</v>
      </c>
      <c r="D821" t="s">
        <v>73</v>
      </c>
      <c r="E821" s="4">
        <v>0</v>
      </c>
      <c r="F821" s="4">
        <v>82801.091</v>
      </c>
      <c r="G821" s="4">
        <v>82801.091</v>
      </c>
      <c r="H821" s="5">
        <f>2 / 86400</f>
        <v>2.3148148148148147E-5</v>
      </c>
      <c r="I821" t="s">
        <v>26</v>
      </c>
      <c r="J821" t="s">
        <v>26</v>
      </c>
      <c r="K821" s="5">
        <f>3 / 86400</f>
        <v>3.4722222222222222E-5</v>
      </c>
      <c r="L821" s="5">
        <f>21 / 86400</f>
        <v>2.4305555555555555E-4</v>
      </c>
    </row>
    <row r="822" spans="1:12" x14ac:dyDescent="0.25">
      <c r="A822" s="3">
        <v>45711.433819444443</v>
      </c>
      <c r="B822" t="s">
        <v>73</v>
      </c>
      <c r="C822" s="3">
        <v>45711.433842592596</v>
      </c>
      <c r="D822" t="s">
        <v>73</v>
      </c>
      <c r="E822" s="4">
        <v>0</v>
      </c>
      <c r="F822" s="4">
        <v>82801.091</v>
      </c>
      <c r="G822" s="4">
        <v>82801.091</v>
      </c>
      <c r="H822" s="5">
        <f>0 / 86400</f>
        <v>0</v>
      </c>
      <c r="I822" t="s">
        <v>26</v>
      </c>
      <c r="J822" t="s">
        <v>26</v>
      </c>
      <c r="K822" s="5">
        <f>1 / 86400</f>
        <v>1.1574074074074073E-5</v>
      </c>
      <c r="L822" s="5">
        <f>3 / 86400</f>
        <v>3.4722222222222222E-5</v>
      </c>
    </row>
    <row r="823" spans="1:12" x14ac:dyDescent="0.25">
      <c r="A823" s="3">
        <v>45711.433877314819</v>
      </c>
      <c r="B823" t="s">
        <v>73</v>
      </c>
      <c r="C823" s="3">
        <v>45711.433946759258</v>
      </c>
      <c r="D823" t="s">
        <v>73</v>
      </c>
      <c r="E823" s="4">
        <v>0</v>
      </c>
      <c r="F823" s="4">
        <v>82801.091</v>
      </c>
      <c r="G823" s="4">
        <v>82801.091</v>
      </c>
      <c r="H823" s="5">
        <f>0 / 86400</f>
        <v>0</v>
      </c>
      <c r="I823" t="s">
        <v>26</v>
      </c>
      <c r="J823" t="s">
        <v>26</v>
      </c>
      <c r="K823" s="5">
        <f>6 / 86400</f>
        <v>6.9444444444444444E-5</v>
      </c>
      <c r="L823" s="5">
        <f>4 / 86400</f>
        <v>4.6296296296296294E-5</v>
      </c>
    </row>
    <row r="824" spans="1:12" x14ac:dyDescent="0.25">
      <c r="A824" s="3">
        <v>45711.433993055558</v>
      </c>
      <c r="B824" t="s">
        <v>73</v>
      </c>
      <c r="C824" s="3">
        <v>45711.434016203704</v>
      </c>
      <c r="D824" t="s">
        <v>73</v>
      </c>
      <c r="E824" s="4">
        <v>0</v>
      </c>
      <c r="F824" s="4">
        <v>82801.091</v>
      </c>
      <c r="G824" s="4">
        <v>82801.091</v>
      </c>
      <c r="H824" s="5">
        <f>0 / 86400</f>
        <v>0</v>
      </c>
      <c r="I824" t="s">
        <v>26</v>
      </c>
      <c r="J824" t="s">
        <v>26</v>
      </c>
      <c r="K824" s="5">
        <f>2 / 86400</f>
        <v>2.3148148148148147E-5</v>
      </c>
      <c r="L824" s="5">
        <f>6 / 86400</f>
        <v>6.9444444444444444E-5</v>
      </c>
    </row>
    <row r="825" spans="1:12" x14ac:dyDescent="0.25">
      <c r="A825" s="3">
        <v>45711.434085648143</v>
      </c>
      <c r="B825" t="s">
        <v>73</v>
      </c>
      <c r="C825" s="3">
        <v>45711.435555555552</v>
      </c>
      <c r="D825" t="s">
        <v>73</v>
      </c>
      <c r="E825" s="4">
        <v>0</v>
      </c>
      <c r="F825" s="4">
        <v>82801.091</v>
      </c>
      <c r="G825" s="4">
        <v>82801.091</v>
      </c>
      <c r="H825" s="5">
        <f>119 / 86400</f>
        <v>1.3773148148148147E-3</v>
      </c>
      <c r="I825" t="s">
        <v>26</v>
      </c>
      <c r="J825" t="s">
        <v>26</v>
      </c>
      <c r="K825" s="5">
        <f>127 / 86400</f>
        <v>1.4699074074074074E-3</v>
      </c>
      <c r="L825" s="5">
        <f>16 / 86400</f>
        <v>1.8518518518518518E-4</v>
      </c>
    </row>
    <row r="826" spans="1:12" x14ac:dyDescent="0.25">
      <c r="A826" s="3">
        <v>45711.435740740737</v>
      </c>
      <c r="B826" t="s">
        <v>73</v>
      </c>
      <c r="C826" s="3">
        <v>45711.435763888891</v>
      </c>
      <c r="D826" t="s">
        <v>73</v>
      </c>
      <c r="E826" s="4">
        <v>0</v>
      </c>
      <c r="F826" s="4">
        <v>82801.091</v>
      </c>
      <c r="G826" s="4">
        <v>82801.091</v>
      </c>
      <c r="H826" s="5">
        <f>0 / 86400</f>
        <v>0</v>
      </c>
      <c r="I826" t="s">
        <v>26</v>
      </c>
      <c r="J826" t="s">
        <v>26</v>
      </c>
      <c r="K826" s="5">
        <f>1 / 86400</f>
        <v>1.1574074074074073E-5</v>
      </c>
      <c r="L826" s="5">
        <f>3253 / 86400</f>
        <v>3.7650462962962962E-2</v>
      </c>
    </row>
    <row r="827" spans="1:12" x14ac:dyDescent="0.25">
      <c r="A827" s="3">
        <v>45711.473414351851</v>
      </c>
      <c r="B827" t="s">
        <v>73</v>
      </c>
      <c r="C827" s="3">
        <v>45711.476666666669</v>
      </c>
      <c r="D827" t="s">
        <v>73</v>
      </c>
      <c r="E827" s="4">
        <v>0</v>
      </c>
      <c r="F827" s="4">
        <v>82801.091</v>
      </c>
      <c r="G827" s="4">
        <v>82801.091</v>
      </c>
      <c r="H827" s="5">
        <f>279 / 86400</f>
        <v>3.2291666666666666E-3</v>
      </c>
      <c r="I827" t="s">
        <v>26</v>
      </c>
      <c r="J827" t="s">
        <v>26</v>
      </c>
      <c r="K827" s="5">
        <f>280 / 86400</f>
        <v>3.2407407407407406E-3</v>
      </c>
      <c r="L827" s="5">
        <f>7138 / 86400</f>
        <v>8.261574074074074E-2</v>
      </c>
    </row>
    <row r="828" spans="1:12" x14ac:dyDescent="0.25">
      <c r="A828" s="3">
        <v>45711.559282407412</v>
      </c>
      <c r="B828" t="s">
        <v>73</v>
      </c>
      <c r="C828" s="3">
        <v>45711.563252314816</v>
      </c>
      <c r="D828" t="s">
        <v>73</v>
      </c>
      <c r="E828" s="4">
        <v>0</v>
      </c>
      <c r="F828" s="4">
        <v>82801.091</v>
      </c>
      <c r="G828" s="4">
        <v>82801.091</v>
      </c>
      <c r="H828" s="5">
        <f>339 / 86400</f>
        <v>3.9236111111111112E-3</v>
      </c>
      <c r="I828" t="s">
        <v>26</v>
      </c>
      <c r="J828" t="s">
        <v>26</v>
      </c>
      <c r="K828" s="5">
        <f>343 / 86400</f>
        <v>3.9699074074074072E-3</v>
      </c>
      <c r="L828" s="5">
        <f>350 / 86400</f>
        <v>4.0509259259259257E-3</v>
      </c>
    </row>
    <row r="829" spans="1:12" x14ac:dyDescent="0.25">
      <c r="A829" s="3">
        <v>45711.567303240736</v>
      </c>
      <c r="B829" t="s">
        <v>73</v>
      </c>
      <c r="C829" s="3">
        <v>45711.56753472222</v>
      </c>
      <c r="D829" t="s">
        <v>73</v>
      </c>
      <c r="E829" s="4">
        <v>0</v>
      </c>
      <c r="F829" s="4">
        <v>82801.091</v>
      </c>
      <c r="G829" s="4">
        <v>82801.091</v>
      </c>
      <c r="H829" s="5">
        <f>19 / 86400</f>
        <v>2.199074074074074E-4</v>
      </c>
      <c r="I829" t="s">
        <v>26</v>
      </c>
      <c r="J829" t="s">
        <v>26</v>
      </c>
      <c r="K829" s="5">
        <f>20 / 86400</f>
        <v>2.3148148148148149E-4</v>
      </c>
      <c r="L829" s="5">
        <f>3750 / 86400</f>
        <v>4.3402777777777776E-2</v>
      </c>
    </row>
    <row r="830" spans="1:12" x14ac:dyDescent="0.25">
      <c r="A830" s="3">
        <v>45711.610937500001</v>
      </c>
      <c r="B830" t="s">
        <v>73</v>
      </c>
      <c r="C830" s="3">
        <v>45711.611273148148</v>
      </c>
      <c r="D830" t="s">
        <v>73</v>
      </c>
      <c r="E830" s="4">
        <v>5.5E-2</v>
      </c>
      <c r="F830" s="4">
        <v>82801.091</v>
      </c>
      <c r="G830" s="4">
        <v>82801.145999999993</v>
      </c>
      <c r="H830" s="5">
        <f>19 / 86400</f>
        <v>2.199074074074074E-4</v>
      </c>
      <c r="I830" t="s">
        <v>190</v>
      </c>
      <c r="J830" t="s">
        <v>33</v>
      </c>
      <c r="K830" s="5">
        <f>28 / 86400</f>
        <v>3.2407407407407406E-4</v>
      </c>
      <c r="L830" s="5">
        <f>600 / 86400</f>
        <v>6.9444444444444441E-3</v>
      </c>
    </row>
    <row r="831" spans="1:12" x14ac:dyDescent="0.25">
      <c r="A831" s="3">
        <v>45711.618217592593</v>
      </c>
      <c r="B831" t="s">
        <v>73</v>
      </c>
      <c r="C831" s="3">
        <v>45711.626273148147</v>
      </c>
      <c r="D831" t="s">
        <v>73</v>
      </c>
      <c r="E831" s="4">
        <v>0</v>
      </c>
      <c r="F831" s="4">
        <v>82801.145999999993</v>
      </c>
      <c r="G831" s="4">
        <v>82801.145999999993</v>
      </c>
      <c r="H831" s="5">
        <f>659 / 86400</f>
        <v>7.6273148148148151E-3</v>
      </c>
      <c r="I831" t="s">
        <v>21</v>
      </c>
      <c r="J831" t="s">
        <v>26</v>
      </c>
      <c r="K831" s="5">
        <f>696 / 86400</f>
        <v>8.0555555555555554E-3</v>
      </c>
      <c r="L831" s="5">
        <f>22165 / 86400</f>
        <v>0.25653935185185184</v>
      </c>
    </row>
    <row r="832" spans="1:12" x14ac:dyDescent="0.25">
      <c r="A832" s="3">
        <v>45711.8828125</v>
      </c>
      <c r="B832" t="s">
        <v>73</v>
      </c>
      <c r="C832" s="3">
        <v>45711.895416666666</v>
      </c>
      <c r="D832" t="s">
        <v>402</v>
      </c>
      <c r="E832" s="4">
        <v>1.1739999999999999</v>
      </c>
      <c r="F832" s="4">
        <v>82801.145999999993</v>
      </c>
      <c r="G832" s="4">
        <v>82802.320000000007</v>
      </c>
      <c r="H832" s="5">
        <f>799 / 86400</f>
        <v>9.2476851851851852E-3</v>
      </c>
      <c r="I832" t="s">
        <v>212</v>
      </c>
      <c r="J832" t="s">
        <v>20</v>
      </c>
      <c r="K832" s="5">
        <f>1088 / 86400</f>
        <v>1.2592592592592593E-2</v>
      </c>
      <c r="L832" s="5">
        <f>211 / 86400</f>
        <v>2.4421296296296296E-3</v>
      </c>
    </row>
    <row r="833" spans="1:12" x14ac:dyDescent="0.25">
      <c r="A833" s="3">
        <v>45711.897858796292</v>
      </c>
      <c r="B833" t="s">
        <v>409</v>
      </c>
      <c r="C833" s="3">
        <v>45711.897893518515</v>
      </c>
      <c r="D833" t="s">
        <v>409</v>
      </c>
      <c r="E833" s="4">
        <v>0</v>
      </c>
      <c r="F833" s="4">
        <v>82802.320000000007</v>
      </c>
      <c r="G833" s="4">
        <v>82802.320000000007</v>
      </c>
      <c r="H833" s="5">
        <f>0 / 86400</f>
        <v>0</v>
      </c>
      <c r="I833" t="s">
        <v>26</v>
      </c>
      <c r="J833" t="s">
        <v>26</v>
      </c>
      <c r="K833" s="5">
        <f>2 / 86400</f>
        <v>2.3148148148148147E-5</v>
      </c>
      <c r="L833" s="5">
        <f>173 / 86400</f>
        <v>2.0023148148148148E-3</v>
      </c>
    </row>
    <row r="834" spans="1:12" x14ac:dyDescent="0.25">
      <c r="A834" s="3">
        <v>45711.899895833332</v>
      </c>
      <c r="B834" t="s">
        <v>402</v>
      </c>
      <c r="C834" s="3">
        <v>45711.904560185183</v>
      </c>
      <c r="D834" t="s">
        <v>73</v>
      </c>
      <c r="E834" s="4">
        <v>1.206</v>
      </c>
      <c r="F834" s="4">
        <v>82802.320000000007</v>
      </c>
      <c r="G834" s="4">
        <v>82803.525999999998</v>
      </c>
      <c r="H834" s="5">
        <f>120 / 86400</f>
        <v>1.3888888888888889E-3</v>
      </c>
      <c r="I834" t="s">
        <v>52</v>
      </c>
      <c r="J834" t="s">
        <v>41</v>
      </c>
      <c r="K834" s="5">
        <f>403 / 86400</f>
        <v>4.6643518518518518E-3</v>
      </c>
      <c r="L834" s="5">
        <f>8245 / 86400</f>
        <v>9.5428240740740744E-2</v>
      </c>
    </row>
    <row r="835" spans="1:12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</row>
    <row r="836" spans="1:12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</row>
    <row r="837" spans="1:12" s="10" customFormat="1" ht="20.100000000000001" customHeight="1" x14ac:dyDescent="0.35">
      <c r="A837" s="12" t="s">
        <v>464</v>
      </c>
      <c r="B837" s="12"/>
      <c r="C837" s="12"/>
      <c r="D837" s="12"/>
      <c r="E837" s="12"/>
      <c r="F837" s="12"/>
      <c r="G837" s="12"/>
      <c r="H837" s="12"/>
      <c r="I837" s="12"/>
      <c r="J837" s="12"/>
    </row>
    <row r="838" spans="1:12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</row>
    <row r="839" spans="1:12" ht="30" x14ac:dyDescent="0.25">
      <c r="A839" s="2" t="s">
        <v>6</v>
      </c>
      <c r="B839" s="2" t="s">
        <v>7</v>
      </c>
      <c r="C839" s="2" t="s">
        <v>8</v>
      </c>
      <c r="D839" s="2" t="s">
        <v>9</v>
      </c>
      <c r="E839" s="2" t="s">
        <v>10</v>
      </c>
      <c r="F839" s="2" t="s">
        <v>11</v>
      </c>
      <c r="G839" s="2" t="s">
        <v>12</v>
      </c>
      <c r="H839" s="2" t="s">
        <v>13</v>
      </c>
      <c r="I839" s="2" t="s">
        <v>14</v>
      </c>
      <c r="J839" s="2" t="s">
        <v>15</v>
      </c>
      <c r="K839" s="2" t="s">
        <v>16</v>
      </c>
      <c r="L839" s="2" t="s">
        <v>17</v>
      </c>
    </row>
    <row r="840" spans="1:12" x14ac:dyDescent="0.25">
      <c r="A840" s="3">
        <v>45711</v>
      </c>
      <c r="B840" t="s">
        <v>74</v>
      </c>
      <c r="C840" s="3">
        <v>45711.05541666667</v>
      </c>
      <c r="D840" t="s">
        <v>101</v>
      </c>
      <c r="E840" s="4">
        <v>30.076000000000001</v>
      </c>
      <c r="F840" s="4">
        <v>471898.15100000001</v>
      </c>
      <c r="G840" s="4">
        <v>471928.22700000001</v>
      </c>
      <c r="H840" s="5">
        <f>919 / 86400</f>
        <v>1.0636574074074074E-2</v>
      </c>
      <c r="I840" t="s">
        <v>83</v>
      </c>
      <c r="J840" t="s">
        <v>142</v>
      </c>
      <c r="K840" s="5">
        <f>4788 / 86400</f>
        <v>5.541666666666667E-2</v>
      </c>
      <c r="L840" s="5">
        <f>789 / 86400</f>
        <v>9.1319444444444443E-3</v>
      </c>
    </row>
    <row r="841" spans="1:12" x14ac:dyDescent="0.25">
      <c r="A841" s="3">
        <v>45711.06454861111</v>
      </c>
      <c r="B841" t="s">
        <v>101</v>
      </c>
      <c r="C841" s="3">
        <v>45711.065266203703</v>
      </c>
      <c r="D841" t="s">
        <v>101</v>
      </c>
      <c r="E841" s="4">
        <v>1.2E-2</v>
      </c>
      <c r="F841" s="4">
        <v>471928.22700000001</v>
      </c>
      <c r="G841" s="4">
        <v>471928.239</v>
      </c>
      <c r="H841" s="5">
        <f>59 / 86400</f>
        <v>6.8287037037037036E-4</v>
      </c>
      <c r="I841" t="s">
        <v>26</v>
      </c>
      <c r="J841" t="s">
        <v>21</v>
      </c>
      <c r="K841" s="5">
        <f>61 / 86400</f>
        <v>7.0601851851851847E-4</v>
      </c>
      <c r="L841" s="5">
        <f>708 / 86400</f>
        <v>8.1944444444444452E-3</v>
      </c>
    </row>
    <row r="842" spans="1:12" x14ac:dyDescent="0.25">
      <c r="A842" s="3">
        <v>45711.073460648149</v>
      </c>
      <c r="B842" t="s">
        <v>101</v>
      </c>
      <c r="C842" s="3">
        <v>45711.156435185185</v>
      </c>
      <c r="D842" t="s">
        <v>235</v>
      </c>
      <c r="E842" s="4">
        <v>43.65</v>
      </c>
      <c r="F842" s="4">
        <v>471928.239</v>
      </c>
      <c r="G842" s="4">
        <v>471971.88900000002</v>
      </c>
      <c r="H842" s="5">
        <f>2018 / 86400</f>
        <v>2.3356481481481482E-2</v>
      </c>
      <c r="I842" t="s">
        <v>92</v>
      </c>
      <c r="J842" t="s">
        <v>91</v>
      </c>
      <c r="K842" s="5">
        <f>7168 / 86400</f>
        <v>8.2962962962962961E-2</v>
      </c>
      <c r="L842" s="5">
        <f>238 / 86400</f>
        <v>2.7546296296296294E-3</v>
      </c>
    </row>
    <row r="843" spans="1:12" x14ac:dyDescent="0.25">
      <c r="A843" s="3">
        <v>45711.159189814818</v>
      </c>
      <c r="B843" t="s">
        <v>235</v>
      </c>
      <c r="C843" s="3">
        <v>45711.159236111111</v>
      </c>
      <c r="D843" t="s">
        <v>235</v>
      </c>
      <c r="E843" s="4">
        <v>0</v>
      </c>
      <c r="F843" s="4">
        <v>471971.88900000002</v>
      </c>
      <c r="G843" s="4">
        <v>471971.88900000002</v>
      </c>
      <c r="H843" s="5">
        <f>0 / 86400</f>
        <v>0</v>
      </c>
      <c r="I843" t="s">
        <v>26</v>
      </c>
      <c r="J843" t="s">
        <v>26</v>
      </c>
      <c r="K843" s="5">
        <f>3 / 86400</f>
        <v>3.4722222222222222E-5</v>
      </c>
      <c r="L843" s="5">
        <f>242 / 86400</f>
        <v>2.8009259259259259E-3</v>
      </c>
    </row>
    <row r="844" spans="1:12" x14ac:dyDescent="0.25">
      <c r="A844" s="3">
        <v>45711.162037037036</v>
      </c>
      <c r="B844" t="s">
        <v>235</v>
      </c>
      <c r="C844" s="3">
        <v>45711.268530092595</v>
      </c>
      <c r="D844" t="s">
        <v>204</v>
      </c>
      <c r="E844" s="4">
        <v>54.56</v>
      </c>
      <c r="F844" s="4">
        <v>471971.88900000002</v>
      </c>
      <c r="G844" s="4">
        <v>472026.44900000002</v>
      </c>
      <c r="H844" s="5">
        <f>2318 / 86400</f>
        <v>2.6828703703703705E-2</v>
      </c>
      <c r="I844" t="s">
        <v>23</v>
      </c>
      <c r="J844" t="s">
        <v>67</v>
      </c>
      <c r="K844" s="5">
        <f>9200 / 86400</f>
        <v>0.10648148148148148</v>
      </c>
      <c r="L844" s="5">
        <f>24 / 86400</f>
        <v>2.7777777777777778E-4</v>
      </c>
    </row>
    <row r="845" spans="1:12" x14ac:dyDescent="0.25">
      <c r="A845" s="3">
        <v>45711.268807870365</v>
      </c>
      <c r="B845" t="s">
        <v>204</v>
      </c>
      <c r="C845" s="3">
        <v>45711.368738425925</v>
      </c>
      <c r="D845" t="s">
        <v>115</v>
      </c>
      <c r="E845" s="4">
        <v>43.393000000000001</v>
      </c>
      <c r="F845" s="4">
        <v>472026.44900000002</v>
      </c>
      <c r="G845" s="4">
        <v>472069.842</v>
      </c>
      <c r="H845" s="5">
        <f>2120 / 86400</f>
        <v>2.4537037037037038E-2</v>
      </c>
      <c r="I845" t="s">
        <v>224</v>
      </c>
      <c r="J845" t="s">
        <v>38</v>
      </c>
      <c r="K845" s="5">
        <f>8633 / 86400</f>
        <v>9.9918981481481484E-2</v>
      </c>
      <c r="L845" s="5">
        <f>536 / 86400</f>
        <v>6.2037037037037035E-3</v>
      </c>
    </row>
    <row r="846" spans="1:12" x14ac:dyDescent="0.25">
      <c r="A846" s="3">
        <v>45711.374942129631</v>
      </c>
      <c r="B846" t="s">
        <v>115</v>
      </c>
      <c r="C846" s="3">
        <v>45711.378414351857</v>
      </c>
      <c r="D846" t="s">
        <v>118</v>
      </c>
      <c r="E846" s="4">
        <v>1.137</v>
      </c>
      <c r="F846" s="4">
        <v>472069.842</v>
      </c>
      <c r="G846" s="4">
        <v>472070.97899999999</v>
      </c>
      <c r="H846" s="5">
        <f>20 / 86400</f>
        <v>2.3148148148148149E-4</v>
      </c>
      <c r="I846" t="s">
        <v>130</v>
      </c>
      <c r="J846" t="s">
        <v>116</v>
      </c>
      <c r="K846" s="5">
        <f>299 / 86400</f>
        <v>3.460648148148148E-3</v>
      </c>
      <c r="L846" s="5">
        <f>1210 / 86400</f>
        <v>1.4004629629629629E-2</v>
      </c>
    </row>
    <row r="847" spans="1:12" x14ac:dyDescent="0.25">
      <c r="A847" s="3">
        <v>45711.392418981486</v>
      </c>
      <c r="B847" t="s">
        <v>111</v>
      </c>
      <c r="C847" s="3">
        <v>45711.393159722225</v>
      </c>
      <c r="D847" t="s">
        <v>259</v>
      </c>
      <c r="E847" s="4">
        <v>0.16</v>
      </c>
      <c r="F847" s="4">
        <v>472070.97899999999</v>
      </c>
      <c r="G847" s="4">
        <v>472071.13900000002</v>
      </c>
      <c r="H847" s="5">
        <f>0 / 86400</f>
        <v>0</v>
      </c>
      <c r="I847" t="s">
        <v>47</v>
      </c>
      <c r="J847" t="s">
        <v>155</v>
      </c>
      <c r="K847" s="5">
        <f>63 / 86400</f>
        <v>7.291666666666667E-4</v>
      </c>
      <c r="L847" s="5">
        <f>1708 / 86400</f>
        <v>1.9768518518518519E-2</v>
      </c>
    </row>
    <row r="848" spans="1:12" x14ac:dyDescent="0.25">
      <c r="A848" s="3">
        <v>45711.412928240738</v>
      </c>
      <c r="B848" t="s">
        <v>259</v>
      </c>
      <c r="C848" s="3">
        <v>45711.413414351853</v>
      </c>
      <c r="D848" t="s">
        <v>259</v>
      </c>
      <c r="E848" s="4">
        <v>1.7999999999999999E-2</v>
      </c>
      <c r="F848" s="4">
        <v>472071.13900000002</v>
      </c>
      <c r="G848" s="4">
        <v>472071.15700000001</v>
      </c>
      <c r="H848" s="5">
        <f>20 / 86400</f>
        <v>2.3148148148148149E-4</v>
      </c>
      <c r="I848" t="s">
        <v>69</v>
      </c>
      <c r="J848" t="s">
        <v>190</v>
      </c>
      <c r="K848" s="5">
        <f>41 / 86400</f>
        <v>4.7453703703703704E-4</v>
      </c>
      <c r="L848" s="5">
        <f>1611 / 86400</f>
        <v>1.8645833333333334E-2</v>
      </c>
    </row>
    <row r="849" spans="1:12" x14ac:dyDescent="0.25">
      <c r="A849" s="3">
        <v>45711.432060185187</v>
      </c>
      <c r="B849" t="s">
        <v>259</v>
      </c>
      <c r="C849" s="3">
        <v>45711.439930555556</v>
      </c>
      <c r="D849" t="s">
        <v>115</v>
      </c>
      <c r="E849" s="4">
        <v>1.53</v>
      </c>
      <c r="F849" s="4">
        <v>472071.15700000001</v>
      </c>
      <c r="G849" s="4">
        <v>472072.68699999998</v>
      </c>
      <c r="H849" s="5">
        <f>259 / 86400</f>
        <v>2.9976851851851853E-3</v>
      </c>
      <c r="I849" t="s">
        <v>72</v>
      </c>
      <c r="J849" t="s">
        <v>113</v>
      </c>
      <c r="K849" s="5">
        <f>679 / 86400</f>
        <v>7.858796296296296E-3</v>
      </c>
      <c r="L849" s="5">
        <f>1637 / 86400</f>
        <v>1.894675925925926E-2</v>
      </c>
    </row>
    <row r="850" spans="1:12" x14ac:dyDescent="0.25">
      <c r="A850" s="3">
        <v>45711.458877314813</v>
      </c>
      <c r="B850" t="s">
        <v>115</v>
      </c>
      <c r="C850" s="3">
        <v>45711.52716435185</v>
      </c>
      <c r="D850" t="s">
        <v>84</v>
      </c>
      <c r="E850" s="4">
        <v>39.112000000000002</v>
      </c>
      <c r="F850" s="4">
        <v>472072.68699999998</v>
      </c>
      <c r="G850" s="4">
        <v>472111.799</v>
      </c>
      <c r="H850" s="5">
        <f>1740 / 86400</f>
        <v>2.013888888888889E-2</v>
      </c>
      <c r="I850" t="s">
        <v>76</v>
      </c>
      <c r="J850" t="s">
        <v>31</v>
      </c>
      <c r="K850" s="5">
        <f>5900 / 86400</f>
        <v>6.8287037037037035E-2</v>
      </c>
      <c r="L850" s="5">
        <f>3 / 86400</f>
        <v>3.4722222222222222E-5</v>
      </c>
    </row>
    <row r="851" spans="1:12" x14ac:dyDescent="0.25">
      <c r="A851" s="3">
        <v>45711.527199074073</v>
      </c>
      <c r="B851" t="s">
        <v>84</v>
      </c>
      <c r="C851" s="3">
        <v>45711.656342592592</v>
      </c>
      <c r="D851" t="s">
        <v>118</v>
      </c>
      <c r="E851" s="4">
        <v>60.707000000000001</v>
      </c>
      <c r="F851" s="4">
        <v>472111.799</v>
      </c>
      <c r="G851" s="4">
        <v>472172.50599999999</v>
      </c>
      <c r="H851" s="5">
        <f>3143 / 86400</f>
        <v>3.6377314814814814E-2</v>
      </c>
      <c r="I851" t="s">
        <v>89</v>
      </c>
      <c r="J851" t="s">
        <v>24</v>
      </c>
      <c r="K851" s="5">
        <f>11158 / 86400</f>
        <v>0.12914351851851852</v>
      </c>
      <c r="L851" s="5">
        <f>743 / 86400</f>
        <v>8.5995370370370375E-3</v>
      </c>
    </row>
    <row r="852" spans="1:12" x14ac:dyDescent="0.25">
      <c r="A852" s="3">
        <v>45711.664942129632</v>
      </c>
      <c r="B852" t="s">
        <v>118</v>
      </c>
      <c r="C852" s="3">
        <v>45711.668587962966</v>
      </c>
      <c r="D852" t="s">
        <v>396</v>
      </c>
      <c r="E852" s="4">
        <v>0.72399999999999998</v>
      </c>
      <c r="F852" s="4">
        <v>472172.50599999999</v>
      </c>
      <c r="G852" s="4">
        <v>472173.23</v>
      </c>
      <c r="H852" s="5">
        <f>160 / 86400</f>
        <v>1.8518518518518519E-3</v>
      </c>
      <c r="I852" t="s">
        <v>72</v>
      </c>
      <c r="J852" t="s">
        <v>113</v>
      </c>
      <c r="K852" s="5">
        <f>315 / 86400</f>
        <v>3.6458333333333334E-3</v>
      </c>
      <c r="L852" s="5">
        <f>558 / 86400</f>
        <v>6.4583333333333333E-3</v>
      </c>
    </row>
    <row r="853" spans="1:12" x14ac:dyDescent="0.25">
      <c r="A853" s="3">
        <v>45711.675046296295</v>
      </c>
      <c r="B853" t="s">
        <v>396</v>
      </c>
      <c r="C853" s="3">
        <v>45711.675081018519</v>
      </c>
      <c r="D853" t="s">
        <v>396</v>
      </c>
      <c r="E853" s="4">
        <v>0</v>
      </c>
      <c r="F853" s="4">
        <v>472173.23</v>
      </c>
      <c r="G853" s="4">
        <v>472173.23</v>
      </c>
      <c r="H853" s="5">
        <f>0 / 86400</f>
        <v>0</v>
      </c>
      <c r="I853" t="s">
        <v>26</v>
      </c>
      <c r="J853" t="s">
        <v>26</v>
      </c>
      <c r="K853" s="5">
        <f>3 / 86400</f>
        <v>3.4722222222222222E-5</v>
      </c>
      <c r="L853" s="5">
        <f>20 / 86400</f>
        <v>2.3148148148148149E-4</v>
      </c>
    </row>
    <row r="854" spans="1:12" x14ac:dyDescent="0.25">
      <c r="A854" s="3">
        <v>45711.675312499996</v>
      </c>
      <c r="B854" t="s">
        <v>396</v>
      </c>
      <c r="C854" s="3">
        <v>45711.675335648149</v>
      </c>
      <c r="D854" t="s">
        <v>396</v>
      </c>
      <c r="E854" s="4">
        <v>0</v>
      </c>
      <c r="F854" s="4">
        <v>472173.23</v>
      </c>
      <c r="G854" s="4">
        <v>472173.23</v>
      </c>
      <c r="H854" s="5">
        <f>0 / 86400</f>
        <v>0</v>
      </c>
      <c r="I854" t="s">
        <v>26</v>
      </c>
      <c r="J854" t="s">
        <v>26</v>
      </c>
      <c r="K854" s="5">
        <f>2 / 86400</f>
        <v>2.3148148148148147E-5</v>
      </c>
      <c r="L854" s="5">
        <f>82 / 86400</f>
        <v>9.4907407407407408E-4</v>
      </c>
    </row>
    <row r="855" spans="1:12" x14ac:dyDescent="0.25">
      <c r="A855" s="3">
        <v>45711.676284722227</v>
      </c>
      <c r="B855" t="s">
        <v>396</v>
      </c>
      <c r="C855" s="3">
        <v>45711.677060185189</v>
      </c>
      <c r="D855" t="s">
        <v>396</v>
      </c>
      <c r="E855" s="4">
        <v>0</v>
      </c>
      <c r="F855" s="4">
        <v>472173.23</v>
      </c>
      <c r="G855" s="4">
        <v>472173.23</v>
      </c>
      <c r="H855" s="5">
        <f>59 / 86400</f>
        <v>6.8287037037037036E-4</v>
      </c>
      <c r="I855" t="s">
        <v>26</v>
      </c>
      <c r="J855" t="s">
        <v>26</v>
      </c>
      <c r="K855" s="5">
        <f>67 / 86400</f>
        <v>7.7546296296296293E-4</v>
      </c>
      <c r="L855" s="5">
        <f>14 / 86400</f>
        <v>1.6203703703703703E-4</v>
      </c>
    </row>
    <row r="856" spans="1:12" x14ac:dyDescent="0.25">
      <c r="A856" s="3">
        <v>45711.677222222221</v>
      </c>
      <c r="B856" t="s">
        <v>396</v>
      </c>
      <c r="C856" s="3">
        <v>45711.686111111107</v>
      </c>
      <c r="D856" t="s">
        <v>75</v>
      </c>
      <c r="E856" s="4">
        <v>0.68899999999999995</v>
      </c>
      <c r="F856" s="4">
        <v>472173.23</v>
      </c>
      <c r="G856" s="4">
        <v>472173.91899999999</v>
      </c>
      <c r="H856" s="5">
        <f>459 / 86400</f>
        <v>5.3125000000000004E-3</v>
      </c>
      <c r="I856" t="s">
        <v>142</v>
      </c>
      <c r="J856" t="s">
        <v>69</v>
      </c>
      <c r="K856" s="5">
        <f>768 / 86400</f>
        <v>8.8888888888888889E-3</v>
      </c>
      <c r="L856" s="5">
        <f>22241 / 86400</f>
        <v>0.25741898148148146</v>
      </c>
    </row>
    <row r="857" spans="1:12" x14ac:dyDescent="0.25">
      <c r="A857" s="3">
        <v>45711.943530092598</v>
      </c>
      <c r="B857" t="s">
        <v>75</v>
      </c>
      <c r="C857" s="3">
        <v>45711.944004629629</v>
      </c>
      <c r="D857" t="s">
        <v>75</v>
      </c>
      <c r="E857" s="4">
        <v>0</v>
      </c>
      <c r="F857" s="4">
        <v>472173.91899999999</v>
      </c>
      <c r="G857" s="4">
        <v>472173.91899999999</v>
      </c>
      <c r="H857" s="5">
        <f>39 / 86400</f>
        <v>4.5138888888888887E-4</v>
      </c>
      <c r="I857" t="s">
        <v>26</v>
      </c>
      <c r="J857" t="s">
        <v>26</v>
      </c>
      <c r="K857" s="5">
        <f>41 / 86400</f>
        <v>4.7453703703703704E-4</v>
      </c>
      <c r="L857" s="5">
        <f>477 / 86400</f>
        <v>5.5208333333333333E-3</v>
      </c>
    </row>
    <row r="858" spans="1:12" x14ac:dyDescent="0.25">
      <c r="A858" s="3">
        <v>45711.949525462958</v>
      </c>
      <c r="B858" t="s">
        <v>75</v>
      </c>
      <c r="C858" s="3">
        <v>45711.949791666666</v>
      </c>
      <c r="D858" t="s">
        <v>75</v>
      </c>
      <c r="E858" s="4">
        <v>0</v>
      </c>
      <c r="F858" s="4">
        <v>472173.91899999999</v>
      </c>
      <c r="G858" s="4">
        <v>472173.91899999999</v>
      </c>
      <c r="H858" s="5">
        <f>19 / 86400</f>
        <v>2.199074074074074E-4</v>
      </c>
      <c r="I858" t="s">
        <v>26</v>
      </c>
      <c r="J858" t="s">
        <v>26</v>
      </c>
      <c r="K858" s="5">
        <f>23 / 86400</f>
        <v>2.6620370370370372E-4</v>
      </c>
      <c r="L858" s="5">
        <f>2 / 86400</f>
        <v>2.3148148148148147E-5</v>
      </c>
    </row>
    <row r="859" spans="1:12" x14ac:dyDescent="0.25">
      <c r="A859" s="3">
        <v>45711.949814814812</v>
      </c>
      <c r="B859" t="s">
        <v>75</v>
      </c>
      <c r="C859" s="3">
        <v>45711.949907407412</v>
      </c>
      <c r="D859" t="s">
        <v>75</v>
      </c>
      <c r="E859" s="4">
        <v>0</v>
      </c>
      <c r="F859" s="4">
        <v>472173.91899999999</v>
      </c>
      <c r="G859" s="4">
        <v>472173.91899999999</v>
      </c>
      <c r="H859" s="5">
        <f>0 / 86400</f>
        <v>0</v>
      </c>
      <c r="I859" t="s">
        <v>26</v>
      </c>
      <c r="J859" t="s">
        <v>26</v>
      </c>
      <c r="K859" s="5">
        <f>8 / 86400</f>
        <v>9.2592592592592588E-5</v>
      </c>
      <c r="L859" s="5">
        <f>278 / 86400</f>
        <v>3.2175925925925926E-3</v>
      </c>
    </row>
    <row r="860" spans="1:12" x14ac:dyDescent="0.25">
      <c r="A860" s="3">
        <v>45711.953125</v>
      </c>
      <c r="B860" t="s">
        <v>75</v>
      </c>
      <c r="C860" s="3">
        <v>45711.953321759254</v>
      </c>
      <c r="D860" t="s">
        <v>75</v>
      </c>
      <c r="E860" s="4">
        <v>0</v>
      </c>
      <c r="F860" s="4">
        <v>472173.91899999999</v>
      </c>
      <c r="G860" s="4">
        <v>472173.91899999999</v>
      </c>
      <c r="H860" s="5">
        <f>0 / 86400</f>
        <v>0</v>
      </c>
      <c r="I860" t="s">
        <v>26</v>
      </c>
      <c r="J860" t="s">
        <v>26</v>
      </c>
      <c r="K860" s="5">
        <f>17 / 86400</f>
        <v>1.9675925925925926E-4</v>
      </c>
      <c r="L860" s="5">
        <f>4032 / 86400</f>
        <v>4.6666666666666669E-2</v>
      </c>
    </row>
    <row r="861" spans="1:12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</row>
    <row r="862" spans="1:12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</row>
    <row r="863" spans="1:12" s="10" customFormat="1" ht="20.100000000000001" customHeight="1" x14ac:dyDescent="0.35">
      <c r="A863" s="12" t="s">
        <v>465</v>
      </c>
      <c r="B863" s="12"/>
      <c r="C863" s="12"/>
      <c r="D863" s="12"/>
      <c r="E863" s="12"/>
      <c r="F863" s="12"/>
      <c r="G863" s="12"/>
      <c r="H863" s="12"/>
      <c r="I863" s="12"/>
      <c r="J863" s="12"/>
    </row>
    <row r="864" spans="1:12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</row>
    <row r="865" spans="1:12" ht="30" x14ac:dyDescent="0.25">
      <c r="A865" s="2" t="s">
        <v>6</v>
      </c>
      <c r="B865" s="2" t="s">
        <v>7</v>
      </c>
      <c r="C865" s="2" t="s">
        <v>8</v>
      </c>
      <c r="D865" s="2" t="s">
        <v>9</v>
      </c>
      <c r="E865" s="2" t="s">
        <v>10</v>
      </c>
      <c r="F865" s="2" t="s">
        <v>11</v>
      </c>
      <c r="G865" s="2" t="s">
        <v>12</v>
      </c>
      <c r="H865" s="2" t="s">
        <v>13</v>
      </c>
      <c r="I865" s="2" t="s">
        <v>14</v>
      </c>
      <c r="J865" s="2" t="s">
        <v>15</v>
      </c>
      <c r="K865" s="2" t="s">
        <v>16</v>
      </c>
      <c r="L865" s="2" t="s">
        <v>17</v>
      </c>
    </row>
    <row r="866" spans="1:12" x14ac:dyDescent="0.25">
      <c r="A866" s="3">
        <v>45711.219363425931</v>
      </c>
      <c r="B866" t="s">
        <v>77</v>
      </c>
      <c r="C866" s="3">
        <v>45711.223935185189</v>
      </c>
      <c r="D866" t="s">
        <v>77</v>
      </c>
      <c r="E866" s="4">
        <v>0</v>
      </c>
      <c r="F866" s="4">
        <v>428213.33600000001</v>
      </c>
      <c r="G866" s="4">
        <v>428213.33600000001</v>
      </c>
      <c r="H866" s="5">
        <f>379 / 86400</f>
        <v>4.386574074074074E-3</v>
      </c>
      <c r="I866" t="s">
        <v>26</v>
      </c>
      <c r="J866" t="s">
        <v>26</v>
      </c>
      <c r="K866" s="5">
        <f>395 / 86400</f>
        <v>4.5717592592592589E-3</v>
      </c>
      <c r="L866" s="5">
        <f>19230 / 86400</f>
        <v>0.22256944444444443</v>
      </c>
    </row>
    <row r="867" spans="1:12" x14ac:dyDescent="0.25">
      <c r="A867" s="3">
        <v>45711.227141203708</v>
      </c>
      <c r="B867" t="s">
        <v>77</v>
      </c>
      <c r="C867" s="3">
        <v>45711.231990740736</v>
      </c>
      <c r="D867" t="s">
        <v>77</v>
      </c>
      <c r="E867" s="4">
        <v>0</v>
      </c>
      <c r="F867" s="4">
        <v>428213.33600000001</v>
      </c>
      <c r="G867" s="4">
        <v>428213.33600000001</v>
      </c>
      <c r="H867" s="5">
        <f>399 / 86400</f>
        <v>4.6180555555555558E-3</v>
      </c>
      <c r="I867" t="s">
        <v>26</v>
      </c>
      <c r="J867" t="s">
        <v>26</v>
      </c>
      <c r="K867" s="5">
        <f>419 / 86400</f>
        <v>4.8495370370370368E-3</v>
      </c>
      <c r="L867" s="5">
        <f>363 / 86400</f>
        <v>4.2013888888888891E-3</v>
      </c>
    </row>
    <row r="868" spans="1:12" x14ac:dyDescent="0.25">
      <c r="A868" s="3">
        <v>45711.236192129625</v>
      </c>
      <c r="B868" t="s">
        <v>77</v>
      </c>
      <c r="C868" s="3">
        <v>45711.455509259264</v>
      </c>
      <c r="D868" t="s">
        <v>77</v>
      </c>
      <c r="E868" s="4">
        <v>0</v>
      </c>
      <c r="F868" s="4">
        <v>428213.33600000001</v>
      </c>
      <c r="G868" s="4">
        <v>428213.33600000001</v>
      </c>
      <c r="H868" s="5">
        <f>18929 / 86400</f>
        <v>0.21908564814814815</v>
      </c>
      <c r="I868" t="s">
        <v>26</v>
      </c>
      <c r="J868" t="s">
        <v>26</v>
      </c>
      <c r="K868" s="5">
        <f>18949 / 86400</f>
        <v>0.21931712962962963</v>
      </c>
      <c r="L868" s="5">
        <f>2381 / 86400</f>
        <v>2.7557870370370371E-2</v>
      </c>
    </row>
    <row r="869" spans="1:12" x14ac:dyDescent="0.25">
      <c r="A869" s="3">
        <v>45711.483067129629</v>
      </c>
      <c r="B869" t="s">
        <v>77</v>
      </c>
      <c r="C869" s="3">
        <v>45711.613425925927</v>
      </c>
      <c r="D869" t="s">
        <v>77</v>
      </c>
      <c r="E869" s="4">
        <v>0</v>
      </c>
      <c r="F869" s="4">
        <v>428213.33600000001</v>
      </c>
      <c r="G869" s="4">
        <v>428213.33600000001</v>
      </c>
      <c r="H869" s="5">
        <f>11249 / 86400</f>
        <v>0.13019675925925925</v>
      </c>
      <c r="I869" t="s">
        <v>26</v>
      </c>
      <c r="J869" t="s">
        <v>26</v>
      </c>
      <c r="K869" s="5">
        <f>11263 / 86400</f>
        <v>0.13035879629629629</v>
      </c>
      <c r="L869" s="5">
        <f>1 / 86400</f>
        <v>1.1574074074074073E-5</v>
      </c>
    </row>
    <row r="870" spans="1:12" x14ac:dyDescent="0.25">
      <c r="A870" s="3">
        <v>45711.613437499997</v>
      </c>
      <c r="B870" t="s">
        <v>77</v>
      </c>
      <c r="C870" s="3">
        <v>45711.613449074073</v>
      </c>
      <c r="D870" t="s">
        <v>77</v>
      </c>
      <c r="E870" s="4">
        <v>0</v>
      </c>
      <c r="F870" s="4">
        <v>428213.33600000001</v>
      </c>
      <c r="G870" s="4">
        <v>428213.33600000001</v>
      </c>
      <c r="H870" s="5">
        <f>0 / 86400</f>
        <v>0</v>
      </c>
      <c r="I870" t="s">
        <v>26</v>
      </c>
      <c r="J870" t="s">
        <v>26</v>
      </c>
      <c r="K870" s="5">
        <f>1 / 86400</f>
        <v>1.1574074074074073E-5</v>
      </c>
      <c r="L870" s="5">
        <f>23 / 86400</f>
        <v>2.6620370370370372E-4</v>
      </c>
    </row>
    <row r="871" spans="1:12" x14ac:dyDescent="0.25">
      <c r="A871" s="3">
        <v>45711.613715277781</v>
      </c>
      <c r="B871" t="s">
        <v>77</v>
      </c>
      <c r="C871" s="3">
        <v>45711.635648148149</v>
      </c>
      <c r="D871" t="s">
        <v>77</v>
      </c>
      <c r="E871" s="4">
        <v>0</v>
      </c>
      <c r="F871" s="4">
        <v>428213.33600000001</v>
      </c>
      <c r="G871" s="4">
        <v>428213.33600000001</v>
      </c>
      <c r="H871" s="5">
        <f>1889 / 86400</f>
        <v>2.1863425925925925E-2</v>
      </c>
      <c r="I871" t="s">
        <v>26</v>
      </c>
      <c r="J871" t="s">
        <v>26</v>
      </c>
      <c r="K871" s="5">
        <f>1895 / 86400</f>
        <v>2.193287037037037E-2</v>
      </c>
      <c r="L871" s="5">
        <f>602 / 86400</f>
        <v>6.9675925925925929E-3</v>
      </c>
    </row>
    <row r="872" spans="1:12" x14ac:dyDescent="0.25">
      <c r="A872" s="3">
        <v>45711.64261574074</v>
      </c>
      <c r="B872" t="s">
        <v>77</v>
      </c>
      <c r="C872" s="3">
        <v>45711.64466435185</v>
      </c>
      <c r="D872" t="s">
        <v>77</v>
      </c>
      <c r="E872" s="4">
        <v>0</v>
      </c>
      <c r="F872" s="4">
        <v>428213.33600000001</v>
      </c>
      <c r="G872" s="4">
        <v>428213.33600000001</v>
      </c>
      <c r="H872" s="5">
        <f>159 / 86400</f>
        <v>1.8402777777777777E-3</v>
      </c>
      <c r="I872" t="s">
        <v>26</v>
      </c>
      <c r="J872" t="s">
        <v>26</v>
      </c>
      <c r="K872" s="5">
        <f>177 / 86400</f>
        <v>2.0486111111111113E-3</v>
      </c>
      <c r="L872" s="5">
        <f>1547 / 86400</f>
        <v>1.7905092592592594E-2</v>
      </c>
    </row>
    <row r="873" spans="1:12" x14ac:dyDescent="0.25">
      <c r="A873" s="3">
        <v>45711.662569444445</v>
      </c>
      <c r="B873" t="s">
        <v>77</v>
      </c>
      <c r="C873" s="3">
        <v>45711.663831018523</v>
      </c>
      <c r="D873" t="s">
        <v>77</v>
      </c>
      <c r="E873" s="4">
        <v>0</v>
      </c>
      <c r="F873" s="4">
        <v>428213.33600000001</v>
      </c>
      <c r="G873" s="4">
        <v>428213.33600000001</v>
      </c>
      <c r="H873" s="5">
        <f>99 / 86400</f>
        <v>1.1458333333333333E-3</v>
      </c>
      <c r="I873" t="s">
        <v>26</v>
      </c>
      <c r="J873" t="s">
        <v>26</v>
      </c>
      <c r="K873" s="5">
        <f>109 / 86400</f>
        <v>1.261574074074074E-3</v>
      </c>
      <c r="L873" s="5">
        <f>68 / 86400</f>
        <v>7.8703703703703705E-4</v>
      </c>
    </row>
    <row r="874" spans="1:12" x14ac:dyDescent="0.25">
      <c r="A874" s="3">
        <v>45711.664618055554</v>
      </c>
      <c r="B874" t="s">
        <v>77</v>
      </c>
      <c r="C874" s="3">
        <v>45711.666168981479</v>
      </c>
      <c r="D874" t="s">
        <v>77</v>
      </c>
      <c r="E874" s="4">
        <v>0</v>
      </c>
      <c r="F874" s="4">
        <v>428213.33600000001</v>
      </c>
      <c r="G874" s="4">
        <v>428213.33600000001</v>
      </c>
      <c r="H874" s="5">
        <f>119 / 86400</f>
        <v>1.3773148148148147E-3</v>
      </c>
      <c r="I874" t="s">
        <v>26</v>
      </c>
      <c r="J874" t="s">
        <v>26</v>
      </c>
      <c r="K874" s="5">
        <f>134 / 86400</f>
        <v>1.5509259259259259E-3</v>
      </c>
      <c r="L874" s="5">
        <f>2324 / 86400</f>
        <v>2.6898148148148147E-2</v>
      </c>
    </row>
    <row r="875" spans="1:12" x14ac:dyDescent="0.25">
      <c r="A875" s="3">
        <v>45711.693067129629</v>
      </c>
      <c r="B875" t="s">
        <v>77</v>
      </c>
      <c r="C875" s="3">
        <v>45711.694224537037</v>
      </c>
      <c r="D875" t="s">
        <v>77</v>
      </c>
      <c r="E875" s="4">
        <v>0</v>
      </c>
      <c r="F875" s="4">
        <v>428213.33600000001</v>
      </c>
      <c r="G875" s="4">
        <v>428213.33600000001</v>
      </c>
      <c r="H875" s="5">
        <f>79 / 86400</f>
        <v>9.1435185185185185E-4</v>
      </c>
      <c r="I875" t="s">
        <v>26</v>
      </c>
      <c r="J875" t="s">
        <v>26</v>
      </c>
      <c r="K875" s="5">
        <f>99 / 86400</f>
        <v>1.1458333333333333E-3</v>
      </c>
      <c r="L875" s="5">
        <f>1676 / 86400</f>
        <v>1.9398148148148147E-2</v>
      </c>
    </row>
    <row r="876" spans="1:12" x14ac:dyDescent="0.25">
      <c r="A876" s="3">
        <v>45711.713622685187</v>
      </c>
      <c r="B876" t="s">
        <v>77</v>
      </c>
      <c r="C876" s="3">
        <v>45711.83766203704</v>
      </c>
      <c r="D876" t="s">
        <v>77</v>
      </c>
      <c r="E876" s="4">
        <v>0</v>
      </c>
      <c r="F876" s="4">
        <v>428213.33600000001</v>
      </c>
      <c r="G876" s="4">
        <v>428213.33600000001</v>
      </c>
      <c r="H876" s="5">
        <f>10709 / 86400</f>
        <v>0.12394675925925926</v>
      </c>
      <c r="I876" t="s">
        <v>26</v>
      </c>
      <c r="J876" t="s">
        <v>26</v>
      </c>
      <c r="K876" s="5">
        <f>10716 / 86400</f>
        <v>0.12402777777777778</v>
      </c>
      <c r="L876" s="5">
        <f>4 / 86400</f>
        <v>4.6296296296296294E-5</v>
      </c>
    </row>
    <row r="877" spans="1:12" x14ac:dyDescent="0.25">
      <c r="A877" s="3">
        <v>45711.837708333333</v>
      </c>
      <c r="B877" t="s">
        <v>77</v>
      </c>
      <c r="C877" s="3">
        <v>45711.931990740741</v>
      </c>
      <c r="D877" t="s">
        <v>77</v>
      </c>
      <c r="E877" s="4">
        <v>0</v>
      </c>
      <c r="F877" s="4">
        <v>428213.33600000001</v>
      </c>
      <c r="G877" s="4">
        <v>428213.33600000001</v>
      </c>
      <c r="H877" s="5">
        <f>8139 / 86400</f>
        <v>9.420138888888889E-2</v>
      </c>
      <c r="I877" t="s">
        <v>26</v>
      </c>
      <c r="J877" t="s">
        <v>26</v>
      </c>
      <c r="K877" s="5">
        <f>8146 / 86400</f>
        <v>9.4282407407407412E-2</v>
      </c>
      <c r="L877" s="5">
        <f>829 / 86400</f>
        <v>9.5949074074074079E-3</v>
      </c>
    </row>
    <row r="878" spans="1:12" x14ac:dyDescent="0.25">
      <c r="A878" s="3">
        <v>45711.94158564815</v>
      </c>
      <c r="B878" t="s">
        <v>77</v>
      </c>
      <c r="C878" s="3">
        <v>45711.945925925931</v>
      </c>
      <c r="D878" t="s">
        <v>77</v>
      </c>
      <c r="E878" s="4">
        <v>0</v>
      </c>
      <c r="F878" s="4">
        <v>428213.33600000001</v>
      </c>
      <c r="G878" s="4">
        <v>428213.33600000001</v>
      </c>
      <c r="H878" s="5">
        <f>359 / 86400</f>
        <v>4.1550925925925922E-3</v>
      </c>
      <c r="I878" t="s">
        <v>26</v>
      </c>
      <c r="J878" t="s">
        <v>26</v>
      </c>
      <c r="K878" s="5">
        <f>375 / 86400</f>
        <v>4.340277777777778E-3</v>
      </c>
      <c r="L878" s="5">
        <f>285 / 86400</f>
        <v>3.2986111111111111E-3</v>
      </c>
    </row>
    <row r="879" spans="1:12" x14ac:dyDescent="0.25">
      <c r="A879" s="3">
        <v>45711.949224537035</v>
      </c>
      <c r="B879" t="s">
        <v>77</v>
      </c>
      <c r="C879" s="3">
        <v>45711.950219907405</v>
      </c>
      <c r="D879" t="s">
        <v>77</v>
      </c>
      <c r="E879" s="4">
        <v>0</v>
      </c>
      <c r="F879" s="4">
        <v>428213.33600000001</v>
      </c>
      <c r="G879" s="4">
        <v>428213.33600000001</v>
      </c>
      <c r="H879" s="5">
        <f>79 / 86400</f>
        <v>9.1435185185185185E-4</v>
      </c>
      <c r="I879" t="s">
        <v>26</v>
      </c>
      <c r="J879" t="s">
        <v>26</v>
      </c>
      <c r="K879" s="5">
        <f>85 / 86400</f>
        <v>9.837962962962962E-4</v>
      </c>
      <c r="L879" s="5">
        <f>4300 / 86400</f>
        <v>4.9768518518518517E-2</v>
      </c>
    </row>
    <row r="880" spans="1:12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</row>
    <row r="881" spans="1:12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</row>
    <row r="882" spans="1:12" s="10" customFormat="1" ht="20.100000000000001" customHeight="1" x14ac:dyDescent="0.35">
      <c r="A882" s="12" t="s">
        <v>466</v>
      </c>
      <c r="B882" s="12"/>
      <c r="C882" s="12"/>
      <c r="D882" s="12"/>
      <c r="E882" s="12"/>
      <c r="F882" s="12"/>
      <c r="G882" s="12"/>
      <c r="H882" s="12"/>
      <c r="I882" s="12"/>
      <c r="J882" s="12"/>
    </row>
    <row r="883" spans="1:12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</row>
    <row r="884" spans="1:12" ht="30" x14ac:dyDescent="0.25">
      <c r="A884" s="2" t="s">
        <v>6</v>
      </c>
      <c r="B884" s="2" t="s">
        <v>7</v>
      </c>
      <c r="C884" s="2" t="s">
        <v>8</v>
      </c>
      <c r="D884" s="2" t="s">
        <v>9</v>
      </c>
      <c r="E884" s="2" t="s">
        <v>10</v>
      </c>
      <c r="F884" s="2" t="s">
        <v>11</v>
      </c>
      <c r="G884" s="2" t="s">
        <v>12</v>
      </c>
      <c r="H884" s="2" t="s">
        <v>13</v>
      </c>
      <c r="I884" s="2" t="s">
        <v>14</v>
      </c>
      <c r="J884" s="2" t="s">
        <v>15</v>
      </c>
      <c r="K884" s="2" t="s">
        <v>16</v>
      </c>
      <c r="L884" s="2" t="s">
        <v>17</v>
      </c>
    </row>
    <row r="885" spans="1:12" x14ac:dyDescent="0.25">
      <c r="A885" s="3">
        <v>45711.29850694444</v>
      </c>
      <c r="B885" t="s">
        <v>25</v>
      </c>
      <c r="C885" s="3">
        <v>45711.513229166667</v>
      </c>
      <c r="D885" t="s">
        <v>118</v>
      </c>
      <c r="E885" s="4">
        <v>87.712000000000003</v>
      </c>
      <c r="F885" s="4">
        <v>577116.272</v>
      </c>
      <c r="G885" s="4">
        <v>577203.98400000005</v>
      </c>
      <c r="H885" s="5">
        <f>4755 / 86400</f>
        <v>5.5034722222222221E-2</v>
      </c>
      <c r="I885" t="s">
        <v>370</v>
      </c>
      <c r="J885" t="s">
        <v>58</v>
      </c>
      <c r="K885" s="5">
        <f>18552 / 86400</f>
        <v>0.21472222222222223</v>
      </c>
      <c r="L885" s="5">
        <f>26039 / 86400</f>
        <v>0.30137731481481483</v>
      </c>
    </row>
    <row r="886" spans="1:12" x14ac:dyDescent="0.25">
      <c r="A886" s="3">
        <v>45711.516099537039</v>
      </c>
      <c r="B886" t="s">
        <v>118</v>
      </c>
      <c r="C886" s="3">
        <v>45711.522777777776</v>
      </c>
      <c r="D886" t="s">
        <v>57</v>
      </c>
      <c r="E886" s="4">
        <v>1.55</v>
      </c>
      <c r="F886" s="4">
        <v>577203.98400000005</v>
      </c>
      <c r="G886" s="4">
        <v>577205.53399999999</v>
      </c>
      <c r="H886" s="5">
        <f>59 / 86400</f>
        <v>6.8287037037037036E-4</v>
      </c>
      <c r="I886" t="s">
        <v>130</v>
      </c>
      <c r="J886" t="s">
        <v>208</v>
      </c>
      <c r="K886" s="5">
        <f>577 / 86400</f>
        <v>6.6782407407407407E-3</v>
      </c>
      <c r="L886" s="5">
        <f>2360 / 86400</f>
        <v>2.7314814814814816E-2</v>
      </c>
    </row>
    <row r="887" spans="1:12" x14ac:dyDescent="0.25">
      <c r="A887" s="3">
        <v>45711.550092592588</v>
      </c>
      <c r="B887" t="s">
        <v>57</v>
      </c>
      <c r="C887" s="3">
        <v>45711.553113425922</v>
      </c>
      <c r="D887" t="s">
        <v>115</v>
      </c>
      <c r="E887" s="4">
        <v>0.79800000000000004</v>
      </c>
      <c r="F887" s="4">
        <v>577205.53399999999</v>
      </c>
      <c r="G887" s="4">
        <v>577206.33200000005</v>
      </c>
      <c r="H887" s="5">
        <f>20 / 86400</f>
        <v>2.3148148148148149E-4</v>
      </c>
      <c r="I887" t="s">
        <v>24</v>
      </c>
      <c r="J887" t="s">
        <v>41</v>
      </c>
      <c r="K887" s="5">
        <f>261 / 86400</f>
        <v>3.0208333333333333E-3</v>
      </c>
      <c r="L887" s="5">
        <f>3045 / 86400</f>
        <v>3.5243055555555555E-2</v>
      </c>
    </row>
    <row r="888" spans="1:12" x14ac:dyDescent="0.25">
      <c r="A888" s="3">
        <v>45711.588356481487</v>
      </c>
      <c r="B888" t="s">
        <v>115</v>
      </c>
      <c r="C888" s="3">
        <v>45711.945358796293</v>
      </c>
      <c r="D888" t="s">
        <v>25</v>
      </c>
      <c r="E888" s="4">
        <v>156.273</v>
      </c>
      <c r="F888" s="4">
        <v>577206.33200000005</v>
      </c>
      <c r="G888" s="4">
        <v>577362.60499999998</v>
      </c>
      <c r="H888" s="5">
        <f>7158 / 86400</f>
        <v>8.2847222222222225E-2</v>
      </c>
      <c r="I888" t="s">
        <v>78</v>
      </c>
      <c r="J888" t="s">
        <v>38</v>
      </c>
      <c r="K888" s="5">
        <f>30845 / 86400</f>
        <v>0.35700231481481481</v>
      </c>
      <c r="L888" s="5">
        <f>4720 / 86400</f>
        <v>5.4629629629629632E-2</v>
      </c>
    </row>
    <row r="889" spans="1:12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</row>
    <row r="890" spans="1:12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</row>
    <row r="891" spans="1:12" s="10" customFormat="1" ht="20.100000000000001" customHeight="1" x14ac:dyDescent="0.35">
      <c r="A891" s="12" t="s">
        <v>467</v>
      </c>
      <c r="B891" s="12"/>
      <c r="C891" s="12"/>
      <c r="D891" s="12"/>
      <c r="E891" s="12"/>
      <c r="F891" s="12"/>
      <c r="G891" s="12"/>
      <c r="H891" s="12"/>
      <c r="I891" s="12"/>
      <c r="J891" s="12"/>
    </row>
    <row r="892" spans="1:12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</row>
    <row r="893" spans="1:12" ht="30" x14ac:dyDescent="0.25">
      <c r="A893" s="2" t="s">
        <v>6</v>
      </c>
      <c r="B893" s="2" t="s">
        <v>7</v>
      </c>
      <c r="C893" s="2" t="s">
        <v>8</v>
      </c>
      <c r="D893" s="2" t="s">
        <v>9</v>
      </c>
      <c r="E893" s="2" t="s">
        <v>10</v>
      </c>
      <c r="F893" s="2" t="s">
        <v>11</v>
      </c>
      <c r="G893" s="2" t="s">
        <v>12</v>
      </c>
      <c r="H893" s="2" t="s">
        <v>13</v>
      </c>
      <c r="I893" s="2" t="s">
        <v>14</v>
      </c>
      <c r="J893" s="2" t="s">
        <v>15</v>
      </c>
      <c r="K893" s="2" t="s">
        <v>16</v>
      </c>
      <c r="L893" s="2" t="s">
        <v>17</v>
      </c>
    </row>
    <row r="894" spans="1:12" x14ac:dyDescent="0.25">
      <c r="A894" s="3">
        <v>45711.240300925929</v>
      </c>
      <c r="B894" t="s">
        <v>79</v>
      </c>
      <c r="C894" s="3">
        <v>45711.276469907403</v>
      </c>
      <c r="D894" t="s">
        <v>79</v>
      </c>
      <c r="E894" s="4">
        <v>0</v>
      </c>
      <c r="F894" s="4">
        <v>418161.734</v>
      </c>
      <c r="G894" s="4">
        <v>418161.734</v>
      </c>
      <c r="H894" s="5">
        <f>3109 / 86400</f>
        <v>3.5983796296296298E-2</v>
      </c>
      <c r="I894" t="s">
        <v>26</v>
      </c>
      <c r="J894" t="s">
        <v>26</v>
      </c>
      <c r="K894" s="5">
        <f>3124 / 86400</f>
        <v>3.6157407407407409E-2</v>
      </c>
      <c r="L894" s="5">
        <f>83274 / 86400</f>
        <v>0.96381944444444445</v>
      </c>
    </row>
    <row r="895" spans="1:12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</row>
    <row r="896" spans="1:12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</row>
    <row r="897" spans="1:12" s="10" customFormat="1" ht="20.100000000000001" customHeight="1" x14ac:dyDescent="0.35">
      <c r="A897" s="12" t="s">
        <v>468</v>
      </c>
      <c r="B897" s="12"/>
      <c r="C897" s="12"/>
      <c r="D897" s="12"/>
      <c r="E897" s="12"/>
      <c r="F897" s="12"/>
      <c r="G897" s="12"/>
      <c r="H897" s="12"/>
      <c r="I897" s="12"/>
      <c r="J897" s="12"/>
    </row>
    <row r="898" spans="1:12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</row>
    <row r="899" spans="1:12" ht="30" x14ac:dyDescent="0.25">
      <c r="A899" s="2" t="s">
        <v>6</v>
      </c>
      <c r="B899" s="2" t="s">
        <v>7</v>
      </c>
      <c r="C899" s="2" t="s">
        <v>8</v>
      </c>
      <c r="D899" s="2" t="s">
        <v>9</v>
      </c>
      <c r="E899" s="2" t="s">
        <v>10</v>
      </c>
      <c r="F899" s="2" t="s">
        <v>11</v>
      </c>
      <c r="G899" s="2" t="s">
        <v>12</v>
      </c>
      <c r="H899" s="2" t="s">
        <v>13</v>
      </c>
      <c r="I899" s="2" t="s">
        <v>14</v>
      </c>
      <c r="J899" s="2" t="s">
        <v>15</v>
      </c>
      <c r="K899" s="2" t="s">
        <v>16</v>
      </c>
      <c r="L899" s="2" t="s">
        <v>17</v>
      </c>
    </row>
    <row r="900" spans="1:12" x14ac:dyDescent="0.25">
      <c r="A900" s="3">
        <v>45711.502569444448</v>
      </c>
      <c r="B900" t="s">
        <v>80</v>
      </c>
      <c r="C900" s="3">
        <v>45711.517268518517</v>
      </c>
      <c r="D900" t="s">
        <v>259</v>
      </c>
      <c r="E900" s="4">
        <v>8.9719999999999995</v>
      </c>
      <c r="F900" s="4">
        <v>401652.39899999998</v>
      </c>
      <c r="G900" s="4">
        <v>401661.37099999998</v>
      </c>
      <c r="H900" s="5">
        <f>239 / 86400</f>
        <v>2.7662037037037039E-3</v>
      </c>
      <c r="I900" t="s">
        <v>148</v>
      </c>
      <c r="J900" t="s">
        <v>212</v>
      </c>
      <c r="K900" s="5">
        <f>1270 / 86400</f>
        <v>1.4699074074074074E-2</v>
      </c>
      <c r="L900" s="5">
        <f>43677 / 86400</f>
        <v>0.50552083333333331</v>
      </c>
    </row>
    <row r="901" spans="1:12" x14ac:dyDescent="0.25">
      <c r="A901" s="3">
        <v>45711.520219907412</v>
      </c>
      <c r="B901" t="s">
        <v>259</v>
      </c>
      <c r="C901" s="3">
        <v>45711.52238425926</v>
      </c>
      <c r="D901" t="s">
        <v>118</v>
      </c>
      <c r="E901" s="4">
        <v>0.107</v>
      </c>
      <c r="F901" s="4">
        <v>401661.37099999998</v>
      </c>
      <c r="G901" s="4">
        <v>401661.478</v>
      </c>
      <c r="H901" s="5">
        <f>60 / 86400</f>
        <v>6.9444444444444447E-4</v>
      </c>
      <c r="I901" t="s">
        <v>146</v>
      </c>
      <c r="J901" t="s">
        <v>190</v>
      </c>
      <c r="K901" s="5">
        <f>186 / 86400</f>
        <v>2.1527777777777778E-3</v>
      </c>
      <c r="L901" s="5">
        <f>664 / 86400</f>
        <v>7.6851851851851855E-3</v>
      </c>
    </row>
    <row r="902" spans="1:12" x14ac:dyDescent="0.25">
      <c r="A902" s="3">
        <v>45711.530069444445</v>
      </c>
      <c r="B902" t="s">
        <v>118</v>
      </c>
      <c r="C902" s="3">
        <v>45711.531076388885</v>
      </c>
      <c r="D902" t="s">
        <v>118</v>
      </c>
      <c r="E902" s="4">
        <v>0.107</v>
      </c>
      <c r="F902" s="4">
        <v>401661.478</v>
      </c>
      <c r="G902" s="4">
        <v>401661.58500000002</v>
      </c>
      <c r="H902" s="5">
        <f>20 / 86400</f>
        <v>2.3148148148148149E-4</v>
      </c>
      <c r="I902" t="s">
        <v>41</v>
      </c>
      <c r="J902" t="s">
        <v>20</v>
      </c>
      <c r="K902" s="5">
        <f>86 / 86400</f>
        <v>9.9537037037037042E-4</v>
      </c>
      <c r="L902" s="5">
        <f>217 / 86400</f>
        <v>2.5115740740740741E-3</v>
      </c>
    </row>
    <row r="903" spans="1:12" x14ac:dyDescent="0.25">
      <c r="A903" s="3">
        <v>45711.533587962964</v>
      </c>
      <c r="B903" t="s">
        <v>118</v>
      </c>
      <c r="C903" s="3">
        <v>45711.576064814813</v>
      </c>
      <c r="D903" t="s">
        <v>372</v>
      </c>
      <c r="E903" s="4">
        <v>24.856000000000002</v>
      </c>
      <c r="F903" s="4">
        <v>401661.58500000002</v>
      </c>
      <c r="G903" s="4">
        <v>401686.44099999999</v>
      </c>
      <c r="H903" s="5">
        <f>460 / 86400</f>
        <v>5.324074074074074E-3</v>
      </c>
      <c r="I903" t="s">
        <v>43</v>
      </c>
      <c r="J903" t="s">
        <v>31</v>
      </c>
      <c r="K903" s="5">
        <f>3669 / 86400</f>
        <v>4.2465277777777775E-2</v>
      </c>
      <c r="L903" s="5">
        <f>3440 / 86400</f>
        <v>3.9814814814814817E-2</v>
      </c>
    </row>
    <row r="904" spans="1:12" x14ac:dyDescent="0.25">
      <c r="A904" s="3">
        <v>45711.615879629629</v>
      </c>
      <c r="B904" t="s">
        <v>372</v>
      </c>
      <c r="C904" s="3">
        <v>45711.627557870372</v>
      </c>
      <c r="D904" t="s">
        <v>68</v>
      </c>
      <c r="E904" s="4">
        <v>3.0859999999999999</v>
      </c>
      <c r="F904" s="4">
        <v>401686.44099999999</v>
      </c>
      <c r="G904" s="4">
        <v>401689.527</v>
      </c>
      <c r="H904" s="5">
        <f>199 / 86400</f>
        <v>2.3032407407407407E-3</v>
      </c>
      <c r="I904" t="s">
        <v>183</v>
      </c>
      <c r="J904" t="s">
        <v>41</v>
      </c>
      <c r="K904" s="5">
        <f>1009 / 86400</f>
        <v>1.1678240740740741E-2</v>
      </c>
      <c r="L904" s="5">
        <f>5639 / 86400</f>
        <v>6.5266203703703701E-2</v>
      </c>
    </row>
    <row r="905" spans="1:12" x14ac:dyDescent="0.25">
      <c r="A905" s="3">
        <v>45711.692824074074</v>
      </c>
      <c r="B905" t="s">
        <v>68</v>
      </c>
      <c r="C905" s="3">
        <v>45711.693125000005</v>
      </c>
      <c r="D905" t="s">
        <v>68</v>
      </c>
      <c r="E905" s="4">
        <v>0</v>
      </c>
      <c r="F905" s="4">
        <v>401689.527</v>
      </c>
      <c r="G905" s="4">
        <v>401689.527</v>
      </c>
      <c r="H905" s="5">
        <f>19 / 86400</f>
        <v>2.199074074074074E-4</v>
      </c>
      <c r="I905" t="s">
        <v>26</v>
      </c>
      <c r="J905" t="s">
        <v>26</v>
      </c>
      <c r="K905" s="5">
        <f>26 / 86400</f>
        <v>3.0092592592592595E-4</v>
      </c>
      <c r="L905" s="5">
        <f>464 / 86400</f>
        <v>5.37037037037037E-3</v>
      </c>
    </row>
    <row r="906" spans="1:12" x14ac:dyDescent="0.25">
      <c r="A906" s="3">
        <v>45711.698495370365</v>
      </c>
      <c r="B906" t="s">
        <v>68</v>
      </c>
      <c r="C906" s="3">
        <v>45711.700231481482</v>
      </c>
      <c r="D906" t="s">
        <v>410</v>
      </c>
      <c r="E906" s="4">
        <v>0.114</v>
      </c>
      <c r="F906" s="4">
        <v>401689.527</v>
      </c>
      <c r="G906" s="4">
        <v>401689.641</v>
      </c>
      <c r="H906" s="5">
        <f>99 / 86400</f>
        <v>1.1458333333333333E-3</v>
      </c>
      <c r="I906" t="s">
        <v>120</v>
      </c>
      <c r="J906" t="s">
        <v>69</v>
      </c>
      <c r="K906" s="5">
        <f>150 / 86400</f>
        <v>1.736111111111111E-3</v>
      </c>
      <c r="L906" s="5">
        <f>177 / 86400</f>
        <v>2.0486111111111113E-3</v>
      </c>
    </row>
    <row r="907" spans="1:12" x14ac:dyDescent="0.25">
      <c r="A907" s="3">
        <v>45711.702280092592</v>
      </c>
      <c r="B907" t="s">
        <v>410</v>
      </c>
      <c r="C907" s="3">
        <v>45711.721828703703</v>
      </c>
      <c r="D907" t="s">
        <v>25</v>
      </c>
      <c r="E907" s="4">
        <v>5.1749999999999998</v>
      </c>
      <c r="F907" s="4">
        <v>401689.641</v>
      </c>
      <c r="G907" s="4">
        <v>401694.81599999999</v>
      </c>
      <c r="H907" s="5">
        <f>480 / 86400</f>
        <v>5.5555555555555558E-3</v>
      </c>
      <c r="I907" t="s">
        <v>148</v>
      </c>
      <c r="J907" t="s">
        <v>41</v>
      </c>
      <c r="K907" s="5">
        <f>1689 / 86400</f>
        <v>1.954861111111111E-2</v>
      </c>
      <c r="L907" s="5">
        <f>13371 / 86400</f>
        <v>0.15475694444444443</v>
      </c>
    </row>
    <row r="908" spans="1:12" x14ac:dyDescent="0.25">
      <c r="A908" s="3">
        <v>45711.876585648148</v>
      </c>
      <c r="B908" t="s">
        <v>25</v>
      </c>
      <c r="C908" s="3">
        <v>45711.917013888888</v>
      </c>
      <c r="D908" t="s">
        <v>44</v>
      </c>
      <c r="E908" s="4">
        <v>21.997</v>
      </c>
      <c r="F908" s="4">
        <v>401694.81599999999</v>
      </c>
      <c r="G908" s="4">
        <v>401716.81300000002</v>
      </c>
      <c r="H908" s="5">
        <f>599 / 86400</f>
        <v>6.9328703703703705E-3</v>
      </c>
      <c r="I908" t="s">
        <v>391</v>
      </c>
      <c r="J908" t="s">
        <v>142</v>
      </c>
      <c r="K908" s="5">
        <f>3493 / 86400</f>
        <v>4.0428240740740744E-2</v>
      </c>
      <c r="L908" s="5">
        <f>183 / 86400</f>
        <v>2.1180555555555558E-3</v>
      </c>
    </row>
    <row r="909" spans="1:12" x14ac:dyDescent="0.25">
      <c r="A909" s="3">
        <v>45711.919131944444</v>
      </c>
      <c r="B909" t="s">
        <v>44</v>
      </c>
      <c r="C909" s="3">
        <v>45711.927233796298</v>
      </c>
      <c r="D909" t="s">
        <v>114</v>
      </c>
      <c r="E909" s="4">
        <v>4.1180000000000003</v>
      </c>
      <c r="F909" s="4">
        <v>401716.81300000002</v>
      </c>
      <c r="G909" s="4">
        <v>401720.93099999998</v>
      </c>
      <c r="H909" s="5">
        <f>59 / 86400</f>
        <v>6.8287037037037036E-4</v>
      </c>
      <c r="I909" t="s">
        <v>147</v>
      </c>
      <c r="J909" t="s">
        <v>67</v>
      </c>
      <c r="K909" s="5">
        <f>700 / 86400</f>
        <v>8.1018518518518514E-3</v>
      </c>
      <c r="L909" s="5">
        <f>650 / 86400</f>
        <v>7.5231481481481477E-3</v>
      </c>
    </row>
    <row r="910" spans="1:12" x14ac:dyDescent="0.25">
      <c r="A910" s="3">
        <v>45711.934756944444</v>
      </c>
      <c r="B910" t="s">
        <v>114</v>
      </c>
      <c r="C910" s="3">
        <v>45711.945648148147</v>
      </c>
      <c r="D910" t="s">
        <v>80</v>
      </c>
      <c r="E910" s="4">
        <v>8.5139999999999993</v>
      </c>
      <c r="F910" s="4">
        <v>401720.93099999998</v>
      </c>
      <c r="G910" s="4">
        <v>401729.44500000001</v>
      </c>
      <c r="H910" s="5">
        <f>79 / 86400</f>
        <v>9.1435185185185185E-4</v>
      </c>
      <c r="I910" t="s">
        <v>210</v>
      </c>
      <c r="J910" t="s">
        <v>52</v>
      </c>
      <c r="K910" s="5">
        <f>940 / 86400</f>
        <v>1.087962962962963E-2</v>
      </c>
      <c r="L910" s="5">
        <f>4695 / 86400</f>
        <v>5.4340277777777779E-2</v>
      </c>
    </row>
    <row r="911" spans="1:12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</row>
    <row r="912" spans="1:12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</row>
    <row r="913" spans="1:12" s="10" customFormat="1" ht="20.100000000000001" customHeight="1" x14ac:dyDescent="0.35">
      <c r="A913" s="12" t="s">
        <v>469</v>
      </c>
      <c r="B913" s="12"/>
      <c r="C913" s="12"/>
      <c r="D913" s="12"/>
      <c r="E913" s="12"/>
      <c r="F913" s="12"/>
      <c r="G913" s="12"/>
      <c r="H913" s="12"/>
      <c r="I913" s="12"/>
      <c r="J913" s="12"/>
    </row>
    <row r="914" spans="1:12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</row>
    <row r="915" spans="1:12" ht="30" x14ac:dyDescent="0.25">
      <c r="A915" s="2" t="s">
        <v>6</v>
      </c>
      <c r="B915" s="2" t="s">
        <v>7</v>
      </c>
      <c r="C915" s="2" t="s">
        <v>8</v>
      </c>
      <c r="D915" s="2" t="s">
        <v>9</v>
      </c>
      <c r="E915" s="2" t="s">
        <v>10</v>
      </c>
      <c r="F915" s="2" t="s">
        <v>11</v>
      </c>
      <c r="G915" s="2" t="s">
        <v>12</v>
      </c>
      <c r="H915" s="2" t="s">
        <v>13</v>
      </c>
      <c r="I915" s="2" t="s">
        <v>14</v>
      </c>
      <c r="J915" s="2" t="s">
        <v>15</v>
      </c>
      <c r="K915" s="2" t="s">
        <v>16</v>
      </c>
      <c r="L915" s="2" t="s">
        <v>17</v>
      </c>
    </row>
    <row r="916" spans="1:12" x14ac:dyDescent="0.25">
      <c r="A916" s="3">
        <v>45711</v>
      </c>
      <c r="B916" t="s">
        <v>81</v>
      </c>
      <c r="C916" s="3">
        <v>45711.053310185191</v>
      </c>
      <c r="D916" t="s">
        <v>54</v>
      </c>
      <c r="E916" s="4">
        <v>24.062999999999999</v>
      </c>
      <c r="F916" s="4">
        <v>547906.25899999996</v>
      </c>
      <c r="G916" s="4">
        <v>547930.32200000004</v>
      </c>
      <c r="H916" s="5">
        <f>1280 / 86400</f>
        <v>1.4814814814814815E-2</v>
      </c>
      <c r="I916" t="s">
        <v>61</v>
      </c>
      <c r="J916" t="s">
        <v>37</v>
      </c>
      <c r="K916" s="5">
        <f>4606 / 86400</f>
        <v>5.3310185185185183E-2</v>
      </c>
      <c r="L916" s="5">
        <f>458 / 86400</f>
        <v>5.3009259259259259E-3</v>
      </c>
    </row>
    <row r="917" spans="1:12" x14ac:dyDescent="0.25">
      <c r="A917" s="3">
        <v>45711.058611111112</v>
      </c>
      <c r="B917" t="s">
        <v>101</v>
      </c>
      <c r="C917" s="3">
        <v>45711.058715277773</v>
      </c>
      <c r="D917" t="s">
        <v>101</v>
      </c>
      <c r="E917" s="4">
        <v>1E-3</v>
      </c>
      <c r="F917" s="4">
        <v>547930.32299999997</v>
      </c>
      <c r="G917" s="4">
        <v>547930.32400000002</v>
      </c>
      <c r="H917" s="5">
        <f>0 / 86400</f>
        <v>0</v>
      </c>
      <c r="I917" t="s">
        <v>26</v>
      </c>
      <c r="J917" t="s">
        <v>26</v>
      </c>
      <c r="K917" s="5">
        <f>9 / 86400</f>
        <v>1.0416666666666667E-4</v>
      </c>
      <c r="L917" s="5">
        <f>523 / 86400</f>
        <v>6.053240740740741E-3</v>
      </c>
    </row>
    <row r="918" spans="1:12" x14ac:dyDescent="0.25">
      <c r="A918" s="3">
        <v>45711.064768518518</v>
      </c>
      <c r="B918" t="s">
        <v>101</v>
      </c>
      <c r="C918" s="3">
        <v>45711.064988425926</v>
      </c>
      <c r="D918" t="s">
        <v>101</v>
      </c>
      <c r="E918" s="4">
        <v>6.0000000000000001E-3</v>
      </c>
      <c r="F918" s="4">
        <v>547930.32400000002</v>
      </c>
      <c r="G918" s="4">
        <v>547930.32999999996</v>
      </c>
      <c r="H918" s="5">
        <f>0 / 86400</f>
        <v>0</v>
      </c>
      <c r="I918" t="s">
        <v>26</v>
      </c>
      <c r="J918" t="s">
        <v>21</v>
      </c>
      <c r="K918" s="5">
        <f>18 / 86400</f>
        <v>2.0833333333333335E-4</v>
      </c>
      <c r="L918" s="5">
        <f>2524 / 86400</f>
        <v>2.9212962962962961E-2</v>
      </c>
    </row>
    <row r="919" spans="1:12" x14ac:dyDescent="0.25">
      <c r="A919" s="3">
        <v>45711.094201388885</v>
      </c>
      <c r="B919" t="s">
        <v>101</v>
      </c>
      <c r="C919" s="3">
        <v>45711.094363425931</v>
      </c>
      <c r="D919" t="s">
        <v>101</v>
      </c>
      <c r="E919" s="4">
        <v>6.0000000000000001E-3</v>
      </c>
      <c r="F919" s="4">
        <v>547930.32999999996</v>
      </c>
      <c r="G919" s="4">
        <v>547930.33600000001</v>
      </c>
      <c r="H919" s="5">
        <f>0 / 86400</f>
        <v>0</v>
      </c>
      <c r="I919" t="s">
        <v>26</v>
      </c>
      <c r="J919" t="s">
        <v>190</v>
      </c>
      <c r="K919" s="5">
        <f>14 / 86400</f>
        <v>1.6203703703703703E-4</v>
      </c>
      <c r="L919" s="5">
        <f>570 / 86400</f>
        <v>6.5972222222222222E-3</v>
      </c>
    </row>
    <row r="920" spans="1:12" x14ac:dyDescent="0.25">
      <c r="A920" s="3">
        <v>45711.100960648153</v>
      </c>
      <c r="B920" t="s">
        <v>101</v>
      </c>
      <c r="C920" s="3">
        <v>45711.101168981477</v>
      </c>
      <c r="D920" t="s">
        <v>351</v>
      </c>
      <c r="E920" s="4">
        <v>4.0000000000000001E-3</v>
      </c>
      <c r="F920" s="4">
        <v>547930.33600000001</v>
      </c>
      <c r="G920" s="4">
        <v>547930.34</v>
      </c>
      <c r="H920" s="5">
        <f>0 / 86400</f>
        <v>0</v>
      </c>
      <c r="I920" t="s">
        <v>26</v>
      </c>
      <c r="J920" t="s">
        <v>21</v>
      </c>
      <c r="K920" s="5">
        <f>17 / 86400</f>
        <v>1.9675925925925926E-4</v>
      </c>
      <c r="L920" s="5">
        <f>799 / 86400</f>
        <v>9.2476851851851852E-3</v>
      </c>
    </row>
    <row r="921" spans="1:12" x14ac:dyDescent="0.25">
      <c r="A921" s="3">
        <v>45711.110416666663</v>
      </c>
      <c r="B921" t="s">
        <v>351</v>
      </c>
      <c r="C921" s="3">
        <v>45711.114317129628</v>
      </c>
      <c r="D921" t="s">
        <v>351</v>
      </c>
      <c r="E921" s="4">
        <v>4.0000000000000001E-3</v>
      </c>
      <c r="F921" s="4">
        <v>547930.34</v>
      </c>
      <c r="G921" s="4">
        <v>547930.34400000004</v>
      </c>
      <c r="H921" s="5">
        <f>319 / 86400</f>
        <v>3.6921296296296298E-3</v>
      </c>
      <c r="I921" t="s">
        <v>26</v>
      </c>
      <c r="J921" t="s">
        <v>26</v>
      </c>
      <c r="K921" s="5">
        <f>337 / 86400</f>
        <v>3.9004629629629628E-3</v>
      </c>
      <c r="L921" s="5">
        <f>294 / 86400</f>
        <v>3.4027777777777776E-3</v>
      </c>
    </row>
    <row r="922" spans="1:12" x14ac:dyDescent="0.25">
      <c r="A922" s="3">
        <v>45711.117719907408</v>
      </c>
      <c r="B922" t="s">
        <v>351</v>
      </c>
      <c r="C922" s="3">
        <v>45711.211481481485</v>
      </c>
      <c r="D922" t="s">
        <v>260</v>
      </c>
      <c r="E922" s="4">
        <v>47.082999999999998</v>
      </c>
      <c r="F922" s="4">
        <v>547930.34400000004</v>
      </c>
      <c r="G922" s="4">
        <v>547977.42700000003</v>
      </c>
      <c r="H922" s="5">
        <f>2138 / 86400</f>
        <v>2.4745370370370369E-2</v>
      </c>
      <c r="I922" t="s">
        <v>178</v>
      </c>
      <c r="J922" t="s">
        <v>67</v>
      </c>
      <c r="K922" s="5">
        <f>8100 / 86400</f>
        <v>9.375E-2</v>
      </c>
      <c r="L922" s="5">
        <f>214 / 86400</f>
        <v>2.476851851851852E-3</v>
      </c>
    </row>
    <row r="923" spans="1:12" x14ac:dyDescent="0.25">
      <c r="A923" s="3">
        <v>45711.213958333334</v>
      </c>
      <c r="B923" t="s">
        <v>260</v>
      </c>
      <c r="C923" s="3">
        <v>45711.215717592597</v>
      </c>
      <c r="D923" t="s">
        <v>411</v>
      </c>
      <c r="E923" s="4">
        <v>0.29399999999999998</v>
      </c>
      <c r="F923" s="4">
        <v>547977.42700000003</v>
      </c>
      <c r="G923" s="4">
        <v>547977.72100000002</v>
      </c>
      <c r="H923" s="5">
        <f>0 / 86400</f>
        <v>0</v>
      </c>
      <c r="I923" t="s">
        <v>116</v>
      </c>
      <c r="J923" t="s">
        <v>33</v>
      </c>
      <c r="K923" s="5">
        <f>152 / 86400</f>
        <v>1.7592592592592592E-3</v>
      </c>
      <c r="L923" s="5">
        <f>5601 / 86400</f>
        <v>6.4826388888888892E-2</v>
      </c>
    </row>
    <row r="924" spans="1:12" x14ac:dyDescent="0.25">
      <c r="A924" s="3">
        <v>45711.280543981484</v>
      </c>
      <c r="B924" t="s">
        <v>411</v>
      </c>
      <c r="C924" s="3">
        <v>45711.280902777777</v>
      </c>
      <c r="D924" t="s">
        <v>82</v>
      </c>
      <c r="E924" s="4">
        <v>7.0000000000000001E-3</v>
      </c>
      <c r="F924" s="4">
        <v>547977.72100000002</v>
      </c>
      <c r="G924" s="4">
        <v>547977.728</v>
      </c>
      <c r="H924" s="5">
        <f>0 / 86400</f>
        <v>0</v>
      </c>
      <c r="I924" t="s">
        <v>190</v>
      </c>
      <c r="J924" t="s">
        <v>21</v>
      </c>
      <c r="K924" s="5">
        <f>30 / 86400</f>
        <v>3.4722222222222224E-4</v>
      </c>
      <c r="L924" s="5">
        <f>3335 / 86400</f>
        <v>3.8599537037037036E-2</v>
      </c>
    </row>
    <row r="925" spans="1:12" x14ac:dyDescent="0.25">
      <c r="A925" s="3">
        <v>45711.319502314815</v>
      </c>
      <c r="B925" t="s">
        <v>82</v>
      </c>
      <c r="C925" s="3">
        <v>45711.332071759258</v>
      </c>
      <c r="D925" t="s">
        <v>412</v>
      </c>
      <c r="E925" s="4">
        <v>1.107</v>
      </c>
      <c r="F925" s="4">
        <v>547977.728</v>
      </c>
      <c r="G925" s="4">
        <v>547978.83499999996</v>
      </c>
      <c r="H925" s="5">
        <f>819 / 86400</f>
        <v>9.479166666666667E-3</v>
      </c>
      <c r="I925" t="s">
        <v>153</v>
      </c>
      <c r="J925" t="s">
        <v>20</v>
      </c>
      <c r="K925" s="5">
        <f>1086 / 86400</f>
        <v>1.2569444444444444E-2</v>
      </c>
      <c r="L925" s="5">
        <f>304 / 86400</f>
        <v>3.5185185185185185E-3</v>
      </c>
    </row>
    <row r="926" spans="1:12" x14ac:dyDescent="0.25">
      <c r="A926" s="3">
        <v>45711.335590277777</v>
      </c>
      <c r="B926" t="s">
        <v>412</v>
      </c>
      <c r="C926" s="3">
        <v>45711.337233796294</v>
      </c>
      <c r="D926" t="s">
        <v>258</v>
      </c>
      <c r="E926" s="4">
        <v>3.0000000000000001E-3</v>
      </c>
      <c r="F926" s="4">
        <v>547978.83499999996</v>
      </c>
      <c r="G926" s="4">
        <v>547978.83799999999</v>
      </c>
      <c r="H926" s="5">
        <f>139 / 86400</f>
        <v>1.6087962962962963E-3</v>
      </c>
      <c r="I926" t="s">
        <v>26</v>
      </c>
      <c r="J926" t="s">
        <v>26</v>
      </c>
      <c r="K926" s="5">
        <f>141 / 86400</f>
        <v>1.6319444444444445E-3</v>
      </c>
      <c r="L926" s="5">
        <f>224 / 86400</f>
        <v>2.5925925925925925E-3</v>
      </c>
    </row>
    <row r="927" spans="1:12" x14ac:dyDescent="0.25">
      <c r="A927" s="3">
        <v>45711.339826388888</v>
      </c>
      <c r="B927" t="s">
        <v>258</v>
      </c>
      <c r="C927" s="3">
        <v>45711.449212962965</v>
      </c>
      <c r="D927" t="s">
        <v>413</v>
      </c>
      <c r="E927" s="4">
        <v>50.173999999999999</v>
      </c>
      <c r="F927" s="4">
        <v>547978.83799999999</v>
      </c>
      <c r="G927" s="4">
        <v>548029.01199999999</v>
      </c>
      <c r="H927" s="5">
        <f>2719 / 86400</f>
        <v>3.1469907407407405E-2</v>
      </c>
      <c r="I927" t="s">
        <v>83</v>
      </c>
      <c r="J927" t="s">
        <v>37</v>
      </c>
      <c r="K927" s="5">
        <f>9450 / 86400</f>
        <v>0.109375</v>
      </c>
      <c r="L927" s="5">
        <f>2483 / 86400</f>
        <v>2.8738425925925924E-2</v>
      </c>
    </row>
    <row r="928" spans="1:12" x14ac:dyDescent="0.25">
      <c r="A928" s="3">
        <v>45711.477951388893</v>
      </c>
      <c r="B928" t="s">
        <v>413</v>
      </c>
      <c r="C928" s="3">
        <v>45711.584756944445</v>
      </c>
      <c r="D928" t="s">
        <v>105</v>
      </c>
      <c r="E928" s="4">
        <v>50.689</v>
      </c>
      <c r="F928" s="4">
        <v>548029.01199999999</v>
      </c>
      <c r="G928" s="4">
        <v>548079.701</v>
      </c>
      <c r="H928" s="5">
        <f>2079 / 86400</f>
        <v>2.4062500000000001E-2</v>
      </c>
      <c r="I928" t="s">
        <v>124</v>
      </c>
      <c r="J928" t="s">
        <v>24</v>
      </c>
      <c r="K928" s="5">
        <f>9227 / 86400</f>
        <v>0.10679398148148148</v>
      </c>
      <c r="L928" s="5">
        <f>3269 / 86400</f>
        <v>3.7835648148148146E-2</v>
      </c>
    </row>
    <row r="929" spans="1:12" x14ac:dyDescent="0.25">
      <c r="A929" s="3">
        <v>45711.622592592597</v>
      </c>
      <c r="B929" t="s">
        <v>105</v>
      </c>
      <c r="C929" s="3">
        <v>45711.746805555551</v>
      </c>
      <c r="D929" t="s">
        <v>290</v>
      </c>
      <c r="E929" s="4">
        <v>52.008000000000003</v>
      </c>
      <c r="F929" s="4">
        <v>548079.701</v>
      </c>
      <c r="G929" s="4">
        <v>548131.70900000003</v>
      </c>
      <c r="H929" s="5">
        <f>3938 / 86400</f>
        <v>4.5578703703703705E-2</v>
      </c>
      <c r="I929" t="s">
        <v>391</v>
      </c>
      <c r="J929" t="s">
        <v>58</v>
      </c>
      <c r="K929" s="5">
        <f>10731 / 86400</f>
        <v>0.12420138888888889</v>
      </c>
      <c r="L929" s="5">
        <f>103 / 86400</f>
        <v>1.1921296296296296E-3</v>
      </c>
    </row>
    <row r="930" spans="1:12" x14ac:dyDescent="0.25">
      <c r="A930" s="3">
        <v>45711.74799768519</v>
      </c>
      <c r="B930" t="s">
        <v>292</v>
      </c>
      <c r="C930" s="3">
        <v>45711.748148148152</v>
      </c>
      <c r="D930" t="s">
        <v>291</v>
      </c>
      <c r="E930" s="4">
        <v>1.2E-2</v>
      </c>
      <c r="F930" s="4">
        <v>548131.70900000003</v>
      </c>
      <c r="G930" s="4">
        <v>548131.72100000002</v>
      </c>
      <c r="H930" s="5">
        <f>0 / 86400</f>
        <v>0</v>
      </c>
      <c r="I930" t="s">
        <v>146</v>
      </c>
      <c r="J930" t="s">
        <v>69</v>
      </c>
      <c r="K930" s="5">
        <f>13 / 86400</f>
        <v>1.5046296296296297E-4</v>
      </c>
      <c r="L930" s="5">
        <f>212 / 86400</f>
        <v>2.4537037037037036E-3</v>
      </c>
    </row>
    <row r="931" spans="1:12" x14ac:dyDescent="0.25">
      <c r="A931" s="3">
        <v>45711.750601851847</v>
      </c>
      <c r="B931" t="s">
        <v>291</v>
      </c>
      <c r="C931" s="3">
        <v>45711.85601851852</v>
      </c>
      <c r="D931" t="s">
        <v>118</v>
      </c>
      <c r="E931" s="4">
        <v>50.323999999999998</v>
      </c>
      <c r="F931" s="4">
        <v>548131.72100000002</v>
      </c>
      <c r="G931" s="4">
        <v>548182.04500000004</v>
      </c>
      <c r="H931" s="5">
        <f>2319 / 86400</f>
        <v>2.6840277777777779E-2</v>
      </c>
      <c r="I931" t="s">
        <v>61</v>
      </c>
      <c r="J931" t="s">
        <v>24</v>
      </c>
      <c r="K931" s="5">
        <f>9107 / 86400</f>
        <v>0.10540509259259259</v>
      </c>
      <c r="L931" s="5">
        <f>676 / 86400</f>
        <v>7.8240740740740736E-3</v>
      </c>
    </row>
    <row r="932" spans="1:12" x14ac:dyDescent="0.25">
      <c r="A932" s="3">
        <v>45711.863842592589</v>
      </c>
      <c r="B932" t="s">
        <v>118</v>
      </c>
      <c r="C932" s="3">
        <v>45711.865312499998</v>
      </c>
      <c r="D932" t="s">
        <v>402</v>
      </c>
      <c r="E932" s="4">
        <v>0.27600000000000002</v>
      </c>
      <c r="F932" s="4">
        <v>548182.04500000004</v>
      </c>
      <c r="G932" s="4">
        <v>548182.321</v>
      </c>
      <c r="H932" s="5">
        <f>40 / 86400</f>
        <v>4.6296296296296298E-4</v>
      </c>
      <c r="I932" t="s">
        <v>142</v>
      </c>
      <c r="J932" t="s">
        <v>113</v>
      </c>
      <c r="K932" s="5">
        <f>127 / 86400</f>
        <v>1.4699074074074074E-3</v>
      </c>
      <c r="L932" s="5">
        <f>163 / 86400</f>
        <v>1.8865740740740742E-3</v>
      </c>
    </row>
    <row r="933" spans="1:12" x14ac:dyDescent="0.25">
      <c r="A933" s="3">
        <v>45711.86719907407</v>
      </c>
      <c r="B933" t="s">
        <v>402</v>
      </c>
      <c r="C933" s="3">
        <v>45711.869699074072</v>
      </c>
      <c r="D933" t="s">
        <v>82</v>
      </c>
      <c r="E933" s="4">
        <v>0.29599999999999999</v>
      </c>
      <c r="F933" s="4">
        <v>548182.321</v>
      </c>
      <c r="G933" s="4">
        <v>548182.61699999997</v>
      </c>
      <c r="H933" s="5">
        <f>81 / 86400</f>
        <v>9.3749999999999997E-4</v>
      </c>
      <c r="I933" t="s">
        <v>116</v>
      </c>
      <c r="J933" t="s">
        <v>34</v>
      </c>
      <c r="K933" s="5">
        <f>216 / 86400</f>
        <v>2.5000000000000001E-3</v>
      </c>
      <c r="L933" s="5">
        <f>11257 / 86400</f>
        <v>0.13028935185185186</v>
      </c>
    </row>
    <row r="934" spans="1:12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</row>
    <row r="935" spans="1:12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</row>
    <row r="936" spans="1:12" s="10" customFormat="1" ht="20.100000000000001" customHeight="1" x14ac:dyDescent="0.35">
      <c r="A936" s="12" t="s">
        <v>470</v>
      </c>
      <c r="B936" s="12"/>
      <c r="C936" s="12"/>
      <c r="D936" s="12"/>
      <c r="E936" s="12"/>
      <c r="F936" s="12"/>
      <c r="G936" s="12"/>
      <c r="H936" s="12"/>
      <c r="I936" s="12"/>
      <c r="J936" s="12"/>
    </row>
    <row r="937" spans="1:12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</row>
    <row r="938" spans="1:12" ht="30" x14ac:dyDescent="0.25">
      <c r="A938" s="2" t="s">
        <v>6</v>
      </c>
      <c r="B938" s="2" t="s">
        <v>7</v>
      </c>
      <c r="C938" s="2" t="s">
        <v>8</v>
      </c>
      <c r="D938" s="2" t="s">
        <v>9</v>
      </c>
      <c r="E938" s="2" t="s">
        <v>10</v>
      </c>
      <c r="F938" s="2" t="s">
        <v>11</v>
      </c>
      <c r="G938" s="2" t="s">
        <v>12</v>
      </c>
      <c r="H938" s="2" t="s">
        <v>13</v>
      </c>
      <c r="I938" s="2" t="s">
        <v>14</v>
      </c>
      <c r="J938" s="2" t="s">
        <v>15</v>
      </c>
      <c r="K938" s="2" t="s">
        <v>16</v>
      </c>
      <c r="L938" s="2" t="s">
        <v>17</v>
      </c>
    </row>
    <row r="939" spans="1:12" x14ac:dyDescent="0.25">
      <c r="A939" s="3">
        <v>45711</v>
      </c>
      <c r="B939" t="s">
        <v>84</v>
      </c>
      <c r="C939" s="3">
        <v>45711.029791666668</v>
      </c>
      <c r="D939" t="s">
        <v>101</v>
      </c>
      <c r="E939" s="4">
        <v>7.9649999999999999</v>
      </c>
      <c r="F939" s="4">
        <v>106443.47500000001</v>
      </c>
      <c r="G939" s="4">
        <v>106451.44</v>
      </c>
      <c r="H939" s="5">
        <f>1520 / 86400</f>
        <v>1.7592592592592594E-2</v>
      </c>
      <c r="I939" t="s">
        <v>239</v>
      </c>
      <c r="J939" t="s">
        <v>41</v>
      </c>
      <c r="K939" s="5">
        <f>2574 / 86400</f>
        <v>2.9791666666666668E-2</v>
      </c>
      <c r="L939" s="5">
        <f>284 / 86400</f>
        <v>3.2870370370370371E-3</v>
      </c>
    </row>
    <row r="940" spans="1:12" x14ac:dyDescent="0.25">
      <c r="A940" s="3">
        <v>45711.033078703702</v>
      </c>
      <c r="B940" t="s">
        <v>101</v>
      </c>
      <c r="C940" s="3">
        <v>45711.033182870371</v>
      </c>
      <c r="D940" t="s">
        <v>101</v>
      </c>
      <c r="E940" s="4">
        <v>0</v>
      </c>
      <c r="F940" s="4">
        <v>106451.44</v>
      </c>
      <c r="G940" s="4">
        <v>106451.44</v>
      </c>
      <c r="H940" s="5">
        <f>0 / 86400</f>
        <v>0</v>
      </c>
      <c r="I940" t="s">
        <v>26</v>
      </c>
      <c r="J940" t="s">
        <v>26</v>
      </c>
      <c r="K940" s="5">
        <f>9 / 86400</f>
        <v>1.0416666666666667E-4</v>
      </c>
      <c r="L940" s="5">
        <f>616 / 86400</f>
        <v>7.1296296296296299E-3</v>
      </c>
    </row>
    <row r="941" spans="1:12" x14ac:dyDescent="0.25">
      <c r="A941" s="3">
        <v>45711.040312500001</v>
      </c>
      <c r="B941" t="s">
        <v>101</v>
      </c>
      <c r="C941" s="3">
        <v>45711.147106481483</v>
      </c>
      <c r="D941" t="s">
        <v>414</v>
      </c>
      <c r="E941" s="4">
        <v>47.395000000000003</v>
      </c>
      <c r="F941" s="4">
        <v>106451.44</v>
      </c>
      <c r="G941" s="4">
        <v>106498.83500000001</v>
      </c>
      <c r="H941" s="5">
        <f>4117 / 86400</f>
        <v>4.7650462962962964E-2</v>
      </c>
      <c r="I941" t="s">
        <v>86</v>
      </c>
      <c r="J941" t="s">
        <v>38</v>
      </c>
      <c r="K941" s="5">
        <f>9227 / 86400</f>
        <v>0.10679398148148148</v>
      </c>
      <c r="L941" s="5">
        <f>517 / 86400</f>
        <v>5.9837962962962961E-3</v>
      </c>
    </row>
    <row r="942" spans="1:12" x14ac:dyDescent="0.25">
      <c r="A942" s="3">
        <v>45711.153090277774</v>
      </c>
      <c r="B942" t="s">
        <v>414</v>
      </c>
      <c r="C942" s="3">
        <v>45711.154733796298</v>
      </c>
      <c r="D942" t="s">
        <v>409</v>
      </c>
      <c r="E942" s="4">
        <v>0.374</v>
      </c>
      <c r="F942" s="4">
        <v>106498.83500000001</v>
      </c>
      <c r="G942" s="4">
        <v>106499.209</v>
      </c>
      <c r="H942" s="5">
        <f>20 / 86400</f>
        <v>2.3148148148148149E-4</v>
      </c>
      <c r="I942" t="s">
        <v>212</v>
      </c>
      <c r="J942" t="s">
        <v>155</v>
      </c>
      <c r="K942" s="5">
        <f>142 / 86400</f>
        <v>1.6435185185185185E-3</v>
      </c>
      <c r="L942" s="5">
        <f>145 / 86400</f>
        <v>1.6782407407407408E-3</v>
      </c>
    </row>
    <row r="943" spans="1:12" x14ac:dyDescent="0.25">
      <c r="A943" s="3">
        <v>45711.156412037039</v>
      </c>
      <c r="B943" t="s">
        <v>409</v>
      </c>
      <c r="C943" s="3">
        <v>45711.157789351855</v>
      </c>
      <c r="D943" t="s">
        <v>85</v>
      </c>
      <c r="E943" s="4">
        <v>0.59299999999999997</v>
      </c>
      <c r="F943" s="4">
        <v>106499.209</v>
      </c>
      <c r="G943" s="4">
        <v>106499.802</v>
      </c>
      <c r="H943" s="5">
        <f>0 / 86400</f>
        <v>0</v>
      </c>
      <c r="I943" t="s">
        <v>94</v>
      </c>
      <c r="J943" t="s">
        <v>38</v>
      </c>
      <c r="K943" s="5">
        <f>119 / 86400</f>
        <v>1.3773148148148147E-3</v>
      </c>
      <c r="L943" s="5">
        <f>612 / 86400</f>
        <v>7.083333333333333E-3</v>
      </c>
    </row>
    <row r="944" spans="1:12" x14ac:dyDescent="0.25">
      <c r="A944" s="3">
        <v>45711.164872685185</v>
      </c>
      <c r="B944" t="s">
        <v>85</v>
      </c>
      <c r="C944" s="3">
        <v>45711.165381944447</v>
      </c>
      <c r="D944" t="s">
        <v>85</v>
      </c>
      <c r="E944" s="4">
        <v>8.1000000000000003E-2</v>
      </c>
      <c r="F944" s="4">
        <v>106499.802</v>
      </c>
      <c r="G944" s="4">
        <v>106499.883</v>
      </c>
      <c r="H944" s="5">
        <f>0 / 86400</f>
        <v>0</v>
      </c>
      <c r="I944" t="s">
        <v>120</v>
      </c>
      <c r="J944" t="s">
        <v>33</v>
      </c>
      <c r="K944" s="5">
        <f>44 / 86400</f>
        <v>5.0925925925925921E-4</v>
      </c>
      <c r="L944" s="5">
        <f>6560 / 86400</f>
        <v>7.5925925925925924E-2</v>
      </c>
    </row>
    <row r="945" spans="1:12" x14ac:dyDescent="0.25">
      <c r="A945" s="3">
        <v>45711.241307870368</v>
      </c>
      <c r="B945" t="s">
        <v>85</v>
      </c>
      <c r="C945" s="3">
        <v>45711.242083333331</v>
      </c>
      <c r="D945" t="s">
        <v>85</v>
      </c>
      <c r="E945" s="4">
        <v>0</v>
      </c>
      <c r="F945" s="4">
        <v>106499.883</v>
      </c>
      <c r="G945" s="4">
        <v>106499.883</v>
      </c>
      <c r="H945" s="5">
        <f>57 / 86400</f>
        <v>6.5972222222222224E-4</v>
      </c>
      <c r="I945" t="s">
        <v>26</v>
      </c>
      <c r="J945" t="s">
        <v>26</v>
      </c>
      <c r="K945" s="5">
        <f>67 / 86400</f>
        <v>7.7546296296296293E-4</v>
      </c>
      <c r="L945" s="5">
        <f>52753 / 86400</f>
        <v>0.61056712962962967</v>
      </c>
    </row>
    <row r="946" spans="1:12" x14ac:dyDescent="0.25">
      <c r="A946" s="3">
        <v>45711.852650462963</v>
      </c>
      <c r="B946" t="s">
        <v>85</v>
      </c>
      <c r="C946" s="3">
        <v>45711.853541666671</v>
      </c>
      <c r="D946" t="s">
        <v>85</v>
      </c>
      <c r="E946" s="4">
        <v>2.8000000000000001E-2</v>
      </c>
      <c r="F946" s="4">
        <v>106499.883</v>
      </c>
      <c r="G946" s="4">
        <v>106499.91099999999</v>
      </c>
      <c r="H946" s="5">
        <f>58 / 86400</f>
        <v>6.7129629629629625E-4</v>
      </c>
      <c r="I946" t="s">
        <v>41</v>
      </c>
      <c r="J946" t="s">
        <v>21</v>
      </c>
      <c r="K946" s="5">
        <f>77 / 86400</f>
        <v>8.9120370370370373E-4</v>
      </c>
      <c r="L946" s="5">
        <f>12653 / 86400</f>
        <v>0.14644675925925926</v>
      </c>
    </row>
    <row r="947" spans="1:12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</row>
    <row r="948" spans="1:12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</row>
    <row r="949" spans="1:12" s="10" customFormat="1" ht="20.100000000000001" customHeight="1" x14ac:dyDescent="0.35">
      <c r="A949" s="12" t="s">
        <v>471</v>
      </c>
      <c r="B949" s="12"/>
      <c r="C949" s="12"/>
      <c r="D949" s="12"/>
      <c r="E949" s="12"/>
      <c r="F949" s="12"/>
      <c r="G949" s="12"/>
      <c r="H949" s="12"/>
      <c r="I949" s="12"/>
      <c r="J949" s="12"/>
    </row>
    <row r="950" spans="1:12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</row>
    <row r="951" spans="1:12" ht="30" x14ac:dyDescent="0.25">
      <c r="A951" s="2" t="s">
        <v>6</v>
      </c>
      <c r="B951" s="2" t="s">
        <v>7</v>
      </c>
      <c r="C951" s="2" t="s">
        <v>8</v>
      </c>
      <c r="D951" s="2" t="s">
        <v>9</v>
      </c>
      <c r="E951" s="2" t="s">
        <v>10</v>
      </c>
      <c r="F951" s="2" t="s">
        <v>11</v>
      </c>
      <c r="G951" s="2" t="s">
        <v>12</v>
      </c>
      <c r="H951" s="2" t="s">
        <v>13</v>
      </c>
      <c r="I951" s="2" t="s">
        <v>14</v>
      </c>
      <c r="J951" s="2" t="s">
        <v>15</v>
      </c>
      <c r="K951" s="2" t="s">
        <v>16</v>
      </c>
      <c r="L951" s="2" t="s">
        <v>17</v>
      </c>
    </row>
    <row r="952" spans="1:12" x14ac:dyDescent="0.25">
      <c r="A952" s="3">
        <v>45711.243414351848</v>
      </c>
      <c r="B952" t="s">
        <v>87</v>
      </c>
      <c r="C952" s="3">
        <v>45711.384351851855</v>
      </c>
      <c r="D952" t="s">
        <v>118</v>
      </c>
      <c r="E952" s="4">
        <v>78.043000000000006</v>
      </c>
      <c r="F952" s="4">
        <v>47287.978000000003</v>
      </c>
      <c r="G952" s="4">
        <v>47366.021000000001</v>
      </c>
      <c r="H952" s="5">
        <f>3239 / 86400</f>
        <v>3.7488425925925925E-2</v>
      </c>
      <c r="I952" t="s">
        <v>89</v>
      </c>
      <c r="J952" t="s">
        <v>142</v>
      </c>
      <c r="K952" s="5">
        <f>12177 / 86400</f>
        <v>0.14093749999999999</v>
      </c>
      <c r="L952" s="5">
        <f>21477 / 86400</f>
        <v>0.24857638888888889</v>
      </c>
    </row>
    <row r="953" spans="1:12" x14ac:dyDescent="0.25">
      <c r="A953" s="3">
        <v>45711.389513888891</v>
      </c>
      <c r="B953" t="s">
        <v>118</v>
      </c>
      <c r="C953" s="3">
        <v>45711.392824074079</v>
      </c>
      <c r="D953" t="s">
        <v>415</v>
      </c>
      <c r="E953" s="4">
        <v>1.0940000000000001</v>
      </c>
      <c r="F953" s="4">
        <v>47366.021000000001</v>
      </c>
      <c r="G953" s="4">
        <v>47367.114999999998</v>
      </c>
      <c r="H953" s="5">
        <f>18 / 86400</f>
        <v>2.0833333333333335E-4</v>
      </c>
      <c r="I953" t="s">
        <v>72</v>
      </c>
      <c r="J953" t="s">
        <v>116</v>
      </c>
      <c r="K953" s="5">
        <f>286 / 86400</f>
        <v>3.3101851851851851E-3</v>
      </c>
      <c r="L953" s="5">
        <f>194 / 86400</f>
        <v>2.2453703703703702E-3</v>
      </c>
    </row>
    <row r="954" spans="1:12" x14ac:dyDescent="0.25">
      <c r="A954" s="3">
        <v>45711.395069444443</v>
      </c>
      <c r="B954" t="s">
        <v>415</v>
      </c>
      <c r="C954" s="3">
        <v>45711.396990740745</v>
      </c>
      <c r="D954" t="s">
        <v>87</v>
      </c>
      <c r="E954" s="4">
        <v>0.29599999999999999</v>
      </c>
      <c r="F954" s="4">
        <v>47367.114999999998</v>
      </c>
      <c r="G954" s="4">
        <v>47367.411</v>
      </c>
      <c r="H954" s="5">
        <f>60 / 86400</f>
        <v>6.9444444444444447E-4</v>
      </c>
      <c r="I954" t="s">
        <v>112</v>
      </c>
      <c r="J954" t="s">
        <v>146</v>
      </c>
      <c r="K954" s="5">
        <f>166 / 86400</f>
        <v>1.9212962962962964E-3</v>
      </c>
      <c r="L954" s="5">
        <f>12 / 86400</f>
        <v>1.3888888888888889E-4</v>
      </c>
    </row>
    <row r="955" spans="1:12" x14ac:dyDescent="0.25">
      <c r="A955" s="3">
        <v>45711.397129629629</v>
      </c>
      <c r="B955" t="s">
        <v>87</v>
      </c>
      <c r="C955" s="3">
        <v>45711.397222222222</v>
      </c>
      <c r="D955" t="s">
        <v>87</v>
      </c>
      <c r="E955" s="4">
        <v>0</v>
      </c>
      <c r="F955" s="4">
        <v>47367.411</v>
      </c>
      <c r="G955" s="4">
        <v>47367.411</v>
      </c>
      <c r="H955" s="5">
        <f>0 / 86400</f>
        <v>0</v>
      </c>
      <c r="I955" t="s">
        <v>26</v>
      </c>
      <c r="J955" t="s">
        <v>26</v>
      </c>
      <c r="K955" s="5">
        <f>8 / 86400</f>
        <v>9.2592592592592588E-5</v>
      </c>
      <c r="L955" s="5">
        <f>1890 / 86400</f>
        <v>2.1874999999999999E-2</v>
      </c>
    </row>
    <row r="956" spans="1:12" x14ac:dyDescent="0.25">
      <c r="A956" s="3">
        <v>45711.41909722222</v>
      </c>
      <c r="B956" t="s">
        <v>87</v>
      </c>
      <c r="C956" s="3">
        <v>45711.419756944444</v>
      </c>
      <c r="D956" t="s">
        <v>87</v>
      </c>
      <c r="E956" s="4">
        <v>0</v>
      </c>
      <c r="F956" s="4">
        <v>47367.411</v>
      </c>
      <c r="G956" s="4">
        <v>47367.411</v>
      </c>
      <c r="H956" s="5">
        <f>38 / 86400</f>
        <v>4.3981481481481481E-4</v>
      </c>
      <c r="I956" t="s">
        <v>26</v>
      </c>
      <c r="J956" t="s">
        <v>26</v>
      </c>
      <c r="K956" s="5">
        <f>57 / 86400</f>
        <v>6.5972222222222224E-4</v>
      </c>
      <c r="L956" s="5">
        <f>3910 / 86400</f>
        <v>4.5254629629629631E-2</v>
      </c>
    </row>
    <row r="957" spans="1:12" x14ac:dyDescent="0.25">
      <c r="A957" s="3">
        <v>45711.465011574073</v>
      </c>
      <c r="B957" t="s">
        <v>87</v>
      </c>
      <c r="C957" s="3">
        <v>45711.467407407406</v>
      </c>
      <c r="D957" t="s">
        <v>87</v>
      </c>
      <c r="E957" s="4">
        <v>0</v>
      </c>
      <c r="F957" s="4">
        <v>47367.411</v>
      </c>
      <c r="G957" s="4">
        <v>47367.411</v>
      </c>
      <c r="H957" s="5">
        <f>198 / 86400</f>
        <v>2.2916666666666667E-3</v>
      </c>
      <c r="I957" t="s">
        <v>26</v>
      </c>
      <c r="J957" t="s">
        <v>26</v>
      </c>
      <c r="K957" s="5">
        <f>207 / 86400</f>
        <v>2.3958333333333331E-3</v>
      </c>
      <c r="L957" s="5">
        <f>110 / 86400</f>
        <v>1.2731481481481483E-3</v>
      </c>
    </row>
    <row r="958" spans="1:12" x14ac:dyDescent="0.25">
      <c r="A958" s="3">
        <v>45711.468680555554</v>
      </c>
      <c r="B958" t="s">
        <v>87</v>
      </c>
      <c r="C958" s="3">
        <v>45711.501585648148</v>
      </c>
      <c r="D958" t="s">
        <v>416</v>
      </c>
      <c r="E958" s="4">
        <v>12.693</v>
      </c>
      <c r="F958" s="4">
        <v>47367.411</v>
      </c>
      <c r="G958" s="4">
        <v>47380.103999999999</v>
      </c>
      <c r="H958" s="5">
        <f>1158 / 86400</f>
        <v>1.3402777777777777E-2</v>
      </c>
      <c r="I958" t="s">
        <v>83</v>
      </c>
      <c r="J958" t="s">
        <v>112</v>
      </c>
      <c r="K958" s="5">
        <f>2843 / 86400</f>
        <v>3.290509259259259E-2</v>
      </c>
      <c r="L958" s="5">
        <f>2203 / 86400</f>
        <v>2.5497685185185186E-2</v>
      </c>
    </row>
    <row r="959" spans="1:12" x14ac:dyDescent="0.25">
      <c r="A959" s="3">
        <v>45711.527083333334</v>
      </c>
      <c r="B959" t="s">
        <v>416</v>
      </c>
      <c r="C959" s="3">
        <v>45711.55300925926</v>
      </c>
      <c r="D959" t="s">
        <v>417</v>
      </c>
      <c r="E959" s="4">
        <v>14.635999999999999</v>
      </c>
      <c r="F959" s="4">
        <v>47380.103999999999</v>
      </c>
      <c r="G959" s="4">
        <v>47394.74</v>
      </c>
      <c r="H959" s="5">
        <f>377 / 86400</f>
        <v>4.363425925925926E-3</v>
      </c>
      <c r="I959" t="s">
        <v>391</v>
      </c>
      <c r="J959" t="s">
        <v>31</v>
      </c>
      <c r="K959" s="5">
        <f>2240 / 86400</f>
        <v>2.5925925925925925E-2</v>
      </c>
      <c r="L959" s="5">
        <f>6781 / 86400</f>
        <v>7.8483796296296301E-2</v>
      </c>
    </row>
    <row r="960" spans="1:12" x14ac:dyDescent="0.25">
      <c r="A960" s="3">
        <v>45711.631493055553</v>
      </c>
      <c r="B960" t="s">
        <v>417</v>
      </c>
      <c r="C960" s="3">
        <v>45711.63554398148</v>
      </c>
      <c r="D960" t="s">
        <v>417</v>
      </c>
      <c r="E960" s="4">
        <v>6.0000000000000001E-3</v>
      </c>
      <c r="F960" s="4">
        <v>47394.74</v>
      </c>
      <c r="G960" s="4">
        <v>47394.745999999999</v>
      </c>
      <c r="H960" s="5">
        <f>317 / 86400</f>
        <v>3.6689814814814814E-3</v>
      </c>
      <c r="I960" t="s">
        <v>34</v>
      </c>
      <c r="J960" t="s">
        <v>26</v>
      </c>
      <c r="K960" s="5">
        <f>350 / 86400</f>
        <v>4.0509259259259257E-3</v>
      </c>
      <c r="L960" s="5">
        <f>14 / 86400</f>
        <v>1.6203703703703703E-4</v>
      </c>
    </row>
    <row r="961" spans="1:12" x14ac:dyDescent="0.25">
      <c r="A961" s="3">
        <v>45711.635706018518</v>
      </c>
      <c r="B961" t="s">
        <v>417</v>
      </c>
      <c r="C961" s="3">
        <v>45711.63862268519</v>
      </c>
      <c r="D961" t="s">
        <v>417</v>
      </c>
      <c r="E961" s="4">
        <v>2.3E-2</v>
      </c>
      <c r="F961" s="4">
        <v>47394.745999999999</v>
      </c>
      <c r="G961" s="4">
        <v>47394.769</v>
      </c>
      <c r="H961" s="5">
        <f>217 / 86400</f>
        <v>2.5115740740740741E-3</v>
      </c>
      <c r="I961" t="s">
        <v>69</v>
      </c>
      <c r="J961" t="s">
        <v>26</v>
      </c>
      <c r="K961" s="5">
        <f>252 / 86400</f>
        <v>2.9166666666666668E-3</v>
      </c>
      <c r="L961" s="5">
        <f>4 / 86400</f>
        <v>4.6296296296296294E-5</v>
      </c>
    </row>
    <row r="962" spans="1:12" x14ac:dyDescent="0.25">
      <c r="A962" s="3">
        <v>45711.638668981483</v>
      </c>
      <c r="B962" t="s">
        <v>417</v>
      </c>
      <c r="C962" s="3">
        <v>45711.641203703708</v>
      </c>
      <c r="D962" t="s">
        <v>417</v>
      </c>
      <c r="E962" s="4">
        <v>1.6E-2</v>
      </c>
      <c r="F962" s="4">
        <v>47394.769</v>
      </c>
      <c r="G962" s="4">
        <v>47394.785000000003</v>
      </c>
      <c r="H962" s="5">
        <f>180 / 86400</f>
        <v>2.0833333333333333E-3</v>
      </c>
      <c r="I962" t="s">
        <v>69</v>
      </c>
      <c r="J962" t="s">
        <v>26</v>
      </c>
      <c r="K962" s="5">
        <f>219 / 86400</f>
        <v>2.5347222222222221E-3</v>
      </c>
      <c r="L962" s="5">
        <f>76 / 86400</f>
        <v>8.7962962962962962E-4</v>
      </c>
    </row>
    <row r="963" spans="1:12" x14ac:dyDescent="0.25">
      <c r="A963" s="3">
        <v>45711.642083333332</v>
      </c>
      <c r="B963" t="s">
        <v>417</v>
      </c>
      <c r="C963" s="3">
        <v>45711.654409722221</v>
      </c>
      <c r="D963" t="s">
        <v>418</v>
      </c>
      <c r="E963" s="4">
        <v>0.40500000000000003</v>
      </c>
      <c r="F963" s="4">
        <v>47394.785000000003</v>
      </c>
      <c r="G963" s="4">
        <v>47395.19</v>
      </c>
      <c r="H963" s="5">
        <f>938 / 86400</f>
        <v>1.0856481481481481E-2</v>
      </c>
      <c r="I963" t="s">
        <v>34</v>
      </c>
      <c r="J963" t="s">
        <v>21</v>
      </c>
      <c r="K963" s="5">
        <f>1065 / 86400</f>
        <v>1.2326388888888888E-2</v>
      </c>
      <c r="L963" s="5">
        <f>41 / 86400</f>
        <v>4.7453703703703704E-4</v>
      </c>
    </row>
    <row r="964" spans="1:12" x14ac:dyDescent="0.25">
      <c r="A964" s="3">
        <v>45711.65488425926</v>
      </c>
      <c r="B964" t="s">
        <v>418</v>
      </c>
      <c r="C964" s="3">
        <v>45711.656377314815</v>
      </c>
      <c r="D964" t="s">
        <v>418</v>
      </c>
      <c r="E964" s="4">
        <v>0</v>
      </c>
      <c r="F964" s="4">
        <v>47395.19</v>
      </c>
      <c r="G964" s="4">
        <v>47395.19</v>
      </c>
      <c r="H964" s="5">
        <f>117 / 86400</f>
        <v>1.3541666666666667E-3</v>
      </c>
      <c r="I964" t="s">
        <v>26</v>
      </c>
      <c r="J964" t="s">
        <v>26</v>
      </c>
      <c r="K964" s="5">
        <f>129 / 86400</f>
        <v>1.4930555555555556E-3</v>
      </c>
      <c r="L964" s="5">
        <f>35 / 86400</f>
        <v>4.0509259259259258E-4</v>
      </c>
    </row>
    <row r="965" spans="1:12" x14ac:dyDescent="0.25">
      <c r="A965" s="3">
        <v>45711.656782407408</v>
      </c>
      <c r="B965" t="s">
        <v>418</v>
      </c>
      <c r="C965" s="3">
        <v>45711.657407407409</v>
      </c>
      <c r="D965" t="s">
        <v>418</v>
      </c>
      <c r="E965" s="4">
        <v>0</v>
      </c>
      <c r="F965" s="4">
        <v>47395.19</v>
      </c>
      <c r="G965" s="4">
        <v>47395.19</v>
      </c>
      <c r="H965" s="5">
        <f>38 / 86400</f>
        <v>4.3981481481481481E-4</v>
      </c>
      <c r="I965" t="s">
        <v>26</v>
      </c>
      <c r="J965" t="s">
        <v>26</v>
      </c>
      <c r="K965" s="5">
        <f>54 / 86400</f>
        <v>6.2500000000000001E-4</v>
      </c>
      <c r="L965" s="5">
        <f>116 / 86400</f>
        <v>1.3425925925925925E-3</v>
      </c>
    </row>
    <row r="966" spans="1:12" x14ac:dyDescent="0.25">
      <c r="A966" s="3">
        <v>45711.658750000002</v>
      </c>
      <c r="B966" t="s">
        <v>418</v>
      </c>
      <c r="C966" s="3">
        <v>45711.663090277776</v>
      </c>
      <c r="D966" t="s">
        <v>418</v>
      </c>
      <c r="E966" s="4">
        <v>0</v>
      </c>
      <c r="F966" s="4">
        <v>47395.19</v>
      </c>
      <c r="G966" s="4">
        <v>47395.19</v>
      </c>
      <c r="H966" s="5">
        <f>358 / 86400</f>
        <v>4.1435185185185186E-3</v>
      </c>
      <c r="I966" t="s">
        <v>26</v>
      </c>
      <c r="J966" t="s">
        <v>26</v>
      </c>
      <c r="K966" s="5">
        <f>375 / 86400</f>
        <v>4.340277777777778E-3</v>
      </c>
      <c r="L966" s="5">
        <f>35 / 86400</f>
        <v>4.0509259259259258E-4</v>
      </c>
    </row>
    <row r="967" spans="1:12" x14ac:dyDescent="0.25">
      <c r="A967" s="3">
        <v>45711.663495370369</v>
      </c>
      <c r="B967" t="s">
        <v>418</v>
      </c>
      <c r="C967" s="3">
        <v>45711.6715162037</v>
      </c>
      <c r="D967" t="s">
        <v>419</v>
      </c>
      <c r="E967" s="4">
        <v>6.0000000000000001E-3</v>
      </c>
      <c r="F967" s="4">
        <v>47395.19</v>
      </c>
      <c r="G967" s="4">
        <v>47395.196000000004</v>
      </c>
      <c r="H967" s="5">
        <f>678 / 86400</f>
        <v>7.8472222222222224E-3</v>
      </c>
      <c r="I967" t="s">
        <v>26</v>
      </c>
      <c r="J967" t="s">
        <v>26</v>
      </c>
      <c r="K967" s="5">
        <f>693 / 86400</f>
        <v>8.0208333333333329E-3</v>
      </c>
      <c r="L967" s="5">
        <f>283 / 86400</f>
        <v>3.2754629629629631E-3</v>
      </c>
    </row>
    <row r="968" spans="1:12" x14ac:dyDescent="0.25">
      <c r="A968" s="3">
        <v>45711.674791666665</v>
      </c>
      <c r="B968" t="s">
        <v>419</v>
      </c>
      <c r="C968" s="3">
        <v>45711.676412037035</v>
      </c>
      <c r="D968" t="s">
        <v>419</v>
      </c>
      <c r="E968" s="4">
        <v>0</v>
      </c>
      <c r="F968" s="4">
        <v>47395.196000000004</v>
      </c>
      <c r="G968" s="4">
        <v>47395.196000000004</v>
      </c>
      <c r="H968" s="5">
        <f>118 / 86400</f>
        <v>1.3657407407407407E-3</v>
      </c>
      <c r="I968" t="s">
        <v>26</v>
      </c>
      <c r="J968" t="s">
        <v>26</v>
      </c>
      <c r="K968" s="5">
        <f>140 / 86400</f>
        <v>1.6203703703703703E-3</v>
      </c>
      <c r="L968" s="5">
        <f>535 / 86400</f>
        <v>6.1921296296296299E-3</v>
      </c>
    </row>
    <row r="969" spans="1:12" x14ac:dyDescent="0.25">
      <c r="A969" s="3">
        <v>45711.682604166665</v>
      </c>
      <c r="B969" t="s">
        <v>419</v>
      </c>
      <c r="C969" s="3">
        <v>45711.685995370368</v>
      </c>
      <c r="D969" t="s">
        <v>419</v>
      </c>
      <c r="E969" s="4">
        <v>0</v>
      </c>
      <c r="F969" s="4">
        <v>47395.196000000004</v>
      </c>
      <c r="G969" s="4">
        <v>47395.196000000004</v>
      </c>
      <c r="H969" s="5">
        <f>277 / 86400</f>
        <v>3.2060185185185186E-3</v>
      </c>
      <c r="I969" t="s">
        <v>26</v>
      </c>
      <c r="J969" t="s">
        <v>26</v>
      </c>
      <c r="K969" s="5">
        <f>293 / 86400</f>
        <v>3.3912037037037036E-3</v>
      </c>
      <c r="L969" s="5">
        <f>47 / 86400</f>
        <v>5.4398148148148144E-4</v>
      </c>
    </row>
    <row r="970" spans="1:12" x14ac:dyDescent="0.25">
      <c r="A970" s="3">
        <v>45711.686539351853</v>
      </c>
      <c r="B970" t="s">
        <v>419</v>
      </c>
      <c r="C970" s="3">
        <v>45711.698287037041</v>
      </c>
      <c r="D970" t="s">
        <v>420</v>
      </c>
      <c r="E970" s="4">
        <v>1.2999999999999999E-2</v>
      </c>
      <c r="F970" s="4">
        <v>47395.196000000004</v>
      </c>
      <c r="G970" s="4">
        <v>47395.209000000003</v>
      </c>
      <c r="H970" s="5">
        <f>997 / 86400</f>
        <v>1.1539351851851851E-2</v>
      </c>
      <c r="I970" t="s">
        <v>26</v>
      </c>
      <c r="J970" t="s">
        <v>26</v>
      </c>
      <c r="K970" s="5">
        <f>1015 / 86400</f>
        <v>1.1747685185185186E-2</v>
      </c>
      <c r="L970" s="5">
        <f>6646 / 86400</f>
        <v>7.6921296296296293E-2</v>
      </c>
    </row>
    <row r="971" spans="1:12" x14ac:dyDescent="0.25">
      <c r="A971" s="3">
        <v>45711.775208333333</v>
      </c>
      <c r="B971" t="s">
        <v>420</v>
      </c>
      <c r="C971" s="3">
        <v>45711.777546296296</v>
      </c>
      <c r="D971" t="s">
        <v>420</v>
      </c>
      <c r="E971" s="4">
        <v>0</v>
      </c>
      <c r="F971" s="4">
        <v>47395.209000000003</v>
      </c>
      <c r="G971" s="4">
        <v>47395.209000000003</v>
      </c>
      <c r="H971" s="5">
        <f>197 / 86400</f>
        <v>2.2800925925925927E-3</v>
      </c>
      <c r="I971" t="s">
        <v>26</v>
      </c>
      <c r="J971" t="s">
        <v>26</v>
      </c>
      <c r="K971" s="5">
        <f>202 / 86400</f>
        <v>2.3379629629629631E-3</v>
      </c>
      <c r="L971" s="5">
        <f>289 / 86400</f>
        <v>3.3449074074074076E-3</v>
      </c>
    </row>
    <row r="972" spans="1:12" x14ac:dyDescent="0.25">
      <c r="A972" s="3">
        <v>45711.7808912037</v>
      </c>
      <c r="B972" t="s">
        <v>420</v>
      </c>
      <c r="C972" s="3">
        <v>45711.780949074076</v>
      </c>
      <c r="D972" t="s">
        <v>420</v>
      </c>
      <c r="E972" s="4">
        <v>0</v>
      </c>
      <c r="F972" s="4">
        <v>47395.209000000003</v>
      </c>
      <c r="G972" s="4">
        <v>47395.209000000003</v>
      </c>
      <c r="H972" s="5">
        <f>0 / 86400</f>
        <v>0</v>
      </c>
      <c r="I972" t="s">
        <v>26</v>
      </c>
      <c r="J972" t="s">
        <v>26</v>
      </c>
      <c r="K972" s="5">
        <f>5 / 86400</f>
        <v>5.7870370370370373E-5</v>
      </c>
      <c r="L972" s="5">
        <f>130 / 86400</f>
        <v>1.5046296296296296E-3</v>
      </c>
    </row>
    <row r="973" spans="1:12" x14ac:dyDescent="0.25">
      <c r="A973" s="3">
        <v>45711.782453703709</v>
      </c>
      <c r="B973" t="s">
        <v>420</v>
      </c>
      <c r="C973" s="3">
        <v>45711.782511574071</v>
      </c>
      <c r="D973" t="s">
        <v>420</v>
      </c>
      <c r="E973" s="4">
        <v>0</v>
      </c>
      <c r="F973" s="4">
        <v>47395.209000000003</v>
      </c>
      <c r="G973" s="4">
        <v>47395.209000000003</v>
      </c>
      <c r="H973" s="5">
        <f>0 / 86400</f>
        <v>0</v>
      </c>
      <c r="I973" t="s">
        <v>26</v>
      </c>
      <c r="J973" t="s">
        <v>26</v>
      </c>
      <c r="K973" s="5">
        <f>5 / 86400</f>
        <v>5.7870370370370373E-5</v>
      </c>
      <c r="L973" s="5">
        <f>918 / 86400</f>
        <v>1.0625000000000001E-2</v>
      </c>
    </row>
    <row r="974" spans="1:12" x14ac:dyDescent="0.25">
      <c r="A974" s="3">
        <v>45711.793136574073</v>
      </c>
      <c r="B974" t="s">
        <v>420</v>
      </c>
      <c r="C974" s="3">
        <v>45711.793622685189</v>
      </c>
      <c r="D974" t="s">
        <v>420</v>
      </c>
      <c r="E974" s="4">
        <v>0</v>
      </c>
      <c r="F974" s="4">
        <v>47395.209000000003</v>
      </c>
      <c r="G974" s="4">
        <v>47395.209000000003</v>
      </c>
      <c r="H974" s="5">
        <f>37 / 86400</f>
        <v>4.2824074074074075E-4</v>
      </c>
      <c r="I974" t="s">
        <v>26</v>
      </c>
      <c r="J974" t="s">
        <v>26</v>
      </c>
      <c r="K974" s="5">
        <f>42 / 86400</f>
        <v>4.861111111111111E-4</v>
      </c>
      <c r="L974" s="5">
        <f>139 / 86400</f>
        <v>1.6087962962962963E-3</v>
      </c>
    </row>
    <row r="975" spans="1:12" x14ac:dyDescent="0.25">
      <c r="A975" s="3">
        <v>45711.795231481483</v>
      </c>
      <c r="B975" t="s">
        <v>420</v>
      </c>
      <c r="C975" s="3">
        <v>45711.795300925922</v>
      </c>
      <c r="D975" t="s">
        <v>420</v>
      </c>
      <c r="E975" s="4">
        <v>0</v>
      </c>
      <c r="F975" s="4">
        <v>47395.209000000003</v>
      </c>
      <c r="G975" s="4">
        <v>47395.209000000003</v>
      </c>
      <c r="H975" s="5">
        <f>0 / 86400</f>
        <v>0</v>
      </c>
      <c r="I975" t="s">
        <v>26</v>
      </c>
      <c r="J975" t="s">
        <v>26</v>
      </c>
      <c r="K975" s="5">
        <f>6 / 86400</f>
        <v>6.9444444444444444E-5</v>
      </c>
      <c r="L975" s="5">
        <f>8544 / 86400</f>
        <v>9.8888888888888887E-2</v>
      </c>
    </row>
    <row r="976" spans="1:12" x14ac:dyDescent="0.25">
      <c r="A976" s="3">
        <v>45711.894189814819</v>
      </c>
      <c r="B976" t="s">
        <v>420</v>
      </c>
      <c r="C976" s="3">
        <v>45711.8987962963</v>
      </c>
      <c r="D976" t="s">
        <v>421</v>
      </c>
      <c r="E976" s="4">
        <v>1.163</v>
      </c>
      <c r="F976" s="4">
        <v>47395.209000000003</v>
      </c>
      <c r="G976" s="4">
        <v>47396.372000000003</v>
      </c>
      <c r="H976" s="5">
        <f>120 / 86400</f>
        <v>1.3888888888888889E-3</v>
      </c>
      <c r="I976" t="s">
        <v>91</v>
      </c>
      <c r="J976" t="s">
        <v>41</v>
      </c>
      <c r="K976" s="5">
        <f>398 / 86400</f>
        <v>4.6064814814814814E-3</v>
      </c>
      <c r="L976" s="5">
        <f>5991 / 86400</f>
        <v>6.9340277777777778E-2</v>
      </c>
    </row>
    <row r="977" spans="1:12" x14ac:dyDescent="0.25">
      <c r="A977" s="3">
        <v>45711.968136574069</v>
      </c>
      <c r="B977" t="s">
        <v>255</v>
      </c>
      <c r="C977" s="3">
        <v>45711.997916666667</v>
      </c>
      <c r="D977" t="s">
        <v>88</v>
      </c>
      <c r="E977" s="4">
        <v>20.96</v>
      </c>
      <c r="F977" s="4">
        <v>47396.372000000003</v>
      </c>
      <c r="G977" s="4">
        <v>47417.332000000002</v>
      </c>
      <c r="H977" s="5">
        <f>760 / 86400</f>
        <v>8.7962962962962968E-3</v>
      </c>
      <c r="I977" t="s">
        <v>422</v>
      </c>
      <c r="J977" t="s">
        <v>130</v>
      </c>
      <c r="K977" s="5">
        <f>2573 / 86400</f>
        <v>2.9780092592592594E-2</v>
      </c>
      <c r="L977" s="5">
        <f>179 / 86400</f>
        <v>2.0717592592592593E-3</v>
      </c>
    </row>
    <row r="978" spans="1:12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</row>
    <row r="979" spans="1:12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</row>
    <row r="980" spans="1:12" s="10" customFormat="1" ht="20.100000000000001" customHeight="1" x14ac:dyDescent="0.35">
      <c r="A980" s="12" t="s">
        <v>472</v>
      </c>
      <c r="B980" s="12"/>
      <c r="C980" s="12"/>
      <c r="D980" s="12"/>
      <c r="E980" s="12"/>
      <c r="F980" s="12"/>
      <c r="G980" s="12"/>
      <c r="H980" s="12"/>
      <c r="I980" s="12"/>
      <c r="J980" s="12"/>
    </row>
    <row r="981" spans="1:12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</row>
    <row r="982" spans="1:12" ht="30" x14ac:dyDescent="0.25">
      <c r="A982" s="2" t="s">
        <v>6</v>
      </c>
      <c r="B982" s="2" t="s">
        <v>7</v>
      </c>
      <c r="C982" s="2" t="s">
        <v>8</v>
      </c>
      <c r="D982" s="2" t="s">
        <v>9</v>
      </c>
      <c r="E982" s="2" t="s">
        <v>10</v>
      </c>
      <c r="F982" s="2" t="s">
        <v>11</v>
      </c>
      <c r="G982" s="2" t="s">
        <v>12</v>
      </c>
      <c r="H982" s="2" t="s">
        <v>13</v>
      </c>
      <c r="I982" s="2" t="s">
        <v>14</v>
      </c>
      <c r="J982" s="2" t="s">
        <v>15</v>
      </c>
      <c r="K982" s="2" t="s">
        <v>16</v>
      </c>
      <c r="L982" s="2" t="s">
        <v>17</v>
      </c>
    </row>
    <row r="983" spans="1:12" x14ac:dyDescent="0.25">
      <c r="A983" s="3">
        <v>45711</v>
      </c>
      <c r="B983" t="s">
        <v>90</v>
      </c>
      <c r="C983" s="3">
        <v>45711.039988425924</v>
      </c>
      <c r="D983" t="s">
        <v>50</v>
      </c>
      <c r="E983" s="4">
        <v>27.021999999999998</v>
      </c>
      <c r="F983" s="4">
        <v>43125.112999999998</v>
      </c>
      <c r="G983" s="4">
        <v>43152.135000000002</v>
      </c>
      <c r="H983" s="5">
        <f>541 / 86400</f>
        <v>6.2615740740740739E-3</v>
      </c>
      <c r="I983" t="s">
        <v>369</v>
      </c>
      <c r="J983" t="s">
        <v>138</v>
      </c>
      <c r="K983" s="5">
        <f>3455 / 86400</f>
        <v>3.9988425925925927E-2</v>
      </c>
      <c r="L983" s="5">
        <f>1264 / 86400</f>
        <v>1.462962962962963E-2</v>
      </c>
    </row>
    <row r="984" spans="1:12" x14ac:dyDescent="0.25">
      <c r="A984" s="3">
        <v>45711.054618055554</v>
      </c>
      <c r="B984" t="s">
        <v>50</v>
      </c>
      <c r="C984" s="3">
        <v>45711.059745370367</v>
      </c>
      <c r="D984" t="s">
        <v>423</v>
      </c>
      <c r="E984" s="4">
        <v>1.232</v>
      </c>
      <c r="F984" s="4">
        <v>43152.135000000002</v>
      </c>
      <c r="G984" s="4">
        <v>43153.366999999998</v>
      </c>
      <c r="H984" s="5">
        <f>151 / 86400</f>
        <v>1.7476851851851852E-3</v>
      </c>
      <c r="I984" t="s">
        <v>164</v>
      </c>
      <c r="J984" t="s">
        <v>208</v>
      </c>
      <c r="K984" s="5">
        <f>443 / 86400</f>
        <v>5.1273148148148146E-3</v>
      </c>
      <c r="L984" s="5">
        <f>18530 / 86400</f>
        <v>0.2144675925925926</v>
      </c>
    </row>
    <row r="985" spans="1:12" x14ac:dyDescent="0.25">
      <c r="A985" s="3">
        <v>45711.274212962962</v>
      </c>
      <c r="B985" t="s">
        <v>423</v>
      </c>
      <c r="C985" s="3">
        <v>45711.444432870368</v>
      </c>
      <c r="D985" t="s">
        <v>105</v>
      </c>
      <c r="E985" s="4">
        <v>80.462000000000003</v>
      </c>
      <c r="F985" s="4">
        <v>43153.366999999998</v>
      </c>
      <c r="G985" s="4">
        <v>43233.828999999998</v>
      </c>
      <c r="H985" s="5">
        <f>4228 / 86400</f>
        <v>4.8935185185185186E-2</v>
      </c>
      <c r="I985" t="s">
        <v>30</v>
      </c>
      <c r="J985" t="s">
        <v>24</v>
      </c>
      <c r="K985" s="5">
        <f>14707 / 86400</f>
        <v>0.17021990740740742</v>
      </c>
      <c r="L985" s="5">
        <f>1299 / 86400</f>
        <v>1.5034722222222222E-2</v>
      </c>
    </row>
    <row r="986" spans="1:12" x14ac:dyDescent="0.25">
      <c r="A986" s="3">
        <v>45711.459467592591</v>
      </c>
      <c r="B986" t="s">
        <v>105</v>
      </c>
      <c r="C986" s="3">
        <v>45711.470671296294</v>
      </c>
      <c r="D986" t="s">
        <v>115</v>
      </c>
      <c r="E986" s="4">
        <v>2.0960000000000001</v>
      </c>
      <c r="F986" s="4">
        <v>43233.828999999998</v>
      </c>
      <c r="G986" s="4">
        <v>43235.925000000003</v>
      </c>
      <c r="H986" s="5">
        <f>540 / 86400</f>
        <v>6.2500000000000003E-3</v>
      </c>
      <c r="I986" t="s">
        <v>72</v>
      </c>
      <c r="J986" t="s">
        <v>113</v>
      </c>
      <c r="K986" s="5">
        <f>968 / 86400</f>
        <v>1.1203703703703704E-2</v>
      </c>
      <c r="L986" s="5">
        <f>863 / 86400</f>
        <v>9.9884259259259266E-3</v>
      </c>
    </row>
    <row r="987" spans="1:12" x14ac:dyDescent="0.25">
      <c r="A987" s="3">
        <v>45711.48065972222</v>
      </c>
      <c r="B987" t="s">
        <v>115</v>
      </c>
      <c r="C987" s="3">
        <v>45711.481446759259</v>
      </c>
      <c r="D987" t="s">
        <v>115</v>
      </c>
      <c r="E987" s="4">
        <v>5.8999999999999997E-2</v>
      </c>
      <c r="F987" s="4">
        <v>43235.925000000003</v>
      </c>
      <c r="G987" s="4">
        <v>43235.983999999997</v>
      </c>
      <c r="H987" s="5">
        <f>1 / 86400</f>
        <v>1.1574074074074073E-5</v>
      </c>
      <c r="I987" t="s">
        <v>208</v>
      </c>
      <c r="J987" t="s">
        <v>69</v>
      </c>
      <c r="K987" s="5">
        <f>68 / 86400</f>
        <v>7.8703703703703705E-4</v>
      </c>
      <c r="L987" s="5">
        <f>2839 / 86400</f>
        <v>3.2858796296296296E-2</v>
      </c>
    </row>
    <row r="988" spans="1:12" x14ac:dyDescent="0.25">
      <c r="A988" s="3">
        <v>45711.514305555553</v>
      </c>
      <c r="B988" t="s">
        <v>115</v>
      </c>
      <c r="C988" s="3">
        <v>45711.692129629635</v>
      </c>
      <c r="D988" t="s">
        <v>118</v>
      </c>
      <c r="E988" s="4">
        <v>96.019000000000005</v>
      </c>
      <c r="F988" s="4">
        <v>43235.983999999997</v>
      </c>
      <c r="G988" s="4">
        <v>43332.002999999997</v>
      </c>
      <c r="H988" s="5">
        <f>4019 / 86400</f>
        <v>4.6516203703703705E-2</v>
      </c>
      <c r="I988" t="s">
        <v>55</v>
      </c>
      <c r="J988" t="s">
        <v>91</v>
      </c>
      <c r="K988" s="5">
        <f>15364 / 86400</f>
        <v>0.17782407407407408</v>
      </c>
      <c r="L988" s="5">
        <f>548 / 86400</f>
        <v>6.3425925925925924E-3</v>
      </c>
    </row>
    <row r="989" spans="1:12" x14ac:dyDescent="0.25">
      <c r="A989" s="3">
        <v>45711.698472222226</v>
      </c>
      <c r="B989" t="s">
        <v>118</v>
      </c>
      <c r="C989" s="3">
        <v>45711.699745370366</v>
      </c>
      <c r="D989" t="s">
        <v>73</v>
      </c>
      <c r="E989" s="4">
        <v>0.2</v>
      </c>
      <c r="F989" s="4">
        <v>43332.002999999997</v>
      </c>
      <c r="G989" s="4">
        <v>43332.203000000001</v>
      </c>
      <c r="H989" s="5">
        <f>1 / 86400</f>
        <v>1.1574074074074073E-5</v>
      </c>
      <c r="I989" t="s">
        <v>41</v>
      </c>
      <c r="J989" t="s">
        <v>33</v>
      </c>
      <c r="K989" s="5">
        <f>110 / 86400</f>
        <v>1.2731481481481483E-3</v>
      </c>
      <c r="L989" s="5">
        <f>435 / 86400</f>
        <v>5.0347222222222225E-3</v>
      </c>
    </row>
    <row r="990" spans="1:12" x14ac:dyDescent="0.25">
      <c r="A990" s="3">
        <v>45711.704780092594</v>
      </c>
      <c r="B990" t="s">
        <v>73</v>
      </c>
      <c r="C990" s="3">
        <v>45711.99998842593</v>
      </c>
      <c r="D990" t="s">
        <v>81</v>
      </c>
      <c r="E990" s="4">
        <v>157.10499999999999</v>
      </c>
      <c r="F990" s="4">
        <v>43332.203000000001</v>
      </c>
      <c r="G990" s="4">
        <v>43489.307999999997</v>
      </c>
      <c r="H990" s="5">
        <f>5997 / 86400</f>
        <v>6.940972222222222E-2</v>
      </c>
      <c r="I990" t="s">
        <v>66</v>
      </c>
      <c r="J990" t="s">
        <v>91</v>
      </c>
      <c r="K990" s="5">
        <f>25506 / 86400</f>
        <v>0.29520833333333335</v>
      </c>
      <c r="L990" s="5">
        <f>0 / 86400</f>
        <v>0</v>
      </c>
    </row>
    <row r="991" spans="1:12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</row>
    <row r="992" spans="1:12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</row>
    <row r="993" spans="1:12" s="10" customFormat="1" ht="20.100000000000001" customHeight="1" x14ac:dyDescent="0.35">
      <c r="A993" s="12" t="s">
        <v>473</v>
      </c>
      <c r="B993" s="12"/>
      <c r="C993" s="12"/>
      <c r="D993" s="12"/>
      <c r="E993" s="12"/>
      <c r="F993" s="12"/>
      <c r="G993" s="12"/>
      <c r="H993" s="12"/>
      <c r="I993" s="12"/>
      <c r="J993" s="12"/>
    </row>
    <row r="994" spans="1:12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</row>
    <row r="995" spans="1:12" ht="30" x14ac:dyDescent="0.25">
      <c r="A995" s="2" t="s">
        <v>6</v>
      </c>
      <c r="B995" s="2" t="s">
        <v>7</v>
      </c>
      <c r="C995" s="2" t="s">
        <v>8</v>
      </c>
      <c r="D995" s="2" t="s">
        <v>9</v>
      </c>
      <c r="E995" s="2" t="s">
        <v>10</v>
      </c>
      <c r="F995" s="2" t="s">
        <v>11</v>
      </c>
      <c r="G995" s="2" t="s">
        <v>12</v>
      </c>
      <c r="H995" s="2" t="s">
        <v>13</v>
      </c>
      <c r="I995" s="2" t="s">
        <v>14</v>
      </c>
      <c r="J995" s="2" t="s">
        <v>15</v>
      </c>
      <c r="K995" s="2" t="s">
        <v>16</v>
      </c>
      <c r="L995" s="2" t="s">
        <v>17</v>
      </c>
    </row>
    <row r="996" spans="1:12" x14ac:dyDescent="0.25">
      <c r="A996" s="3">
        <v>45711.887824074074</v>
      </c>
      <c r="B996" t="s">
        <v>73</v>
      </c>
      <c r="C996" s="3">
        <v>45711.8903125</v>
      </c>
      <c r="D996" t="s">
        <v>73</v>
      </c>
      <c r="E996" s="4">
        <v>0</v>
      </c>
      <c r="F996" s="4">
        <v>525147.03</v>
      </c>
      <c r="G996" s="4">
        <v>525147.03</v>
      </c>
      <c r="H996" s="5">
        <f>199 / 86400</f>
        <v>2.3032407407407407E-3</v>
      </c>
      <c r="I996" t="s">
        <v>26</v>
      </c>
      <c r="J996" t="s">
        <v>26</v>
      </c>
      <c r="K996" s="5">
        <f>215 / 86400</f>
        <v>2.488425925925926E-3</v>
      </c>
      <c r="L996" s="5">
        <f>86184 / 86400</f>
        <v>0.99750000000000005</v>
      </c>
    </row>
    <row r="997" spans="1:12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</row>
    <row r="998" spans="1:12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</row>
    <row r="999" spans="1:12" s="10" customFormat="1" ht="20.100000000000001" customHeight="1" x14ac:dyDescent="0.35">
      <c r="A999" s="12" t="s">
        <v>474</v>
      </c>
      <c r="B999" s="12"/>
      <c r="C999" s="12"/>
      <c r="D999" s="12"/>
      <c r="E999" s="12"/>
      <c r="F999" s="12"/>
      <c r="G999" s="12"/>
      <c r="H999" s="12"/>
      <c r="I999" s="12"/>
      <c r="J999" s="12"/>
    </row>
    <row r="1000" spans="1:12" x14ac:dyDescent="0.25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</row>
    <row r="1001" spans="1:12" ht="30" x14ac:dyDescent="0.25">
      <c r="A1001" s="2" t="s">
        <v>6</v>
      </c>
      <c r="B1001" s="2" t="s">
        <v>7</v>
      </c>
      <c r="C1001" s="2" t="s">
        <v>8</v>
      </c>
      <c r="D1001" s="2" t="s">
        <v>9</v>
      </c>
      <c r="E1001" s="2" t="s">
        <v>10</v>
      </c>
      <c r="F1001" s="2" t="s">
        <v>11</v>
      </c>
      <c r="G1001" s="2" t="s">
        <v>12</v>
      </c>
      <c r="H1001" s="2" t="s">
        <v>13</v>
      </c>
      <c r="I1001" s="2" t="s">
        <v>14</v>
      </c>
      <c r="J1001" s="2" t="s">
        <v>15</v>
      </c>
      <c r="K1001" s="2" t="s">
        <v>16</v>
      </c>
      <c r="L1001" s="2" t="s">
        <v>17</v>
      </c>
    </row>
    <row r="1002" spans="1:12" x14ac:dyDescent="0.25">
      <c r="A1002" s="3">
        <v>45711.265567129631</v>
      </c>
      <c r="B1002" t="s">
        <v>85</v>
      </c>
      <c r="C1002" s="3">
        <v>45711.271284722221</v>
      </c>
      <c r="D1002" t="s">
        <v>115</v>
      </c>
      <c r="E1002" s="4">
        <v>2.1080000000000001</v>
      </c>
      <c r="F1002" s="4">
        <v>24768.575000000001</v>
      </c>
      <c r="G1002" s="4">
        <v>24770.683000000001</v>
      </c>
      <c r="H1002" s="5">
        <f>19 / 86400</f>
        <v>2.199074074074074E-4</v>
      </c>
      <c r="I1002" t="s">
        <v>176</v>
      </c>
      <c r="J1002" t="s">
        <v>47</v>
      </c>
      <c r="K1002" s="5">
        <f>493 / 86400</f>
        <v>5.7060185185185183E-3</v>
      </c>
      <c r="L1002" s="5">
        <f>23252 / 86400</f>
        <v>0.26912037037037034</v>
      </c>
    </row>
    <row r="1003" spans="1:12" x14ac:dyDescent="0.25">
      <c r="A1003" s="3">
        <v>45711.274837962963</v>
      </c>
      <c r="B1003" t="s">
        <v>115</v>
      </c>
      <c r="C1003" s="3">
        <v>45711.275138888886</v>
      </c>
      <c r="D1003" t="s">
        <v>115</v>
      </c>
      <c r="E1003" s="4">
        <v>3.7999999999999999E-2</v>
      </c>
      <c r="F1003" s="4">
        <v>24770.683000000001</v>
      </c>
      <c r="G1003" s="4">
        <v>24770.721000000001</v>
      </c>
      <c r="H1003" s="5">
        <f>0 / 86400</f>
        <v>0</v>
      </c>
      <c r="I1003" t="s">
        <v>34</v>
      </c>
      <c r="J1003" t="s">
        <v>34</v>
      </c>
      <c r="K1003" s="5">
        <f>25 / 86400</f>
        <v>2.8935185185185184E-4</v>
      </c>
      <c r="L1003" s="5">
        <f>137 / 86400</f>
        <v>1.5856481481481481E-3</v>
      </c>
    </row>
    <row r="1004" spans="1:12" x14ac:dyDescent="0.25">
      <c r="A1004" s="3">
        <v>45711.276724537034</v>
      </c>
      <c r="B1004" t="s">
        <v>115</v>
      </c>
      <c r="C1004" s="3">
        <v>45711.27915509259</v>
      </c>
      <c r="D1004" t="s">
        <v>258</v>
      </c>
      <c r="E1004" s="4">
        <v>0.76100000000000001</v>
      </c>
      <c r="F1004" s="4">
        <v>24770.721000000001</v>
      </c>
      <c r="G1004" s="4">
        <v>24771.482</v>
      </c>
      <c r="H1004" s="5">
        <f>0 / 86400</f>
        <v>0</v>
      </c>
      <c r="I1004" t="s">
        <v>37</v>
      </c>
      <c r="J1004" t="s">
        <v>120</v>
      </c>
      <c r="K1004" s="5">
        <f>210 / 86400</f>
        <v>2.4305555555555556E-3</v>
      </c>
      <c r="L1004" s="5">
        <f>282 / 86400</f>
        <v>3.2638888888888891E-3</v>
      </c>
    </row>
    <row r="1005" spans="1:12" x14ac:dyDescent="0.25">
      <c r="A1005" s="3">
        <v>45711.282418981486</v>
      </c>
      <c r="B1005" t="s">
        <v>412</v>
      </c>
      <c r="C1005" s="3">
        <v>45711.393969907411</v>
      </c>
      <c r="D1005" t="s">
        <v>424</v>
      </c>
      <c r="E1005" s="4">
        <v>50.386000000000003</v>
      </c>
      <c r="F1005" s="4">
        <v>24771.482</v>
      </c>
      <c r="G1005" s="4">
        <v>24821.867999999999</v>
      </c>
      <c r="H1005" s="5">
        <f>2340 / 86400</f>
        <v>2.7083333333333334E-2</v>
      </c>
      <c r="I1005" t="s">
        <v>124</v>
      </c>
      <c r="J1005" t="s">
        <v>37</v>
      </c>
      <c r="K1005" s="5">
        <f>9637 / 86400</f>
        <v>0.11153935185185185</v>
      </c>
      <c r="L1005" s="5">
        <f>232 / 86400</f>
        <v>2.685185185185185E-3</v>
      </c>
    </row>
    <row r="1006" spans="1:12" x14ac:dyDescent="0.25">
      <c r="A1006" s="3">
        <v>45711.396655092598</v>
      </c>
      <c r="B1006" t="s">
        <v>424</v>
      </c>
      <c r="C1006" s="3">
        <v>45711.545648148152</v>
      </c>
      <c r="D1006" t="s">
        <v>105</v>
      </c>
      <c r="E1006" s="4">
        <v>52.545000000000002</v>
      </c>
      <c r="F1006" s="4">
        <v>24821.867999999999</v>
      </c>
      <c r="G1006" s="4">
        <v>24874.413</v>
      </c>
      <c r="H1006" s="5">
        <f>4240 / 86400</f>
        <v>4.9074074074074076E-2</v>
      </c>
      <c r="I1006" t="s">
        <v>224</v>
      </c>
      <c r="J1006" t="s">
        <v>47</v>
      </c>
      <c r="K1006" s="5">
        <f>12872 / 86400</f>
        <v>0.14898148148148149</v>
      </c>
      <c r="L1006" s="5">
        <f>2465 / 86400</f>
        <v>2.8530092592592593E-2</v>
      </c>
    </row>
    <row r="1007" spans="1:12" x14ac:dyDescent="0.25">
      <c r="A1007" s="3">
        <v>45711.574178240742</v>
      </c>
      <c r="B1007" t="s">
        <v>105</v>
      </c>
      <c r="C1007" s="3">
        <v>45711.801215277781</v>
      </c>
      <c r="D1007" t="s">
        <v>425</v>
      </c>
      <c r="E1007" s="4">
        <v>94.965000000000003</v>
      </c>
      <c r="F1007" s="4">
        <v>24874.413</v>
      </c>
      <c r="G1007" s="4">
        <v>24969.378000000001</v>
      </c>
      <c r="H1007" s="5">
        <f>5840 / 86400</f>
        <v>6.7592592592592593E-2</v>
      </c>
      <c r="I1007" t="s">
        <v>43</v>
      </c>
      <c r="J1007" t="s">
        <v>58</v>
      </c>
      <c r="K1007" s="5">
        <f>19616 / 86400</f>
        <v>0.22703703703703704</v>
      </c>
      <c r="L1007" s="5">
        <f>289 / 86400</f>
        <v>3.3449074074074076E-3</v>
      </c>
    </row>
    <row r="1008" spans="1:12" x14ac:dyDescent="0.25">
      <c r="A1008" s="3">
        <v>45711.804560185185</v>
      </c>
      <c r="B1008" t="s">
        <v>425</v>
      </c>
      <c r="C1008" s="3">
        <v>45711.80740740741</v>
      </c>
      <c r="D1008" t="s">
        <v>111</v>
      </c>
      <c r="E1008" s="4">
        <v>0.49</v>
      </c>
      <c r="F1008" s="4">
        <v>24969.378000000001</v>
      </c>
      <c r="G1008" s="4">
        <v>24969.867999999999</v>
      </c>
      <c r="H1008" s="5">
        <f>99 / 86400</f>
        <v>1.1458333333333333E-3</v>
      </c>
      <c r="I1008" t="s">
        <v>149</v>
      </c>
      <c r="J1008" t="s">
        <v>33</v>
      </c>
      <c r="K1008" s="5">
        <f>246 / 86400</f>
        <v>2.8472222222222223E-3</v>
      </c>
      <c r="L1008" s="5">
        <f>548 / 86400</f>
        <v>6.3425925925925924E-3</v>
      </c>
    </row>
    <row r="1009" spans="1:12" x14ac:dyDescent="0.25">
      <c r="A1009" s="3">
        <v>45711.813750000001</v>
      </c>
      <c r="B1009" t="s">
        <v>111</v>
      </c>
      <c r="C1009" s="3">
        <v>45711.814212962963</v>
      </c>
      <c r="D1009" t="s">
        <v>259</v>
      </c>
      <c r="E1009" s="4">
        <v>4.4999999999999998E-2</v>
      </c>
      <c r="F1009" s="4">
        <v>24969.867999999999</v>
      </c>
      <c r="G1009" s="4">
        <v>24969.913</v>
      </c>
      <c r="H1009" s="5">
        <f>0 / 86400</f>
        <v>0</v>
      </c>
      <c r="I1009" t="s">
        <v>34</v>
      </c>
      <c r="J1009" t="s">
        <v>20</v>
      </c>
      <c r="K1009" s="5">
        <f>39 / 86400</f>
        <v>4.5138888888888887E-4</v>
      </c>
      <c r="L1009" s="5">
        <f>246 / 86400</f>
        <v>2.8472222222222223E-3</v>
      </c>
    </row>
    <row r="1010" spans="1:12" x14ac:dyDescent="0.25">
      <c r="A1010" s="3">
        <v>45711.817060185189</v>
      </c>
      <c r="B1010" t="s">
        <v>259</v>
      </c>
      <c r="C1010" s="3">
        <v>45711.819548611107</v>
      </c>
      <c r="D1010" t="s">
        <v>85</v>
      </c>
      <c r="E1010" s="4">
        <v>0.86199999999999999</v>
      </c>
      <c r="F1010" s="4">
        <v>24969.913</v>
      </c>
      <c r="G1010" s="4">
        <v>24970.775000000001</v>
      </c>
      <c r="H1010" s="5">
        <f>0 / 86400</f>
        <v>0</v>
      </c>
      <c r="I1010" t="s">
        <v>162</v>
      </c>
      <c r="J1010" t="s">
        <v>47</v>
      </c>
      <c r="K1010" s="5">
        <f>214 / 86400</f>
        <v>2.476851851851852E-3</v>
      </c>
      <c r="L1010" s="5">
        <f>2001 / 86400</f>
        <v>2.3159722222222224E-2</v>
      </c>
    </row>
    <row r="1011" spans="1:12" x14ac:dyDescent="0.25">
      <c r="A1011" s="3">
        <v>45711.842708333337</v>
      </c>
      <c r="B1011" t="s">
        <v>85</v>
      </c>
      <c r="C1011" s="3">
        <v>45711.843518518523</v>
      </c>
      <c r="D1011" t="s">
        <v>85</v>
      </c>
      <c r="E1011" s="4">
        <v>7.3999999999999996E-2</v>
      </c>
      <c r="F1011" s="4">
        <v>24970.775000000001</v>
      </c>
      <c r="G1011" s="4">
        <v>24970.848999999998</v>
      </c>
      <c r="H1011" s="5">
        <f>20 / 86400</f>
        <v>2.3148148148148149E-4</v>
      </c>
      <c r="I1011" t="s">
        <v>113</v>
      </c>
      <c r="J1011" t="s">
        <v>20</v>
      </c>
      <c r="K1011" s="5">
        <f>69 / 86400</f>
        <v>7.9861111111111116E-4</v>
      </c>
      <c r="L1011" s="5">
        <f>13519 / 86400</f>
        <v>0.1564699074074074</v>
      </c>
    </row>
    <row r="1012" spans="1:12" x14ac:dyDescent="0.25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</row>
    <row r="1013" spans="1:12" x14ac:dyDescent="0.25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</row>
    <row r="1014" spans="1:12" s="10" customFormat="1" ht="20.100000000000001" customHeight="1" x14ac:dyDescent="0.35">
      <c r="A1014" s="12" t="s">
        <v>475</v>
      </c>
      <c r="B1014" s="12"/>
      <c r="C1014" s="12"/>
      <c r="D1014" s="12"/>
      <c r="E1014" s="12"/>
      <c r="F1014" s="12"/>
      <c r="G1014" s="12"/>
      <c r="H1014" s="12"/>
      <c r="I1014" s="12"/>
      <c r="J1014" s="12"/>
    </row>
    <row r="1015" spans="1:12" x14ac:dyDescent="0.25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</row>
    <row r="1016" spans="1:12" ht="30" x14ac:dyDescent="0.25">
      <c r="A1016" s="2" t="s">
        <v>6</v>
      </c>
      <c r="B1016" s="2" t="s">
        <v>7</v>
      </c>
      <c r="C1016" s="2" t="s">
        <v>8</v>
      </c>
      <c r="D1016" s="2" t="s">
        <v>9</v>
      </c>
      <c r="E1016" s="2" t="s">
        <v>10</v>
      </c>
      <c r="F1016" s="2" t="s">
        <v>11</v>
      </c>
      <c r="G1016" s="2" t="s">
        <v>12</v>
      </c>
      <c r="H1016" s="2" t="s">
        <v>13</v>
      </c>
      <c r="I1016" s="2" t="s">
        <v>14</v>
      </c>
      <c r="J1016" s="2" t="s">
        <v>15</v>
      </c>
      <c r="K1016" s="2" t="s">
        <v>16</v>
      </c>
      <c r="L1016" s="2" t="s">
        <v>17</v>
      </c>
    </row>
    <row r="1017" spans="1:12" x14ac:dyDescent="0.25">
      <c r="A1017" s="3">
        <v>45711.210127314815</v>
      </c>
      <c r="B1017" t="s">
        <v>50</v>
      </c>
      <c r="C1017" s="3">
        <v>45711.217604166668</v>
      </c>
      <c r="D1017" t="s">
        <v>102</v>
      </c>
      <c r="E1017" s="4">
        <v>3.6349999999925493</v>
      </c>
      <c r="F1017" s="4">
        <v>65738.726999999999</v>
      </c>
      <c r="G1017" s="4">
        <v>65742.361999999994</v>
      </c>
      <c r="H1017" s="5">
        <f>239 / 86400</f>
        <v>2.7662037037037039E-3</v>
      </c>
      <c r="I1017" t="s">
        <v>337</v>
      </c>
      <c r="J1017" t="s">
        <v>24</v>
      </c>
      <c r="K1017" s="5">
        <f>646 / 86400</f>
        <v>7.4768518518518517E-3</v>
      </c>
      <c r="L1017" s="5">
        <f>18756 / 86400</f>
        <v>0.21708333333333332</v>
      </c>
    </row>
    <row r="1018" spans="1:12" x14ac:dyDescent="0.25">
      <c r="A1018" s="3">
        <v>45711.22456018519</v>
      </c>
      <c r="B1018" t="s">
        <v>102</v>
      </c>
      <c r="C1018" s="3">
        <v>45711.263101851851</v>
      </c>
      <c r="D1018" t="s">
        <v>114</v>
      </c>
      <c r="E1018" s="4">
        <v>22.328000000007449</v>
      </c>
      <c r="F1018" s="4">
        <v>65742.361999999994</v>
      </c>
      <c r="G1018" s="4">
        <v>65764.69</v>
      </c>
      <c r="H1018" s="5">
        <f>719 / 86400</f>
        <v>8.3217592592592596E-3</v>
      </c>
      <c r="I1018" t="s">
        <v>187</v>
      </c>
      <c r="J1018" t="s">
        <v>31</v>
      </c>
      <c r="K1018" s="5">
        <f>3330 / 86400</f>
        <v>3.8541666666666669E-2</v>
      </c>
      <c r="L1018" s="5">
        <f>206 / 86400</f>
        <v>2.3842592592592591E-3</v>
      </c>
    </row>
    <row r="1019" spans="1:12" x14ac:dyDescent="0.25">
      <c r="A1019" s="3">
        <v>45711.265486111108</v>
      </c>
      <c r="B1019" t="s">
        <v>114</v>
      </c>
      <c r="C1019" s="3">
        <v>45711.265740740739</v>
      </c>
      <c r="D1019" t="s">
        <v>258</v>
      </c>
      <c r="E1019" s="4">
        <v>3.9999999992549419E-2</v>
      </c>
      <c r="F1019" s="4">
        <v>65764.69</v>
      </c>
      <c r="G1019" s="4">
        <v>65764.73</v>
      </c>
      <c r="H1019" s="5">
        <f>0 / 86400</f>
        <v>0</v>
      </c>
      <c r="I1019" t="s">
        <v>190</v>
      </c>
      <c r="J1019" t="s">
        <v>33</v>
      </c>
      <c r="K1019" s="5">
        <f>22 / 86400</f>
        <v>2.5462962962962961E-4</v>
      </c>
      <c r="L1019" s="5">
        <f>215 / 86400</f>
        <v>2.488425925925926E-3</v>
      </c>
    </row>
    <row r="1020" spans="1:12" x14ac:dyDescent="0.25">
      <c r="A1020" s="3">
        <v>45711.268229166672</v>
      </c>
      <c r="B1020" t="s">
        <v>258</v>
      </c>
      <c r="C1020" s="3">
        <v>45711.365983796291</v>
      </c>
      <c r="D1020" t="s">
        <v>291</v>
      </c>
      <c r="E1020" s="4">
        <v>50.335000000007447</v>
      </c>
      <c r="F1020" s="4">
        <v>65764.73</v>
      </c>
      <c r="G1020" s="4">
        <v>65815.065000000002</v>
      </c>
      <c r="H1020" s="5">
        <f>1898 / 86400</f>
        <v>2.1967592592592594E-2</v>
      </c>
      <c r="I1020" t="s">
        <v>370</v>
      </c>
      <c r="J1020" t="s">
        <v>67</v>
      </c>
      <c r="K1020" s="5">
        <f>8446 / 86400</f>
        <v>9.7754629629629636E-2</v>
      </c>
      <c r="L1020" s="5">
        <f>175 / 86400</f>
        <v>2.0254629629629629E-3</v>
      </c>
    </row>
    <row r="1021" spans="1:12" x14ac:dyDescent="0.25">
      <c r="A1021" s="3">
        <v>45711.368009259255</v>
      </c>
      <c r="B1021" t="s">
        <v>291</v>
      </c>
      <c r="C1021" s="3">
        <v>45711.472962962958</v>
      </c>
      <c r="D1021" t="s">
        <v>118</v>
      </c>
      <c r="E1021" s="4">
        <v>51.09599999999255</v>
      </c>
      <c r="F1021" s="4">
        <v>65815.065000000002</v>
      </c>
      <c r="G1021" s="4">
        <v>65866.160999999993</v>
      </c>
      <c r="H1021" s="5">
        <f>2220 / 86400</f>
        <v>2.5694444444444443E-2</v>
      </c>
      <c r="I1021" t="s">
        <v>61</v>
      </c>
      <c r="J1021" t="s">
        <v>24</v>
      </c>
      <c r="K1021" s="5">
        <f>9068 / 86400</f>
        <v>0.1049537037037037</v>
      </c>
      <c r="L1021" s="5">
        <f>225 / 86400</f>
        <v>2.6041666666666665E-3</v>
      </c>
    </row>
    <row r="1022" spans="1:12" x14ac:dyDescent="0.25">
      <c r="A1022" s="3">
        <v>45711.47556712963</v>
      </c>
      <c r="B1022" t="s">
        <v>118</v>
      </c>
      <c r="C1022" s="3">
        <v>45711.476805555554</v>
      </c>
      <c r="D1022" t="s">
        <v>118</v>
      </c>
      <c r="E1022" s="4">
        <v>3.2000000007450582E-2</v>
      </c>
      <c r="F1022" s="4">
        <v>65866.160999999993</v>
      </c>
      <c r="G1022" s="4">
        <v>65866.192999999999</v>
      </c>
      <c r="H1022" s="5">
        <f>59 / 86400</f>
        <v>6.8287037037037036E-4</v>
      </c>
      <c r="I1022" t="s">
        <v>113</v>
      </c>
      <c r="J1022" t="s">
        <v>21</v>
      </c>
      <c r="K1022" s="5">
        <f>106 / 86400</f>
        <v>1.2268518518518518E-3</v>
      </c>
      <c r="L1022" s="5">
        <f>391 / 86400</f>
        <v>4.5254629629629629E-3</v>
      </c>
    </row>
    <row r="1023" spans="1:12" x14ac:dyDescent="0.25">
      <c r="A1023" s="3">
        <v>45711.48133101852</v>
      </c>
      <c r="B1023" t="s">
        <v>118</v>
      </c>
      <c r="C1023" s="3">
        <v>45711.482442129629</v>
      </c>
      <c r="D1023" t="s">
        <v>259</v>
      </c>
      <c r="E1023" s="4">
        <v>0.06</v>
      </c>
      <c r="F1023" s="4">
        <v>65866.192999999999</v>
      </c>
      <c r="G1023" s="4">
        <v>65866.252999999997</v>
      </c>
      <c r="H1023" s="5">
        <f>20 / 86400</f>
        <v>2.3148148148148149E-4</v>
      </c>
      <c r="I1023" t="s">
        <v>146</v>
      </c>
      <c r="J1023" t="s">
        <v>190</v>
      </c>
      <c r="K1023" s="5">
        <f>95 / 86400</f>
        <v>1.0995370370370371E-3</v>
      </c>
      <c r="L1023" s="5">
        <f>1953 / 86400</f>
        <v>2.2604166666666668E-2</v>
      </c>
    </row>
    <row r="1024" spans="1:12" x14ac:dyDescent="0.25">
      <c r="A1024" s="3">
        <v>45711.505046296297</v>
      </c>
      <c r="B1024" t="s">
        <v>259</v>
      </c>
      <c r="C1024" s="3">
        <v>45711.508703703701</v>
      </c>
      <c r="D1024" t="s">
        <v>115</v>
      </c>
      <c r="E1024" s="4">
        <v>1.3470000000074507</v>
      </c>
      <c r="F1024" s="4">
        <v>65866.252999999997</v>
      </c>
      <c r="G1024" s="4">
        <v>65867.600000000006</v>
      </c>
      <c r="H1024" s="5">
        <f>0 / 86400</f>
        <v>0</v>
      </c>
      <c r="I1024" t="s">
        <v>72</v>
      </c>
      <c r="J1024" t="s">
        <v>47</v>
      </c>
      <c r="K1024" s="5">
        <f>315 / 86400</f>
        <v>3.6458333333333334E-3</v>
      </c>
      <c r="L1024" s="5">
        <f>115 / 86400</f>
        <v>1.3310185185185185E-3</v>
      </c>
    </row>
    <row r="1025" spans="1:12" x14ac:dyDescent="0.25">
      <c r="A1025" s="3">
        <v>45711.510034722218</v>
      </c>
      <c r="B1025" t="s">
        <v>115</v>
      </c>
      <c r="C1025" s="3">
        <v>45711.512118055558</v>
      </c>
      <c r="D1025" t="s">
        <v>258</v>
      </c>
      <c r="E1025" s="4">
        <v>0.75299999999254941</v>
      </c>
      <c r="F1025" s="4">
        <v>65867.600000000006</v>
      </c>
      <c r="G1025" s="4">
        <v>65868.353000000003</v>
      </c>
      <c r="H1025" s="5">
        <f>19 / 86400</f>
        <v>2.199074074074074E-4</v>
      </c>
      <c r="I1025" t="s">
        <v>31</v>
      </c>
      <c r="J1025" t="s">
        <v>47</v>
      </c>
      <c r="K1025" s="5">
        <f>179 / 86400</f>
        <v>2.0717592592592593E-3</v>
      </c>
      <c r="L1025" s="5">
        <f>269 / 86400</f>
        <v>3.1134259259259257E-3</v>
      </c>
    </row>
    <row r="1026" spans="1:12" x14ac:dyDescent="0.25">
      <c r="A1026" s="3">
        <v>45711.515231481477</v>
      </c>
      <c r="B1026" t="s">
        <v>258</v>
      </c>
      <c r="C1026" s="3">
        <v>45711.515474537038</v>
      </c>
      <c r="D1026" t="s">
        <v>258</v>
      </c>
      <c r="E1026" s="4">
        <v>7.0000000000000001E-3</v>
      </c>
      <c r="F1026" s="4">
        <v>65868.353000000003</v>
      </c>
      <c r="G1026" s="4">
        <v>65868.36</v>
      </c>
      <c r="H1026" s="5">
        <f>19 / 86400</f>
        <v>2.199074074074074E-4</v>
      </c>
      <c r="I1026" t="s">
        <v>26</v>
      </c>
      <c r="J1026" t="s">
        <v>21</v>
      </c>
      <c r="K1026" s="5">
        <f>20 / 86400</f>
        <v>2.3148148148148149E-4</v>
      </c>
      <c r="L1026" s="5">
        <f>235 / 86400</f>
        <v>2.7199074074074074E-3</v>
      </c>
    </row>
    <row r="1027" spans="1:12" x14ac:dyDescent="0.25">
      <c r="A1027" s="3">
        <v>45711.518194444448</v>
      </c>
      <c r="B1027" t="s">
        <v>258</v>
      </c>
      <c r="C1027" s="3">
        <v>45711.797175925924</v>
      </c>
      <c r="D1027" t="s">
        <v>237</v>
      </c>
      <c r="E1027" s="4">
        <v>137.94899999999254</v>
      </c>
      <c r="F1027" s="4">
        <v>65868.36</v>
      </c>
      <c r="G1027" s="4">
        <v>66006.308999999994</v>
      </c>
      <c r="H1027" s="5">
        <f>6481 / 86400</f>
        <v>7.5011574074074078E-2</v>
      </c>
      <c r="I1027" t="s">
        <v>92</v>
      </c>
      <c r="J1027" t="s">
        <v>67</v>
      </c>
      <c r="K1027" s="5">
        <f>24103 / 86400</f>
        <v>0.2789699074074074</v>
      </c>
      <c r="L1027" s="5">
        <f>336 / 86400</f>
        <v>3.8888888888888888E-3</v>
      </c>
    </row>
    <row r="1028" spans="1:12" x14ac:dyDescent="0.25">
      <c r="A1028" s="3">
        <v>45711.801064814819</v>
      </c>
      <c r="B1028" t="s">
        <v>387</v>
      </c>
      <c r="C1028" s="3">
        <v>45711.801851851851</v>
      </c>
      <c r="D1028" t="s">
        <v>237</v>
      </c>
      <c r="E1028" s="4">
        <v>2.500000000745058E-2</v>
      </c>
      <c r="F1028" s="4">
        <v>66006.308999999994</v>
      </c>
      <c r="G1028" s="4">
        <v>66006.334000000003</v>
      </c>
      <c r="H1028" s="5">
        <f>40 / 86400</f>
        <v>4.6296296296296298E-4</v>
      </c>
      <c r="I1028" t="s">
        <v>69</v>
      </c>
      <c r="J1028" t="s">
        <v>21</v>
      </c>
      <c r="K1028" s="5">
        <f>67 / 86400</f>
        <v>7.7546296296296293E-4</v>
      </c>
      <c r="L1028" s="5">
        <f>1699 / 86400</f>
        <v>1.9664351851851853E-2</v>
      </c>
    </row>
    <row r="1029" spans="1:12" x14ac:dyDescent="0.25">
      <c r="A1029" s="3">
        <v>45711.821516203709</v>
      </c>
      <c r="B1029" t="s">
        <v>364</v>
      </c>
      <c r="C1029" s="3">
        <v>45711.845185185186</v>
      </c>
      <c r="D1029" t="s">
        <v>50</v>
      </c>
      <c r="E1029" s="4">
        <v>6.1509999999999998</v>
      </c>
      <c r="F1029" s="4">
        <v>66006.334000000003</v>
      </c>
      <c r="G1029" s="4">
        <v>66012.485000000001</v>
      </c>
      <c r="H1029" s="5">
        <f>1080 / 86400</f>
        <v>1.2500000000000001E-2</v>
      </c>
      <c r="I1029" t="s">
        <v>224</v>
      </c>
      <c r="J1029" t="s">
        <v>41</v>
      </c>
      <c r="K1029" s="5">
        <f>2044 / 86400</f>
        <v>2.3657407407407408E-2</v>
      </c>
      <c r="L1029" s="5">
        <f>13375 / 86400</f>
        <v>0.15480324074074073</v>
      </c>
    </row>
    <row r="1030" spans="1:12" x14ac:dyDescent="0.25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</row>
    <row r="1031" spans="1:12" x14ac:dyDescent="0.25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</row>
    <row r="1032" spans="1:12" s="10" customFormat="1" ht="20.100000000000001" customHeight="1" x14ac:dyDescent="0.35">
      <c r="A1032" s="12" t="s">
        <v>476</v>
      </c>
      <c r="B1032" s="12"/>
      <c r="C1032" s="12"/>
      <c r="D1032" s="12"/>
      <c r="E1032" s="12"/>
      <c r="F1032" s="12"/>
      <c r="G1032" s="12"/>
      <c r="H1032" s="12"/>
      <c r="I1032" s="12"/>
      <c r="J1032" s="12"/>
    </row>
    <row r="1033" spans="1:12" x14ac:dyDescent="0.25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</row>
    <row r="1034" spans="1:12" ht="30" x14ac:dyDescent="0.25">
      <c r="A1034" s="2" t="s">
        <v>6</v>
      </c>
      <c r="B1034" s="2" t="s">
        <v>7</v>
      </c>
      <c r="C1034" s="2" t="s">
        <v>8</v>
      </c>
      <c r="D1034" s="2" t="s">
        <v>9</v>
      </c>
      <c r="E1034" s="2" t="s">
        <v>10</v>
      </c>
      <c r="F1034" s="2" t="s">
        <v>11</v>
      </c>
      <c r="G1034" s="2" t="s">
        <v>12</v>
      </c>
      <c r="H1034" s="2" t="s">
        <v>13</v>
      </c>
      <c r="I1034" s="2" t="s">
        <v>14</v>
      </c>
      <c r="J1034" s="2" t="s">
        <v>15</v>
      </c>
      <c r="K1034" s="2" t="s">
        <v>16</v>
      </c>
      <c r="L1034" s="2" t="s">
        <v>17</v>
      </c>
    </row>
    <row r="1035" spans="1:12" x14ac:dyDescent="0.25">
      <c r="A1035" s="3">
        <v>45711.207453703704</v>
      </c>
      <c r="B1035" t="s">
        <v>68</v>
      </c>
      <c r="C1035" s="3">
        <v>45711.207592592589</v>
      </c>
      <c r="D1035" t="s">
        <v>68</v>
      </c>
      <c r="E1035" s="4">
        <v>0</v>
      </c>
      <c r="F1035" s="4">
        <v>11548.63</v>
      </c>
      <c r="G1035" s="4">
        <v>11548.63</v>
      </c>
      <c r="H1035" s="5">
        <f>11 / 86400</f>
        <v>1.273148148148148E-4</v>
      </c>
      <c r="I1035" t="s">
        <v>26</v>
      </c>
      <c r="J1035" t="s">
        <v>26</v>
      </c>
      <c r="K1035" s="5">
        <f>12 / 86400</f>
        <v>1.3888888888888889E-4</v>
      </c>
      <c r="L1035" s="5">
        <f>17994 / 86400</f>
        <v>0.20826388888888889</v>
      </c>
    </row>
    <row r="1036" spans="1:12" x14ac:dyDescent="0.25">
      <c r="A1036" s="3">
        <v>45711.208402777775</v>
      </c>
      <c r="B1036" t="s">
        <v>68</v>
      </c>
      <c r="C1036" s="3">
        <v>45711.210069444445</v>
      </c>
      <c r="D1036" t="s">
        <v>68</v>
      </c>
      <c r="E1036" s="4">
        <v>6.4000000000000001E-2</v>
      </c>
      <c r="F1036" s="4">
        <v>11548.63</v>
      </c>
      <c r="G1036" s="4">
        <v>11548.694</v>
      </c>
      <c r="H1036" s="5">
        <f>80 / 86400</f>
        <v>9.2592592592592596E-4</v>
      </c>
      <c r="I1036" t="s">
        <v>20</v>
      </c>
      <c r="J1036" t="s">
        <v>190</v>
      </c>
      <c r="K1036" s="5">
        <f>144 / 86400</f>
        <v>1.6666666666666668E-3</v>
      </c>
      <c r="L1036" s="5">
        <f>16930 / 86400</f>
        <v>0.19594907407407408</v>
      </c>
    </row>
    <row r="1037" spans="1:12" x14ac:dyDescent="0.25">
      <c r="A1037" s="3">
        <v>45711.406018518523</v>
      </c>
      <c r="B1037" t="s">
        <v>68</v>
      </c>
      <c r="C1037" s="3">
        <v>45711.416261574079</v>
      </c>
      <c r="D1037" t="s">
        <v>93</v>
      </c>
      <c r="E1037" s="4">
        <v>2.903</v>
      </c>
      <c r="F1037" s="4">
        <v>11548.694</v>
      </c>
      <c r="G1037" s="4">
        <v>11551.597</v>
      </c>
      <c r="H1037" s="5">
        <f>119 / 86400</f>
        <v>1.3773148148148147E-3</v>
      </c>
      <c r="I1037" t="s">
        <v>94</v>
      </c>
      <c r="J1037" t="s">
        <v>128</v>
      </c>
      <c r="K1037" s="5">
        <f>884 / 86400</f>
        <v>1.0231481481481482E-2</v>
      </c>
      <c r="L1037" s="5">
        <f>7541 / 86400</f>
        <v>8.728009259259259E-2</v>
      </c>
    </row>
    <row r="1038" spans="1:12" x14ac:dyDescent="0.25">
      <c r="A1038" s="3">
        <v>45711.503541666665</v>
      </c>
      <c r="B1038" t="s">
        <v>93</v>
      </c>
      <c r="C1038" s="3">
        <v>45711.527615740742</v>
      </c>
      <c r="D1038" t="s">
        <v>93</v>
      </c>
      <c r="E1038" s="4">
        <v>0</v>
      </c>
      <c r="F1038" s="4">
        <v>11551.597</v>
      </c>
      <c r="G1038" s="4">
        <v>11551.597</v>
      </c>
      <c r="H1038" s="5">
        <f>2079 / 86400</f>
        <v>2.4062500000000001E-2</v>
      </c>
      <c r="I1038" t="s">
        <v>26</v>
      </c>
      <c r="J1038" t="s">
        <v>26</v>
      </c>
      <c r="K1038" s="5">
        <f>2079 / 86400</f>
        <v>2.4062500000000001E-2</v>
      </c>
      <c r="L1038" s="5">
        <f>40813 / 86400</f>
        <v>0.47237268518518516</v>
      </c>
    </row>
    <row r="1039" spans="1:12" x14ac:dyDescent="0.25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</row>
    <row r="1040" spans="1:12" x14ac:dyDescent="0.25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</row>
    <row r="1041" spans="1:12" s="10" customFormat="1" ht="20.100000000000001" customHeight="1" x14ac:dyDescent="0.35">
      <c r="A1041" s="12" t="s">
        <v>477</v>
      </c>
      <c r="B1041" s="12"/>
      <c r="C1041" s="12"/>
      <c r="D1041" s="12"/>
      <c r="E1041" s="12"/>
      <c r="F1041" s="12"/>
      <c r="G1041" s="12"/>
      <c r="H1041" s="12"/>
      <c r="I1041" s="12"/>
      <c r="J1041" s="12"/>
    </row>
    <row r="1042" spans="1:12" x14ac:dyDescent="0.25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</row>
    <row r="1043" spans="1:12" ht="30" x14ac:dyDescent="0.25">
      <c r="A1043" s="2" t="s">
        <v>6</v>
      </c>
      <c r="B1043" s="2" t="s">
        <v>7</v>
      </c>
      <c r="C1043" s="2" t="s">
        <v>8</v>
      </c>
      <c r="D1043" s="2" t="s">
        <v>9</v>
      </c>
      <c r="E1043" s="2" t="s">
        <v>10</v>
      </c>
      <c r="F1043" s="2" t="s">
        <v>11</v>
      </c>
      <c r="G1043" s="2" t="s">
        <v>12</v>
      </c>
      <c r="H1043" s="2" t="s">
        <v>13</v>
      </c>
      <c r="I1043" s="2" t="s">
        <v>14</v>
      </c>
      <c r="J1043" s="2" t="s">
        <v>15</v>
      </c>
      <c r="K1043" s="2" t="s">
        <v>16</v>
      </c>
      <c r="L1043" s="2" t="s">
        <v>17</v>
      </c>
    </row>
    <row r="1044" spans="1:12" x14ac:dyDescent="0.25">
      <c r="A1044" s="3">
        <v>45711</v>
      </c>
      <c r="B1044" t="s">
        <v>95</v>
      </c>
      <c r="C1044" s="3">
        <v>45711.036446759259</v>
      </c>
      <c r="D1044" t="s">
        <v>426</v>
      </c>
      <c r="E1044" s="4">
        <v>15.974</v>
      </c>
      <c r="F1044" s="4">
        <v>410032.26199999999</v>
      </c>
      <c r="G1044" s="4">
        <v>410048.23599999998</v>
      </c>
      <c r="H1044" s="5">
        <f>700 / 86400</f>
        <v>8.1018518518518514E-3</v>
      </c>
      <c r="I1044" t="s">
        <v>325</v>
      </c>
      <c r="J1044" t="s">
        <v>38</v>
      </c>
      <c r="K1044" s="5">
        <f>3149 / 86400</f>
        <v>3.6446759259259262E-2</v>
      </c>
      <c r="L1044" s="5">
        <f>260 / 86400</f>
        <v>3.0092592592592593E-3</v>
      </c>
    </row>
    <row r="1045" spans="1:12" x14ac:dyDescent="0.25">
      <c r="A1045" s="3">
        <v>45711.039456018523</v>
      </c>
      <c r="B1045" t="s">
        <v>426</v>
      </c>
      <c r="C1045" s="3">
        <v>45711.042037037041</v>
      </c>
      <c r="D1045" t="s">
        <v>427</v>
      </c>
      <c r="E1045" s="4">
        <v>1.01</v>
      </c>
      <c r="F1045" s="4">
        <v>410048.23599999998</v>
      </c>
      <c r="G1045" s="4">
        <v>410049.24599999998</v>
      </c>
      <c r="H1045" s="5">
        <f>40 / 86400</f>
        <v>4.6296296296296298E-4</v>
      </c>
      <c r="I1045" t="s">
        <v>176</v>
      </c>
      <c r="J1045" t="s">
        <v>112</v>
      </c>
      <c r="K1045" s="5">
        <f>222 / 86400</f>
        <v>2.5694444444444445E-3</v>
      </c>
      <c r="L1045" s="5">
        <f>731 / 86400</f>
        <v>8.4606481481481477E-3</v>
      </c>
    </row>
    <row r="1046" spans="1:12" x14ac:dyDescent="0.25">
      <c r="A1046" s="3">
        <v>45711.050497685181</v>
      </c>
      <c r="B1046" t="s">
        <v>427</v>
      </c>
      <c r="C1046" s="3">
        <v>45711.083761574075</v>
      </c>
      <c r="D1046" t="s">
        <v>428</v>
      </c>
      <c r="E1046" s="4">
        <v>21.082000000000001</v>
      </c>
      <c r="F1046" s="4">
        <v>410049.24599999998</v>
      </c>
      <c r="G1046" s="4">
        <v>410070.32799999998</v>
      </c>
      <c r="H1046" s="5">
        <f>440 / 86400</f>
        <v>5.092592592592593E-3</v>
      </c>
      <c r="I1046" t="s">
        <v>370</v>
      </c>
      <c r="J1046" t="s">
        <v>153</v>
      </c>
      <c r="K1046" s="5">
        <f>2873 / 86400</f>
        <v>3.3252314814814818E-2</v>
      </c>
      <c r="L1046" s="5">
        <f>701 / 86400</f>
        <v>8.1134259259259267E-3</v>
      </c>
    </row>
    <row r="1047" spans="1:12" x14ac:dyDescent="0.25">
      <c r="A1047" s="3">
        <v>45711.091874999998</v>
      </c>
      <c r="B1047" t="s">
        <v>428</v>
      </c>
      <c r="C1047" s="3">
        <v>45711.092499999999</v>
      </c>
      <c r="D1047" t="s">
        <v>79</v>
      </c>
      <c r="E1047" s="4">
        <v>2.3E-2</v>
      </c>
      <c r="F1047" s="4">
        <v>410070.32799999998</v>
      </c>
      <c r="G1047" s="4">
        <v>410070.35100000002</v>
      </c>
      <c r="H1047" s="5">
        <f>19 / 86400</f>
        <v>2.199074074074074E-4</v>
      </c>
      <c r="I1047" t="s">
        <v>34</v>
      </c>
      <c r="J1047" t="s">
        <v>190</v>
      </c>
      <c r="K1047" s="5">
        <f>54 / 86400</f>
        <v>6.2500000000000001E-4</v>
      </c>
      <c r="L1047" s="5">
        <f>1114 / 86400</f>
        <v>1.2893518518518518E-2</v>
      </c>
    </row>
    <row r="1048" spans="1:12" x14ac:dyDescent="0.25">
      <c r="A1048" s="3">
        <v>45711.105393518519</v>
      </c>
      <c r="B1048" t="s">
        <v>79</v>
      </c>
      <c r="C1048" s="3">
        <v>45711.107928240745</v>
      </c>
      <c r="D1048" t="s">
        <v>429</v>
      </c>
      <c r="E1048" s="4">
        <v>1.5289999999999999</v>
      </c>
      <c r="F1048" s="4">
        <v>410070.35100000002</v>
      </c>
      <c r="G1048" s="4">
        <v>410071.88</v>
      </c>
      <c r="H1048" s="5">
        <f>20 / 86400</f>
        <v>2.3148148148148149E-4</v>
      </c>
      <c r="I1048" t="s">
        <v>61</v>
      </c>
      <c r="J1048" t="s">
        <v>212</v>
      </c>
      <c r="K1048" s="5">
        <f>218 / 86400</f>
        <v>2.5231481481481481E-3</v>
      </c>
      <c r="L1048" s="5">
        <f>337 / 86400</f>
        <v>3.9004629629629628E-3</v>
      </c>
    </row>
    <row r="1049" spans="1:12" x14ac:dyDescent="0.25">
      <c r="A1049" s="3">
        <v>45711.111828703702</v>
      </c>
      <c r="B1049" t="s">
        <v>429</v>
      </c>
      <c r="C1049" s="3">
        <v>45711.116053240738</v>
      </c>
      <c r="D1049" t="s">
        <v>25</v>
      </c>
      <c r="E1049" s="4">
        <v>0.74</v>
      </c>
      <c r="F1049" s="4">
        <v>410071.88</v>
      </c>
      <c r="G1049" s="4">
        <v>410072.62</v>
      </c>
      <c r="H1049" s="5">
        <f>180 / 86400</f>
        <v>2.0833333333333333E-3</v>
      </c>
      <c r="I1049" t="s">
        <v>162</v>
      </c>
      <c r="J1049" t="s">
        <v>33</v>
      </c>
      <c r="K1049" s="5">
        <f>364 / 86400</f>
        <v>4.2129629629629626E-3</v>
      </c>
      <c r="L1049" s="5">
        <f>28388 / 86400</f>
        <v>0.32856481481481481</v>
      </c>
    </row>
    <row r="1050" spans="1:12" x14ac:dyDescent="0.25">
      <c r="A1050" s="3">
        <v>45711.444618055553</v>
      </c>
      <c r="B1050" t="s">
        <v>25</v>
      </c>
      <c r="C1050" s="3">
        <v>45711.495717592596</v>
      </c>
      <c r="D1050" t="s">
        <v>115</v>
      </c>
      <c r="E1050" s="4">
        <v>25.372</v>
      </c>
      <c r="F1050" s="4">
        <v>410072.62</v>
      </c>
      <c r="G1050" s="4">
        <v>410097.99200000003</v>
      </c>
      <c r="H1050" s="5">
        <f>1119 / 86400</f>
        <v>1.2951388888888889E-2</v>
      </c>
      <c r="I1050" t="s">
        <v>369</v>
      </c>
      <c r="J1050" t="s">
        <v>67</v>
      </c>
      <c r="K1050" s="5">
        <f>4415 / 86400</f>
        <v>5.1099537037037034E-2</v>
      </c>
      <c r="L1050" s="5">
        <f>913 / 86400</f>
        <v>1.0567129629629629E-2</v>
      </c>
    </row>
    <row r="1051" spans="1:12" x14ac:dyDescent="0.25">
      <c r="A1051" s="3">
        <v>45711.506284722222</v>
      </c>
      <c r="B1051" t="s">
        <v>115</v>
      </c>
      <c r="C1051" s="3">
        <v>45711.518819444449</v>
      </c>
      <c r="D1051" t="s">
        <v>105</v>
      </c>
      <c r="E1051" s="4">
        <v>1.367</v>
      </c>
      <c r="F1051" s="4">
        <v>410097.99200000003</v>
      </c>
      <c r="G1051" s="4">
        <v>410099.359</v>
      </c>
      <c r="H1051" s="5">
        <f>750 / 86400</f>
        <v>8.6805555555555559E-3</v>
      </c>
      <c r="I1051" t="s">
        <v>142</v>
      </c>
      <c r="J1051" t="s">
        <v>34</v>
      </c>
      <c r="K1051" s="5">
        <f>1082 / 86400</f>
        <v>1.2523148148148148E-2</v>
      </c>
      <c r="L1051" s="5">
        <f>2534 / 86400</f>
        <v>2.9328703703703704E-2</v>
      </c>
    </row>
    <row r="1052" spans="1:12" x14ac:dyDescent="0.25">
      <c r="A1052" s="3">
        <v>45711.548148148147</v>
      </c>
      <c r="B1052" t="s">
        <v>396</v>
      </c>
      <c r="C1052" s="3">
        <v>45711.548576388886</v>
      </c>
      <c r="D1052" t="s">
        <v>396</v>
      </c>
      <c r="E1052" s="4">
        <v>0</v>
      </c>
      <c r="F1052" s="4">
        <v>410099.359</v>
      </c>
      <c r="G1052" s="4">
        <v>410099.359</v>
      </c>
      <c r="H1052" s="5">
        <f>19 / 86400</f>
        <v>2.199074074074074E-4</v>
      </c>
      <c r="I1052" t="s">
        <v>26</v>
      </c>
      <c r="J1052" t="s">
        <v>26</v>
      </c>
      <c r="K1052" s="5">
        <f>37 / 86400</f>
        <v>4.2824074074074075E-4</v>
      </c>
      <c r="L1052" s="5">
        <f>109 / 86400</f>
        <v>1.261574074074074E-3</v>
      </c>
    </row>
    <row r="1053" spans="1:12" x14ac:dyDescent="0.25">
      <c r="A1053" s="3">
        <v>45711.549837962964</v>
      </c>
      <c r="B1053" t="s">
        <v>396</v>
      </c>
      <c r="C1053" s="3">
        <v>45711.64163194444</v>
      </c>
      <c r="D1053" t="s">
        <v>289</v>
      </c>
      <c r="E1053" s="4">
        <v>51.093000000000004</v>
      </c>
      <c r="F1053" s="4">
        <v>410099.359</v>
      </c>
      <c r="G1053" s="4">
        <v>410150.45199999999</v>
      </c>
      <c r="H1053" s="5">
        <f>2119 / 86400</f>
        <v>2.4525462962962964E-2</v>
      </c>
      <c r="I1053" t="s">
        <v>97</v>
      </c>
      <c r="J1053" t="s">
        <v>142</v>
      </c>
      <c r="K1053" s="5">
        <f>7930 / 86400</f>
        <v>9.178240740740741E-2</v>
      </c>
      <c r="L1053" s="5">
        <f>86 / 86400</f>
        <v>9.9537037037037042E-4</v>
      </c>
    </row>
    <row r="1054" spans="1:12" x14ac:dyDescent="0.25">
      <c r="A1054" s="3">
        <v>45711.64262731481</v>
      </c>
      <c r="B1054" t="s">
        <v>289</v>
      </c>
      <c r="C1054" s="3">
        <v>45711.759513888886</v>
      </c>
      <c r="D1054" t="s">
        <v>258</v>
      </c>
      <c r="E1054" s="4">
        <v>51.430999999999997</v>
      </c>
      <c r="F1054" s="4">
        <v>410150.45199999999</v>
      </c>
      <c r="G1054" s="4">
        <v>410201.88299999997</v>
      </c>
      <c r="H1054" s="5">
        <f>3160 / 86400</f>
        <v>3.6574074074074071E-2</v>
      </c>
      <c r="I1054" t="s">
        <v>43</v>
      </c>
      <c r="J1054" t="s">
        <v>38</v>
      </c>
      <c r="K1054" s="5">
        <f>10099 / 86400</f>
        <v>0.11688657407407407</v>
      </c>
      <c r="L1054" s="5">
        <f>330 / 86400</f>
        <v>3.8194444444444443E-3</v>
      </c>
    </row>
    <row r="1055" spans="1:12" x14ac:dyDescent="0.25">
      <c r="A1055" s="3">
        <v>45711.763333333336</v>
      </c>
      <c r="B1055" t="s">
        <v>258</v>
      </c>
      <c r="C1055" s="3">
        <v>45711.925949074073</v>
      </c>
      <c r="D1055" t="s">
        <v>235</v>
      </c>
      <c r="E1055" s="4">
        <v>76.509</v>
      </c>
      <c r="F1055" s="4">
        <v>410201.88299999997</v>
      </c>
      <c r="G1055" s="4">
        <v>410278.39199999999</v>
      </c>
      <c r="H1055" s="5">
        <f>4640 / 86400</f>
        <v>5.3703703703703705E-2</v>
      </c>
      <c r="I1055" t="s">
        <v>370</v>
      </c>
      <c r="J1055" t="s">
        <v>24</v>
      </c>
      <c r="K1055" s="5">
        <f>14049 / 86400</f>
        <v>0.16260416666666666</v>
      </c>
      <c r="L1055" s="5">
        <f>270 / 86400</f>
        <v>3.1250000000000002E-3</v>
      </c>
    </row>
    <row r="1056" spans="1:12" x14ac:dyDescent="0.25">
      <c r="A1056" s="3">
        <v>45711.929074074069</v>
      </c>
      <c r="B1056" t="s">
        <v>235</v>
      </c>
      <c r="C1056" s="3">
        <v>45711.99998842593</v>
      </c>
      <c r="D1056" t="s">
        <v>96</v>
      </c>
      <c r="E1056" s="4">
        <v>35.917999999999999</v>
      </c>
      <c r="F1056" s="4">
        <v>410278.39199999999</v>
      </c>
      <c r="G1056" s="4">
        <v>410314.31</v>
      </c>
      <c r="H1056" s="5">
        <f>1520 / 86400</f>
        <v>1.7592592592592594E-2</v>
      </c>
      <c r="I1056" t="s">
        <v>83</v>
      </c>
      <c r="J1056" t="s">
        <v>67</v>
      </c>
      <c r="K1056" s="5">
        <f>6127 / 86400</f>
        <v>7.0914351851851853E-2</v>
      </c>
      <c r="L1056" s="5">
        <f>0 / 86400</f>
        <v>0</v>
      </c>
    </row>
    <row r="1057" spans="1:12" x14ac:dyDescent="0.25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</row>
    <row r="1058" spans="1:12" x14ac:dyDescent="0.25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</row>
    <row r="1059" spans="1:12" s="10" customFormat="1" ht="20.100000000000001" customHeight="1" x14ac:dyDescent="0.35">
      <c r="A1059" s="12" t="s">
        <v>478</v>
      </c>
      <c r="B1059" s="12"/>
      <c r="C1059" s="12"/>
      <c r="D1059" s="12"/>
      <c r="E1059" s="12"/>
      <c r="F1059" s="12"/>
      <c r="G1059" s="12"/>
      <c r="H1059" s="12"/>
      <c r="I1059" s="12"/>
      <c r="J1059" s="12"/>
    </row>
    <row r="1060" spans="1:12" x14ac:dyDescent="0.25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</row>
    <row r="1061" spans="1:12" ht="30" x14ac:dyDescent="0.25">
      <c r="A1061" s="2" t="s">
        <v>6</v>
      </c>
      <c r="B1061" s="2" t="s">
        <v>7</v>
      </c>
      <c r="C1061" s="2" t="s">
        <v>8</v>
      </c>
      <c r="D1061" s="2" t="s">
        <v>9</v>
      </c>
      <c r="E1061" s="2" t="s">
        <v>10</v>
      </c>
      <c r="F1061" s="2" t="s">
        <v>11</v>
      </c>
      <c r="G1061" s="2" t="s">
        <v>12</v>
      </c>
      <c r="H1061" s="2" t="s">
        <v>13</v>
      </c>
      <c r="I1061" s="2" t="s">
        <v>14</v>
      </c>
      <c r="J1061" s="2" t="s">
        <v>15</v>
      </c>
      <c r="K1061" s="2" t="s">
        <v>16</v>
      </c>
      <c r="L1061" s="2" t="s">
        <v>17</v>
      </c>
    </row>
    <row r="1062" spans="1:12" x14ac:dyDescent="0.25">
      <c r="A1062" s="3">
        <v>45711.245995370366</v>
      </c>
      <c r="B1062" t="s">
        <v>68</v>
      </c>
      <c r="C1062" s="3">
        <v>45711.470914351856</v>
      </c>
      <c r="D1062" t="s">
        <v>402</v>
      </c>
      <c r="E1062" s="4">
        <v>94.215000000000003</v>
      </c>
      <c r="F1062" s="4">
        <v>552499.21499999997</v>
      </c>
      <c r="G1062" s="4">
        <v>552593.43000000005</v>
      </c>
      <c r="H1062" s="5">
        <f>6018 / 86400</f>
        <v>6.9652777777777772E-2</v>
      </c>
      <c r="I1062" t="s">
        <v>145</v>
      </c>
      <c r="J1062" t="s">
        <v>58</v>
      </c>
      <c r="K1062" s="5">
        <f>19433 / 86400</f>
        <v>0.22491898148148148</v>
      </c>
      <c r="L1062" s="5">
        <f>21500 / 86400</f>
        <v>0.24884259259259259</v>
      </c>
    </row>
    <row r="1063" spans="1:12" x14ac:dyDescent="0.25">
      <c r="A1063" s="3">
        <v>45711.473761574074</v>
      </c>
      <c r="B1063" t="s">
        <v>402</v>
      </c>
      <c r="C1063" s="3">
        <v>45711.517395833333</v>
      </c>
      <c r="D1063" t="s">
        <v>57</v>
      </c>
      <c r="E1063" s="4">
        <v>2.3490000000000002</v>
      </c>
      <c r="F1063" s="4">
        <v>552593.43000000005</v>
      </c>
      <c r="G1063" s="4">
        <v>552595.77899999998</v>
      </c>
      <c r="H1063" s="5">
        <f>3059 / 86400</f>
        <v>3.5405092592592592E-2</v>
      </c>
      <c r="I1063" t="s">
        <v>162</v>
      </c>
      <c r="J1063" t="s">
        <v>190</v>
      </c>
      <c r="K1063" s="5">
        <f>3769 / 86400</f>
        <v>4.3622685185185188E-2</v>
      </c>
      <c r="L1063" s="5">
        <f>2694 / 86400</f>
        <v>3.1180555555555555E-2</v>
      </c>
    </row>
    <row r="1064" spans="1:12" x14ac:dyDescent="0.25">
      <c r="A1064" s="3">
        <v>45711.548576388886</v>
      </c>
      <c r="B1064" t="s">
        <v>57</v>
      </c>
      <c r="C1064" s="3">
        <v>45711.99998842593</v>
      </c>
      <c r="D1064" t="s">
        <v>90</v>
      </c>
      <c r="E1064" s="4">
        <v>202.31</v>
      </c>
      <c r="F1064" s="4">
        <v>552595.77899999998</v>
      </c>
      <c r="G1064" s="4">
        <v>552798.08900000004</v>
      </c>
      <c r="H1064" s="5">
        <f>11537 / 86400</f>
        <v>0.1335300925925926</v>
      </c>
      <c r="I1064" t="s">
        <v>30</v>
      </c>
      <c r="J1064" t="s">
        <v>37</v>
      </c>
      <c r="K1064" s="5">
        <f>39002 / 86400</f>
        <v>0.45141203703703703</v>
      </c>
      <c r="L1064" s="5">
        <f>0 / 86400</f>
        <v>0</v>
      </c>
    </row>
    <row r="1065" spans="1:12" x14ac:dyDescent="0.25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</row>
    <row r="1066" spans="1:12" x14ac:dyDescent="0.25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</row>
    <row r="1067" spans="1:12" s="10" customFormat="1" ht="20.100000000000001" customHeight="1" x14ac:dyDescent="0.35">
      <c r="A1067" s="12" t="s">
        <v>479</v>
      </c>
      <c r="B1067" s="12"/>
      <c r="C1067" s="12"/>
      <c r="D1067" s="12"/>
      <c r="E1067" s="12"/>
      <c r="F1067" s="12"/>
      <c r="G1067" s="12"/>
      <c r="H1067" s="12"/>
      <c r="I1067" s="12"/>
      <c r="J1067" s="12"/>
    </row>
    <row r="1068" spans="1:12" x14ac:dyDescent="0.25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</row>
    <row r="1069" spans="1:12" ht="30" x14ac:dyDescent="0.25">
      <c r="A1069" s="2" t="s">
        <v>6</v>
      </c>
      <c r="B1069" s="2" t="s">
        <v>7</v>
      </c>
      <c r="C1069" s="2" t="s">
        <v>8</v>
      </c>
      <c r="D1069" s="2" t="s">
        <v>9</v>
      </c>
      <c r="E1069" s="2" t="s">
        <v>10</v>
      </c>
      <c r="F1069" s="2" t="s">
        <v>11</v>
      </c>
      <c r="G1069" s="2" t="s">
        <v>12</v>
      </c>
      <c r="H1069" s="2" t="s">
        <v>13</v>
      </c>
      <c r="I1069" s="2" t="s">
        <v>14</v>
      </c>
      <c r="J1069" s="2" t="s">
        <v>15</v>
      </c>
      <c r="K1069" s="2" t="s">
        <v>16</v>
      </c>
      <c r="L1069" s="2" t="s">
        <v>17</v>
      </c>
    </row>
    <row r="1070" spans="1:12" x14ac:dyDescent="0.25">
      <c r="A1070" s="3">
        <v>45711.016608796301</v>
      </c>
      <c r="B1070" t="s">
        <v>25</v>
      </c>
      <c r="C1070" s="3">
        <v>45711.018009259264</v>
      </c>
      <c r="D1070" t="s">
        <v>430</v>
      </c>
      <c r="E1070" s="4">
        <v>0.25499999999976719</v>
      </c>
      <c r="F1070" s="4">
        <v>1159.7450000000003</v>
      </c>
      <c r="G1070" s="4">
        <v>1160</v>
      </c>
      <c r="H1070" s="5">
        <f>79 / 86400</f>
        <v>9.1435185185185185E-4</v>
      </c>
      <c r="I1070" t="s">
        <v>34</v>
      </c>
      <c r="J1070" t="s">
        <v>113</v>
      </c>
      <c r="K1070" s="5">
        <f>120 / 86400</f>
        <v>1.3888888888888889E-3</v>
      </c>
      <c r="L1070" s="5">
        <f>19473 / 86400</f>
        <v>0.22538194444444445</v>
      </c>
    </row>
    <row r="1071" spans="1:12" x14ac:dyDescent="0.25">
      <c r="A1071" s="3">
        <v>45711.226782407408</v>
      </c>
      <c r="B1071" t="s">
        <v>430</v>
      </c>
      <c r="C1071" s="3">
        <v>45711.337256944447</v>
      </c>
      <c r="D1071" t="s">
        <v>109</v>
      </c>
      <c r="E1071" s="4">
        <v>285.35000000000025</v>
      </c>
      <c r="F1071" s="4">
        <v>1160</v>
      </c>
      <c r="G1071" s="4">
        <v>1445.3500000000001</v>
      </c>
      <c r="H1071" s="5">
        <f>2699 / 86400</f>
        <v>3.1238425925925926E-2</v>
      </c>
      <c r="I1071" t="s">
        <v>370</v>
      </c>
      <c r="J1071" t="s">
        <v>431</v>
      </c>
      <c r="K1071" s="5">
        <f>9544 / 86400</f>
        <v>0.11046296296296296</v>
      </c>
      <c r="L1071" s="5">
        <f>1303 / 86400</f>
        <v>1.5081018518518518E-2</v>
      </c>
    </row>
    <row r="1072" spans="1:12" x14ac:dyDescent="0.25">
      <c r="A1072" s="3">
        <v>45711.352337962962</v>
      </c>
      <c r="B1072" t="s">
        <v>109</v>
      </c>
      <c r="C1072" s="3">
        <v>45711.564108796301</v>
      </c>
      <c r="D1072" t="s">
        <v>114</v>
      </c>
      <c r="E1072" s="4">
        <v>510.43499999999977</v>
      </c>
      <c r="F1072" s="4">
        <v>1445.3500000000001</v>
      </c>
      <c r="G1072" s="4">
        <v>1955.7850000000001</v>
      </c>
      <c r="H1072" s="5">
        <f>5518 / 86400</f>
        <v>6.3865740740740737E-2</v>
      </c>
      <c r="I1072" t="s">
        <v>422</v>
      </c>
      <c r="J1072" t="s">
        <v>432</v>
      </c>
      <c r="K1072" s="5">
        <f>18297 / 86400</f>
        <v>0.21177083333333332</v>
      </c>
      <c r="L1072" s="5">
        <f>2222 / 86400</f>
        <v>2.5717592592592594E-2</v>
      </c>
    </row>
    <row r="1073" spans="1:12" x14ac:dyDescent="0.25">
      <c r="A1073" s="3">
        <v>45711.589826388888</v>
      </c>
      <c r="B1073" t="s">
        <v>114</v>
      </c>
      <c r="C1073" s="3">
        <v>45711.99998842593</v>
      </c>
      <c r="D1073" t="s">
        <v>98</v>
      </c>
      <c r="E1073" s="4">
        <v>992.46</v>
      </c>
      <c r="F1073" s="4">
        <v>1955.7850000000001</v>
      </c>
      <c r="G1073" s="4">
        <v>2948.2449999999999</v>
      </c>
      <c r="H1073" s="5">
        <f>10899 / 86400</f>
        <v>0.12614583333333335</v>
      </c>
      <c r="I1073" t="s">
        <v>99</v>
      </c>
      <c r="J1073" t="s">
        <v>433</v>
      </c>
      <c r="K1073" s="5">
        <f>35438 / 86400</f>
        <v>0.41016203703703702</v>
      </c>
      <c r="L1073" s="5">
        <f>0 / 86400</f>
        <v>0</v>
      </c>
    </row>
    <row r="1074" spans="1:12" x14ac:dyDescent="0.25">
      <c r="A1074" s="11"/>
      <c r="B1074" s="11"/>
      <c r="C1074" s="11"/>
      <c r="D1074" s="11"/>
      <c r="E1074" s="11"/>
      <c r="F1074" s="11"/>
      <c r="G1074" s="11"/>
      <c r="H1074" s="11"/>
      <c r="I1074" s="11"/>
      <c r="J1074" s="11"/>
    </row>
    <row r="1075" spans="1:12" x14ac:dyDescent="0.25">
      <c r="A1075" s="11"/>
      <c r="B1075" s="11"/>
      <c r="C1075" s="11"/>
      <c r="D1075" s="11"/>
      <c r="E1075" s="11"/>
      <c r="F1075" s="11"/>
      <c r="G1075" s="11"/>
      <c r="H1075" s="11"/>
      <c r="I1075" s="11"/>
      <c r="J1075" s="11"/>
    </row>
    <row r="1076" spans="1:12" s="10" customFormat="1" ht="20.100000000000001" customHeight="1" x14ac:dyDescent="0.35">
      <c r="A1076" s="12" t="s">
        <v>480</v>
      </c>
      <c r="B1076" s="12"/>
      <c r="C1076" s="12"/>
      <c r="D1076" s="12"/>
      <c r="E1076" s="12"/>
      <c r="F1076" s="12"/>
      <c r="G1076" s="12"/>
      <c r="H1076" s="12"/>
      <c r="I1076" s="12"/>
      <c r="J1076" s="12"/>
    </row>
    <row r="1077" spans="1:12" x14ac:dyDescent="0.25">
      <c r="A1077" s="11"/>
      <c r="B1077" s="11"/>
      <c r="C1077" s="11"/>
      <c r="D1077" s="11"/>
      <c r="E1077" s="11"/>
      <c r="F1077" s="11"/>
      <c r="G1077" s="11"/>
      <c r="H1077" s="11"/>
      <c r="I1077" s="11"/>
      <c r="J1077" s="11"/>
    </row>
    <row r="1078" spans="1:12" ht="30" x14ac:dyDescent="0.25">
      <c r="A1078" s="2" t="s">
        <v>6</v>
      </c>
      <c r="B1078" s="2" t="s">
        <v>7</v>
      </c>
      <c r="C1078" s="2" t="s">
        <v>8</v>
      </c>
      <c r="D1078" s="2" t="s">
        <v>9</v>
      </c>
      <c r="E1078" s="2" t="s">
        <v>10</v>
      </c>
      <c r="F1078" s="2" t="s">
        <v>11</v>
      </c>
      <c r="G1078" s="2" t="s">
        <v>12</v>
      </c>
      <c r="H1078" s="2" t="s">
        <v>13</v>
      </c>
      <c r="I1078" s="2" t="s">
        <v>14</v>
      </c>
      <c r="J1078" s="2" t="s">
        <v>15</v>
      </c>
      <c r="K1078" s="2" t="s">
        <v>16</v>
      </c>
      <c r="L1078" s="2" t="s">
        <v>17</v>
      </c>
    </row>
    <row r="1079" spans="1:12" x14ac:dyDescent="0.25">
      <c r="A1079" s="3">
        <v>45711.004837962959</v>
      </c>
      <c r="B1079" t="s">
        <v>101</v>
      </c>
      <c r="C1079" s="3">
        <v>45711.004942129628</v>
      </c>
      <c r="D1079" t="s">
        <v>101</v>
      </c>
      <c r="E1079" s="4">
        <v>1.0999999999999999E-2</v>
      </c>
      <c r="F1079" s="4">
        <v>62150.053</v>
      </c>
      <c r="G1079" s="4">
        <v>62150.063999999998</v>
      </c>
      <c r="H1079" s="5">
        <f>0 / 86400</f>
        <v>0</v>
      </c>
      <c r="I1079" t="s">
        <v>26</v>
      </c>
      <c r="J1079" t="s">
        <v>34</v>
      </c>
      <c r="K1079" s="5">
        <f>8 / 86400</f>
        <v>9.2592592592592588E-5</v>
      </c>
      <c r="L1079" s="5">
        <f>848 / 86400</f>
        <v>9.8148148148148144E-3</v>
      </c>
    </row>
    <row r="1080" spans="1:12" x14ac:dyDescent="0.25">
      <c r="A1080" s="3">
        <v>45711.009918981479</v>
      </c>
      <c r="B1080" t="s">
        <v>101</v>
      </c>
      <c r="C1080" s="3">
        <v>45711.01054398148</v>
      </c>
      <c r="D1080" t="s">
        <v>101</v>
      </c>
      <c r="E1080" s="4">
        <v>0.01</v>
      </c>
      <c r="F1080" s="4">
        <v>62150.063999999998</v>
      </c>
      <c r="G1080" s="4">
        <v>62150.074000000001</v>
      </c>
      <c r="H1080" s="5">
        <f>40 / 86400</f>
        <v>4.6296296296296298E-4</v>
      </c>
      <c r="I1080" t="s">
        <v>146</v>
      </c>
      <c r="J1080" t="s">
        <v>21</v>
      </c>
      <c r="K1080" s="5">
        <f>53 / 86400</f>
        <v>6.134259259259259E-4</v>
      </c>
      <c r="L1080" s="5">
        <f>203 / 86400</f>
        <v>2.3495370370370371E-3</v>
      </c>
    </row>
    <row r="1081" spans="1:12" x14ac:dyDescent="0.25">
      <c r="A1081" s="3">
        <v>45711.01289351852</v>
      </c>
      <c r="B1081" t="s">
        <v>101</v>
      </c>
      <c r="C1081" s="3">
        <v>45711.102523148147</v>
      </c>
      <c r="D1081" t="s">
        <v>402</v>
      </c>
      <c r="E1081" s="4">
        <v>48.283999999999999</v>
      </c>
      <c r="F1081" s="4">
        <v>62150.074000000001</v>
      </c>
      <c r="G1081" s="4">
        <v>62198.358</v>
      </c>
      <c r="H1081" s="5">
        <f>2159 / 86400</f>
        <v>2.4988425925925924E-2</v>
      </c>
      <c r="I1081" t="s">
        <v>369</v>
      </c>
      <c r="J1081" t="s">
        <v>91</v>
      </c>
      <c r="K1081" s="5">
        <f>7744 / 86400</f>
        <v>8.9629629629629629E-2</v>
      </c>
      <c r="L1081" s="5">
        <f>564 / 86400</f>
        <v>6.5277777777777782E-3</v>
      </c>
    </row>
    <row r="1082" spans="1:12" x14ac:dyDescent="0.25">
      <c r="A1082" s="3">
        <v>45711.109050925923</v>
      </c>
      <c r="B1082" t="s">
        <v>402</v>
      </c>
      <c r="C1082" s="3">
        <v>45711.112013888887</v>
      </c>
      <c r="D1082" t="s">
        <v>434</v>
      </c>
      <c r="E1082" s="4">
        <v>0.33300000000000002</v>
      </c>
      <c r="F1082" s="4">
        <v>62198.358</v>
      </c>
      <c r="G1082" s="4">
        <v>62198.690999999999</v>
      </c>
      <c r="H1082" s="5">
        <f>100 / 86400</f>
        <v>1.1574074074074073E-3</v>
      </c>
      <c r="I1082" t="s">
        <v>31</v>
      </c>
      <c r="J1082" t="s">
        <v>34</v>
      </c>
      <c r="K1082" s="5">
        <f>255 / 86400</f>
        <v>2.9513888888888888E-3</v>
      </c>
      <c r="L1082" s="5">
        <f>22599 / 86400</f>
        <v>0.26156249999999998</v>
      </c>
    </row>
    <row r="1083" spans="1:12" x14ac:dyDescent="0.25">
      <c r="A1083" s="3">
        <v>45711.373576388884</v>
      </c>
      <c r="B1083" t="s">
        <v>434</v>
      </c>
      <c r="C1083" s="3">
        <v>45711.374189814815</v>
      </c>
      <c r="D1083" t="s">
        <v>434</v>
      </c>
      <c r="E1083" s="4">
        <v>2.7E-2</v>
      </c>
      <c r="F1083" s="4">
        <v>62198.690999999999</v>
      </c>
      <c r="G1083" s="4">
        <v>62198.718000000001</v>
      </c>
      <c r="H1083" s="5">
        <f>39 / 86400</f>
        <v>4.5138888888888887E-4</v>
      </c>
      <c r="I1083" t="s">
        <v>113</v>
      </c>
      <c r="J1083" t="s">
        <v>190</v>
      </c>
      <c r="K1083" s="5">
        <f>53 / 86400</f>
        <v>6.134259259259259E-4</v>
      </c>
      <c r="L1083" s="5">
        <f>60 / 86400</f>
        <v>6.9444444444444447E-4</v>
      </c>
    </row>
    <row r="1084" spans="1:12" x14ac:dyDescent="0.25">
      <c r="A1084" s="3">
        <v>45711.374884259261</v>
      </c>
      <c r="B1084" t="s">
        <v>434</v>
      </c>
      <c r="C1084" s="3">
        <v>45711.376099537039</v>
      </c>
      <c r="D1084" t="s">
        <v>118</v>
      </c>
      <c r="E1084" s="4">
        <v>0.29299999999999998</v>
      </c>
      <c r="F1084" s="4">
        <v>62198.718000000001</v>
      </c>
      <c r="G1084" s="4">
        <v>62199.010999999999</v>
      </c>
      <c r="H1084" s="5">
        <f>0 / 86400</f>
        <v>0</v>
      </c>
      <c r="I1084" t="s">
        <v>67</v>
      </c>
      <c r="J1084" t="s">
        <v>208</v>
      </c>
      <c r="K1084" s="5">
        <f>104 / 86400</f>
        <v>1.2037037037037038E-3</v>
      </c>
      <c r="L1084" s="5">
        <f>367 / 86400</f>
        <v>4.2476851851851851E-3</v>
      </c>
    </row>
    <row r="1085" spans="1:12" x14ac:dyDescent="0.25">
      <c r="A1085" s="3">
        <v>45711.380347222221</v>
      </c>
      <c r="B1085" t="s">
        <v>118</v>
      </c>
      <c r="C1085" s="3">
        <v>45711.381354166668</v>
      </c>
      <c r="D1085" t="s">
        <v>259</v>
      </c>
      <c r="E1085" s="4">
        <v>6.3E-2</v>
      </c>
      <c r="F1085" s="4">
        <v>62199.010999999999</v>
      </c>
      <c r="G1085" s="4">
        <v>62199.074000000001</v>
      </c>
      <c r="H1085" s="5">
        <f>20 / 86400</f>
        <v>2.3148148148148149E-4</v>
      </c>
      <c r="I1085" t="s">
        <v>208</v>
      </c>
      <c r="J1085" t="s">
        <v>69</v>
      </c>
      <c r="K1085" s="5">
        <f>86 / 86400</f>
        <v>9.9537037037037042E-4</v>
      </c>
      <c r="L1085" s="5">
        <f>3398 / 86400</f>
        <v>3.9328703703703706E-2</v>
      </c>
    </row>
    <row r="1086" spans="1:12" x14ac:dyDescent="0.25">
      <c r="A1086" s="3">
        <v>45711.420682870375</v>
      </c>
      <c r="B1086" t="s">
        <v>259</v>
      </c>
      <c r="C1086" s="3">
        <v>45711.423692129625</v>
      </c>
      <c r="D1086" t="s">
        <v>109</v>
      </c>
      <c r="E1086" s="4">
        <v>0.73499999999999999</v>
      </c>
      <c r="F1086" s="4">
        <v>62199.074000000001</v>
      </c>
      <c r="G1086" s="4">
        <v>62199.809000000001</v>
      </c>
      <c r="H1086" s="5">
        <f>60 / 86400</f>
        <v>6.9444444444444447E-4</v>
      </c>
      <c r="I1086" t="s">
        <v>119</v>
      </c>
      <c r="J1086" t="s">
        <v>208</v>
      </c>
      <c r="K1086" s="5">
        <f>260 / 86400</f>
        <v>3.0092592592592593E-3</v>
      </c>
      <c r="L1086" s="5">
        <f>97 / 86400</f>
        <v>1.1226851851851851E-3</v>
      </c>
    </row>
    <row r="1087" spans="1:12" x14ac:dyDescent="0.25">
      <c r="A1087" s="3">
        <v>45711.424814814818</v>
      </c>
      <c r="B1087" t="s">
        <v>109</v>
      </c>
      <c r="C1087" s="3">
        <v>45711.425127314811</v>
      </c>
      <c r="D1087" t="s">
        <v>412</v>
      </c>
      <c r="E1087" s="4">
        <v>4.4999999999999998E-2</v>
      </c>
      <c r="F1087" s="4">
        <v>62199.809000000001</v>
      </c>
      <c r="G1087" s="4">
        <v>62199.853999999999</v>
      </c>
      <c r="H1087" s="5">
        <f>0 / 86400</f>
        <v>0</v>
      </c>
      <c r="I1087" t="s">
        <v>155</v>
      </c>
      <c r="J1087" t="s">
        <v>146</v>
      </c>
      <c r="K1087" s="5">
        <f>27 / 86400</f>
        <v>3.1250000000000001E-4</v>
      </c>
      <c r="L1087" s="5">
        <f>140 / 86400</f>
        <v>1.6203703703703703E-3</v>
      </c>
    </row>
    <row r="1088" spans="1:12" x14ac:dyDescent="0.25">
      <c r="A1088" s="3">
        <v>45711.426747685182</v>
      </c>
      <c r="B1088" t="s">
        <v>412</v>
      </c>
      <c r="C1088" s="3">
        <v>45711.426921296297</v>
      </c>
      <c r="D1088" t="s">
        <v>258</v>
      </c>
      <c r="E1088" s="4">
        <v>8.0000000000000002E-3</v>
      </c>
      <c r="F1088" s="4">
        <v>62199.853999999999</v>
      </c>
      <c r="G1088" s="4">
        <v>62199.862000000001</v>
      </c>
      <c r="H1088" s="5">
        <f>0 / 86400</f>
        <v>0</v>
      </c>
      <c r="I1088" t="s">
        <v>26</v>
      </c>
      <c r="J1088" t="s">
        <v>190</v>
      </c>
      <c r="K1088" s="5">
        <f>15 / 86400</f>
        <v>1.7361111111111112E-4</v>
      </c>
      <c r="L1088" s="5">
        <f>64 / 86400</f>
        <v>7.407407407407407E-4</v>
      </c>
    </row>
    <row r="1089" spans="1:12" x14ac:dyDescent="0.25">
      <c r="A1089" s="3">
        <v>45711.427662037036</v>
      </c>
      <c r="B1089" t="s">
        <v>258</v>
      </c>
      <c r="C1089" s="3">
        <v>45711.427777777775</v>
      </c>
      <c r="D1089" t="s">
        <v>258</v>
      </c>
      <c r="E1089" s="4">
        <v>2E-3</v>
      </c>
      <c r="F1089" s="4">
        <v>62199.862000000001</v>
      </c>
      <c r="G1089" s="4">
        <v>62199.864000000001</v>
      </c>
      <c r="H1089" s="5">
        <f>0 / 86400</f>
        <v>0</v>
      </c>
      <c r="I1089" t="s">
        <v>26</v>
      </c>
      <c r="J1089" t="s">
        <v>21</v>
      </c>
      <c r="K1089" s="5">
        <f>10 / 86400</f>
        <v>1.1574074074074075E-4</v>
      </c>
      <c r="L1089" s="5">
        <f>455 / 86400</f>
        <v>5.2662037037037035E-3</v>
      </c>
    </row>
    <row r="1090" spans="1:12" x14ac:dyDescent="0.25">
      <c r="A1090" s="3">
        <v>45711.43304398148</v>
      </c>
      <c r="B1090" t="s">
        <v>258</v>
      </c>
      <c r="C1090" s="3">
        <v>45711.587118055555</v>
      </c>
      <c r="D1090" t="s">
        <v>81</v>
      </c>
      <c r="E1090" s="4">
        <v>70.373999999999995</v>
      </c>
      <c r="F1090" s="4">
        <v>62199.864000000001</v>
      </c>
      <c r="G1090" s="4">
        <v>62270.237999999998</v>
      </c>
      <c r="H1090" s="5">
        <f>4179 / 86400</f>
        <v>4.8368055555555553E-2</v>
      </c>
      <c r="I1090" t="s">
        <v>103</v>
      </c>
      <c r="J1090" t="s">
        <v>37</v>
      </c>
      <c r="K1090" s="5">
        <f>13311 / 86400</f>
        <v>0.15406249999999999</v>
      </c>
      <c r="L1090" s="5">
        <f>26 / 86400</f>
        <v>3.0092592592592595E-4</v>
      </c>
    </row>
    <row r="1091" spans="1:12" x14ac:dyDescent="0.25">
      <c r="A1091" s="3">
        <v>45711.587418981479</v>
      </c>
      <c r="B1091" t="s">
        <v>81</v>
      </c>
      <c r="C1091" s="3">
        <v>45711.625509259262</v>
      </c>
      <c r="D1091" t="s">
        <v>258</v>
      </c>
      <c r="E1091" s="4">
        <v>27.393999999999998</v>
      </c>
      <c r="F1091" s="4">
        <v>62270.237999999998</v>
      </c>
      <c r="G1091" s="4">
        <v>62297.631999999998</v>
      </c>
      <c r="H1091" s="5">
        <f>419 / 86400</f>
        <v>4.8495370370370368E-3</v>
      </c>
      <c r="I1091" t="s">
        <v>122</v>
      </c>
      <c r="J1091" t="s">
        <v>162</v>
      </c>
      <c r="K1091" s="5">
        <f>3291 / 86400</f>
        <v>3.8090277777777778E-2</v>
      </c>
      <c r="L1091" s="5">
        <f>339 / 86400</f>
        <v>3.9236111111111112E-3</v>
      </c>
    </row>
    <row r="1092" spans="1:12" x14ac:dyDescent="0.25">
      <c r="A1092" s="3">
        <v>45711.629432870366</v>
      </c>
      <c r="B1092" t="s">
        <v>258</v>
      </c>
      <c r="C1092" s="3">
        <v>45711.825925925921</v>
      </c>
      <c r="D1092" t="s">
        <v>235</v>
      </c>
      <c r="E1092" s="4">
        <v>92.832999999999998</v>
      </c>
      <c r="F1092" s="4">
        <v>62297.631999999998</v>
      </c>
      <c r="G1092" s="4">
        <v>62390.464999999997</v>
      </c>
      <c r="H1092" s="5">
        <f>5419 / 86400</f>
        <v>6.2719907407407405E-2</v>
      </c>
      <c r="I1092" t="s">
        <v>64</v>
      </c>
      <c r="J1092" t="s">
        <v>24</v>
      </c>
      <c r="K1092" s="5">
        <f>16977 / 86400</f>
        <v>0.19649305555555555</v>
      </c>
      <c r="L1092" s="5">
        <f>755 / 86400</f>
        <v>8.7384259259259255E-3</v>
      </c>
    </row>
    <row r="1093" spans="1:12" x14ac:dyDescent="0.25">
      <c r="A1093" s="3">
        <v>45711.834664351853</v>
      </c>
      <c r="B1093" t="s">
        <v>235</v>
      </c>
      <c r="C1093" s="3">
        <v>45711.834861111114</v>
      </c>
      <c r="D1093" t="s">
        <v>235</v>
      </c>
      <c r="E1093" s="4">
        <v>1.2999999999999999E-2</v>
      </c>
      <c r="F1093" s="4">
        <v>62390.464999999997</v>
      </c>
      <c r="G1093" s="4">
        <v>62390.478000000003</v>
      </c>
      <c r="H1093" s="5">
        <f>0 / 86400</f>
        <v>0</v>
      </c>
      <c r="I1093" t="s">
        <v>26</v>
      </c>
      <c r="J1093" t="s">
        <v>69</v>
      </c>
      <c r="K1093" s="5">
        <f>17 / 86400</f>
        <v>1.9675925925925926E-4</v>
      </c>
      <c r="L1093" s="5">
        <f>501 / 86400</f>
        <v>5.7986111111111112E-3</v>
      </c>
    </row>
    <row r="1094" spans="1:12" x14ac:dyDescent="0.25">
      <c r="A1094" s="3">
        <v>45711.84065972222</v>
      </c>
      <c r="B1094" t="s">
        <v>235</v>
      </c>
      <c r="C1094" s="3">
        <v>45711.841932870375</v>
      </c>
      <c r="D1094" t="s">
        <v>235</v>
      </c>
      <c r="E1094" s="4">
        <v>0.03</v>
      </c>
      <c r="F1094" s="4">
        <v>62390.478000000003</v>
      </c>
      <c r="G1094" s="4">
        <v>62390.508000000002</v>
      </c>
      <c r="H1094" s="5">
        <f>80 / 86400</f>
        <v>9.2592592592592596E-4</v>
      </c>
      <c r="I1094" t="s">
        <v>21</v>
      </c>
      <c r="J1094" t="s">
        <v>21</v>
      </c>
      <c r="K1094" s="5">
        <f>110 / 86400</f>
        <v>1.2731481481481483E-3</v>
      </c>
      <c r="L1094" s="5">
        <f>211 / 86400</f>
        <v>2.4421296296296296E-3</v>
      </c>
    </row>
    <row r="1095" spans="1:12" x14ac:dyDescent="0.25">
      <c r="A1095" s="3">
        <v>45711.844375000001</v>
      </c>
      <c r="B1095" t="s">
        <v>235</v>
      </c>
      <c r="C1095" s="3">
        <v>45711.844502314816</v>
      </c>
      <c r="D1095" t="s">
        <v>236</v>
      </c>
      <c r="E1095" s="4">
        <v>5.0000000000000001E-3</v>
      </c>
      <c r="F1095" s="4">
        <v>62390.508000000002</v>
      </c>
      <c r="G1095" s="4">
        <v>62390.512999999999</v>
      </c>
      <c r="H1095" s="5">
        <f>0 / 86400</f>
        <v>0</v>
      </c>
      <c r="I1095" t="s">
        <v>26</v>
      </c>
      <c r="J1095" t="s">
        <v>190</v>
      </c>
      <c r="K1095" s="5">
        <f>10 / 86400</f>
        <v>1.1574074074074075E-4</v>
      </c>
      <c r="L1095" s="5">
        <f>64 / 86400</f>
        <v>7.407407407407407E-4</v>
      </c>
    </row>
    <row r="1096" spans="1:12" x14ac:dyDescent="0.25">
      <c r="A1096" s="3">
        <v>45711.845243055555</v>
      </c>
      <c r="B1096" t="s">
        <v>235</v>
      </c>
      <c r="C1096" s="3">
        <v>45711.845497685186</v>
      </c>
      <c r="D1096" t="s">
        <v>235</v>
      </c>
      <c r="E1096" s="4">
        <v>6.0000000000000001E-3</v>
      </c>
      <c r="F1096" s="4">
        <v>62390.512999999999</v>
      </c>
      <c r="G1096" s="4">
        <v>62390.519</v>
      </c>
      <c r="H1096" s="5">
        <f>19 / 86400</f>
        <v>2.199074074074074E-4</v>
      </c>
      <c r="I1096" t="s">
        <v>26</v>
      </c>
      <c r="J1096" t="s">
        <v>21</v>
      </c>
      <c r="K1096" s="5">
        <f>21 / 86400</f>
        <v>2.4305555555555555E-4</v>
      </c>
      <c r="L1096" s="5">
        <f>70 / 86400</f>
        <v>8.1018518518518516E-4</v>
      </c>
    </row>
    <row r="1097" spans="1:12" x14ac:dyDescent="0.25">
      <c r="A1097" s="3">
        <v>45711.846307870372</v>
      </c>
      <c r="B1097" t="s">
        <v>235</v>
      </c>
      <c r="C1097" s="3">
        <v>45711.902442129634</v>
      </c>
      <c r="D1097" t="s">
        <v>171</v>
      </c>
      <c r="E1097" s="4">
        <v>31.233000000000001</v>
      </c>
      <c r="F1097" s="4">
        <v>62390.519</v>
      </c>
      <c r="G1097" s="4">
        <v>62421.752</v>
      </c>
      <c r="H1097" s="5">
        <f>1299 / 86400</f>
        <v>1.5034722222222222E-2</v>
      </c>
      <c r="I1097" t="s">
        <v>92</v>
      </c>
      <c r="J1097" t="s">
        <v>142</v>
      </c>
      <c r="K1097" s="5">
        <f>4850 / 86400</f>
        <v>5.6134259259259259E-2</v>
      </c>
      <c r="L1097" s="5">
        <f>30 / 86400</f>
        <v>3.4722222222222224E-4</v>
      </c>
    </row>
    <row r="1098" spans="1:12" x14ac:dyDescent="0.25">
      <c r="A1098" s="3">
        <v>45711.902789351851</v>
      </c>
      <c r="B1098" t="s">
        <v>171</v>
      </c>
      <c r="C1098" s="3">
        <v>45711.902858796297</v>
      </c>
      <c r="D1098" t="s">
        <v>171</v>
      </c>
      <c r="E1098" s="4">
        <v>0</v>
      </c>
      <c r="F1098" s="4">
        <v>62421.752</v>
      </c>
      <c r="G1098" s="4">
        <v>62421.752</v>
      </c>
      <c r="H1098" s="5">
        <f>0 / 86400</f>
        <v>0</v>
      </c>
      <c r="I1098" t="s">
        <v>26</v>
      </c>
      <c r="J1098" t="s">
        <v>26</v>
      </c>
      <c r="K1098" s="5">
        <f>6 / 86400</f>
        <v>6.9444444444444444E-5</v>
      </c>
      <c r="L1098" s="5">
        <f>40 / 86400</f>
        <v>4.6296296296296298E-4</v>
      </c>
    </row>
    <row r="1099" spans="1:12" x14ac:dyDescent="0.25">
      <c r="A1099" s="3">
        <v>45711.903321759259</v>
      </c>
      <c r="B1099" t="s">
        <v>171</v>
      </c>
      <c r="C1099" s="3">
        <v>45711.930092592593</v>
      </c>
      <c r="D1099" t="s">
        <v>101</v>
      </c>
      <c r="E1099" s="4">
        <v>12.121</v>
      </c>
      <c r="F1099" s="4">
        <v>62421.752</v>
      </c>
      <c r="G1099" s="4">
        <v>62433.873</v>
      </c>
      <c r="H1099" s="5">
        <f>500 / 86400</f>
        <v>5.7870370370370367E-3</v>
      </c>
      <c r="I1099" t="s">
        <v>166</v>
      </c>
      <c r="J1099" t="s">
        <v>37</v>
      </c>
      <c r="K1099" s="5">
        <f>2312 / 86400</f>
        <v>2.675925925925926E-2</v>
      </c>
      <c r="L1099" s="5">
        <f>325 / 86400</f>
        <v>3.7615740740740739E-3</v>
      </c>
    </row>
    <row r="1100" spans="1:12" x14ac:dyDescent="0.25">
      <c r="A1100" s="3">
        <v>45711.933854166666</v>
      </c>
      <c r="B1100" t="s">
        <v>101</v>
      </c>
      <c r="C1100" s="3">
        <v>45711.933981481481</v>
      </c>
      <c r="D1100" t="s">
        <v>101</v>
      </c>
      <c r="E1100" s="4">
        <v>7.0000000000000001E-3</v>
      </c>
      <c r="F1100" s="4">
        <v>62433.873</v>
      </c>
      <c r="G1100" s="4">
        <v>62433.88</v>
      </c>
      <c r="H1100" s="5">
        <f>0 / 86400</f>
        <v>0</v>
      </c>
      <c r="I1100" t="s">
        <v>34</v>
      </c>
      <c r="J1100" t="s">
        <v>190</v>
      </c>
      <c r="K1100" s="5">
        <f>11 / 86400</f>
        <v>1.273148148148148E-4</v>
      </c>
      <c r="L1100" s="5">
        <f>246 / 86400</f>
        <v>2.8472222222222223E-3</v>
      </c>
    </row>
    <row r="1101" spans="1:12" x14ac:dyDescent="0.25">
      <c r="A1101" s="3">
        <v>45711.936828703707</v>
      </c>
      <c r="B1101" t="s">
        <v>101</v>
      </c>
      <c r="C1101" s="3">
        <v>45711.936944444446</v>
      </c>
      <c r="D1101" t="s">
        <v>101</v>
      </c>
      <c r="E1101" s="4">
        <v>7.0000000000000001E-3</v>
      </c>
      <c r="F1101" s="4">
        <v>62433.88</v>
      </c>
      <c r="G1101" s="4">
        <v>62433.887000000002</v>
      </c>
      <c r="H1101" s="5">
        <f>0 / 86400</f>
        <v>0</v>
      </c>
      <c r="I1101" t="s">
        <v>26</v>
      </c>
      <c r="J1101" t="s">
        <v>69</v>
      </c>
      <c r="K1101" s="5">
        <f>10 / 86400</f>
        <v>1.1574074074074075E-4</v>
      </c>
      <c r="L1101" s="5">
        <f>217 / 86400</f>
        <v>2.5115740740740741E-3</v>
      </c>
    </row>
    <row r="1102" spans="1:12" x14ac:dyDescent="0.25">
      <c r="A1102" s="3">
        <v>45711.939456018517</v>
      </c>
      <c r="B1102" t="s">
        <v>101</v>
      </c>
      <c r="C1102" s="3">
        <v>45711.939606481479</v>
      </c>
      <c r="D1102" t="s">
        <v>351</v>
      </c>
      <c r="E1102" s="4">
        <v>5.0000000000000001E-3</v>
      </c>
      <c r="F1102" s="4">
        <v>62433.887000000002</v>
      </c>
      <c r="G1102" s="4">
        <v>62433.892</v>
      </c>
      <c r="H1102" s="5">
        <f>0 / 86400</f>
        <v>0</v>
      </c>
      <c r="I1102" t="s">
        <v>34</v>
      </c>
      <c r="J1102" t="s">
        <v>21</v>
      </c>
      <c r="K1102" s="5">
        <f>13 / 86400</f>
        <v>1.5046296296296297E-4</v>
      </c>
      <c r="L1102" s="5">
        <f>25 / 86400</f>
        <v>2.8935185185185184E-4</v>
      </c>
    </row>
    <row r="1103" spans="1:12" x14ac:dyDescent="0.25">
      <c r="A1103" s="3">
        <v>45711.939895833333</v>
      </c>
      <c r="B1103" t="s">
        <v>351</v>
      </c>
      <c r="C1103" s="3">
        <v>45711.99998842593</v>
      </c>
      <c r="D1103" t="s">
        <v>102</v>
      </c>
      <c r="E1103" s="4">
        <v>27.606999999999999</v>
      </c>
      <c r="F1103" s="4">
        <v>62433.892</v>
      </c>
      <c r="G1103" s="4">
        <v>62461.499000000003</v>
      </c>
      <c r="H1103" s="5">
        <f>1439 / 86400</f>
        <v>1.6655092592592593E-2</v>
      </c>
      <c r="I1103" t="s">
        <v>337</v>
      </c>
      <c r="J1103" t="s">
        <v>37</v>
      </c>
      <c r="K1103" s="5">
        <f>5192 / 86400</f>
        <v>6.0092592592592593E-2</v>
      </c>
      <c r="L1103" s="5">
        <f>0 / 86400</f>
        <v>0</v>
      </c>
    </row>
    <row r="1104" spans="1:12" x14ac:dyDescent="0.25">
      <c r="A1104" s="11"/>
      <c r="B1104" s="11"/>
      <c r="C1104" s="11"/>
      <c r="D1104" s="11"/>
      <c r="E1104" s="11"/>
      <c r="F1104" s="11"/>
      <c r="G1104" s="11"/>
      <c r="H1104" s="11"/>
      <c r="I1104" s="11"/>
      <c r="J1104" s="11"/>
    </row>
    <row r="1105" spans="1:12" x14ac:dyDescent="0.25">
      <c r="A1105" s="11"/>
      <c r="B1105" s="11"/>
      <c r="C1105" s="11"/>
      <c r="D1105" s="11"/>
      <c r="E1105" s="11"/>
      <c r="F1105" s="11"/>
      <c r="G1105" s="11"/>
      <c r="H1105" s="11"/>
      <c r="I1105" s="11"/>
      <c r="J1105" s="11"/>
    </row>
    <row r="1106" spans="1:12" s="10" customFormat="1" ht="20.100000000000001" customHeight="1" x14ac:dyDescent="0.35">
      <c r="A1106" s="12" t="s">
        <v>481</v>
      </c>
      <c r="B1106" s="12"/>
      <c r="C1106" s="12"/>
      <c r="D1106" s="12"/>
      <c r="E1106" s="12"/>
      <c r="F1106" s="12"/>
      <c r="G1106" s="12"/>
      <c r="H1106" s="12"/>
      <c r="I1106" s="12"/>
      <c r="J1106" s="12"/>
    </row>
    <row r="1107" spans="1:12" x14ac:dyDescent="0.25">
      <c r="A1107" s="11"/>
      <c r="B1107" s="11"/>
      <c r="C1107" s="11"/>
      <c r="D1107" s="11"/>
      <c r="E1107" s="11"/>
      <c r="F1107" s="11"/>
      <c r="G1107" s="11"/>
      <c r="H1107" s="11"/>
      <c r="I1107" s="11"/>
      <c r="J1107" s="11"/>
    </row>
    <row r="1108" spans="1:12" ht="30" x14ac:dyDescent="0.25">
      <c r="A1108" s="2" t="s">
        <v>6</v>
      </c>
      <c r="B1108" s="2" t="s">
        <v>7</v>
      </c>
      <c r="C1108" s="2" t="s">
        <v>8</v>
      </c>
      <c r="D1108" s="2" t="s">
        <v>9</v>
      </c>
      <c r="E1108" s="2" t="s">
        <v>10</v>
      </c>
      <c r="F1108" s="2" t="s">
        <v>11</v>
      </c>
      <c r="G1108" s="2" t="s">
        <v>12</v>
      </c>
      <c r="H1108" s="2" t="s">
        <v>13</v>
      </c>
      <c r="I1108" s="2" t="s">
        <v>14</v>
      </c>
      <c r="J1108" s="2" t="s">
        <v>15</v>
      </c>
      <c r="K1108" s="2" t="s">
        <v>16</v>
      </c>
      <c r="L1108" s="2" t="s">
        <v>17</v>
      </c>
    </row>
    <row r="1109" spans="1:12" x14ac:dyDescent="0.25">
      <c r="A1109" s="3">
        <v>45711</v>
      </c>
      <c r="B1109" t="s">
        <v>102</v>
      </c>
      <c r="C1109" s="3">
        <v>45711.033194444448</v>
      </c>
      <c r="D1109" t="s">
        <v>59</v>
      </c>
      <c r="E1109" s="4">
        <v>18.97999999999255</v>
      </c>
      <c r="F1109" s="4">
        <v>65797.745999999999</v>
      </c>
      <c r="G1109" s="4">
        <v>65816.725999999995</v>
      </c>
      <c r="H1109" s="5">
        <f>600 / 86400</f>
        <v>6.9444444444444441E-3</v>
      </c>
      <c r="I1109" t="s">
        <v>398</v>
      </c>
      <c r="J1109" t="s">
        <v>31</v>
      </c>
      <c r="K1109" s="5">
        <f>2868 / 86400</f>
        <v>3.3194444444444443E-2</v>
      </c>
      <c r="L1109" s="5">
        <f>427 / 86400</f>
        <v>4.9421296296296297E-3</v>
      </c>
    </row>
    <row r="1110" spans="1:12" x14ac:dyDescent="0.25">
      <c r="A1110" s="3">
        <v>45711.038136574076</v>
      </c>
      <c r="B1110" t="s">
        <v>59</v>
      </c>
      <c r="C1110" s="3">
        <v>45711.038923611108</v>
      </c>
      <c r="D1110" t="s">
        <v>44</v>
      </c>
      <c r="E1110" s="4">
        <v>3.7000000014901162E-2</v>
      </c>
      <c r="F1110" s="4">
        <v>65816.725999999995</v>
      </c>
      <c r="G1110" s="4">
        <v>65816.763000000006</v>
      </c>
      <c r="H1110" s="5">
        <f>39 / 86400</f>
        <v>4.5138888888888887E-4</v>
      </c>
      <c r="I1110" t="s">
        <v>146</v>
      </c>
      <c r="J1110" t="s">
        <v>190</v>
      </c>
      <c r="K1110" s="5">
        <f>68 / 86400</f>
        <v>7.8703703703703705E-4</v>
      </c>
      <c r="L1110" s="5">
        <f>1366 / 86400</f>
        <v>1.5810185185185184E-2</v>
      </c>
    </row>
    <row r="1111" spans="1:12" x14ac:dyDescent="0.25">
      <c r="A1111" s="3">
        <v>45711.054733796293</v>
      </c>
      <c r="B1111" t="s">
        <v>435</v>
      </c>
      <c r="C1111" s="3">
        <v>45711.06658564815</v>
      </c>
      <c r="D1111" t="s">
        <v>75</v>
      </c>
      <c r="E1111" s="4">
        <v>5.5269999999850992</v>
      </c>
      <c r="F1111" s="4">
        <v>65816.763000000006</v>
      </c>
      <c r="G1111" s="4">
        <v>65822.289999999994</v>
      </c>
      <c r="H1111" s="5">
        <f>239 / 86400</f>
        <v>2.7662037037037039E-3</v>
      </c>
      <c r="I1111" t="s">
        <v>137</v>
      </c>
      <c r="J1111" t="s">
        <v>37</v>
      </c>
      <c r="K1111" s="5">
        <f>1024 / 86400</f>
        <v>1.1851851851851851E-2</v>
      </c>
      <c r="L1111" s="5">
        <f>14271 / 86400</f>
        <v>0.16517361111111112</v>
      </c>
    </row>
    <row r="1112" spans="1:12" x14ac:dyDescent="0.25">
      <c r="A1112" s="3">
        <v>45711.231759259259</v>
      </c>
      <c r="B1112" t="s">
        <v>75</v>
      </c>
      <c r="C1112" s="3">
        <v>45711.426539351851</v>
      </c>
      <c r="D1112" t="s">
        <v>115</v>
      </c>
      <c r="E1112" s="4">
        <v>98.139000000007456</v>
      </c>
      <c r="F1112" s="4">
        <v>65822.289999999994</v>
      </c>
      <c r="G1112" s="4">
        <v>65920.429000000004</v>
      </c>
      <c r="H1112" s="5">
        <f>4459 / 86400</f>
        <v>5.1608796296296298E-2</v>
      </c>
      <c r="I1112" t="s">
        <v>55</v>
      </c>
      <c r="J1112" t="s">
        <v>67</v>
      </c>
      <c r="K1112" s="5">
        <f>16828 / 86400</f>
        <v>0.19476851851851851</v>
      </c>
      <c r="L1112" s="5">
        <f>2523 / 86400</f>
        <v>2.9201388888888888E-2</v>
      </c>
    </row>
    <row r="1113" spans="1:12" x14ac:dyDescent="0.25">
      <c r="A1113" s="3">
        <v>45711.455740740741</v>
      </c>
      <c r="B1113" t="s">
        <v>115</v>
      </c>
      <c r="C1113" s="3">
        <v>45711.459780092591</v>
      </c>
      <c r="D1113" t="s">
        <v>118</v>
      </c>
      <c r="E1113" s="4">
        <v>1.8440000000000001</v>
      </c>
      <c r="F1113" s="4">
        <v>65920.429000000004</v>
      </c>
      <c r="G1113" s="4">
        <v>65922.273000000001</v>
      </c>
      <c r="H1113" s="5">
        <f>0 / 86400</f>
        <v>0</v>
      </c>
      <c r="I1113" t="s">
        <v>141</v>
      </c>
      <c r="J1113" t="s">
        <v>37</v>
      </c>
      <c r="K1113" s="5">
        <f>349 / 86400</f>
        <v>4.0393518518518521E-3</v>
      </c>
      <c r="L1113" s="5">
        <f>672 / 86400</f>
        <v>7.7777777777777776E-3</v>
      </c>
    </row>
    <row r="1114" spans="1:12" x14ac:dyDescent="0.25">
      <c r="A1114" s="3">
        <v>45711.467557870375</v>
      </c>
      <c r="B1114" t="s">
        <v>118</v>
      </c>
      <c r="C1114" s="3">
        <v>45711.758506944447</v>
      </c>
      <c r="D1114" t="s">
        <v>258</v>
      </c>
      <c r="E1114" s="4">
        <v>145.28599999999255</v>
      </c>
      <c r="F1114" s="4">
        <v>65922.273000000001</v>
      </c>
      <c r="G1114" s="4">
        <v>66067.558999999994</v>
      </c>
      <c r="H1114" s="5">
        <f>8281 / 86400</f>
        <v>9.5844907407407406E-2</v>
      </c>
      <c r="I1114" t="s">
        <v>104</v>
      </c>
      <c r="J1114" t="s">
        <v>67</v>
      </c>
      <c r="K1114" s="5">
        <f>25138 / 86400</f>
        <v>0.29094907407407405</v>
      </c>
      <c r="L1114" s="5">
        <f>90 / 86400</f>
        <v>1.0416666666666667E-3</v>
      </c>
    </row>
    <row r="1115" spans="1:12" x14ac:dyDescent="0.25">
      <c r="A1115" s="3">
        <v>45711.759548611109</v>
      </c>
      <c r="B1115" t="s">
        <v>258</v>
      </c>
      <c r="C1115" s="3">
        <v>45711.759629629625</v>
      </c>
      <c r="D1115" t="s">
        <v>258</v>
      </c>
      <c r="E1115" s="4">
        <v>5.0000000074505802E-3</v>
      </c>
      <c r="F1115" s="4">
        <v>66067.558999999994</v>
      </c>
      <c r="G1115" s="4">
        <v>66067.563999999998</v>
      </c>
      <c r="H1115" s="5">
        <f>0 / 86400</f>
        <v>0</v>
      </c>
      <c r="I1115" t="s">
        <v>69</v>
      </c>
      <c r="J1115" t="s">
        <v>69</v>
      </c>
      <c r="K1115" s="5">
        <f>7 / 86400</f>
        <v>8.1018518518518516E-5</v>
      </c>
      <c r="L1115" s="5">
        <f>325 / 86400</f>
        <v>3.7615740740740739E-3</v>
      </c>
    </row>
    <row r="1116" spans="1:12" x14ac:dyDescent="0.25">
      <c r="A1116" s="3">
        <v>45711.763391203705</v>
      </c>
      <c r="B1116" t="s">
        <v>258</v>
      </c>
      <c r="C1116" s="3">
        <v>45711.763657407406</v>
      </c>
      <c r="D1116" t="s">
        <v>258</v>
      </c>
      <c r="E1116" s="4">
        <v>5.0000000000000001E-3</v>
      </c>
      <c r="F1116" s="4">
        <v>66067.563999999998</v>
      </c>
      <c r="G1116" s="4">
        <v>66067.569000000003</v>
      </c>
      <c r="H1116" s="5">
        <f>19 / 86400</f>
        <v>2.199074074074074E-4</v>
      </c>
      <c r="I1116" t="s">
        <v>26</v>
      </c>
      <c r="J1116" t="s">
        <v>21</v>
      </c>
      <c r="K1116" s="5">
        <f>23 / 86400</f>
        <v>2.6620370370370372E-4</v>
      </c>
      <c r="L1116" s="5">
        <f>178 / 86400</f>
        <v>2.0601851851851853E-3</v>
      </c>
    </row>
    <row r="1117" spans="1:12" x14ac:dyDescent="0.25">
      <c r="A1117" s="3">
        <v>45711.765717592592</v>
      </c>
      <c r="B1117" t="s">
        <v>258</v>
      </c>
      <c r="C1117" s="3">
        <v>45711.996574074074</v>
      </c>
      <c r="D1117" t="s">
        <v>82</v>
      </c>
      <c r="E1117" s="4">
        <v>95.891999999992549</v>
      </c>
      <c r="F1117" s="4">
        <v>66067.569000000003</v>
      </c>
      <c r="G1117" s="4">
        <v>66163.460999999996</v>
      </c>
      <c r="H1117" s="5">
        <f>7839 / 86400</f>
        <v>9.0729166666666666E-2</v>
      </c>
      <c r="I1117" t="s">
        <v>369</v>
      </c>
      <c r="J1117" t="s">
        <v>58</v>
      </c>
      <c r="K1117" s="5">
        <f>19945 / 86400</f>
        <v>0.2308449074074074</v>
      </c>
      <c r="L1117" s="5">
        <f>295 / 86400</f>
        <v>3.414351851851852E-3</v>
      </c>
    </row>
    <row r="1118" spans="1:12" x14ac:dyDescent="0.25">
      <c r="A1118" s="11"/>
      <c r="B1118" s="11"/>
      <c r="C1118" s="11"/>
      <c r="D1118" s="11"/>
      <c r="E1118" s="11"/>
      <c r="F1118" s="11"/>
      <c r="G1118" s="11"/>
      <c r="H1118" s="11"/>
      <c r="I1118" s="11"/>
      <c r="J1118" s="11"/>
    </row>
    <row r="1119" spans="1:12" x14ac:dyDescent="0.25">
      <c r="A1119" s="11"/>
      <c r="B1119" s="11"/>
      <c r="C1119" s="11"/>
      <c r="D1119" s="11"/>
      <c r="E1119" s="11"/>
      <c r="F1119" s="11"/>
      <c r="G1119" s="11"/>
      <c r="H1119" s="11"/>
      <c r="I1119" s="11"/>
      <c r="J1119" s="11"/>
    </row>
    <row r="1120" spans="1:12" s="10" customFormat="1" ht="20.100000000000001" customHeight="1" x14ac:dyDescent="0.35">
      <c r="A1120" s="12" t="s">
        <v>482</v>
      </c>
      <c r="B1120" s="12"/>
      <c r="C1120" s="12"/>
      <c r="D1120" s="12"/>
      <c r="E1120" s="12"/>
      <c r="F1120" s="12"/>
      <c r="G1120" s="12"/>
      <c r="H1120" s="12"/>
      <c r="I1120" s="12"/>
      <c r="J1120" s="12"/>
    </row>
    <row r="1121" spans="1:12" x14ac:dyDescent="0.25">
      <c r="A1121" s="11"/>
      <c r="B1121" s="11"/>
      <c r="C1121" s="11"/>
      <c r="D1121" s="11"/>
      <c r="E1121" s="11"/>
      <c r="F1121" s="11"/>
      <c r="G1121" s="11"/>
      <c r="H1121" s="11"/>
      <c r="I1121" s="11"/>
      <c r="J1121" s="11"/>
    </row>
    <row r="1122" spans="1:12" ht="30" x14ac:dyDescent="0.25">
      <c r="A1122" s="2" t="s">
        <v>6</v>
      </c>
      <c r="B1122" s="2" t="s">
        <v>7</v>
      </c>
      <c r="C1122" s="2" t="s">
        <v>8</v>
      </c>
      <c r="D1122" s="2" t="s">
        <v>9</v>
      </c>
      <c r="E1122" s="2" t="s">
        <v>10</v>
      </c>
      <c r="F1122" s="2" t="s">
        <v>11</v>
      </c>
      <c r="G1122" s="2" t="s">
        <v>12</v>
      </c>
      <c r="H1122" s="2" t="s">
        <v>13</v>
      </c>
      <c r="I1122" s="2" t="s">
        <v>14</v>
      </c>
      <c r="J1122" s="2" t="s">
        <v>15</v>
      </c>
      <c r="K1122" s="2" t="s">
        <v>16</v>
      </c>
      <c r="L1122" s="2" t="s">
        <v>17</v>
      </c>
    </row>
    <row r="1123" spans="1:12" x14ac:dyDescent="0.25">
      <c r="A1123" s="3">
        <v>45711.061585648145</v>
      </c>
      <c r="B1123" t="s">
        <v>105</v>
      </c>
      <c r="C1123" s="3">
        <v>45711.065717592588</v>
      </c>
      <c r="D1123" t="s">
        <v>105</v>
      </c>
      <c r="E1123" s="4">
        <v>6.4000000000000001E-2</v>
      </c>
      <c r="F1123" s="4">
        <v>293510.20500000002</v>
      </c>
      <c r="G1123" s="4">
        <v>293510.26899999997</v>
      </c>
      <c r="H1123" s="5">
        <f>280 / 86400</f>
        <v>3.2407407407407406E-3</v>
      </c>
      <c r="I1123" t="s">
        <v>33</v>
      </c>
      <c r="J1123" t="s">
        <v>21</v>
      </c>
      <c r="K1123" s="5">
        <f>356 / 86400</f>
        <v>4.1203703703703706E-3</v>
      </c>
      <c r="L1123" s="5">
        <f>23560 / 86400</f>
        <v>0.2726851851851852</v>
      </c>
    </row>
    <row r="1124" spans="1:12" x14ac:dyDescent="0.25">
      <c r="A1124" s="3">
        <v>45711.276817129634</v>
      </c>
      <c r="B1124" t="s">
        <v>105</v>
      </c>
      <c r="C1124" s="3">
        <v>45711.527731481481</v>
      </c>
      <c r="D1124" t="s">
        <v>57</v>
      </c>
      <c r="E1124" s="4">
        <v>108.602</v>
      </c>
      <c r="F1124" s="4">
        <v>293510.26899999997</v>
      </c>
      <c r="G1124" s="4">
        <v>293618.87099999998</v>
      </c>
      <c r="H1124" s="5">
        <f>8039 / 86400</f>
        <v>9.3043981481481478E-2</v>
      </c>
      <c r="I1124" t="s">
        <v>51</v>
      </c>
      <c r="J1124" t="s">
        <v>38</v>
      </c>
      <c r="K1124" s="5">
        <f>21679 / 86400</f>
        <v>0.25091435185185185</v>
      </c>
      <c r="L1124" s="5">
        <f>1802 / 86400</f>
        <v>2.0856481481481483E-2</v>
      </c>
    </row>
    <row r="1125" spans="1:12" x14ac:dyDescent="0.25">
      <c r="A1125" s="3">
        <v>45711.548587962963</v>
      </c>
      <c r="B1125" t="s">
        <v>57</v>
      </c>
      <c r="C1125" s="3">
        <v>45711.688530092593</v>
      </c>
      <c r="D1125" t="s">
        <v>436</v>
      </c>
      <c r="E1125" s="4">
        <v>50.438000000000002</v>
      </c>
      <c r="F1125" s="4">
        <v>293618.87099999998</v>
      </c>
      <c r="G1125" s="4">
        <v>293669.30900000001</v>
      </c>
      <c r="H1125" s="5">
        <f>5918 / 86400</f>
        <v>6.8495370370370373E-2</v>
      </c>
      <c r="I1125" t="s">
        <v>23</v>
      </c>
      <c r="J1125" t="s">
        <v>47</v>
      </c>
      <c r="K1125" s="5">
        <f>12090 / 86400</f>
        <v>0.13993055555555556</v>
      </c>
      <c r="L1125" s="5">
        <f>2895 / 86400</f>
        <v>3.3506944444444443E-2</v>
      </c>
    </row>
    <row r="1126" spans="1:12" x14ac:dyDescent="0.25">
      <c r="A1126" s="3">
        <v>45711.722037037034</v>
      </c>
      <c r="B1126" t="s">
        <v>351</v>
      </c>
      <c r="C1126" s="3">
        <v>45711.846319444448</v>
      </c>
      <c r="D1126" t="s">
        <v>105</v>
      </c>
      <c r="E1126" s="4">
        <v>52.298999999999999</v>
      </c>
      <c r="F1126" s="4">
        <v>293669.30900000001</v>
      </c>
      <c r="G1126" s="4">
        <v>293721.60800000001</v>
      </c>
      <c r="H1126" s="5">
        <f>3901 / 86400</f>
        <v>4.5150462962962962E-2</v>
      </c>
      <c r="I1126" t="s">
        <v>28</v>
      </c>
      <c r="J1126" t="s">
        <v>38</v>
      </c>
      <c r="K1126" s="5">
        <f>10737 / 86400</f>
        <v>0.12427083333333333</v>
      </c>
      <c r="L1126" s="5">
        <f>13277 / 86400</f>
        <v>0.15366898148148148</v>
      </c>
    </row>
    <row r="1127" spans="1:12" x14ac:dyDescent="0.25">
      <c r="A1127" s="11"/>
      <c r="B1127" s="11"/>
      <c r="C1127" s="11"/>
      <c r="D1127" s="11"/>
      <c r="E1127" s="11"/>
      <c r="F1127" s="11"/>
      <c r="G1127" s="11"/>
      <c r="H1127" s="11"/>
      <c r="I1127" s="11"/>
      <c r="J1127" s="11"/>
    </row>
    <row r="1128" spans="1:12" x14ac:dyDescent="0.25">
      <c r="A1128" s="11" t="s">
        <v>107</v>
      </c>
      <c r="B1128" s="11"/>
      <c r="C1128" s="11"/>
      <c r="D1128" s="11"/>
      <c r="E1128" s="11"/>
      <c r="F1128" s="11"/>
      <c r="G1128" s="11"/>
      <c r="H1128" s="11"/>
      <c r="I1128" s="11"/>
      <c r="J1128" s="11"/>
    </row>
  </sheetData>
  <mergeCells count="194">
    <mergeCell ref="A1:J1"/>
    <mergeCell ref="A2:J2"/>
    <mergeCell ref="A3:J3"/>
    <mergeCell ref="A4:J4"/>
    <mergeCell ref="A5:J5"/>
    <mergeCell ref="A6:J6"/>
    <mergeCell ref="A55:J55"/>
    <mergeCell ref="A56:J56"/>
    <mergeCell ref="A57:J57"/>
    <mergeCell ref="A58:J58"/>
    <mergeCell ref="A59:J59"/>
    <mergeCell ref="A60:J60"/>
    <mergeCell ref="A64:J64"/>
    <mergeCell ref="A65:J65"/>
    <mergeCell ref="A66:J66"/>
    <mergeCell ref="A67:J67"/>
    <mergeCell ref="A82:J82"/>
    <mergeCell ref="A83:J83"/>
    <mergeCell ref="A84:J84"/>
    <mergeCell ref="A85:J85"/>
    <mergeCell ref="A89:J89"/>
    <mergeCell ref="A90:J90"/>
    <mergeCell ref="A91:J91"/>
    <mergeCell ref="A92:J92"/>
    <mergeCell ref="A102:J102"/>
    <mergeCell ref="A103:J103"/>
    <mergeCell ref="A104:J104"/>
    <mergeCell ref="A105:J105"/>
    <mergeCell ref="A545:J545"/>
    <mergeCell ref="A546:J546"/>
    <mergeCell ref="A547:J547"/>
    <mergeCell ref="A548:J548"/>
    <mergeCell ref="A554:J554"/>
    <mergeCell ref="A555:J555"/>
    <mergeCell ref="A556:J556"/>
    <mergeCell ref="A557:J557"/>
    <mergeCell ref="A565:J565"/>
    <mergeCell ref="A566:J566"/>
    <mergeCell ref="A567:J567"/>
    <mergeCell ref="A568:J568"/>
    <mergeCell ref="A584:J584"/>
    <mergeCell ref="A585:J585"/>
    <mergeCell ref="A586:J586"/>
    <mergeCell ref="A587:J587"/>
    <mergeCell ref="A602:J602"/>
    <mergeCell ref="A603:J603"/>
    <mergeCell ref="A604:J604"/>
    <mergeCell ref="A605:J605"/>
    <mergeCell ref="A613:J613"/>
    <mergeCell ref="A614:J614"/>
    <mergeCell ref="A615:J615"/>
    <mergeCell ref="A616:J616"/>
    <mergeCell ref="A619:J619"/>
    <mergeCell ref="A620:J620"/>
    <mergeCell ref="A621:J621"/>
    <mergeCell ref="A622:J622"/>
    <mergeCell ref="A630:J630"/>
    <mergeCell ref="A631:J631"/>
    <mergeCell ref="A632:J632"/>
    <mergeCell ref="A633:J633"/>
    <mergeCell ref="A644:J644"/>
    <mergeCell ref="A645:J645"/>
    <mergeCell ref="A646:J646"/>
    <mergeCell ref="A647:J647"/>
    <mergeCell ref="A651:J651"/>
    <mergeCell ref="A652:J652"/>
    <mergeCell ref="A653:J653"/>
    <mergeCell ref="A654:J654"/>
    <mergeCell ref="A658:J658"/>
    <mergeCell ref="A659:J659"/>
    <mergeCell ref="A660:J660"/>
    <mergeCell ref="A661:J661"/>
    <mergeCell ref="A670:J670"/>
    <mergeCell ref="A671:J671"/>
    <mergeCell ref="A672:J672"/>
    <mergeCell ref="A673:J673"/>
    <mergeCell ref="A689:J689"/>
    <mergeCell ref="A690:J690"/>
    <mergeCell ref="A691:J691"/>
    <mergeCell ref="A692:J692"/>
    <mergeCell ref="A707:J707"/>
    <mergeCell ref="A708:J708"/>
    <mergeCell ref="A709:J709"/>
    <mergeCell ref="A710:J710"/>
    <mergeCell ref="A713:J713"/>
    <mergeCell ref="A714:J714"/>
    <mergeCell ref="A715:J715"/>
    <mergeCell ref="A716:J716"/>
    <mergeCell ref="A737:J737"/>
    <mergeCell ref="A738:J738"/>
    <mergeCell ref="A739:J739"/>
    <mergeCell ref="A740:J740"/>
    <mergeCell ref="A756:J756"/>
    <mergeCell ref="A757:J757"/>
    <mergeCell ref="A758:J758"/>
    <mergeCell ref="A759:J759"/>
    <mergeCell ref="A762:J762"/>
    <mergeCell ref="A763:J763"/>
    <mergeCell ref="A764:J764"/>
    <mergeCell ref="A765:J765"/>
    <mergeCell ref="A775:J775"/>
    <mergeCell ref="A776:J776"/>
    <mergeCell ref="A777:J777"/>
    <mergeCell ref="A778:J778"/>
    <mergeCell ref="A790:J790"/>
    <mergeCell ref="A791:J791"/>
    <mergeCell ref="A792:J792"/>
    <mergeCell ref="A793:J793"/>
    <mergeCell ref="A796:J796"/>
    <mergeCell ref="A797:J797"/>
    <mergeCell ref="A798:J798"/>
    <mergeCell ref="A799:J799"/>
    <mergeCell ref="A813:J813"/>
    <mergeCell ref="A814:J814"/>
    <mergeCell ref="A815:J815"/>
    <mergeCell ref="A816:J816"/>
    <mergeCell ref="A835:J835"/>
    <mergeCell ref="A836:J836"/>
    <mergeCell ref="A837:J837"/>
    <mergeCell ref="A838:J838"/>
    <mergeCell ref="A861:J861"/>
    <mergeCell ref="A862:J862"/>
    <mergeCell ref="A863:J863"/>
    <mergeCell ref="A864:J864"/>
    <mergeCell ref="A880:J880"/>
    <mergeCell ref="A881:J881"/>
    <mergeCell ref="A882:J882"/>
    <mergeCell ref="A883:J883"/>
    <mergeCell ref="A889:J889"/>
    <mergeCell ref="A890:J890"/>
    <mergeCell ref="A891:J891"/>
    <mergeCell ref="A892:J892"/>
    <mergeCell ref="A895:J895"/>
    <mergeCell ref="A896:J896"/>
    <mergeCell ref="A897:J897"/>
    <mergeCell ref="A898:J898"/>
    <mergeCell ref="A911:J911"/>
    <mergeCell ref="A912:J912"/>
    <mergeCell ref="A913:J913"/>
    <mergeCell ref="A914:J914"/>
    <mergeCell ref="A934:J934"/>
    <mergeCell ref="A935:J935"/>
    <mergeCell ref="A936:J936"/>
    <mergeCell ref="A937:J937"/>
    <mergeCell ref="A947:J947"/>
    <mergeCell ref="A948:J948"/>
    <mergeCell ref="A949:J949"/>
    <mergeCell ref="A950:J950"/>
    <mergeCell ref="A978:J978"/>
    <mergeCell ref="A979:J979"/>
    <mergeCell ref="A980:J980"/>
    <mergeCell ref="A981:J981"/>
    <mergeCell ref="A991:J991"/>
    <mergeCell ref="A992:J992"/>
    <mergeCell ref="A993:J993"/>
    <mergeCell ref="A994:J994"/>
    <mergeCell ref="A997:J997"/>
    <mergeCell ref="A998:J998"/>
    <mergeCell ref="A999:J999"/>
    <mergeCell ref="A1000:J1000"/>
    <mergeCell ref="A1012:J1012"/>
    <mergeCell ref="A1013:J1013"/>
    <mergeCell ref="A1014:J1014"/>
    <mergeCell ref="A1015:J1015"/>
    <mergeCell ref="A1030:J1030"/>
    <mergeCell ref="A1031:J1031"/>
    <mergeCell ref="A1032:J1032"/>
    <mergeCell ref="A1033:J1033"/>
    <mergeCell ref="A1039:J1039"/>
    <mergeCell ref="A1040:J1040"/>
    <mergeCell ref="A1041:J1041"/>
    <mergeCell ref="A1042:J1042"/>
    <mergeCell ref="A1057:J1057"/>
    <mergeCell ref="A1058:J1058"/>
    <mergeCell ref="A1059:J1059"/>
    <mergeCell ref="A1060:J1060"/>
    <mergeCell ref="A1065:J1065"/>
    <mergeCell ref="A1066:J1066"/>
    <mergeCell ref="A1067:J1067"/>
    <mergeCell ref="A1118:J1118"/>
    <mergeCell ref="A1119:J1119"/>
    <mergeCell ref="A1120:J1120"/>
    <mergeCell ref="A1121:J1121"/>
    <mergeCell ref="A1127:J1127"/>
    <mergeCell ref="A1128:J1128"/>
    <mergeCell ref="A1068:J1068"/>
    <mergeCell ref="A1074:J1074"/>
    <mergeCell ref="A1075:J1075"/>
    <mergeCell ref="A1076:J1076"/>
    <mergeCell ref="A1077:J1077"/>
    <mergeCell ref="A1104:J1104"/>
    <mergeCell ref="A1105:J1105"/>
    <mergeCell ref="A1106:J1106"/>
    <mergeCell ref="A1107:J1107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2025-09-22T19:53:04Z</dcterms:created>
  <dcterms:modified xsi:type="dcterms:W3CDTF">2025-09-23T21:51:00Z</dcterms:modified>
</cp:coreProperties>
</file>