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codeName="ThisWorkbook"/>
  <xr:revisionPtr revIDLastSave="0" documentId="13_ncr:1_{58214C44-9E21-42C9-9A82-9F6838160EE6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303" i="1" l="1"/>
  <c r="K1303" i="1"/>
  <c r="H1303" i="1"/>
  <c r="L1302" i="1"/>
  <c r="K1302" i="1"/>
  <c r="H1302" i="1"/>
  <c r="L1301" i="1"/>
  <c r="K1301" i="1"/>
  <c r="H1301" i="1"/>
  <c r="L1300" i="1"/>
  <c r="K1300" i="1"/>
  <c r="H1300" i="1"/>
  <c r="L1299" i="1"/>
  <c r="K1299" i="1"/>
  <c r="H1299" i="1"/>
  <c r="L1293" i="1"/>
  <c r="K1293" i="1"/>
  <c r="H1293" i="1"/>
  <c r="L1292" i="1"/>
  <c r="K1292" i="1"/>
  <c r="H1292" i="1"/>
  <c r="L1291" i="1"/>
  <c r="K1291" i="1"/>
  <c r="H1291" i="1"/>
  <c r="L1290" i="1"/>
  <c r="K1290" i="1"/>
  <c r="H1290" i="1"/>
  <c r="L1289" i="1"/>
  <c r="K1289" i="1"/>
  <c r="H1289" i="1"/>
  <c r="L1283" i="1"/>
  <c r="K1283" i="1"/>
  <c r="H1283" i="1"/>
  <c r="L1282" i="1"/>
  <c r="K1282" i="1"/>
  <c r="H1282" i="1"/>
  <c r="L1281" i="1"/>
  <c r="K1281" i="1"/>
  <c r="H1281" i="1"/>
  <c r="L1280" i="1"/>
  <c r="K1280" i="1"/>
  <c r="H1280" i="1"/>
  <c r="L1279" i="1"/>
  <c r="K1279" i="1"/>
  <c r="H1279" i="1"/>
  <c r="L1278" i="1"/>
  <c r="K1278" i="1"/>
  <c r="H1278" i="1"/>
  <c r="L1277" i="1"/>
  <c r="K1277" i="1"/>
  <c r="H1277" i="1"/>
  <c r="L1276" i="1"/>
  <c r="K1276" i="1"/>
  <c r="H1276" i="1"/>
  <c r="L1275" i="1"/>
  <c r="K1275" i="1"/>
  <c r="H1275" i="1"/>
  <c r="L1274" i="1"/>
  <c r="K1274" i="1"/>
  <c r="H1274" i="1"/>
  <c r="L1273" i="1"/>
  <c r="K1273" i="1"/>
  <c r="H1273" i="1"/>
  <c r="L1272" i="1"/>
  <c r="K1272" i="1"/>
  <c r="H1272" i="1"/>
  <c r="L1271" i="1"/>
  <c r="K1271" i="1"/>
  <c r="H1271" i="1"/>
  <c r="L1270" i="1"/>
  <c r="K1270" i="1"/>
  <c r="H1270" i="1"/>
  <c r="L1269" i="1"/>
  <c r="K1269" i="1"/>
  <c r="H1269" i="1"/>
  <c r="L1268" i="1"/>
  <c r="K1268" i="1"/>
  <c r="H1268" i="1"/>
  <c r="L1267" i="1"/>
  <c r="K1267" i="1"/>
  <c r="H1267" i="1"/>
  <c r="L1266" i="1"/>
  <c r="K1266" i="1"/>
  <c r="H1266" i="1"/>
  <c r="L1265" i="1"/>
  <c r="K1265" i="1"/>
  <c r="H1265" i="1"/>
  <c r="L1264" i="1"/>
  <c r="K1264" i="1"/>
  <c r="H1264" i="1"/>
  <c r="L1263" i="1"/>
  <c r="K1263" i="1"/>
  <c r="H1263" i="1"/>
  <c r="L1262" i="1"/>
  <c r="K1262" i="1"/>
  <c r="H1262" i="1"/>
  <c r="L1261" i="1"/>
  <c r="K1261" i="1"/>
  <c r="H1261" i="1"/>
  <c r="L1255" i="1"/>
  <c r="K1255" i="1"/>
  <c r="H1255" i="1"/>
  <c r="L1254" i="1"/>
  <c r="K1254" i="1"/>
  <c r="H1254" i="1"/>
  <c r="L1253" i="1"/>
  <c r="K1253" i="1"/>
  <c r="H1253" i="1"/>
  <c r="L1252" i="1"/>
  <c r="K1252" i="1"/>
  <c r="H1252" i="1"/>
  <c r="L1251" i="1"/>
  <c r="K1251" i="1"/>
  <c r="H1251" i="1"/>
  <c r="L1250" i="1"/>
  <c r="K1250" i="1"/>
  <c r="H1250" i="1"/>
  <c r="L1249" i="1"/>
  <c r="K1249" i="1"/>
  <c r="H1249" i="1"/>
  <c r="L1248" i="1"/>
  <c r="K1248" i="1"/>
  <c r="H1248" i="1"/>
  <c r="L1247" i="1"/>
  <c r="K1247" i="1"/>
  <c r="H1247" i="1"/>
  <c r="L1246" i="1"/>
  <c r="K1246" i="1"/>
  <c r="H1246" i="1"/>
  <c r="L1245" i="1"/>
  <c r="K1245" i="1"/>
  <c r="H1245" i="1"/>
  <c r="L1244" i="1"/>
  <c r="K1244" i="1"/>
  <c r="H1244" i="1"/>
  <c r="L1243" i="1"/>
  <c r="K1243" i="1"/>
  <c r="H1243" i="1"/>
  <c r="L1242" i="1"/>
  <c r="K1242" i="1"/>
  <c r="H1242" i="1"/>
  <c r="L1241" i="1"/>
  <c r="K1241" i="1"/>
  <c r="H1241" i="1"/>
  <c r="L1240" i="1"/>
  <c r="K1240" i="1"/>
  <c r="H1240" i="1"/>
  <c r="L1239" i="1"/>
  <c r="K1239" i="1"/>
  <c r="H1239" i="1"/>
  <c r="L1233" i="1"/>
  <c r="K1233" i="1"/>
  <c r="H1233" i="1"/>
  <c r="L1232" i="1"/>
  <c r="K1232" i="1"/>
  <c r="H1232" i="1"/>
  <c r="L1231" i="1"/>
  <c r="K1231" i="1"/>
  <c r="H1231" i="1"/>
  <c r="L1230" i="1"/>
  <c r="K1230" i="1"/>
  <c r="H1230" i="1"/>
  <c r="L1229" i="1"/>
  <c r="K1229" i="1"/>
  <c r="H1229" i="1"/>
  <c r="L1228" i="1"/>
  <c r="K1228" i="1"/>
  <c r="H1228" i="1"/>
  <c r="L1222" i="1"/>
  <c r="K1222" i="1"/>
  <c r="H1222" i="1"/>
  <c r="L1221" i="1"/>
  <c r="K1221" i="1"/>
  <c r="H1221" i="1"/>
  <c r="L1220" i="1"/>
  <c r="K1220" i="1"/>
  <c r="H1220" i="1"/>
  <c r="L1219" i="1"/>
  <c r="K1219" i="1"/>
  <c r="H1219" i="1"/>
  <c r="L1218" i="1"/>
  <c r="K1218" i="1"/>
  <c r="H1218" i="1"/>
  <c r="L1217" i="1"/>
  <c r="K1217" i="1"/>
  <c r="H1217" i="1"/>
  <c r="L1216" i="1"/>
  <c r="K1216" i="1"/>
  <c r="H1216" i="1"/>
  <c r="L1215" i="1"/>
  <c r="K1215" i="1"/>
  <c r="H1215" i="1"/>
  <c r="L1214" i="1"/>
  <c r="K1214" i="1"/>
  <c r="H1214" i="1"/>
  <c r="L1213" i="1"/>
  <c r="K1213" i="1"/>
  <c r="H1213" i="1"/>
  <c r="L1212" i="1"/>
  <c r="K1212" i="1"/>
  <c r="H1212" i="1"/>
  <c r="L1211" i="1"/>
  <c r="K1211" i="1"/>
  <c r="H1211" i="1"/>
  <c r="L1210" i="1"/>
  <c r="K1210" i="1"/>
  <c r="H1210" i="1"/>
  <c r="L1209" i="1"/>
  <c r="K1209" i="1"/>
  <c r="H1209" i="1"/>
  <c r="L1208" i="1"/>
  <c r="K1208" i="1"/>
  <c r="H1208" i="1"/>
  <c r="L1207" i="1"/>
  <c r="K1207" i="1"/>
  <c r="H1207" i="1"/>
  <c r="L1206" i="1"/>
  <c r="K1206" i="1"/>
  <c r="H1206" i="1"/>
  <c r="L1205" i="1"/>
  <c r="K1205" i="1"/>
  <c r="H1205" i="1"/>
  <c r="L1204" i="1"/>
  <c r="K1204" i="1"/>
  <c r="H1204" i="1"/>
  <c r="L1198" i="1"/>
  <c r="K1198" i="1"/>
  <c r="H1198" i="1"/>
  <c r="L1197" i="1"/>
  <c r="K1197" i="1"/>
  <c r="H1197" i="1"/>
  <c r="L1196" i="1"/>
  <c r="K1196" i="1"/>
  <c r="H1196" i="1"/>
  <c r="L1195" i="1"/>
  <c r="K1195" i="1"/>
  <c r="H1195" i="1"/>
  <c r="L1194" i="1"/>
  <c r="K1194" i="1"/>
  <c r="H1194" i="1"/>
  <c r="L1193" i="1"/>
  <c r="K1193" i="1"/>
  <c r="H1193" i="1"/>
  <c r="L1187" i="1"/>
  <c r="K1187" i="1"/>
  <c r="H1187" i="1"/>
  <c r="L1186" i="1"/>
  <c r="K1186" i="1"/>
  <c r="H1186" i="1"/>
  <c r="L1185" i="1"/>
  <c r="K1185" i="1"/>
  <c r="H1185" i="1"/>
  <c r="L1184" i="1"/>
  <c r="K1184" i="1"/>
  <c r="H1184" i="1"/>
  <c r="L1183" i="1"/>
  <c r="K1183" i="1"/>
  <c r="H1183" i="1"/>
  <c r="L1182" i="1"/>
  <c r="K1182" i="1"/>
  <c r="H1182" i="1"/>
  <c r="L1181" i="1"/>
  <c r="K1181" i="1"/>
  <c r="H1181" i="1"/>
  <c r="L1180" i="1"/>
  <c r="K1180" i="1"/>
  <c r="H1180" i="1"/>
  <c r="L1179" i="1"/>
  <c r="K1179" i="1"/>
  <c r="H1179" i="1"/>
  <c r="L1178" i="1"/>
  <c r="K1178" i="1"/>
  <c r="H1178" i="1"/>
  <c r="L1177" i="1"/>
  <c r="K1177" i="1"/>
  <c r="H1177" i="1"/>
  <c r="L1171" i="1"/>
  <c r="K1171" i="1"/>
  <c r="H1171" i="1"/>
  <c r="L1170" i="1"/>
  <c r="K1170" i="1"/>
  <c r="H1170" i="1"/>
  <c r="L1169" i="1"/>
  <c r="K1169" i="1"/>
  <c r="H1169" i="1"/>
  <c r="L1168" i="1"/>
  <c r="K1168" i="1"/>
  <c r="H1168" i="1"/>
  <c r="L1167" i="1"/>
  <c r="K1167" i="1"/>
  <c r="H1167" i="1"/>
  <c r="L1166" i="1"/>
  <c r="K1166" i="1"/>
  <c r="H1166" i="1"/>
  <c r="L1165" i="1"/>
  <c r="K1165" i="1"/>
  <c r="H1165" i="1"/>
  <c r="L1159" i="1"/>
  <c r="K1159" i="1"/>
  <c r="H1159" i="1"/>
  <c r="L1158" i="1"/>
  <c r="K1158" i="1"/>
  <c r="H1158" i="1"/>
  <c r="L1157" i="1"/>
  <c r="K1157" i="1"/>
  <c r="H1157" i="1"/>
  <c r="L1156" i="1"/>
  <c r="K1156" i="1"/>
  <c r="H1156" i="1"/>
  <c r="L1155" i="1"/>
  <c r="K1155" i="1"/>
  <c r="H1155" i="1"/>
  <c r="L1154" i="1"/>
  <c r="K1154" i="1"/>
  <c r="H1154" i="1"/>
  <c r="L1153" i="1"/>
  <c r="K1153" i="1"/>
  <c r="H1153" i="1"/>
  <c r="L1152" i="1"/>
  <c r="K1152" i="1"/>
  <c r="H1152" i="1"/>
  <c r="L1151" i="1"/>
  <c r="K1151" i="1"/>
  <c r="H1151" i="1"/>
  <c r="L1150" i="1"/>
  <c r="K1150" i="1"/>
  <c r="H1150" i="1"/>
  <c r="L1149" i="1"/>
  <c r="K1149" i="1"/>
  <c r="H1149" i="1"/>
  <c r="L1148" i="1"/>
  <c r="K1148" i="1"/>
  <c r="H1148" i="1"/>
  <c r="L1147" i="1"/>
  <c r="K1147" i="1"/>
  <c r="H1147" i="1"/>
  <c r="L1141" i="1"/>
  <c r="K1141" i="1"/>
  <c r="H1141" i="1"/>
  <c r="L1140" i="1"/>
  <c r="K1140" i="1"/>
  <c r="H1140" i="1"/>
  <c r="L1139" i="1"/>
  <c r="K1139" i="1"/>
  <c r="H1139" i="1"/>
  <c r="L1138" i="1"/>
  <c r="K1138" i="1"/>
  <c r="H1138" i="1"/>
  <c r="L1137" i="1"/>
  <c r="K1137" i="1"/>
  <c r="H1137" i="1"/>
  <c r="L1136" i="1"/>
  <c r="K1136" i="1"/>
  <c r="H1136" i="1"/>
  <c r="L1130" i="1"/>
  <c r="K1130" i="1"/>
  <c r="H1130" i="1"/>
  <c r="L1129" i="1"/>
  <c r="K1129" i="1"/>
  <c r="H1129" i="1"/>
  <c r="L1128" i="1"/>
  <c r="K1128" i="1"/>
  <c r="H1128" i="1"/>
  <c r="L1127" i="1"/>
  <c r="K1127" i="1"/>
  <c r="H1127" i="1"/>
  <c r="L1126" i="1"/>
  <c r="K1126" i="1"/>
  <c r="H1126" i="1"/>
  <c r="L1125" i="1"/>
  <c r="K1125" i="1"/>
  <c r="H1125" i="1"/>
  <c r="L1124" i="1"/>
  <c r="K1124" i="1"/>
  <c r="H1124" i="1"/>
  <c r="L1123" i="1"/>
  <c r="K1123" i="1"/>
  <c r="H1123" i="1"/>
  <c r="L1122" i="1"/>
  <c r="K1122" i="1"/>
  <c r="H1122" i="1"/>
  <c r="L1116" i="1"/>
  <c r="K1116" i="1"/>
  <c r="H1116" i="1"/>
  <c r="L1115" i="1"/>
  <c r="K1115" i="1"/>
  <c r="H1115" i="1"/>
  <c r="L1114" i="1"/>
  <c r="K1114" i="1"/>
  <c r="H1114" i="1"/>
  <c r="L1113" i="1"/>
  <c r="K1113" i="1"/>
  <c r="H1113" i="1"/>
  <c r="L1112" i="1"/>
  <c r="K1112" i="1"/>
  <c r="H1112" i="1"/>
  <c r="L1111" i="1"/>
  <c r="K1111" i="1"/>
  <c r="H1111" i="1"/>
  <c r="L1110" i="1"/>
  <c r="K1110" i="1"/>
  <c r="H1110" i="1"/>
  <c r="L1109" i="1"/>
  <c r="K1109" i="1"/>
  <c r="H1109" i="1"/>
  <c r="L1108" i="1"/>
  <c r="K1108" i="1"/>
  <c r="H1108" i="1"/>
  <c r="L1107" i="1"/>
  <c r="K1107" i="1"/>
  <c r="H1107" i="1"/>
  <c r="L1106" i="1"/>
  <c r="K1106" i="1"/>
  <c r="H1106" i="1"/>
  <c r="L1105" i="1"/>
  <c r="K1105" i="1"/>
  <c r="H1105" i="1"/>
  <c r="L1104" i="1"/>
  <c r="K1104" i="1"/>
  <c r="H1104" i="1"/>
  <c r="L1103" i="1"/>
  <c r="K1103" i="1"/>
  <c r="H1103" i="1"/>
  <c r="L1102" i="1"/>
  <c r="K1102" i="1"/>
  <c r="H1102" i="1"/>
  <c r="L1101" i="1"/>
  <c r="K1101" i="1"/>
  <c r="H1101" i="1"/>
  <c r="L1100" i="1"/>
  <c r="K1100" i="1"/>
  <c r="H1100" i="1"/>
  <c r="L1094" i="1"/>
  <c r="K1094" i="1"/>
  <c r="H1094" i="1"/>
  <c r="L1093" i="1"/>
  <c r="K1093" i="1"/>
  <c r="H1093" i="1"/>
  <c r="L1092" i="1"/>
  <c r="K1092" i="1"/>
  <c r="H1092" i="1"/>
  <c r="L1091" i="1"/>
  <c r="K1091" i="1"/>
  <c r="H1091" i="1"/>
  <c r="L1090" i="1"/>
  <c r="K1090" i="1"/>
  <c r="H1090" i="1"/>
  <c r="L1089" i="1"/>
  <c r="K1089" i="1"/>
  <c r="H1089" i="1"/>
  <c r="L1088" i="1"/>
  <c r="K1088" i="1"/>
  <c r="H1088" i="1"/>
  <c r="L1087" i="1"/>
  <c r="K1087" i="1"/>
  <c r="H1087" i="1"/>
  <c r="L1086" i="1"/>
  <c r="K1086" i="1"/>
  <c r="H1086" i="1"/>
  <c r="L1085" i="1"/>
  <c r="K1085" i="1"/>
  <c r="H1085" i="1"/>
  <c r="L1084" i="1"/>
  <c r="K1084" i="1"/>
  <c r="H1084" i="1"/>
  <c r="L1083" i="1"/>
  <c r="K1083" i="1"/>
  <c r="H1083" i="1"/>
  <c r="L1082" i="1"/>
  <c r="K1082" i="1"/>
  <c r="H1082" i="1"/>
  <c r="L1076" i="1"/>
  <c r="K1076" i="1"/>
  <c r="H1076" i="1"/>
  <c r="L1075" i="1"/>
  <c r="K1075" i="1"/>
  <c r="H1075" i="1"/>
  <c r="L1074" i="1"/>
  <c r="K1074" i="1"/>
  <c r="H1074" i="1"/>
  <c r="L1073" i="1"/>
  <c r="K1073" i="1"/>
  <c r="H1073" i="1"/>
  <c r="L1072" i="1"/>
  <c r="K1072" i="1"/>
  <c r="H1072" i="1"/>
  <c r="L1071" i="1"/>
  <c r="K1071" i="1"/>
  <c r="H1071" i="1"/>
  <c r="L1070" i="1"/>
  <c r="K1070" i="1"/>
  <c r="H1070" i="1"/>
  <c r="L1069" i="1"/>
  <c r="K1069" i="1"/>
  <c r="H1069" i="1"/>
  <c r="L1068" i="1"/>
  <c r="K1068" i="1"/>
  <c r="H1068" i="1"/>
  <c r="L1067" i="1"/>
  <c r="K1067" i="1"/>
  <c r="H1067" i="1"/>
  <c r="L1066" i="1"/>
  <c r="K1066" i="1"/>
  <c r="H1066" i="1"/>
  <c r="L1065" i="1"/>
  <c r="K1065" i="1"/>
  <c r="H1065" i="1"/>
  <c r="L1064" i="1"/>
  <c r="K1064" i="1"/>
  <c r="H1064" i="1"/>
  <c r="L1058" i="1"/>
  <c r="K1058" i="1"/>
  <c r="H1058" i="1"/>
  <c r="L1057" i="1"/>
  <c r="K1057" i="1"/>
  <c r="H1057" i="1"/>
  <c r="L1056" i="1"/>
  <c r="K1056" i="1"/>
  <c r="H1056" i="1"/>
  <c r="L1055" i="1"/>
  <c r="K1055" i="1"/>
  <c r="H1055" i="1"/>
  <c r="L1054" i="1"/>
  <c r="K1054" i="1"/>
  <c r="H1054" i="1"/>
  <c r="L1053" i="1"/>
  <c r="K1053" i="1"/>
  <c r="H1053" i="1"/>
  <c r="L1052" i="1"/>
  <c r="K1052" i="1"/>
  <c r="H1052" i="1"/>
  <c r="L1051" i="1"/>
  <c r="K1051" i="1"/>
  <c r="H1051" i="1"/>
  <c r="L1050" i="1"/>
  <c r="K1050" i="1"/>
  <c r="H1050" i="1"/>
  <c r="L1049" i="1"/>
  <c r="K1049" i="1"/>
  <c r="H1049" i="1"/>
  <c r="L1048" i="1"/>
  <c r="K1048" i="1"/>
  <c r="H1048" i="1"/>
  <c r="L1047" i="1"/>
  <c r="K1047" i="1"/>
  <c r="H1047" i="1"/>
  <c r="L1046" i="1"/>
  <c r="K1046" i="1"/>
  <c r="H1046" i="1"/>
  <c r="L1045" i="1"/>
  <c r="K1045" i="1"/>
  <c r="H1045" i="1"/>
  <c r="L1044" i="1"/>
  <c r="K1044" i="1"/>
  <c r="H1044" i="1"/>
  <c r="L1043" i="1"/>
  <c r="K1043" i="1"/>
  <c r="H1043" i="1"/>
  <c r="L1042" i="1"/>
  <c r="K1042" i="1"/>
  <c r="H1042" i="1"/>
  <c r="L1041" i="1"/>
  <c r="K1041" i="1"/>
  <c r="H1041" i="1"/>
  <c r="L1040" i="1"/>
  <c r="K1040" i="1"/>
  <c r="H1040" i="1"/>
  <c r="L1039" i="1"/>
  <c r="K1039" i="1"/>
  <c r="H1039" i="1"/>
  <c r="L1038" i="1"/>
  <c r="K1038" i="1"/>
  <c r="H1038" i="1"/>
  <c r="L1032" i="1"/>
  <c r="K1032" i="1"/>
  <c r="H1032" i="1"/>
  <c r="L1031" i="1"/>
  <c r="K1031" i="1"/>
  <c r="H1031" i="1"/>
  <c r="L1030" i="1"/>
  <c r="K1030" i="1"/>
  <c r="H1030" i="1"/>
  <c r="L1029" i="1"/>
  <c r="K1029" i="1"/>
  <c r="H1029" i="1"/>
  <c r="L1023" i="1"/>
  <c r="K1023" i="1"/>
  <c r="H1023" i="1"/>
  <c r="L1022" i="1"/>
  <c r="K1022" i="1"/>
  <c r="H1022" i="1"/>
  <c r="L1016" i="1"/>
  <c r="K1016" i="1"/>
  <c r="H1016" i="1"/>
  <c r="L1015" i="1"/>
  <c r="K1015" i="1"/>
  <c r="H1015" i="1"/>
  <c r="L1014" i="1"/>
  <c r="K1014" i="1"/>
  <c r="H1014" i="1"/>
  <c r="L1013" i="1"/>
  <c r="K1013" i="1"/>
  <c r="H1013" i="1"/>
  <c r="L1012" i="1"/>
  <c r="K1012" i="1"/>
  <c r="H1012" i="1"/>
  <c r="L1011" i="1"/>
  <c r="K1011" i="1"/>
  <c r="H1011" i="1"/>
  <c r="L1010" i="1"/>
  <c r="K1010" i="1"/>
  <c r="H1010" i="1"/>
  <c r="L1009" i="1"/>
  <c r="K1009" i="1"/>
  <c r="H1009" i="1"/>
  <c r="L1008" i="1"/>
  <c r="K1008" i="1"/>
  <c r="H1008" i="1"/>
  <c r="L1007" i="1"/>
  <c r="K1007" i="1"/>
  <c r="H1007" i="1"/>
  <c r="L1006" i="1"/>
  <c r="K1006" i="1"/>
  <c r="H1006" i="1"/>
  <c r="L1005" i="1"/>
  <c r="K1005" i="1"/>
  <c r="H1005" i="1"/>
  <c r="L999" i="1"/>
  <c r="K999" i="1"/>
  <c r="H999" i="1"/>
  <c r="L998" i="1"/>
  <c r="K998" i="1"/>
  <c r="H998" i="1"/>
  <c r="L997" i="1"/>
  <c r="K997" i="1"/>
  <c r="H997" i="1"/>
  <c r="L996" i="1"/>
  <c r="K996" i="1"/>
  <c r="H996" i="1"/>
  <c r="L995" i="1"/>
  <c r="K995" i="1"/>
  <c r="H995" i="1"/>
  <c r="L994" i="1"/>
  <c r="K994" i="1"/>
  <c r="H994" i="1"/>
  <c r="L993" i="1"/>
  <c r="K993" i="1"/>
  <c r="H993" i="1"/>
  <c r="L992" i="1"/>
  <c r="K992" i="1"/>
  <c r="H992" i="1"/>
  <c r="L991" i="1"/>
  <c r="K991" i="1"/>
  <c r="H991" i="1"/>
  <c r="L990" i="1"/>
  <c r="K990" i="1"/>
  <c r="H990" i="1"/>
  <c r="L989" i="1"/>
  <c r="K989" i="1"/>
  <c r="H989" i="1"/>
  <c r="L988" i="1"/>
  <c r="K988" i="1"/>
  <c r="H988" i="1"/>
  <c r="L987" i="1"/>
  <c r="K987" i="1"/>
  <c r="H987" i="1"/>
  <c r="L981" i="1"/>
  <c r="K981" i="1"/>
  <c r="H981" i="1"/>
  <c r="L980" i="1"/>
  <c r="K980" i="1"/>
  <c r="H980" i="1"/>
  <c r="L979" i="1"/>
  <c r="K979" i="1"/>
  <c r="H979" i="1"/>
  <c r="L978" i="1"/>
  <c r="K978" i="1"/>
  <c r="H978" i="1"/>
  <c r="L977" i="1"/>
  <c r="K977" i="1"/>
  <c r="H977" i="1"/>
  <c r="L976" i="1"/>
  <c r="K976" i="1"/>
  <c r="H976" i="1"/>
  <c r="L975" i="1"/>
  <c r="K975" i="1"/>
  <c r="H975" i="1"/>
  <c r="L974" i="1"/>
  <c r="K974" i="1"/>
  <c r="H974" i="1"/>
  <c r="L973" i="1"/>
  <c r="K973" i="1"/>
  <c r="H973" i="1"/>
  <c r="L972" i="1"/>
  <c r="K972" i="1"/>
  <c r="H972" i="1"/>
  <c r="L971" i="1"/>
  <c r="K971" i="1"/>
  <c r="H971" i="1"/>
  <c r="L970" i="1"/>
  <c r="K970" i="1"/>
  <c r="H970" i="1"/>
  <c r="L969" i="1"/>
  <c r="K969" i="1"/>
  <c r="H969" i="1"/>
  <c r="L968" i="1"/>
  <c r="K968" i="1"/>
  <c r="H968" i="1"/>
  <c r="L967" i="1"/>
  <c r="K967" i="1"/>
  <c r="H967" i="1"/>
  <c r="L966" i="1"/>
  <c r="K966" i="1"/>
  <c r="H966" i="1"/>
  <c r="L960" i="1"/>
  <c r="K960" i="1"/>
  <c r="H960" i="1"/>
  <c r="L959" i="1"/>
  <c r="K959" i="1"/>
  <c r="H959" i="1"/>
  <c r="L958" i="1"/>
  <c r="K958" i="1"/>
  <c r="H958" i="1"/>
  <c r="L957" i="1"/>
  <c r="K957" i="1"/>
  <c r="H957" i="1"/>
  <c r="L956" i="1"/>
  <c r="K956" i="1"/>
  <c r="H956" i="1"/>
  <c r="L955" i="1"/>
  <c r="K955" i="1"/>
  <c r="H955" i="1"/>
  <c r="L954" i="1"/>
  <c r="K954" i="1"/>
  <c r="H954" i="1"/>
  <c r="L953" i="1"/>
  <c r="K953" i="1"/>
  <c r="H953" i="1"/>
  <c r="L952" i="1"/>
  <c r="K952" i="1"/>
  <c r="H952" i="1"/>
  <c r="L946" i="1"/>
  <c r="K946" i="1"/>
  <c r="H946" i="1"/>
  <c r="L945" i="1"/>
  <c r="K945" i="1"/>
  <c r="H945" i="1"/>
  <c r="L944" i="1"/>
  <c r="K944" i="1"/>
  <c r="H944" i="1"/>
  <c r="L943" i="1"/>
  <c r="K943" i="1"/>
  <c r="H943" i="1"/>
  <c r="L942" i="1"/>
  <c r="K942" i="1"/>
  <c r="H942" i="1"/>
  <c r="L941" i="1"/>
  <c r="K941" i="1"/>
  <c r="H941" i="1"/>
  <c r="L940" i="1"/>
  <c r="K940" i="1"/>
  <c r="H940" i="1"/>
  <c r="L934" i="1"/>
  <c r="K934" i="1"/>
  <c r="H934" i="1"/>
  <c r="L933" i="1"/>
  <c r="K933" i="1"/>
  <c r="H933" i="1"/>
  <c r="L932" i="1"/>
  <c r="K932" i="1"/>
  <c r="H932" i="1"/>
  <c r="L931" i="1"/>
  <c r="K931" i="1"/>
  <c r="H931" i="1"/>
  <c r="L930" i="1"/>
  <c r="K930" i="1"/>
  <c r="H930" i="1"/>
  <c r="L929" i="1"/>
  <c r="K929" i="1"/>
  <c r="H929" i="1"/>
  <c r="L928" i="1"/>
  <c r="K928" i="1"/>
  <c r="H928" i="1"/>
  <c r="L927" i="1"/>
  <c r="K927" i="1"/>
  <c r="H927" i="1"/>
  <c r="L926" i="1"/>
  <c r="K926" i="1"/>
  <c r="H926" i="1"/>
  <c r="L925" i="1"/>
  <c r="K925" i="1"/>
  <c r="H925" i="1"/>
  <c r="L919" i="1"/>
  <c r="K919" i="1"/>
  <c r="H919" i="1"/>
  <c r="L918" i="1"/>
  <c r="K918" i="1"/>
  <c r="H918" i="1"/>
  <c r="L917" i="1"/>
  <c r="K917" i="1"/>
  <c r="H917" i="1"/>
  <c r="L916" i="1"/>
  <c r="K916" i="1"/>
  <c r="H916" i="1"/>
  <c r="L915" i="1"/>
  <c r="K915" i="1"/>
  <c r="H915" i="1"/>
  <c r="L914" i="1"/>
  <c r="K914" i="1"/>
  <c r="H914" i="1"/>
  <c r="L913" i="1"/>
  <c r="K913" i="1"/>
  <c r="H913" i="1"/>
  <c r="L912" i="1"/>
  <c r="K912" i="1"/>
  <c r="H912" i="1"/>
  <c r="L911" i="1"/>
  <c r="K911" i="1"/>
  <c r="H911" i="1"/>
  <c r="L905" i="1"/>
  <c r="K905" i="1"/>
  <c r="H905" i="1"/>
  <c r="L904" i="1"/>
  <c r="K904" i="1"/>
  <c r="H904" i="1"/>
  <c r="L903" i="1"/>
  <c r="K903" i="1"/>
  <c r="H903" i="1"/>
  <c r="L902" i="1"/>
  <c r="K902" i="1"/>
  <c r="H902" i="1"/>
  <c r="L901" i="1"/>
  <c r="K901" i="1"/>
  <c r="H901" i="1"/>
  <c r="L900" i="1"/>
  <c r="K900" i="1"/>
  <c r="H900" i="1"/>
  <c r="L899" i="1"/>
  <c r="K899" i="1"/>
  <c r="H899" i="1"/>
  <c r="L898" i="1"/>
  <c r="K898" i="1"/>
  <c r="H898" i="1"/>
  <c r="L892" i="1"/>
  <c r="K892" i="1"/>
  <c r="H892" i="1"/>
  <c r="L891" i="1"/>
  <c r="K891" i="1"/>
  <c r="H891" i="1"/>
  <c r="L890" i="1"/>
  <c r="K890" i="1"/>
  <c r="H890" i="1"/>
  <c r="L889" i="1"/>
  <c r="K889" i="1"/>
  <c r="H889" i="1"/>
  <c r="L888" i="1"/>
  <c r="K888" i="1"/>
  <c r="H888" i="1"/>
  <c r="L887" i="1"/>
  <c r="K887" i="1"/>
  <c r="H887" i="1"/>
  <c r="L886" i="1"/>
  <c r="K886" i="1"/>
  <c r="H886" i="1"/>
  <c r="L885" i="1"/>
  <c r="K885" i="1"/>
  <c r="H885" i="1"/>
  <c r="L884" i="1"/>
  <c r="K884" i="1"/>
  <c r="H884" i="1"/>
  <c r="L883" i="1"/>
  <c r="K883" i="1"/>
  <c r="H883" i="1"/>
  <c r="L882" i="1"/>
  <c r="K882" i="1"/>
  <c r="H882" i="1"/>
  <c r="L881" i="1"/>
  <c r="K881" i="1"/>
  <c r="H881" i="1"/>
  <c r="L880" i="1"/>
  <c r="K880" i="1"/>
  <c r="H880" i="1"/>
  <c r="L874" i="1"/>
  <c r="K874" i="1"/>
  <c r="H874" i="1"/>
  <c r="L868" i="1"/>
  <c r="K868" i="1"/>
  <c r="H868" i="1"/>
  <c r="L867" i="1"/>
  <c r="K867" i="1"/>
  <c r="H867" i="1"/>
  <c r="L866" i="1"/>
  <c r="K866" i="1"/>
  <c r="H866" i="1"/>
  <c r="L865" i="1"/>
  <c r="K865" i="1"/>
  <c r="H865" i="1"/>
  <c r="L864" i="1"/>
  <c r="K864" i="1"/>
  <c r="H864" i="1"/>
  <c r="L863" i="1"/>
  <c r="K863" i="1"/>
  <c r="H863" i="1"/>
  <c r="L857" i="1"/>
  <c r="K857" i="1"/>
  <c r="H857" i="1"/>
  <c r="L856" i="1"/>
  <c r="K856" i="1"/>
  <c r="H856" i="1"/>
  <c r="L855" i="1"/>
  <c r="K855" i="1"/>
  <c r="H855" i="1"/>
  <c r="L854" i="1"/>
  <c r="K854" i="1"/>
  <c r="H854" i="1"/>
  <c r="L853" i="1"/>
  <c r="K853" i="1"/>
  <c r="H853" i="1"/>
  <c r="L852" i="1"/>
  <c r="K852" i="1"/>
  <c r="H852" i="1"/>
  <c r="L851" i="1"/>
  <c r="K851" i="1"/>
  <c r="H851" i="1"/>
  <c r="L850" i="1"/>
  <c r="K850" i="1"/>
  <c r="H850" i="1"/>
  <c r="L849" i="1"/>
  <c r="K849" i="1"/>
  <c r="H849" i="1"/>
  <c r="L848" i="1"/>
  <c r="K848" i="1"/>
  <c r="H848" i="1"/>
  <c r="L842" i="1"/>
  <c r="K842" i="1"/>
  <c r="H842" i="1"/>
  <c r="L841" i="1"/>
  <c r="K841" i="1"/>
  <c r="H841" i="1"/>
  <c r="L840" i="1"/>
  <c r="K840" i="1"/>
  <c r="H840" i="1"/>
  <c r="L839" i="1"/>
  <c r="K839" i="1"/>
  <c r="H839" i="1"/>
  <c r="L838" i="1"/>
  <c r="K838" i="1"/>
  <c r="H838" i="1"/>
  <c r="L837" i="1"/>
  <c r="K837" i="1"/>
  <c r="H837" i="1"/>
  <c r="L836" i="1"/>
  <c r="K836" i="1"/>
  <c r="H836" i="1"/>
  <c r="L835" i="1"/>
  <c r="K835" i="1"/>
  <c r="H835" i="1"/>
  <c r="L834" i="1"/>
  <c r="K834" i="1"/>
  <c r="H834" i="1"/>
  <c r="L833" i="1"/>
  <c r="K833" i="1"/>
  <c r="H833" i="1"/>
  <c r="L827" i="1"/>
  <c r="K827" i="1"/>
  <c r="H827" i="1"/>
  <c r="L826" i="1"/>
  <c r="K826" i="1"/>
  <c r="H826" i="1"/>
  <c r="L825" i="1"/>
  <c r="K825" i="1"/>
  <c r="H825" i="1"/>
  <c r="L824" i="1"/>
  <c r="K824" i="1"/>
  <c r="H824" i="1"/>
  <c r="L823" i="1"/>
  <c r="K823" i="1"/>
  <c r="H823" i="1"/>
  <c r="L822" i="1"/>
  <c r="K822" i="1"/>
  <c r="H822" i="1"/>
  <c r="L821" i="1"/>
  <c r="K821" i="1"/>
  <c r="H821" i="1"/>
  <c r="L820" i="1"/>
  <c r="K820" i="1"/>
  <c r="H820" i="1"/>
  <c r="L819" i="1"/>
  <c r="K819" i="1"/>
  <c r="H819" i="1"/>
  <c r="L818" i="1"/>
  <c r="K818" i="1"/>
  <c r="H818" i="1"/>
  <c r="L817" i="1"/>
  <c r="K817" i="1"/>
  <c r="H817" i="1"/>
  <c r="L816" i="1"/>
  <c r="K816" i="1"/>
  <c r="H816" i="1"/>
  <c r="L815" i="1"/>
  <c r="K815" i="1"/>
  <c r="H815" i="1"/>
  <c r="L814" i="1"/>
  <c r="K814" i="1"/>
  <c r="H814" i="1"/>
  <c r="L813" i="1"/>
  <c r="K813" i="1"/>
  <c r="H813" i="1"/>
  <c r="L812" i="1"/>
  <c r="K812" i="1"/>
  <c r="H812" i="1"/>
  <c r="L811" i="1"/>
  <c r="K811" i="1"/>
  <c r="H811" i="1"/>
  <c r="L810" i="1"/>
  <c r="K810" i="1"/>
  <c r="H810" i="1"/>
  <c r="L809" i="1"/>
  <c r="K809" i="1"/>
  <c r="H809" i="1"/>
  <c r="L808" i="1"/>
  <c r="K808" i="1"/>
  <c r="H808" i="1"/>
  <c r="L807" i="1"/>
  <c r="K807" i="1"/>
  <c r="H807" i="1"/>
  <c r="L806" i="1"/>
  <c r="K806" i="1"/>
  <c r="H806" i="1"/>
  <c r="L805" i="1"/>
  <c r="K805" i="1"/>
  <c r="H805" i="1"/>
  <c r="L804" i="1"/>
  <c r="K804" i="1"/>
  <c r="H804" i="1"/>
  <c r="L803" i="1"/>
  <c r="K803" i="1"/>
  <c r="H803" i="1"/>
  <c r="L797" i="1"/>
  <c r="K797" i="1"/>
  <c r="H797" i="1"/>
  <c r="L796" i="1"/>
  <c r="K796" i="1"/>
  <c r="H796" i="1"/>
  <c r="L795" i="1"/>
  <c r="K795" i="1"/>
  <c r="H795" i="1"/>
  <c r="L794" i="1"/>
  <c r="K794" i="1"/>
  <c r="H794" i="1"/>
  <c r="L793" i="1"/>
  <c r="K793" i="1"/>
  <c r="H793" i="1"/>
  <c r="L792" i="1"/>
  <c r="K792" i="1"/>
  <c r="H792" i="1"/>
  <c r="L791" i="1"/>
  <c r="K791" i="1"/>
  <c r="H791" i="1"/>
  <c r="L790" i="1"/>
  <c r="K790" i="1"/>
  <c r="H790" i="1"/>
  <c r="L789" i="1"/>
  <c r="K789" i="1"/>
  <c r="H789" i="1"/>
  <c r="L788" i="1"/>
  <c r="K788" i="1"/>
  <c r="H788" i="1"/>
  <c r="L787" i="1"/>
  <c r="K787" i="1"/>
  <c r="H787" i="1"/>
  <c r="L786" i="1"/>
  <c r="K786" i="1"/>
  <c r="H786" i="1"/>
  <c r="L785" i="1"/>
  <c r="K785" i="1"/>
  <c r="H785" i="1"/>
  <c r="L784" i="1"/>
  <c r="K784" i="1"/>
  <c r="H784" i="1"/>
  <c r="L783" i="1"/>
  <c r="K783" i="1"/>
  <c r="H783" i="1"/>
  <c r="L782" i="1"/>
  <c r="K782" i="1"/>
  <c r="H782" i="1"/>
  <c r="L781" i="1"/>
  <c r="K781" i="1"/>
  <c r="H781" i="1"/>
  <c r="L780" i="1"/>
  <c r="K780" i="1"/>
  <c r="H780" i="1"/>
  <c r="L779" i="1"/>
  <c r="K779" i="1"/>
  <c r="H779" i="1"/>
  <c r="L778" i="1"/>
  <c r="K778" i="1"/>
  <c r="H778" i="1"/>
  <c r="L777" i="1"/>
  <c r="K777" i="1"/>
  <c r="H777" i="1"/>
  <c r="L776" i="1"/>
  <c r="K776" i="1"/>
  <c r="H776" i="1"/>
  <c r="L770" i="1"/>
  <c r="K770" i="1"/>
  <c r="H770" i="1"/>
  <c r="L769" i="1"/>
  <c r="K769" i="1"/>
  <c r="H769" i="1"/>
  <c r="L768" i="1"/>
  <c r="K768" i="1"/>
  <c r="H768" i="1"/>
  <c r="L767" i="1"/>
  <c r="K767" i="1"/>
  <c r="H767" i="1"/>
  <c r="L766" i="1"/>
  <c r="K766" i="1"/>
  <c r="H766" i="1"/>
  <c r="L760" i="1"/>
  <c r="K760" i="1"/>
  <c r="H760" i="1"/>
  <c r="L759" i="1"/>
  <c r="K759" i="1"/>
  <c r="H759" i="1"/>
  <c r="L758" i="1"/>
  <c r="K758" i="1"/>
  <c r="H758" i="1"/>
  <c r="L757" i="1"/>
  <c r="K757" i="1"/>
  <c r="H757" i="1"/>
  <c r="L756" i="1"/>
  <c r="K756" i="1"/>
  <c r="H756" i="1"/>
  <c r="L750" i="1"/>
  <c r="K750" i="1"/>
  <c r="H750" i="1"/>
  <c r="L749" i="1"/>
  <c r="K749" i="1"/>
  <c r="H749" i="1"/>
  <c r="L748" i="1"/>
  <c r="K748" i="1"/>
  <c r="H748" i="1"/>
  <c r="L747" i="1"/>
  <c r="K747" i="1"/>
  <c r="H747" i="1"/>
  <c r="L746" i="1"/>
  <c r="K746" i="1"/>
  <c r="H746" i="1"/>
  <c r="L745" i="1"/>
  <c r="K745" i="1"/>
  <c r="H745" i="1"/>
  <c r="L744" i="1"/>
  <c r="K744" i="1"/>
  <c r="H744" i="1"/>
  <c r="L743" i="1"/>
  <c r="K743" i="1"/>
  <c r="H743" i="1"/>
  <c r="L742" i="1"/>
  <c r="K742" i="1"/>
  <c r="H742" i="1"/>
  <c r="L736" i="1"/>
  <c r="K736" i="1"/>
  <c r="H736" i="1"/>
  <c r="L735" i="1"/>
  <c r="K735" i="1"/>
  <c r="H735" i="1"/>
  <c r="L734" i="1"/>
  <c r="K734" i="1"/>
  <c r="H734" i="1"/>
  <c r="L733" i="1"/>
  <c r="K733" i="1"/>
  <c r="H733" i="1"/>
  <c r="L732" i="1"/>
  <c r="K732" i="1"/>
  <c r="H732" i="1"/>
  <c r="L731" i="1"/>
  <c r="K731" i="1"/>
  <c r="H731" i="1"/>
  <c r="L730" i="1"/>
  <c r="K730" i="1"/>
  <c r="H730" i="1"/>
  <c r="L729" i="1"/>
  <c r="K729" i="1"/>
  <c r="H729" i="1"/>
  <c r="L728" i="1"/>
  <c r="K728" i="1"/>
  <c r="H728" i="1"/>
  <c r="L727" i="1"/>
  <c r="K727" i="1"/>
  <c r="H727" i="1"/>
  <c r="L726" i="1"/>
  <c r="K726" i="1"/>
  <c r="H726" i="1"/>
  <c r="L725" i="1"/>
  <c r="K725" i="1"/>
  <c r="H725" i="1"/>
  <c r="L719" i="1"/>
  <c r="K719" i="1"/>
  <c r="H719" i="1"/>
  <c r="L718" i="1"/>
  <c r="K718" i="1"/>
  <c r="H718" i="1"/>
  <c r="L717" i="1"/>
  <c r="K717" i="1"/>
  <c r="H717" i="1"/>
  <c r="L716" i="1"/>
  <c r="K716" i="1"/>
  <c r="H716" i="1"/>
  <c r="L715" i="1"/>
  <c r="K715" i="1"/>
  <c r="H715" i="1"/>
  <c r="L714" i="1"/>
  <c r="K714" i="1"/>
  <c r="H714" i="1"/>
  <c r="L713" i="1"/>
  <c r="K713" i="1"/>
  <c r="H713" i="1"/>
  <c r="L707" i="1"/>
  <c r="K707" i="1"/>
  <c r="H707" i="1"/>
  <c r="L706" i="1"/>
  <c r="K706" i="1"/>
  <c r="H706" i="1"/>
  <c r="L705" i="1"/>
  <c r="K705" i="1"/>
  <c r="H705" i="1"/>
  <c r="L704" i="1"/>
  <c r="K704" i="1"/>
  <c r="H704" i="1"/>
  <c r="L703" i="1"/>
  <c r="K703" i="1"/>
  <c r="H703" i="1"/>
  <c r="L702" i="1"/>
  <c r="K702" i="1"/>
  <c r="H702" i="1"/>
  <c r="L696" i="1"/>
  <c r="K696" i="1"/>
  <c r="H696" i="1"/>
  <c r="L695" i="1"/>
  <c r="K695" i="1"/>
  <c r="H695" i="1"/>
  <c r="L694" i="1"/>
  <c r="K694" i="1"/>
  <c r="H694" i="1"/>
  <c r="L693" i="1"/>
  <c r="K693" i="1"/>
  <c r="H693" i="1"/>
  <c r="L692" i="1"/>
  <c r="K692" i="1"/>
  <c r="H692" i="1"/>
  <c r="L691" i="1"/>
  <c r="K691" i="1"/>
  <c r="H691" i="1"/>
  <c r="L690" i="1"/>
  <c r="K690" i="1"/>
  <c r="H690" i="1"/>
  <c r="L689" i="1"/>
  <c r="K689" i="1"/>
  <c r="H689" i="1"/>
  <c r="L683" i="1"/>
  <c r="K683" i="1"/>
  <c r="H683" i="1"/>
  <c r="L682" i="1"/>
  <c r="K682" i="1"/>
  <c r="H682" i="1"/>
  <c r="L681" i="1"/>
  <c r="K681" i="1"/>
  <c r="H681" i="1"/>
  <c r="L680" i="1"/>
  <c r="K680" i="1"/>
  <c r="H680" i="1"/>
  <c r="L679" i="1"/>
  <c r="K679" i="1"/>
  <c r="H679" i="1"/>
  <c r="L678" i="1"/>
  <c r="K678" i="1"/>
  <c r="H678" i="1"/>
  <c r="L672" i="1"/>
  <c r="K672" i="1"/>
  <c r="H672" i="1"/>
  <c r="L671" i="1"/>
  <c r="K671" i="1"/>
  <c r="H671" i="1"/>
  <c r="L670" i="1"/>
  <c r="K670" i="1"/>
  <c r="H670" i="1"/>
  <c r="L669" i="1"/>
  <c r="K669" i="1"/>
  <c r="H669" i="1"/>
  <c r="L668" i="1"/>
  <c r="K668" i="1"/>
  <c r="H668" i="1"/>
  <c r="L667" i="1"/>
  <c r="K667" i="1"/>
  <c r="H667" i="1"/>
  <c r="L666" i="1"/>
  <c r="K666" i="1"/>
  <c r="H666" i="1"/>
  <c r="L665" i="1"/>
  <c r="K665" i="1"/>
  <c r="H665" i="1"/>
  <c r="L664" i="1"/>
  <c r="K664" i="1"/>
  <c r="H664" i="1"/>
  <c r="L663" i="1"/>
  <c r="K663" i="1"/>
  <c r="H663" i="1"/>
  <c r="L662" i="1"/>
  <c r="K662" i="1"/>
  <c r="H662" i="1"/>
  <c r="L661" i="1"/>
  <c r="K661" i="1"/>
  <c r="H661" i="1"/>
  <c r="L660" i="1"/>
  <c r="K660" i="1"/>
  <c r="H660" i="1"/>
  <c r="L659" i="1"/>
  <c r="K659" i="1"/>
  <c r="H659" i="1"/>
  <c r="L653" i="1"/>
  <c r="K653" i="1"/>
  <c r="H653" i="1"/>
  <c r="L652" i="1"/>
  <c r="K652" i="1"/>
  <c r="H652" i="1"/>
  <c r="L651" i="1"/>
  <c r="K651" i="1"/>
  <c r="H651" i="1"/>
  <c r="L650" i="1"/>
  <c r="K650" i="1"/>
  <c r="H650" i="1"/>
  <c r="L649" i="1"/>
  <c r="K649" i="1"/>
  <c r="H649" i="1"/>
  <c r="L643" i="1"/>
  <c r="K643" i="1"/>
  <c r="H643" i="1"/>
  <c r="L642" i="1"/>
  <c r="K642" i="1"/>
  <c r="H642" i="1"/>
  <c r="L641" i="1"/>
  <c r="K641" i="1"/>
  <c r="H641" i="1"/>
  <c r="L640" i="1"/>
  <c r="K640" i="1"/>
  <c r="H640" i="1"/>
  <c r="L639" i="1"/>
  <c r="K639" i="1"/>
  <c r="H639" i="1"/>
  <c r="L638" i="1"/>
  <c r="K638" i="1"/>
  <c r="H638" i="1"/>
  <c r="L637" i="1"/>
  <c r="K637" i="1"/>
  <c r="H637" i="1"/>
  <c r="L636" i="1"/>
  <c r="K636" i="1"/>
  <c r="H636" i="1"/>
  <c r="L635" i="1"/>
  <c r="K635" i="1"/>
  <c r="H635" i="1"/>
  <c r="L634" i="1"/>
  <c r="K634" i="1"/>
  <c r="H634" i="1"/>
  <c r="L628" i="1"/>
  <c r="K628" i="1"/>
  <c r="H628" i="1"/>
  <c r="L627" i="1"/>
  <c r="K627" i="1"/>
  <c r="H627" i="1"/>
  <c r="L626" i="1"/>
  <c r="K626" i="1"/>
  <c r="H626" i="1"/>
  <c r="L625" i="1"/>
  <c r="K625" i="1"/>
  <c r="H625" i="1"/>
  <c r="L624" i="1"/>
  <c r="K624" i="1"/>
  <c r="H624" i="1"/>
  <c r="L623" i="1"/>
  <c r="K623" i="1"/>
  <c r="H623" i="1"/>
  <c r="L622" i="1"/>
  <c r="K622" i="1"/>
  <c r="H622" i="1"/>
  <c r="L621" i="1"/>
  <c r="K621" i="1"/>
  <c r="H621" i="1"/>
  <c r="L620" i="1"/>
  <c r="K620" i="1"/>
  <c r="H620" i="1"/>
  <c r="L619" i="1"/>
  <c r="K619" i="1"/>
  <c r="H619" i="1"/>
  <c r="L618" i="1"/>
  <c r="K618" i="1"/>
  <c r="H618" i="1"/>
  <c r="L617" i="1"/>
  <c r="K617" i="1"/>
  <c r="H617" i="1"/>
  <c r="L616" i="1"/>
  <c r="K616" i="1"/>
  <c r="H616" i="1"/>
  <c r="L615" i="1"/>
  <c r="K615" i="1"/>
  <c r="H615" i="1"/>
  <c r="L614" i="1"/>
  <c r="K614" i="1"/>
  <c r="H614" i="1"/>
  <c r="L613" i="1"/>
  <c r="K613" i="1"/>
  <c r="H613" i="1"/>
  <c r="L612" i="1"/>
  <c r="K612" i="1"/>
  <c r="H612" i="1"/>
  <c r="L611" i="1"/>
  <c r="K611" i="1"/>
  <c r="H611" i="1"/>
  <c r="L605" i="1"/>
  <c r="K605" i="1"/>
  <c r="H605" i="1"/>
  <c r="L604" i="1"/>
  <c r="K604" i="1"/>
  <c r="H604" i="1"/>
  <c r="L603" i="1"/>
  <c r="K603" i="1"/>
  <c r="H603" i="1"/>
  <c r="L602" i="1"/>
  <c r="K602" i="1"/>
  <c r="H602" i="1"/>
  <c r="L601" i="1"/>
  <c r="K601" i="1"/>
  <c r="H601" i="1"/>
  <c r="L600" i="1"/>
  <c r="K600" i="1"/>
  <c r="H600" i="1"/>
  <c r="L599" i="1"/>
  <c r="K599" i="1"/>
  <c r="H599" i="1"/>
  <c r="L598" i="1"/>
  <c r="K598" i="1"/>
  <c r="H598" i="1"/>
  <c r="L597" i="1"/>
  <c r="K597" i="1"/>
  <c r="H597" i="1"/>
  <c r="L591" i="1"/>
  <c r="K591" i="1"/>
  <c r="H591" i="1"/>
  <c r="L590" i="1"/>
  <c r="K590" i="1"/>
  <c r="H590" i="1"/>
  <c r="L589" i="1"/>
  <c r="K589" i="1"/>
  <c r="H589" i="1"/>
  <c r="L588" i="1"/>
  <c r="K588" i="1"/>
  <c r="H588" i="1"/>
  <c r="L587" i="1"/>
  <c r="K587" i="1"/>
  <c r="H587" i="1"/>
  <c r="L586" i="1"/>
  <c r="K586" i="1"/>
  <c r="H586" i="1"/>
  <c r="L585" i="1"/>
  <c r="K585" i="1"/>
  <c r="H585" i="1"/>
  <c r="L584" i="1"/>
  <c r="K584" i="1"/>
  <c r="H584" i="1"/>
  <c r="L583" i="1"/>
  <c r="K583" i="1"/>
  <c r="H583" i="1"/>
  <c r="L582" i="1"/>
  <c r="K582" i="1"/>
  <c r="H582" i="1"/>
  <c r="L581" i="1"/>
  <c r="K581" i="1"/>
  <c r="H581" i="1"/>
  <c r="L580" i="1"/>
  <c r="K580" i="1"/>
  <c r="H580" i="1"/>
  <c r="L579" i="1"/>
  <c r="K579" i="1"/>
  <c r="H579" i="1"/>
  <c r="L578" i="1"/>
  <c r="K578" i="1"/>
  <c r="H578" i="1"/>
  <c r="L572" i="1"/>
  <c r="K572" i="1"/>
  <c r="H572" i="1"/>
  <c r="L571" i="1"/>
  <c r="K571" i="1"/>
  <c r="H571" i="1"/>
  <c r="L570" i="1"/>
  <c r="K570" i="1"/>
  <c r="H570" i="1"/>
  <c r="L569" i="1"/>
  <c r="K569" i="1"/>
  <c r="H569" i="1"/>
  <c r="L568" i="1"/>
  <c r="K568" i="1"/>
  <c r="H568" i="1"/>
  <c r="L567" i="1"/>
  <c r="K567" i="1"/>
  <c r="H567" i="1"/>
  <c r="L566" i="1"/>
  <c r="K566" i="1"/>
  <c r="H566" i="1"/>
  <c r="L565" i="1"/>
  <c r="K565" i="1"/>
  <c r="H565" i="1"/>
  <c r="L564" i="1"/>
  <c r="K564" i="1"/>
  <c r="H564" i="1"/>
  <c r="L563" i="1"/>
  <c r="K563" i="1"/>
  <c r="H563" i="1"/>
  <c r="L562" i="1"/>
  <c r="K562" i="1"/>
  <c r="H562" i="1"/>
  <c r="L561" i="1"/>
  <c r="K561" i="1"/>
  <c r="H561" i="1"/>
  <c r="L560" i="1"/>
  <c r="K560" i="1"/>
  <c r="H560" i="1"/>
  <c r="L559" i="1"/>
  <c r="K559" i="1"/>
  <c r="H559" i="1"/>
  <c r="L558" i="1"/>
  <c r="K558" i="1"/>
  <c r="H558" i="1"/>
  <c r="L552" i="1"/>
  <c r="K552" i="1"/>
  <c r="H552" i="1"/>
  <c r="L551" i="1"/>
  <c r="K551" i="1"/>
  <c r="H551" i="1"/>
  <c r="L550" i="1"/>
  <c r="K550" i="1"/>
  <c r="H550" i="1"/>
  <c r="L549" i="1"/>
  <c r="K549" i="1"/>
  <c r="H549" i="1"/>
  <c r="L548" i="1"/>
  <c r="K548" i="1"/>
  <c r="H548" i="1"/>
  <c r="L547" i="1"/>
  <c r="K547" i="1"/>
  <c r="H547" i="1"/>
  <c r="L541" i="1"/>
  <c r="K541" i="1"/>
  <c r="H541" i="1"/>
  <c r="L540" i="1"/>
  <c r="K540" i="1"/>
  <c r="H540" i="1"/>
  <c r="L539" i="1"/>
  <c r="K539" i="1"/>
  <c r="H539" i="1"/>
  <c r="L538" i="1"/>
  <c r="K538" i="1"/>
  <c r="H538" i="1"/>
  <c r="L537" i="1"/>
  <c r="K537" i="1"/>
  <c r="H537" i="1"/>
  <c r="L536" i="1"/>
  <c r="K536" i="1"/>
  <c r="H536" i="1"/>
  <c r="L535" i="1"/>
  <c r="K535" i="1"/>
  <c r="H535" i="1"/>
  <c r="L534" i="1"/>
  <c r="K534" i="1"/>
  <c r="H534" i="1"/>
  <c r="L533" i="1"/>
  <c r="K533" i="1"/>
  <c r="H533" i="1"/>
  <c r="L532" i="1"/>
  <c r="K532" i="1"/>
  <c r="H532" i="1"/>
  <c r="L531" i="1"/>
  <c r="K531" i="1"/>
  <c r="H531" i="1"/>
  <c r="L530" i="1"/>
  <c r="K530" i="1"/>
  <c r="H530" i="1"/>
  <c r="L529" i="1"/>
  <c r="K529" i="1"/>
  <c r="H529" i="1"/>
  <c r="L528" i="1"/>
  <c r="K528" i="1"/>
  <c r="H528" i="1"/>
  <c r="L527" i="1"/>
  <c r="K527" i="1"/>
  <c r="H527" i="1"/>
  <c r="L526" i="1"/>
  <c r="K526" i="1"/>
  <c r="H526" i="1"/>
  <c r="L525" i="1"/>
  <c r="K525" i="1"/>
  <c r="H525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20" i="1"/>
  <c r="K520" i="1"/>
  <c r="H520" i="1"/>
  <c r="L519" i="1"/>
  <c r="K519" i="1"/>
  <c r="H519" i="1"/>
  <c r="L518" i="1"/>
  <c r="K518" i="1"/>
  <c r="H518" i="1"/>
  <c r="L517" i="1"/>
  <c r="K517" i="1"/>
  <c r="H517" i="1"/>
  <c r="L516" i="1"/>
  <c r="K516" i="1"/>
  <c r="H516" i="1"/>
  <c r="L515" i="1"/>
  <c r="K515" i="1"/>
  <c r="H515" i="1"/>
  <c r="L514" i="1"/>
  <c r="K514" i="1"/>
  <c r="H514" i="1"/>
  <c r="L513" i="1"/>
  <c r="K513" i="1"/>
  <c r="H513" i="1"/>
  <c r="L512" i="1"/>
  <c r="K512" i="1"/>
  <c r="H512" i="1"/>
  <c r="L511" i="1"/>
  <c r="K511" i="1"/>
  <c r="H511" i="1"/>
  <c r="L510" i="1"/>
  <c r="K510" i="1"/>
  <c r="H510" i="1"/>
  <c r="L509" i="1"/>
  <c r="K509" i="1"/>
  <c r="H509" i="1"/>
  <c r="L508" i="1"/>
  <c r="K508" i="1"/>
  <c r="H508" i="1"/>
  <c r="L507" i="1"/>
  <c r="K507" i="1"/>
  <c r="H507" i="1"/>
  <c r="L506" i="1"/>
  <c r="K506" i="1"/>
  <c r="H506" i="1"/>
  <c r="L505" i="1"/>
  <c r="K505" i="1"/>
  <c r="H505" i="1"/>
  <c r="L504" i="1"/>
  <c r="K504" i="1"/>
  <c r="H504" i="1"/>
  <c r="L503" i="1"/>
  <c r="K503" i="1"/>
  <c r="H503" i="1"/>
  <c r="L502" i="1"/>
  <c r="K502" i="1"/>
  <c r="H502" i="1"/>
  <c r="L501" i="1"/>
  <c r="K501" i="1"/>
  <c r="H501" i="1"/>
  <c r="L500" i="1"/>
  <c r="K500" i="1"/>
  <c r="H500" i="1"/>
  <c r="L499" i="1"/>
  <c r="K499" i="1"/>
  <c r="H499" i="1"/>
  <c r="L498" i="1"/>
  <c r="K498" i="1"/>
  <c r="H498" i="1"/>
  <c r="L497" i="1"/>
  <c r="K497" i="1"/>
  <c r="H497" i="1"/>
  <c r="L496" i="1"/>
  <c r="K496" i="1"/>
  <c r="H496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91" i="1"/>
  <c r="K491" i="1"/>
  <c r="H491" i="1"/>
  <c r="L490" i="1"/>
  <c r="K490" i="1"/>
  <c r="H490" i="1"/>
  <c r="L489" i="1"/>
  <c r="K489" i="1"/>
  <c r="H489" i="1"/>
  <c r="L488" i="1"/>
  <c r="K488" i="1"/>
  <c r="H488" i="1"/>
  <c r="L487" i="1"/>
  <c r="K487" i="1"/>
  <c r="H487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82" i="1"/>
  <c r="K482" i="1"/>
  <c r="H482" i="1"/>
  <c r="L481" i="1"/>
  <c r="K481" i="1"/>
  <c r="H481" i="1"/>
  <c r="L475" i="1"/>
  <c r="K475" i="1"/>
  <c r="H475" i="1"/>
  <c r="L474" i="1"/>
  <c r="K474" i="1"/>
  <c r="H474" i="1"/>
  <c r="L473" i="1"/>
  <c r="K473" i="1"/>
  <c r="H473" i="1"/>
  <c r="L472" i="1"/>
  <c r="K472" i="1"/>
  <c r="H472" i="1"/>
  <c r="L471" i="1"/>
  <c r="K471" i="1"/>
  <c r="H471" i="1"/>
  <c r="L470" i="1"/>
  <c r="K470" i="1"/>
  <c r="H470" i="1"/>
  <c r="L469" i="1"/>
  <c r="K469" i="1"/>
  <c r="H469" i="1"/>
  <c r="L468" i="1"/>
  <c r="K468" i="1"/>
  <c r="H468" i="1"/>
  <c r="L467" i="1"/>
  <c r="K467" i="1"/>
  <c r="H467" i="1"/>
  <c r="L466" i="1"/>
  <c r="K466" i="1"/>
  <c r="H466" i="1"/>
  <c r="L460" i="1"/>
  <c r="K460" i="1"/>
  <c r="H460" i="1"/>
  <c r="L459" i="1"/>
  <c r="K459" i="1"/>
  <c r="H459" i="1"/>
  <c r="L458" i="1"/>
  <c r="K458" i="1"/>
  <c r="H458" i="1"/>
  <c r="L452" i="1"/>
  <c r="K452" i="1"/>
  <c r="H452" i="1"/>
  <c r="L451" i="1"/>
  <c r="K451" i="1"/>
  <c r="H451" i="1"/>
  <c r="L450" i="1"/>
  <c r="K450" i="1"/>
  <c r="H450" i="1"/>
  <c r="L449" i="1"/>
  <c r="K449" i="1"/>
  <c r="H449" i="1"/>
  <c r="L448" i="1"/>
  <c r="K448" i="1"/>
  <c r="H448" i="1"/>
  <c r="L447" i="1"/>
  <c r="K447" i="1"/>
  <c r="H447" i="1"/>
  <c r="L446" i="1"/>
  <c r="K446" i="1"/>
  <c r="H446" i="1"/>
  <c r="L445" i="1"/>
  <c r="K445" i="1"/>
  <c r="H445" i="1"/>
  <c r="L444" i="1"/>
  <c r="K444" i="1"/>
  <c r="H444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8" i="1"/>
  <c r="K438" i="1"/>
  <c r="H438" i="1"/>
  <c r="L437" i="1"/>
  <c r="K437" i="1"/>
  <c r="H437" i="1"/>
  <c r="L436" i="1"/>
  <c r="K436" i="1"/>
  <c r="H436" i="1"/>
  <c r="L435" i="1"/>
  <c r="K435" i="1"/>
  <c r="H435" i="1"/>
  <c r="L434" i="1"/>
  <c r="K434" i="1"/>
  <c r="H434" i="1"/>
  <c r="L433" i="1"/>
  <c r="K433" i="1"/>
  <c r="H433" i="1"/>
  <c r="L432" i="1"/>
  <c r="K432" i="1"/>
  <c r="H432" i="1"/>
  <c r="L431" i="1"/>
  <c r="K431" i="1"/>
  <c r="H431" i="1"/>
  <c r="L430" i="1"/>
  <c r="K430" i="1"/>
  <c r="H430" i="1"/>
  <c r="L429" i="1"/>
  <c r="K429" i="1"/>
  <c r="H429" i="1"/>
  <c r="L428" i="1"/>
  <c r="K428" i="1"/>
  <c r="H428" i="1"/>
  <c r="L427" i="1"/>
  <c r="K427" i="1"/>
  <c r="H427" i="1"/>
  <c r="L426" i="1"/>
  <c r="K426" i="1"/>
  <c r="H426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20" i="1"/>
  <c r="K420" i="1"/>
  <c r="H420" i="1"/>
  <c r="L419" i="1"/>
  <c r="K419" i="1"/>
  <c r="H419" i="1"/>
  <c r="L418" i="1"/>
  <c r="K418" i="1"/>
  <c r="H418" i="1"/>
  <c r="L417" i="1"/>
  <c r="K417" i="1"/>
  <c r="H417" i="1"/>
  <c r="L416" i="1"/>
  <c r="K416" i="1"/>
  <c r="H416" i="1"/>
  <c r="L415" i="1"/>
  <c r="K415" i="1"/>
  <c r="H415" i="1"/>
  <c r="L414" i="1"/>
  <c r="K414" i="1"/>
  <c r="H414" i="1"/>
  <c r="L413" i="1"/>
  <c r="K413" i="1"/>
  <c r="H413" i="1"/>
  <c r="L412" i="1"/>
  <c r="K412" i="1"/>
  <c r="H412" i="1"/>
  <c r="L411" i="1"/>
  <c r="K411" i="1"/>
  <c r="H411" i="1"/>
  <c r="L410" i="1"/>
  <c r="K410" i="1"/>
  <c r="H410" i="1"/>
  <c r="L409" i="1"/>
  <c r="K409" i="1"/>
  <c r="H409" i="1"/>
  <c r="L408" i="1"/>
  <c r="K408" i="1"/>
  <c r="H408" i="1"/>
  <c r="L407" i="1"/>
  <c r="K407" i="1"/>
  <c r="H407" i="1"/>
  <c r="L406" i="1"/>
  <c r="K406" i="1"/>
  <c r="H406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7" i="1"/>
  <c r="K397" i="1"/>
  <c r="H397" i="1"/>
  <c r="L396" i="1"/>
  <c r="K396" i="1"/>
  <c r="H396" i="1"/>
  <c r="L395" i="1"/>
  <c r="K395" i="1"/>
  <c r="H395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90" i="1"/>
  <c r="K190" i="1"/>
  <c r="H190" i="1"/>
  <c r="L189" i="1"/>
  <c r="K189" i="1"/>
  <c r="H189" i="1"/>
  <c r="L188" i="1"/>
  <c r="K188" i="1"/>
  <c r="H188" i="1"/>
  <c r="L187" i="1"/>
  <c r="K187" i="1"/>
  <c r="H187" i="1"/>
  <c r="L186" i="1"/>
  <c r="K186" i="1"/>
  <c r="H186" i="1"/>
  <c r="L185" i="1"/>
  <c r="K185" i="1"/>
  <c r="H185" i="1"/>
  <c r="L184" i="1"/>
  <c r="K184" i="1"/>
  <c r="H184" i="1"/>
  <c r="L183" i="1"/>
  <c r="K183" i="1"/>
  <c r="H183" i="1"/>
  <c r="L182" i="1"/>
  <c r="K182" i="1"/>
  <c r="H182" i="1"/>
  <c r="L181" i="1"/>
  <c r="K181" i="1"/>
  <c r="H181" i="1"/>
  <c r="L180" i="1"/>
  <c r="K180" i="1"/>
  <c r="H180" i="1"/>
  <c r="L179" i="1"/>
  <c r="K179" i="1"/>
  <c r="H179" i="1"/>
  <c r="L178" i="1"/>
  <c r="K178" i="1"/>
  <c r="H178" i="1"/>
  <c r="L177" i="1"/>
  <c r="K177" i="1"/>
  <c r="H177" i="1"/>
  <c r="L176" i="1"/>
  <c r="K176" i="1"/>
  <c r="H176" i="1"/>
  <c r="L175" i="1"/>
  <c r="K175" i="1"/>
  <c r="H175" i="1"/>
  <c r="L174" i="1"/>
  <c r="K174" i="1"/>
  <c r="H174" i="1"/>
  <c r="L173" i="1"/>
  <c r="K173" i="1"/>
  <c r="H173" i="1"/>
  <c r="L172" i="1"/>
  <c r="K172" i="1"/>
  <c r="H172" i="1"/>
  <c r="L171" i="1"/>
  <c r="K171" i="1"/>
  <c r="H171" i="1"/>
  <c r="L165" i="1"/>
  <c r="K165" i="1"/>
  <c r="H165" i="1"/>
  <c r="L164" i="1"/>
  <c r="K164" i="1"/>
  <c r="H164" i="1"/>
  <c r="L163" i="1"/>
  <c r="K163" i="1"/>
  <c r="H163" i="1"/>
  <c r="L162" i="1"/>
  <c r="K162" i="1"/>
  <c r="H162" i="1"/>
  <c r="L161" i="1"/>
  <c r="K161" i="1"/>
  <c r="H161" i="1"/>
  <c r="L160" i="1"/>
  <c r="K160" i="1"/>
  <c r="H160" i="1"/>
  <c r="L154" i="1"/>
  <c r="K154" i="1"/>
  <c r="H154" i="1"/>
  <c r="L153" i="1"/>
  <c r="K153" i="1"/>
  <c r="H153" i="1"/>
  <c r="L152" i="1"/>
  <c r="K152" i="1"/>
  <c r="H152" i="1"/>
  <c r="L151" i="1"/>
  <c r="K151" i="1"/>
  <c r="H151" i="1"/>
  <c r="L145" i="1"/>
  <c r="K145" i="1"/>
  <c r="H145" i="1"/>
  <c r="L144" i="1"/>
  <c r="K144" i="1"/>
  <c r="H144" i="1"/>
  <c r="L143" i="1"/>
  <c r="K143" i="1"/>
  <c r="H143" i="1"/>
  <c r="L142" i="1"/>
  <c r="K142" i="1"/>
  <c r="H142" i="1"/>
  <c r="L141" i="1"/>
  <c r="K141" i="1"/>
  <c r="H141" i="1"/>
  <c r="L140" i="1"/>
  <c r="K140" i="1"/>
  <c r="H140" i="1"/>
  <c r="L139" i="1"/>
  <c r="K139" i="1"/>
  <c r="H139" i="1"/>
  <c r="L138" i="1"/>
  <c r="K138" i="1"/>
  <c r="H138" i="1"/>
  <c r="L137" i="1"/>
  <c r="K137" i="1"/>
  <c r="H137" i="1"/>
  <c r="L136" i="1"/>
  <c r="K136" i="1"/>
  <c r="H136" i="1"/>
  <c r="L130" i="1"/>
  <c r="K130" i="1"/>
  <c r="H130" i="1"/>
  <c r="L124" i="1"/>
  <c r="K124" i="1"/>
  <c r="H124" i="1"/>
  <c r="L123" i="1"/>
  <c r="K123" i="1"/>
  <c r="H123" i="1"/>
  <c r="L122" i="1"/>
  <c r="K122" i="1"/>
  <c r="H122" i="1"/>
  <c r="L121" i="1"/>
  <c r="K121" i="1"/>
  <c r="H121" i="1"/>
  <c r="L120" i="1"/>
  <c r="K120" i="1"/>
  <c r="H120" i="1"/>
  <c r="L119" i="1"/>
  <c r="K119" i="1"/>
  <c r="H119" i="1"/>
  <c r="L118" i="1"/>
  <c r="K118" i="1"/>
  <c r="H118" i="1"/>
  <c r="L117" i="1"/>
  <c r="K117" i="1"/>
  <c r="H117" i="1"/>
  <c r="L116" i="1"/>
  <c r="K116" i="1"/>
  <c r="H116" i="1"/>
  <c r="L115" i="1"/>
  <c r="K115" i="1"/>
  <c r="H115" i="1"/>
  <c r="L114" i="1"/>
  <c r="K114" i="1"/>
  <c r="H114" i="1"/>
  <c r="L113" i="1"/>
  <c r="K113" i="1"/>
  <c r="H113" i="1"/>
  <c r="L112" i="1"/>
  <c r="K112" i="1"/>
  <c r="H112" i="1"/>
  <c r="L111" i="1"/>
  <c r="K111" i="1"/>
  <c r="H111" i="1"/>
  <c r="L110" i="1"/>
  <c r="K110" i="1"/>
  <c r="H110" i="1"/>
  <c r="L109" i="1"/>
  <c r="K109" i="1"/>
  <c r="H109" i="1"/>
  <c r="L103" i="1"/>
  <c r="K103" i="1"/>
  <c r="H103" i="1"/>
  <c r="L102" i="1"/>
  <c r="K102" i="1"/>
  <c r="H102" i="1"/>
  <c r="L101" i="1"/>
  <c r="K101" i="1"/>
  <c r="H101" i="1"/>
  <c r="L100" i="1"/>
  <c r="K100" i="1"/>
  <c r="H100" i="1"/>
  <c r="L99" i="1"/>
  <c r="K99" i="1"/>
  <c r="H99" i="1"/>
  <c r="L98" i="1"/>
  <c r="K98" i="1"/>
  <c r="H98" i="1"/>
  <c r="L97" i="1"/>
  <c r="K97" i="1"/>
  <c r="H97" i="1"/>
  <c r="L96" i="1"/>
  <c r="K96" i="1"/>
  <c r="H96" i="1"/>
  <c r="L95" i="1"/>
  <c r="K95" i="1"/>
  <c r="H95" i="1"/>
  <c r="L94" i="1"/>
  <c r="K94" i="1"/>
  <c r="H94" i="1"/>
  <c r="L88" i="1"/>
  <c r="K88" i="1"/>
  <c r="H88" i="1"/>
  <c r="L87" i="1"/>
  <c r="K87" i="1"/>
  <c r="H87" i="1"/>
  <c r="L86" i="1"/>
  <c r="K86" i="1"/>
  <c r="H86" i="1"/>
  <c r="L85" i="1"/>
  <c r="K85" i="1"/>
  <c r="H85" i="1"/>
  <c r="L84" i="1"/>
  <c r="K84" i="1"/>
  <c r="H84" i="1"/>
  <c r="L83" i="1"/>
  <c r="K83" i="1"/>
  <c r="H83" i="1"/>
  <c r="L82" i="1"/>
  <c r="K82" i="1"/>
  <c r="H82" i="1"/>
  <c r="L81" i="1"/>
  <c r="K81" i="1"/>
  <c r="H81" i="1"/>
  <c r="L80" i="1"/>
  <c r="K80" i="1"/>
  <c r="H80" i="1"/>
  <c r="L79" i="1"/>
  <c r="K79" i="1"/>
  <c r="H79" i="1"/>
  <c r="L78" i="1"/>
  <c r="K78" i="1"/>
  <c r="H78" i="1"/>
  <c r="L77" i="1"/>
  <c r="K77" i="1"/>
  <c r="H77" i="1"/>
  <c r="L76" i="1"/>
  <c r="K76" i="1"/>
  <c r="H76" i="1"/>
  <c r="M68" i="1"/>
  <c r="L68" i="1"/>
  <c r="I68" i="1"/>
  <c r="M67" i="1"/>
  <c r="L67" i="1"/>
  <c r="I67" i="1"/>
  <c r="M66" i="1"/>
  <c r="L66" i="1"/>
  <c r="I66" i="1"/>
  <c r="M65" i="1"/>
  <c r="L65" i="1"/>
  <c r="I65" i="1"/>
  <c r="M64" i="1"/>
  <c r="L64" i="1"/>
  <c r="I64" i="1"/>
  <c r="M63" i="1"/>
  <c r="L63" i="1"/>
  <c r="I63" i="1"/>
  <c r="M62" i="1"/>
  <c r="L62" i="1"/>
  <c r="I62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<sst xmlns="http://schemas.openxmlformats.org/spreadsheetml/2006/main" count="4841" uniqueCount="502">
  <si>
    <t>Informe de trayectos</t>
  </si>
  <si>
    <t>Periodo: 24 de febrero de 2025 0:00 - 24 de febrero de 2025 23:59</t>
  </si>
  <si>
    <t>Informe generado</t>
  </si>
  <si>
    <t>a: 22 de septiembre de 2025 14:44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</si>
  <si>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</si>
  <si>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</si>
  <si>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</si>
  <si>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</si>
  <si>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</si>
  <si>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</si>
  <si>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</si>
  <si>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</si>
  <si>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</si>
  <si>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</si>
  <si>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</si>
  <si>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</si>
  <si>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</si>
  <si>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</si>
  <si>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</si>
  <si>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85 km/h</t>
  </si>
  <si>
    <t>18 km/h</t>
  </si>
  <si>
    <t>Jose Carlos Mariátegui, Ricardo Palma, Lima Metropolitana, Lima, 15468, Perú, (PARADERO RICARDO PALMA)</t>
  </si>
  <si>
    <t>Avenida Lima Norte, Chosica, Lima Metropolitana, Lima, 15468, Perú, (Ruta4507nueva era 23-10-23)</t>
  </si>
  <si>
    <t>67 km/h</t>
  </si>
  <si>
    <t>0 km/h</t>
  </si>
  <si>
    <t>Avenida Los Incas, Ate, Lima Metropolitana, Lima, 15483, Perú</t>
  </si>
  <si>
    <t>89 km/h</t>
  </si>
  <si>
    <t>Ate, Lima Metropolitana, Lima, 15483, Perú</t>
  </si>
  <si>
    <t>Calle Manantiales de Vida, Ate, Lima Metropolitana, Lima, 15487, Perú</t>
  </si>
  <si>
    <t>90 km/h</t>
  </si>
  <si>
    <t>17 km/h</t>
  </si>
  <si>
    <t>29 km/h</t>
  </si>
  <si>
    <t>6 km/h</t>
  </si>
  <si>
    <t>84 km/h</t>
  </si>
  <si>
    <t>16 km/h</t>
  </si>
  <si>
    <t>77 km/h</t>
  </si>
  <si>
    <t>21 km/h</t>
  </si>
  <si>
    <t>Carretera Central, Chaclacayo, Lima Metropolitana, Lima, 15476, Perú</t>
  </si>
  <si>
    <t>75 km/h</t>
  </si>
  <si>
    <t>Calle los Alamos, Chosica, Lima Metropolitana, Lima, 15468, Perú</t>
  </si>
  <si>
    <t>Calle Las Gardenias, Ricardo Palma, Huarochirí, Lima, 15468, Perú</t>
  </si>
  <si>
    <t>74 km/h</t>
  </si>
  <si>
    <t>11 km/h</t>
  </si>
  <si>
    <t>Capitan Gamarra, Ricardo Palma, Huarochirí, Lima, 15468, Perú, (Ruta4507nueva era 23-10-23)</t>
  </si>
  <si>
    <t>66 km/h</t>
  </si>
  <si>
    <t>Avenida Lima Norte, Santa Eulalia, Lima Metropolitana, Lima, 15468, Perú</t>
  </si>
  <si>
    <t>95 km/h</t>
  </si>
  <si>
    <t>Carretera Central, 200, Chaclacayo, Lima Metropolitana, Lima, 15476, Perú</t>
  </si>
  <si>
    <t>14 km/h</t>
  </si>
  <si>
    <t>Avenida José Carlos Mariátegui, Ate, Lima Metropolitana, Lima, 15487, Perú</t>
  </si>
  <si>
    <t>52 km/h</t>
  </si>
  <si>
    <t>10 km/h</t>
  </si>
  <si>
    <t>Calle Cerro de Pasco, Ate, Lima Metropolitana, Lima, 15498, Perú</t>
  </si>
  <si>
    <t>72 km/h</t>
  </si>
  <si>
    <t>76 km/h</t>
  </si>
  <si>
    <t>Avenida Bernard de Balaguer, Lurigancho, Lima Metropolitana, Lima, 15464, Perú</t>
  </si>
  <si>
    <t>45 km/h</t>
  </si>
  <si>
    <t>5 km/h</t>
  </si>
  <si>
    <t>79 km/h</t>
  </si>
  <si>
    <t>15 km/h</t>
  </si>
  <si>
    <t>Calle 1, Ate, Lima Metropolitana, Lima, 15483, Perú</t>
  </si>
  <si>
    <t>71 km/h</t>
  </si>
  <si>
    <t>Avenida Las Retamas, Chaclacayo, Lima Metropolitana, Lima, 15474, Perú</t>
  </si>
  <si>
    <t>Carretera Central, Chaclacayo, Lima Metropolitana, Lima, 15476, Perú, (Ruta4507nueva era 23-10-23)</t>
  </si>
  <si>
    <t>65 km/h</t>
  </si>
  <si>
    <t>Calle Leoncio Prado, Santa Eulalia, Huarochirí, Lima, 15468, Perú</t>
  </si>
  <si>
    <t>Calle Nueva Los Alamos, Santa Eulalia, Huarochirí, Lima, 15468, Perú</t>
  </si>
  <si>
    <t>82 km/h</t>
  </si>
  <si>
    <t>Avenida Simón Bolívar, Santa Eulalia, Huarochirí, Lima, 15468, Perú</t>
  </si>
  <si>
    <t>Calle Estocolmo, Ate, Lima Metropolitana, Lima, 15498, Perú</t>
  </si>
  <si>
    <t>80 km/h</t>
  </si>
  <si>
    <t>13 km/h</t>
  </si>
  <si>
    <t>Calle Las Tunas, Santa Anita, Lima Metropolitana, Lima, 15007, Perú</t>
  </si>
  <si>
    <t>Calle Los Topacios, Lurigancho, Lima Metropolitana, Lima, 15472, Perú</t>
  </si>
  <si>
    <t>Carretera Central, Ate, Lima Metropolitana, Lima, 15487, Perú, (S06 SANTA CLARA, Ruta4507nueva era 23-10-23)</t>
  </si>
  <si>
    <t>81 km/h</t>
  </si>
  <si>
    <t>Avenida Paseo de la República, Lima, Lima Metropolitana, Lima, 15083, Perú, (Ruta4507nueva era 23-10-23)</t>
  </si>
  <si>
    <t>Víctor Raúl Haya de la Torre, Ate, Lima Metropolitana, Lima, 15498, Perú, (Ruta4507nueva era 23-10-23)</t>
  </si>
  <si>
    <t>100 km/h</t>
  </si>
  <si>
    <t>Calle 11, Santa Anita, Lima Metropolitana, Lima, 15009, Perú</t>
  </si>
  <si>
    <t>86 km/h</t>
  </si>
  <si>
    <t>Avenida José Carlos Mariátegui, Ricardo Palma, Huarochirí, Lima, 15468, Perú</t>
  </si>
  <si>
    <t>Ate, Lima Metropolitana, Lima, 15474, Perú</t>
  </si>
  <si>
    <t>Avenida Enrique Guzmán y Valle, Chosica, Lima Metropolitana, Lima, 15468, Perú</t>
  </si>
  <si>
    <t>Avenida Nicolás de Ayllón, Ate, Lima Metropolitana, Lima, 15487, Perú, (Ruta4507nueva era 23-10-23)</t>
  </si>
  <si>
    <t>Calle Los Álamos, Ate, Lima Metropolitana, Lima, 15483, Perú</t>
  </si>
  <si>
    <t>83 km/h</t>
  </si>
  <si>
    <t>78 km/h</t>
  </si>
  <si>
    <t>Carretera Central, Ate, Lima Metropolitana, Lima, 15474, Perú, (Horacio Zeballos, Ruta4507nueva era 23-10-23)</t>
  </si>
  <si>
    <t>88 km/h</t>
  </si>
  <si>
    <t>Carretera Central, Ate, Lima Metropolitana, Lima, 15474, Perú</t>
  </si>
  <si>
    <t>Santa Eulalia, Huarochirí, Lima, 15468, Perú</t>
  </si>
  <si>
    <t>8 km/h</t>
  </si>
  <si>
    <t>Avenida Las Retamas, Ricardo Palma, Huarochirí, Lima, 15468, Perú</t>
  </si>
  <si>
    <t>41 km/h</t>
  </si>
  <si>
    <t>3 km/h</t>
  </si>
  <si>
    <t>93 km/h</t>
  </si>
  <si>
    <t>Ate, Lima Metropolitana, Lima, 15487, Perú</t>
  </si>
  <si>
    <t>46 km/h</t>
  </si>
  <si>
    <t>7 km/h</t>
  </si>
  <si>
    <t>Corcona, Huarochirí, Lima, Perú</t>
  </si>
  <si>
    <t>Carretera Central, Corcona, Huarochirí, Lima, Perú</t>
  </si>
  <si>
    <t>Lurigancho, Lima Metropolitana, Lima, 15468, Perú</t>
  </si>
  <si>
    <t>Avenida Palomar Sur, Santa Eulalia, Huarochirí, Lima, 15468, Perú</t>
  </si>
  <si>
    <t>73 km/h</t>
  </si>
  <si>
    <t>Avenida Lima Norte, Chosica, Lima Metropolitana, Lima, 15468, Perú</t>
  </si>
  <si>
    <t>Plaza Francisco Bolognesi, Lima, Lima Metropolitana, Lima, 15083, Perú, (Ruta4507nueva era 23-10-23)</t>
  </si>
  <si>
    <t>Carretera Central, San Bartolomé, Huarochirí, Lima, Perú</t>
  </si>
  <si>
    <t>Avenida Colectora, Chosica, Lima Metropolitana, Lima, 15468, Perú</t>
  </si>
  <si>
    <t>91 km/h</t>
  </si>
  <si>
    <t>Carretera Central, Ate, Lima Metropolitana, Lima, 15487, Perú, (Ruta4507nueva era 23-10-23)</t>
  </si>
  <si>
    <t>Carretera Central, Chaclacayo, Lima Metropolitana, Lima, 15474, Perú, (Ruta4507nueva era 23-10-23)</t>
  </si>
  <si>
    <t>20 km/h</t>
  </si>
  <si>
    <t>Micaela Bastidas, Ate, Lima Metropolitana, Lima, 15498, Perú</t>
  </si>
  <si>
    <t>Simón Bolívar, Ricardo Palma, Huarochirí, Lima, 15468, Perú</t>
  </si>
  <si>
    <t>Avenida Nicolás de Ayllón, El Agustino, Lima Metropolitana, Lima, 15002, Perú, (Ruta4507nueva era 23-10-23, RUTA DESVIO TEM.  4507)</t>
  </si>
  <si>
    <t>Jirón Tacna, Chosica, Lima Metropolitana, Lima, 15468, Perú, (Ruta4507nueva era 23-10-23)</t>
  </si>
  <si>
    <t>87 km/h</t>
  </si>
  <si>
    <t>Avenida Metropolitana, Santa Anita, Lima Metropolitana, Lima, 15009, Perú, (RUTA DESVIO TEM.  4507)</t>
  </si>
  <si>
    <t>Avenida Manuel de la Torre Ugarte, Santa Anita, Lima Metropolitana, Lima, 15008, Perú, (RUTA DESVIO TEM.  4507)</t>
  </si>
  <si>
    <t>Ate, Lima Metropolitana, Lima, 15498, Perú, (Ruta4507nueva era 23-10-23)</t>
  </si>
  <si>
    <t>Calle 2, Ate, Lima Metropolitana, Lima, 15487, Perú</t>
  </si>
  <si>
    <t>70 km/h</t>
  </si>
  <si>
    <t>Carretera Central, Ate, Lima Metropolitana, Lima, 15474, Perú, (Ruta4507nueva era 23-10-23)</t>
  </si>
  <si>
    <t>92 km/h</t>
  </si>
  <si>
    <t>Avenida José Santos Chocano, Ricardo Palma, Huarochirí, Lima, 15468, Perú</t>
  </si>
  <si>
    <t>Totales:</t>
  </si>
  <si>
    <t/>
  </si>
  <si>
    <t>* Los datos de combustible se calculan de acuerdo con el consumo medio de combustible del vehículo especificado en su configuración</t>
  </si>
  <si>
    <t>4 km/h</t>
  </si>
  <si>
    <t>Avenida Nicolás de Ayllón, Ate, Lima Metropolitana, Lima, 15498, Perú, (Ruta4507nueva era 23-10-23)</t>
  </si>
  <si>
    <t>38 km/h</t>
  </si>
  <si>
    <t>Calle Córdova, Ricardo Palma, Huarochirí, Lima, 15468, Perú, (Ruta4507nueva era 23-10-23)</t>
  </si>
  <si>
    <t>69 km/h</t>
  </si>
  <si>
    <t>22 km/h</t>
  </si>
  <si>
    <t>9 km/h</t>
  </si>
  <si>
    <t>Avenida Río Perene, Ate, Lima Metropolitana, Lima, 15498, Perú</t>
  </si>
  <si>
    <t>19 km/h</t>
  </si>
  <si>
    <t>Ricardo Palma, Huarochirí, Lima, 15468, Perú, (CURVA RICARDO PALMA, Ruta4507nueva era 23-10-23)</t>
  </si>
  <si>
    <t>23 km/h</t>
  </si>
  <si>
    <t>Avenida José Carlos Mariátegui, Ricardo Palma, Huarochirí, Lima, 15468, Perú, (CURVA RICARDO PALMA, Ruta4507nueva era 23-10-23)</t>
  </si>
  <si>
    <t>Marcos Puente Llanos, Ate, Lima Metropolitana, Lima, 15498, Perú</t>
  </si>
  <si>
    <t>Calle Berlín, Ate, Lima Metropolitana, Lima, 15498, Perú</t>
  </si>
  <si>
    <t>1 km/h</t>
  </si>
  <si>
    <t>55 km/h</t>
  </si>
  <si>
    <t>12 km/h</t>
  </si>
  <si>
    <t>Avenida Almirante Miguel Grau, 300, La Victoria, Lima Metropolitana, Lima, 15001, Perú, (Ruta4507nueva era 23-10-23)</t>
  </si>
  <si>
    <t>Avenida Iquitos, Lima, Lima Metropolitana, Lima, 15001, Perú, (Ruta4507nueva era 23-10-23)</t>
  </si>
  <si>
    <t>Vía Expresa Almirante Miguel Grau, La Victoria, Lima Metropolitana, Lima, 15001, Perú, (Ruta4507nueva era 23-10-23)</t>
  </si>
  <si>
    <t>Avenida Simón Bolívar, Santa Eulalia, Huarochirí, Lima, 15468, Perú, (Ruta4507nueva era 23-10-23)</t>
  </si>
  <si>
    <t>2 km/h</t>
  </si>
  <si>
    <t>Jose Carlos Mariátegui, Chosica, Lima Metropolitana, Lima, 15468, Perú, (PARADERO RICARDO PALMA)</t>
  </si>
  <si>
    <t>27 km/h</t>
  </si>
  <si>
    <t>Avenida Almirante Miguel Grau, 351, La Victoria, Lima Metropolitana, Lima, 15001, Perú</t>
  </si>
  <si>
    <t>Calle Beta, 234, Ate, Lima Metropolitana, Lima, 15498, Perú</t>
  </si>
  <si>
    <t>Calle Beta, 122, Ate, Lima Metropolitana, Lima, 15498, Perú</t>
  </si>
  <si>
    <t>Carretera Central, Km. 17.5, Chaclacayo, Lima Metropolitana, Lima, 15474, Perú, (Ruta4507nueva era 23-10-23)</t>
  </si>
  <si>
    <t>54 km/h</t>
  </si>
  <si>
    <t>Avenida José Carlos Mariátegui, Ate, Lima Metropolitana, Lima, 15474, Perú</t>
  </si>
  <si>
    <t>39 km/h</t>
  </si>
  <si>
    <t>48 km/h</t>
  </si>
  <si>
    <t>Avenida José Carlos Mariátegui, Ricardo Palma, Huarochirí, Lima, 15468, Perú, (Ruta4507nueva era 23-10-23)</t>
  </si>
  <si>
    <t>Jirón Sánchez Pinillos, Lima, Lima Metropolitana, Lima, 15082, Perú</t>
  </si>
  <si>
    <t>35 km/h</t>
  </si>
  <si>
    <t>26 km/h</t>
  </si>
  <si>
    <t>Carretera Central, Chaclacayo, Lima Metropolitana, Lima, 15474, Perú</t>
  </si>
  <si>
    <t>58 km/h</t>
  </si>
  <si>
    <t>Avenida Andrés Avelino Cáceres, Ate, Lima Metropolitana, Lima, 15483, Perú</t>
  </si>
  <si>
    <t>60 km/h</t>
  </si>
  <si>
    <t>Marcos Puente Llanos, Ate, Lima Metropolitana, Lima, 15498, Perú, (RUTA DESVIO TEM.  4507)</t>
  </si>
  <si>
    <t>31 km/h</t>
  </si>
  <si>
    <t>Carretera Central, Lurigancho, Lima Metropolitana, Lima, 15483, Perú</t>
  </si>
  <si>
    <t>Avenida Andrés Avelino Cáceres, Ate, Lima Metropolitana, Lima, 15474, Perú, (Ruta4507nueva era 23-10-23)</t>
  </si>
  <si>
    <t>56 km/h</t>
  </si>
  <si>
    <t>Avenida Andrés Avelino Cáceres, Ate, Lima Metropolitana, Lima, 15474, Perú</t>
  </si>
  <si>
    <t>Carretera Central, Chaclacayo, Lima Metropolitana, Lima, 15474, Perú, (S07ÑAÑA, Ruta4507nueva era 23-10-23)</t>
  </si>
  <si>
    <t>61 km/h</t>
  </si>
  <si>
    <t>50 km/h</t>
  </si>
  <si>
    <t>30 km/h</t>
  </si>
  <si>
    <t>Avenida Unión, Chaclacayo, Lima Metropolitana, Lima, 15474, Perú, (S07ÑAÑA, Ruta4507nueva era 23-10-23)</t>
  </si>
  <si>
    <t>40 km/h</t>
  </si>
  <si>
    <t>Chaclacayo, Lima Metropolitana, Lima, 15474, Perú, (Ruta4507nueva era 23-10-23)</t>
  </si>
  <si>
    <t>24 km/h</t>
  </si>
  <si>
    <t>47 km/h</t>
  </si>
  <si>
    <t>32 km/h</t>
  </si>
  <si>
    <t>59 km/h</t>
  </si>
  <si>
    <t>42 km/h</t>
  </si>
  <si>
    <t>Ate, Lima Metropolitana, Lima, 15487, Perú, (Ruta4507nueva era 23-10-23)</t>
  </si>
  <si>
    <t>53 km/h</t>
  </si>
  <si>
    <t>43 km/h</t>
  </si>
  <si>
    <t>36 km/h</t>
  </si>
  <si>
    <t>Avenida Nicolás de Ayllón, 15498, Ate, Lima Metropolitana, Lima, 15498, Perú</t>
  </si>
  <si>
    <t>Avenida Nicolás de Ayllón, 15498, Ate, Lima Metropolitana, Lima, 15498, Perú, (Ruta4507nueva era 23-10-23)</t>
  </si>
  <si>
    <t>Avenida Central, Ate, Lima Metropolitana, Lima, 15498, Perú, (Ruta4507nueva era 23-10-23)</t>
  </si>
  <si>
    <t>Victor Raul Haya de la Torre, Ate, Lima Metropolitana, Lima, 15498, Perú, (Ruta4507nueva era 23-10-23)</t>
  </si>
  <si>
    <t>Avenida Nicolás de Ayllón, Ate, Lima Metropolitana, Lima, 15498, Perú, (Ruta4507nueva era 23-10-23, RUTA DESVIO TEM.  4507)</t>
  </si>
  <si>
    <t>Jirón San Martín de Porres, Ate, Lima Metropolitana, Lima, 15498, Perú, (Ruta4507nueva era 23-10-23, RUTA DESVIO TEM.  4507)</t>
  </si>
  <si>
    <t>Avenida Santa María, Ate, Lima Metropolitana, Lima, 15498, Perú, (Ruta4507nueva era 23-10-23, RUTA DESVIO TEM.  4507)</t>
  </si>
  <si>
    <t>28 km/h</t>
  </si>
  <si>
    <t>Avenida Nicolás de Ayllón, Santa Anita, Lima Metropolitana, Lima, 15498, Perú, (Ruta4507nueva era 23-10-23)</t>
  </si>
  <si>
    <t>34 km/h</t>
  </si>
  <si>
    <t>Avenida Nicolás de Ayllón, Santa Anita, Lima Metropolitana, Lima, 15009, Perú, (Ruta4507nueva era 23-10-23)</t>
  </si>
  <si>
    <t>25 km/h</t>
  </si>
  <si>
    <t>Avenida Nicolás de Ayllón, Ate, Lima Metropolitana, Lima, 15008, Perú, (Ruta4507nueva era 23-10-23)</t>
  </si>
  <si>
    <t>Las Alondras, Santa Anita, Lima Metropolitana, Lima, 15008, Perú, (Ruta4507nueva era 23-10-23)</t>
  </si>
  <si>
    <t>Las Alondras, 175, Santa Anita, Lima Metropolitana, Lima, 15008, Perú, (Ruta4507nueva era 23-10-23)</t>
  </si>
  <si>
    <t>Avenida Los Ruiseñores, Santa Anita, Lima Metropolitana, Lima, 15008, Perú, (Ruta4507nueva era 23-10-23)</t>
  </si>
  <si>
    <t>Avenida Nicolás de Ayllón, Santa Anita, Lima Metropolitana, Lima, 15008, Perú, (Ruta4507nueva era 23-10-23)</t>
  </si>
  <si>
    <t>Avenida Santa Rosa, 148, Ate, Lima Metropolitana, Lima, 15002, Perú, (Ruta4507nueva era 23-10-23)</t>
  </si>
  <si>
    <t>Avenida Santa Rosa, 148, Ate, Lima Metropolitana, Lima, 15002, Perú</t>
  </si>
  <si>
    <t>Avenida De Las Torres, San Luis, Lima Metropolitana, Lima, 15022, Perú</t>
  </si>
  <si>
    <t>Avenida Andrés Avelino Cáceres, Ate, Lima Metropolitana, Lima, 15019, Perú</t>
  </si>
  <si>
    <t>Calle Ollanta, San Luis, Lima Metropolitana, Lima, 15019, Perú</t>
  </si>
  <si>
    <t>Avenida Inca Garcilazo de la Vega, Lima, Lima Metropolitana, Lima, 15004, Perú</t>
  </si>
  <si>
    <t>Avenida Inca Garcilazo de la Vega, Lima, Lima Metropolitana, Lima, 15004, Perú, (Ruta4507nueva era 23-10-23)</t>
  </si>
  <si>
    <t>Avenida José de la Riva Aguero, El Agustino, Lima Metropolitana, Lima, 15004, Perú</t>
  </si>
  <si>
    <t>Calle El Pino, El Agustino, Lima Metropolitana, Lima, 15004, Perú</t>
  </si>
  <si>
    <t>Avenida Nicolás Ayllón, Lima, Lima Metropolitana, Lima, 15011, Perú, (Ruta4507nueva era 23-10-23)</t>
  </si>
  <si>
    <t>33 km/h</t>
  </si>
  <si>
    <t>Avenida Nicolás Ayllón, 137, Lima, Lima Metropolitana, Lima, 15011, Perú, (Ruta4507nueva era 23-10-23)</t>
  </si>
  <si>
    <t>Avenida Almirante Miguel Grau, Lima, Lima Metropolitana, Lima, 15011, Perú, (Ruta4507nueva era 23-10-23)</t>
  </si>
  <si>
    <t>Avenida Almirante Miguel Grau, 1233, Lima, Lima Metropolitana, Lima, 15011, Perú, (Ruta4507nueva era 23-10-23)</t>
  </si>
  <si>
    <t>Vía Expresa Almirante Miguel Grau, Lima, Lima Metropolitana, Lima, 15011, Perú, (Ruta4507nueva era 23-10-23)</t>
  </si>
  <si>
    <t>Avenida Almirante Miguel Grau, 619, Lima, Lima Metropolitana, Lima, 15001, Perú, (S02 AV.GRAU/ JR ANDAHUAYLAS, Ruta4507nueva era 23-10-23)</t>
  </si>
  <si>
    <t>51 km/h</t>
  </si>
  <si>
    <t>Avenida Almirante Miguel Grau, 167, Lima, Lima Metropolitana, Lima, 15001, Perú, (Ruta4507nueva era 23-10-23)</t>
  </si>
  <si>
    <t>Avenida Almirante Miguel Grau, 113, Lima, Lima Metropolitana, Lima, 15001, Perú, (Ruta4507nueva era 23-10-23)</t>
  </si>
  <si>
    <t>Avenida Paseo de la República, Lima, Lima Metropolitana, Lima, 15001, Perú, (Ruta4507nueva era 23-10-23)</t>
  </si>
  <si>
    <t>Avenida Paseo de la República, Lima, Lima Metropolitana, Lima, 15083, Perú</t>
  </si>
  <si>
    <t>Avenida 28 de Julio, Lima, Lima Metropolitana, Lima, 15083, Perú</t>
  </si>
  <si>
    <t>Avenida 28 de Julio, 970, Jesús María, Lima Metropolitana, Lima, 15083, Perú</t>
  </si>
  <si>
    <t>Avenida Alfonso Ugarte, Lima, Lima Metropolitana, Lima, 15083, Perú, (Ruta4507nueva era 23-10-23)</t>
  </si>
  <si>
    <t>Avenida Alfonso Ugarte, 1409, Lima, Lima Metropolitana, Lima, 15083, Perú</t>
  </si>
  <si>
    <t>Avenida Alfonso Ugarte, Breña, Lima Metropolitana, Lima, 15083, Perú, (Ruta4507nueva era 23-10-23)</t>
  </si>
  <si>
    <t>Avenida Alfonso Ugarte, 1227, Breña, Lima Metropolitana, Lima, 15083, Perú</t>
  </si>
  <si>
    <t>Avenida Alfonso Ugarte, Lima, Lima Metropolitana, Lima, 15082, Perú, (Ruta4507nueva era 23-10-23)</t>
  </si>
  <si>
    <t>Jirón Huarochirí, 643, Lima, Lima Metropolitana, Lima, 15082, Perú</t>
  </si>
  <si>
    <t>Ciclovía Colonial, Lima, Lima Metropolitana, Lima, 15082, Perú, (Ruta4507nueva era 23-10-23)</t>
  </si>
  <si>
    <t>Avenida Óscar Raimundo Benavides, 150, Lima, Lima Metropolitana, Lima, 15082, Perú</t>
  </si>
  <si>
    <t>Avenida Óscar Raimundo Benavides, 153, Lima, Lima Metropolitana, Lima, 15082, Perú</t>
  </si>
  <si>
    <t>Avenida Alfonso Ugarte, 650, Lima, Lima Metropolitana, Lima, 15082, Perú</t>
  </si>
  <si>
    <t>Jirón Sánchez Pinillos, 189, Lima, Lima Metropolitana, Lima, 15082, Perú</t>
  </si>
  <si>
    <t>Avenida Alfonso Ugarte, 699, Lima, Lima Metropolitana, Lima, 15082, Perú, (Ruta4507nueva era 23-10-23)</t>
  </si>
  <si>
    <t>Avenida Alfonso Ugarte, 825, Lima, Lima Metropolitana, Lima, 15082, Perú, (Ruta4507nueva era 23-10-23)</t>
  </si>
  <si>
    <t>Avenida Alfonso Ugarte, Lima, Lima Metropolitana, Lima, 15082, Perú</t>
  </si>
  <si>
    <t>Avenida Alfonso Ugarte, 900, Breña, Lima Metropolitana, Lima, 15082, Perú</t>
  </si>
  <si>
    <t>Avenida Alfonso Ugarte, 1006, Breña, Lima Metropolitana, Lima, 15082, Perú</t>
  </si>
  <si>
    <t>Avenida Alfonso Ugarte, Breña, Lima Metropolitana, Lima, 15082, Perú, (Ruta4507nueva era 23-10-23)</t>
  </si>
  <si>
    <t>Avenida Alfonso Ugarte, Breña, Lima Metropolitana, Lima, 15082, Perú</t>
  </si>
  <si>
    <t>Avenida Alfonso Ugarte, 1280, Breña, Lima Metropolitana, Lima, 15083, Perú, (Ruta4507nueva era 23-10-23)</t>
  </si>
  <si>
    <t>Avenida Alfonso Ugarte, 1302, Breña, Lima Metropolitana, Lima, 15083, Perú, (Ruta4507nueva era 23-10-23)</t>
  </si>
  <si>
    <t>Avenida Guzmán Blanco, 507, Lima, Lima Metropolitana, Lima, 15046, Perú</t>
  </si>
  <si>
    <t>Avenida Guzmán Blanco, 481, Lima, Lima Metropolitana, Lima, 15046, Perú</t>
  </si>
  <si>
    <t>Avenida 28 de Julio, Jesús María, Lima Metropolitana, Lima, 15083, Perú</t>
  </si>
  <si>
    <t>Avenida 28 de Julio, 1056, Jesús María, Lima Metropolitana, Lima, 15083, Perú</t>
  </si>
  <si>
    <t>Avenida Almirante Miguel Grau, 354, Lima, Lima Metropolitana, Lima, 15001, Perú, (Ruta4507nueva era 23-10-23)</t>
  </si>
  <si>
    <t>Vía Expresa Almirante Miguel Grau, La Victoria, Lima Metropolitana, Lima, 15011, Perú, (Ruta4507nueva era 23-10-23)</t>
  </si>
  <si>
    <t>Avenida Almirante Miguel Grau, La Victoria, Lima Metropolitana, Lima, 15011, Perú, (Ruta4507nueva era 23-10-23)</t>
  </si>
  <si>
    <t>Prolongación Avenida San Pablo, Lima, Lima Metropolitana, Lima, 15011, Perú</t>
  </si>
  <si>
    <t>Avenida Inca Garcilazo de la Vega, El Agustino, Lima Metropolitana, Lima, 15004, Perú, (Ruta4507nueva era 23-10-23)</t>
  </si>
  <si>
    <t>Avenida Nicolás Ayllón, Lima, Lima Metropolitana, Lima, 15004, Perú, (Ruta4507nueva era 23-10-23)</t>
  </si>
  <si>
    <t>Calle Angel Cepollini, San Luis, Lima Metropolitana, Lima, 15019, Perú</t>
  </si>
  <si>
    <t>Avenida Circunvalación, La Victoria, Lima Metropolitana, Lima, 15019, Perú</t>
  </si>
  <si>
    <t>Avenida Nicolás de Ayllón, San Luis, Lima Metropolitana, Lima, 15022, Perú, (Ruta4507nueva era 23-10-23, RUTA DESVIO TEM.  4507)</t>
  </si>
  <si>
    <t>Avenida De Las Torres, San Luis, Lima Metropolitana, Lima, 15022, Perú, (Ruta4507nueva era 23-10-23, RUTA DESVIO TEM.  4507)</t>
  </si>
  <si>
    <t>Avenida Nicolás de Ayllón, Ate, Lima Metropolitana, Lima, 15002, Perú, (Ruta4507nueva era 23-10-23, RUTA DESVIO TEM.  4507)</t>
  </si>
  <si>
    <t>57 km/h</t>
  </si>
  <si>
    <t>Avenida Nicolás de Ayllón, 2950, Ate, Lima Metropolitana, Lima, 15008, Perú, (Ruta4507nueva era 23-10-23)</t>
  </si>
  <si>
    <t>62 km/h</t>
  </si>
  <si>
    <t>Avenida Nicolás de Ayllón, Ate, Lima Metropolitana, Lima, 15009, Perú, (Ruta4507nueva era 23-10-23)</t>
  </si>
  <si>
    <t>Avenida Nicolás de Ayllón, Santa Anita, Lima Metropolitana, Lima, 00051, Perú, (Ruta4507nueva era 23-10-23)</t>
  </si>
  <si>
    <t>63 km/h</t>
  </si>
  <si>
    <t>Avenida José Carlos Mariátegui, Ate, Lima Metropolitana, Lima, 15498, Perú, (S05Vitarte/ ALT. Hospital, Ruta4507nueva era 23-10-23, RUTA DESVIO TEM.  4507)</t>
  </si>
  <si>
    <t>Avenida Nicolás de Ayllón, Ate, Lima Metropolitana, Lima, 15498, Perú, (S05Vitarte/ ALT. Hospital, Ruta4507nueva era 23-10-23)</t>
  </si>
  <si>
    <t>Avenida Nicolás de Ayllón, 6376, Ate, Lima Metropolitana, Lima, 15498, Perú, (Ruta4507nueva era 23-10-23)</t>
  </si>
  <si>
    <t>Avenida Nicolás de Ayllón, 816-818, Ate, Lima Metropolitana, Lima, 15487, Perú, (Ruta4507nueva era 23-10-23)</t>
  </si>
  <si>
    <t>Avenida Jaime Zubieta Calderón, Ate, Lima Metropolitana, Lima, 15483, Perú, (Ruta4507nueva era 23-10-23)</t>
  </si>
  <si>
    <t>Avenida Jaime Zubieta Calderon, Ate, Lima Metropolitana, Lima, 15483, Perú, (Ruta4507nueva era 23-10-23)</t>
  </si>
  <si>
    <t>Carretera Central, Ate, Lima Metropolitana, Lima, 15474, Perú, (Horacio Zeballos)</t>
  </si>
  <si>
    <t>Avenida Nicolás Ayllón, Chaclacayo, Lima Metropolitana, Lima, 15472, Perú, (Ruta4507nueva era 23-10-23)</t>
  </si>
  <si>
    <t>Carretera Central, Lurigancho, Lima Metropolitana, Lima, 15472, Perú, (Ruta4507nueva era 23-10-23)</t>
  </si>
  <si>
    <t>44 km/h</t>
  </si>
  <si>
    <t>Avenida Las Flores, Chosica, Lima Metropolitana, Lima, 15468, Perú, (Ruta4507nueva era 23-10-23)</t>
  </si>
  <si>
    <t>Avenida Lima Sur, Chosica, Lima Metropolitana, Lima, 15468, Perú, (Ruta4507nueva era 23-10-23)</t>
  </si>
  <si>
    <t>Avenida Lima Sur, 465, Chosica, Lima Metropolitana, Lima, 15468, Perú, (Ruta4507nueva era 23-10-23)</t>
  </si>
  <si>
    <t>Avenida Lima Sur, 275, Chosica, Lima Metropolitana, Lima, 15468, Perú, (Ruta4507nueva era 23-10-23)</t>
  </si>
  <si>
    <t>Avenida Lima Norte, 474, Chosica, Lima Metropolitana, Lima, 15468, Perú, (Ruta4507nueva era 23-10-23)</t>
  </si>
  <si>
    <t>Avenida Lima Norte, 246, Chosica, Lima Metropolitana, Lima, 15468, Perú, (Ruta4507nueva era 23-10-23)</t>
  </si>
  <si>
    <t>Avenida Lima Norte, 574, Santa Eulalia, Lima Metropolitana, Lima, 15468, Perú, (Ruta4507nueva era 23-10-23)</t>
  </si>
  <si>
    <t>Avenida Lima Norte, Santa Eulalia, Lima Metropolitana, Lima, 15468, Perú, (Ruta4507nueva era 23-10-23)</t>
  </si>
  <si>
    <t>37 km/h</t>
  </si>
  <si>
    <t>Carretera Central, Ricardo Palma, Huarochirí, Lima, 15468, Perú</t>
  </si>
  <si>
    <t>Avenida 5 de Setiembre, Ricardo Palma, Huarochirí, Lima, 15468, Perú</t>
  </si>
  <si>
    <t>Avenida 5 de Setiembre, Ricardo Palma, Huarochirí, Lima, 15468, Perú, (Ruta4507nueva era 23-10-23)</t>
  </si>
  <si>
    <t>Avenida Lima Sur, 765, Chosica, Lima Metropolitana, Lima, 15468, Perú, (Ruta4507nueva era 23-10-23)</t>
  </si>
  <si>
    <t>Jirón Chucuito, 187, Chosica, Lima Metropolitana, Lima, 15468, Perú, (Ruta4507nueva era 23-10-23)</t>
  </si>
  <si>
    <t>Carretera Central, Chaclacayo, Lima Metropolitana, Lima, 15464, Perú, (Ruta4507nueva era 23-10-23)</t>
  </si>
  <si>
    <t>64 km/h</t>
  </si>
  <si>
    <t>68 km/h</t>
  </si>
  <si>
    <t>Avenida Nicolás de Ayllón, 836, Ate, Lima Metropolitana, Lima, 15487, Perú, (Ruta4507nueva era 23-10-23)</t>
  </si>
  <si>
    <t>Avenida Nicolás de Ayllón, 5818, Ate, Lima Metropolitana, Lima, 15498, Perú, (Ruta4507nueva era 23-10-23)</t>
  </si>
  <si>
    <t>Avenida Nicolás de Ayllón, 5880, Ate, Lima Metropolitana, Lima, 15498, Perú, (Ruta4507nueva era 23-10-23)</t>
  </si>
  <si>
    <t>Avenida Nicolás de Ayllón, 5880, Ate, Lima Metropolitana, Lima, 15498, Perú, (S05Vitarte/ ALT. Hospital, Ruta4507nueva era 23-10-23)</t>
  </si>
  <si>
    <t>Avenida Nicolás de Ayllón, 4351, Ate, Lima Metropolitana, Lima, 15498, Perú, (Ruta4507nueva era 23-10-23)</t>
  </si>
  <si>
    <t>Las Alondras, Santa Anita, Lima Metropolitana, Lima, 15008, Perú</t>
  </si>
  <si>
    <t>Avenida Nicolás de Ayllón, Santa Anita, Lima Metropolitana, Lima, 15008, Perú, (Ruta4507nueva era 23-10-23, RUTA DESVIO TEM.  4507)</t>
  </si>
  <si>
    <t>Vía de Evitamiento, Santa Anita, Lima Metropolitana, Lima, 15008, Perú, (Ruta4507nueva era 23-10-23, RUTA DESVIO TEM.  4507)</t>
  </si>
  <si>
    <t>Avenida Nicolás de Ayllón, El Agustino, Lima Metropolitana, Lima, 15008, Perú, (Ruta4507nueva era 23-10-23)</t>
  </si>
  <si>
    <t>Avenida Inca Garcilazo de la Vega, El Agustino, Lima Metropolitana, Lima, 15004, Perú</t>
  </si>
  <si>
    <t>Avenida Nicolás de Ayllón, Lima, Lima Metropolitana, Lima, 15004, Perú, (Ruta4507nueva era 23-10-23)</t>
  </si>
  <si>
    <t>Avenida José de la Riva Aguero, Lima, Lima Metropolitana, Lima, 15004, Perú</t>
  </si>
  <si>
    <t>Avenida Almirante Miguel Grau, 1796, Lima, Lima Metropolitana, Lima, 15003, Perú</t>
  </si>
  <si>
    <t>Jirón Conchucos, 996, Lima, Lima Metropolitana, Lima, 15003, Perú</t>
  </si>
  <si>
    <t>Avenida Almirante Miguel Grau, 1715, Lima, Lima Metropolitana, Lima, 15011, Perú, (Ruta4507nueva era 23-10-23)</t>
  </si>
  <si>
    <t>Avenida Almirante Miguel Grau, 1499, Lima, Lima Metropolitana, Lima, 15011, Perú, (Ruta4507nueva era 23-10-23)</t>
  </si>
  <si>
    <t>Avenida Almirante Miguel Grau, 1518, Lima, Lima Metropolitana, Lima, 15011, Perú, (Ruta4507nueva era 23-10-23)</t>
  </si>
  <si>
    <t>Avenida Paseo de la República, La Victoria, Lima Metropolitana, Lima, 15001, Perú, (Ruta4507nueva era 23-10-23)</t>
  </si>
  <si>
    <t>Avenida 28 de Julio, 798, Lima, Lima Metropolitana, Lima, 15083, Perú</t>
  </si>
  <si>
    <t>Avenida Guzmán Blanco, 445, Lima, Lima Metropolitana, Lima, 15083, Perú</t>
  </si>
  <si>
    <t>Avenida Alfonso Ugarte, 1439, Lima, Lima Metropolitana, Lima, 15083, Perú, (Ruta4507nueva era 23-10-23)</t>
  </si>
  <si>
    <t>Avenida Alfonso Ugarte, 1235, Lima, Lima Metropolitana, Lima, 15083, Perú</t>
  </si>
  <si>
    <t>Avenida Alfonso Ugarte, 1235, Lima, Lima Metropolitana, Lima, 15083, Perú, (Ruta4507nueva era 23-10-23)</t>
  </si>
  <si>
    <t>Avenida Alfonso Ugarte, Cdra. 9, Lima, Lima Metropolitana, Lima, 15082, Perú, (Ruta4507nueva era 23-10-23)</t>
  </si>
  <si>
    <t>Avenida Alfonso Ugarte, 1006, Lima, Lima Metropolitana, Lima, 15082, Perú, (Ruta4507nueva era 23-10-23)</t>
  </si>
  <si>
    <t>Jirón Cornelio Borda, Lima, Lima Metropolitana, Lima, 15082, Perú</t>
  </si>
  <si>
    <t>Jirón Cornelio Borda, Lima, Lima Metropolitana, Lima, 15082, Perú, (PARADERO DESTINO ASCOPE, Ruta4507nueva era 23-10-23)</t>
  </si>
  <si>
    <t>Jirón Ascope, Lima, Lima Metropolitana, Lima, 15082, Perú, (PARADERO DESTINO ASCOPE, Ruta4507nueva era 23-10-23)</t>
  </si>
  <si>
    <t>Avenida Alfonso Ugarte, 1006, Lima, Lima Metropolitana, Lima, 15082, Perú</t>
  </si>
  <si>
    <t>Jirón Chacas, Breña, Lima Metropolitana, Lima, 15082, Perú</t>
  </si>
  <si>
    <t>Avenida Alfonso Ugarte, 494, Breña, Lima Metropolitana, Lima, 15083, Perú, (Ruta4507nueva era 23-10-23)</t>
  </si>
  <si>
    <t>Avenida Guzmán Blanco, 321, Lima, Lima Metropolitana, Lima, 15046, Perú</t>
  </si>
  <si>
    <t>Avenida Guzmán Blanco, 439, Lima, Lima Metropolitana, Lima, 15046, Perú</t>
  </si>
  <si>
    <t>Avenida Guzmán Blanco, 545, Lima, Lima Metropolitana, Lima, 15046, Perú</t>
  </si>
  <si>
    <t>Vía Expresa Almirante Miguel Grau, Lima, Lima Metropolitana, Lima, 15001, Perú, (S02 AV.GRAU/ JR ANDAHUAYLAS, Ruta4507nueva era 23-10-23)</t>
  </si>
  <si>
    <t>Vía Expresa Almirante Miguel Grau, La Victoria, Lima Metropolitana, Lima, 15001, Perú, (S02 AV.GRAU/ JR ANDAHUAYLAS, Ruta4507nueva era 23-10-23)</t>
  </si>
  <si>
    <t>Vía Expresa Almirante Miguel Grau, Lima, Lima Metropolitana, Lima, 15001, Perú, (Ruta4507nueva era 23-10-23)</t>
  </si>
  <si>
    <t>Avenida Almirante Miguel Grau, 813, Lima, Lima Metropolitana, Lima, 15001, Perú, (Ruta4507nueva era 23-10-23)</t>
  </si>
  <si>
    <t>Avenida Almirante Miguel Grau, 800, La Victoria, Lima Metropolitana, Lima, 15011, Perú, (Ruta4507nueva era 23-10-23)</t>
  </si>
  <si>
    <t>Avenida Almirante Miguel Grau, 956, La Victoria, Lima Metropolitana, Lima, 15011, Perú, (Ruta4507nueva era 23-10-23)</t>
  </si>
  <si>
    <t>Jirón Huánuco, Lima, Lima Metropolitana, Lima, 15011, Perú, (Ruta4507nueva era 23-10-23)</t>
  </si>
  <si>
    <t>49 km/h</t>
  </si>
  <si>
    <t>Avenida Nicolás de Ayllón, La Victoria, Lima Metropolitana, Lima, 15019, Perú, (Ruta4507nueva era 23-10-23)</t>
  </si>
  <si>
    <t>Avenida Nicolás de Ayllón, La Victoria, Lima Metropolitana, Lima, 15019, Perú, (S03 Nicolas Ayllon/ Mexico, Ruta4507nueva era 23-10-23)</t>
  </si>
  <si>
    <t>Avenida Circunvalación, San Luis, Lima Metropolitana, Lima, 15019, Perú</t>
  </si>
  <si>
    <t>Avenida Pablo Patron, 715, San Luis, Lima Metropolitana, Lima, 15019, Perú</t>
  </si>
  <si>
    <t>Avenida Nicolás de Ayllón, Ate, Lima Metropolitana, Lima, 15002, Perú</t>
  </si>
  <si>
    <t>Avenida Nicolás de Ayllón, Ate, Lima Metropolitana, Lima, 15008, Perú, (Ruta4507nueva era 23-10-23, RUTA DESVIO TEM.  4507)</t>
  </si>
  <si>
    <t>Avenida Minería, Santa Anita, Lima Metropolitana, Lima, 15008, Perú, (Ruta4507nueva era 23-10-23, RUTA DESVIO TEM.  4507)</t>
  </si>
  <si>
    <t>Avenida Los Cipreses, Santa Anita, Lima Metropolitana, Lima, 15008, Perú, (RUTA DESVIO TEM.  4507)</t>
  </si>
  <si>
    <t>Avenida Los Cipreses, Santa Anita, Lima Metropolitana, Lima, 15002, Perú</t>
  </si>
  <si>
    <t>Avenida Los Eucaliptos, Santa Anita, Lima Metropolitana, Lima, 15008, Perú, (RUTA DESVIO TEM.  4507)</t>
  </si>
  <si>
    <t>Avenida Los Ruiseñores, Santa Anita, Lima Metropolitana, Lima, 15008, Perú, (RUTA DESVIO TEM.  4507)</t>
  </si>
  <si>
    <t>Avenida Santa Rosa, Santa Anita, Lima Metropolitana, Lima, 15007, Perú, (RUTA DESVIO TEM.  4507)</t>
  </si>
  <si>
    <t>Avenida Huancaray, Santa Anita, Lima Metropolitana, Lima, 15007, Perú, (RUTA DESVIO TEM.  4507)</t>
  </si>
  <si>
    <t>Avenida Huarochiri, Santa Anita, Lima Metropolitana, Lima, 15009, Perú, (RUTA DESVIO TEM.  4507)</t>
  </si>
  <si>
    <t>Avenida Huancaray, Santa Anita, Lima Metropolitana, Lima, 15009, Perú, (RUTA DESVIO TEM.  4507)</t>
  </si>
  <si>
    <t>Avenida de La Cultura, Santa Anita, Lima Metropolitana, Lima, 15009, Perú, (RUTA DESVIO TEM.  4507)</t>
  </si>
  <si>
    <t>Avenida Metropolitana, Ate, Lima Metropolitana, Lima, 15498, Perú, (RUTA DESVIO TEM.  4507)</t>
  </si>
  <si>
    <t>Avenida José Carlos Mariátegui, Ate, Lima Metropolitana, Lima, 15498, Perú, (S05Vitarte/ ALT. Hospital, Ruta4507nueva era 23-10-23)</t>
  </si>
  <si>
    <t>Avenida José Carlos Mariátegui, Ate, Lima Metropolitana, Lima, 15474, Perú, (Horacio Zeballos)</t>
  </si>
  <si>
    <t>Avenida Nicolás Ayllón, 432, Chaclacayo, Lima Metropolitana, Lima, 15472, Perú, (Ruta4507nueva era 23-10-23)</t>
  </si>
  <si>
    <t>Avenida Nicolás Ayllón, 477, Chaclacayo, Lima Metropolitana, Lima, 15472, Perú, (Ruta4507nueva era 23-10-23)</t>
  </si>
  <si>
    <t>Avenida Nicolás Ayllón, Chaclacayo, Lima Metropolitana, Lima, 15472, Perú, (S08 CHACLACAYO/PARQUE, Ruta4507nueva era 23-10-23)</t>
  </si>
  <si>
    <t>Avenida Malecón Manco Cápac, Chaclacayo, Lima Metropolitana, Lima, 15472, Perú, (Ruta4507nueva era 23-10-23)</t>
  </si>
  <si>
    <t>Avenida Malecón Manco Cápac, Chaclacayo, Lima Metropolitana, Lima, 15472, Perú</t>
  </si>
  <si>
    <t>Avenida Unión, Chaclacayo, Lima Metropolitana, Lima, 15476, Perú</t>
  </si>
  <si>
    <t>Carretera Central, Ate, Lima Metropolitana, Lima, 15483, Perú, (Ruta4507nueva era 23-10-23)</t>
  </si>
  <si>
    <t>Ate, Lima Metropolitana, Lima, 15483, Perú, (Ruta4507nueva era 23-10-23)</t>
  </si>
  <si>
    <t>Carretera Central, Lurigancho, Lima Metropolitana, Lima, 15483, Perú, (Ruta4507nueva era 23-10-23)</t>
  </si>
  <si>
    <t>Avenida Gloria Grande, Ate, Lima Metropolitana, Lima, 15483, Perú, (Ruta4507nueva era 23-10-23)</t>
  </si>
  <si>
    <t>Avenida Gloria Grande, Ate, Lima Metropolitana, Lima, 15483, Perú</t>
  </si>
  <si>
    <t>Calle B, Ate, Lima Metropolitana, Lima, 15483, Perú</t>
  </si>
  <si>
    <t>Avenida Almirante Miguel Grau, La Victoria, Lima Metropolitana, Lima, 15001, Perú, (Ruta4507nueva era 23-10-23)</t>
  </si>
  <si>
    <t>Abraham Valdelomar, Ricardo Palma, Huarochirí, Lima, 15468, Perú</t>
  </si>
  <si>
    <t>Ricardo Palma, Huarochirí, Lima, 15468, Perú, (Ruta4507nueva era 23-10-23)</t>
  </si>
  <si>
    <t>Pasaje Gould, Lima, Lima Metropolitana, Lima, 15082, Perú, (PARADERO DESTINO ASCOPE)</t>
  </si>
  <si>
    <t>Avenida Nicolás Ayllón, 161 C, Chaclacayo, Lima Metropolitana, Lima, 15464, Perú, (Ruta4507nueva era 23-10-23)</t>
  </si>
  <si>
    <t>Avenida Nicolás Ayllón, Km. 24, Chaclacayo, Lima Metropolitana, Lima, 15472, Perú, (S08 CHACLACAYO/PARQUE, Ruta4507nueva era 23-10-23)</t>
  </si>
  <si>
    <t>Avenida Nicolás Ayllón, 1159, Chaclacayo, Lima Metropolitana, Lima, 15472, Perú, (Ruta4507nueva era 23-10-23)</t>
  </si>
  <si>
    <t>Carretera Central, Frnt G3, Lurigancho, Lima Metropolitana, Lima, 15472, Perú, (Ruta4507nueva era 23-10-23)</t>
  </si>
  <si>
    <t>Avenida Las Flores, Lurigancho, Lima Metropolitana, Lima, 15472, Perú, (Ruta4507nueva era 23-10-23)</t>
  </si>
  <si>
    <t>Avenida Las Flores, 29000, Lurigancho, Lima Metropolitana, Lima, 15472, Perú, (Ruta4507nueva era 23-10-23)</t>
  </si>
  <si>
    <t>Avenida Las Flores, Lurigancho, Lima Metropolitana, Lima, 15468, Perú, (Ruta4507nueva era 23-10-23)</t>
  </si>
  <si>
    <t>Avenida Lima Sur, 1471, Chosica, Lima Metropolitana, Lima, 15468, Perú, (Ruta4507nueva era 23-10-23)</t>
  </si>
  <si>
    <t>Chosica, Lima Metropolitana, Lima, 15468, Perú</t>
  </si>
  <si>
    <t>Avenida Lima Sur, 1205, Chosica, Lima Metropolitana, Lima, 15468, Perú</t>
  </si>
  <si>
    <t>Avenida Lima Sur, Chosica, Lima Metropolitana, Lima, 15468, Perú, (S09 CHOSICA/ PEDREGAL, Ruta4507nueva era 23-10-23)</t>
  </si>
  <si>
    <t>Avenida Lima Sur, 930-970, Chosica, Lima Metropolitana, Lima, 15468, Perú, (Ruta4507nueva era 23-10-23)</t>
  </si>
  <si>
    <t>Avenida Lima Sur, 824, Chosica, Lima Metropolitana, Lima, 15468, Perú, (Ruta4507nueva era 23-10-23)</t>
  </si>
  <si>
    <t>Avenida Lima Norte, 599, Chosica, Lima Metropolitana, Lima, 15468, Perú, (Ruta4507nueva era 23-10-23)</t>
  </si>
  <si>
    <t>Chosica, Lima Metropolitana, Lima, 15468, Perú, (Ruta4507nueva era 23-10-23)</t>
  </si>
  <si>
    <t>Jirón Callao, Chosica, Lima Metropolitana, Lima, 15468, Perú</t>
  </si>
  <si>
    <t>Calle A, Chosica, Lima Metropolitana, Lima, 15468, Perú</t>
  </si>
  <si>
    <t>Avenida Lima Norte, Santa Eulalia, Huarochirí, Lima, 15468, Perú, (Ruta4507nueva era 23-10-23)</t>
  </si>
  <si>
    <t>Pasaje Gould, Lima, Lima Metropolitana, Lima, 15082, Perú</t>
  </si>
  <si>
    <t>Avenida Alfonso Cobián, Chaclacayo, Lima Metropolitana, Lima, 15476, Perú</t>
  </si>
  <si>
    <t>Calle Nova, Ate, Lima Metropolitana, Lima, 15498, Perú</t>
  </si>
  <si>
    <t>Avenida Separadora Industrial, Santa Anita, Lima Metropolitana, Lima, 15498, Perú</t>
  </si>
  <si>
    <t>Avenida Los Ángeles, G7, Ate, Lima Metropolitana, Lima, 15498, Perú</t>
  </si>
  <si>
    <t>Calle Junín, Ate, Lima Metropolitana, Lima, 15487, Perú</t>
  </si>
  <si>
    <t>Calle Arequipa, Ate, Lima Metropolitana, Lima, 15498, Perú</t>
  </si>
  <si>
    <t>Avenida Alfonso Ugarte, 650, Lima, Lima Metropolitana, Lima, 15082, Perú, (Ruta4507nueva era 23-10-23)</t>
  </si>
  <si>
    <t>Avenida Almirante Miguel Grau, 1772, Lima, Lima Metropolitana, Lima, 15011, Perú</t>
  </si>
  <si>
    <t>Avenida Almirante Miguel Grau, 1864, Lima, Lima Metropolitana, Lima, 15011, Perú</t>
  </si>
  <si>
    <t>Vía Expresa Luis Fernán Bedoya Reyes, La Victoria, Lima Metropolitana, Lima, 15001, Perú</t>
  </si>
  <si>
    <t>Avenida Nicolás Ayllón, Chaclacayo, Lima Metropolitana, Lima, 15472, Perú</t>
  </si>
  <si>
    <t>Avenida Los Incas, 205, Ate, Lima Metropolitana, Lima, 15483, Perú</t>
  </si>
  <si>
    <t>Calle Alameda Ñaña, Lurigancho, Lima Metropolitana, Lima, 15474, Perú</t>
  </si>
  <si>
    <t>Avenida Colectora, Frnt. O1_5, Ate, Lima Metropolitana, Lima, 15483, Perú</t>
  </si>
  <si>
    <t>Avenida Paseo de la República, 400, Jesús María, Lima Metropolitana, Lima, 15001, Perú</t>
  </si>
  <si>
    <t>Avenida Lima Norte, Santa Eulalia, Huarochirí, Lima, 15468, Perú</t>
  </si>
  <si>
    <t>Jirón Los Próceres, Santa Eulalia, Huarochirí, Lima, 15468, Perú</t>
  </si>
  <si>
    <t>Avenida Jaime Zubieta Calderón, Ate, Lima Metropolitana, Lima, 15483, Perú</t>
  </si>
  <si>
    <t>Avenida La Paz, G2, Santa Eulalia, Huarochirí, Lima, 15500, Perú</t>
  </si>
  <si>
    <t>Víctor Raúl Haya de la Torre, Ate, Lima Metropolitana, Lima, 15498, Perú</t>
  </si>
  <si>
    <t>Calle Alhelíes, Chaclacayo, Lima Metropolitana, Lima, 15476, Perú</t>
  </si>
  <si>
    <t>Avenida de La Cultura, Santa Anita, Lima Metropolitana, Lima, 15009, Perú</t>
  </si>
  <si>
    <t>Jirón Tacna, Chosica, Lima Metropolitana, Lima, 15468, Perú</t>
  </si>
  <si>
    <t>Vía de Evitamiento, Ate, Lima Metropolitana, Lima, 15008, Perú, (Ruta4507nueva era 23-10-23, RUTA DESVIO TEM.  4507)</t>
  </si>
  <si>
    <t>Jirón Los Próceres, Santa Eulalia, Huarochirí, Lima, 15468, Perú, (Ruta4507nueva era 23-10-23)</t>
  </si>
  <si>
    <t>Avenida Lima Sur, Chosica, Lima Metropolitana, Lima, 15468, Perú</t>
  </si>
  <si>
    <t>Avenida José Carlos Mariátegui, Ate, Lima Metropolitana, Lima, 15483, Perú</t>
  </si>
  <si>
    <t>Jirón Miguel de Cervantes, Lima, Lima Metropolitana, Lima, 15083, Perú</t>
  </si>
  <si>
    <t>Avenida 22 de Julio, Santa Anita, Lima Metropolitana, Lima, 15009, Perú</t>
  </si>
  <si>
    <t>Calle 10 De Abril, Ate, Lima Metropolitana, Lima, 15487, Perú</t>
  </si>
  <si>
    <t>Calle Los Incas, Ricardo Palma, Huarochirí, Lima, 15468, Perú</t>
  </si>
  <si>
    <t>Calle Abraham Valdelomar, 108, Ricardo Palma, Huarochirí, Lima, 15468, Perú</t>
  </si>
  <si>
    <t>Ricardo Palma, Huarochirí, Lima, 15468, Perú</t>
  </si>
  <si>
    <t>Jirón Sicaya, 110, Ate, Lima Metropolitana, Lima, 15019, Perú</t>
  </si>
  <si>
    <t>Avenida Colectora, Ate, Lima Metropolitana, Lima, 15483, Perú</t>
  </si>
  <si>
    <t>Calle 6, Santa Eulalia, Huarochirí, Lima, 15468, Perú</t>
  </si>
  <si>
    <t>Alameda E, Chaclacayo, Lima Metropolitana, Lima, 15476, Perú</t>
  </si>
  <si>
    <t>Calle Berlín, Ate, Lima Metropolitana, Lima, 15498, Perú, (RUTA DESVIO TEM.  4507)</t>
  </si>
  <si>
    <t>Jirón Conchucos, 209, Lima, Lima Metropolitana, Lima, 15003, Perú</t>
  </si>
  <si>
    <t>Avenida La Estrella, Ate, Lima Metropolitana, Lima, 15487, Perú, (Ruta4507nueva era 23-10-23)</t>
  </si>
  <si>
    <t>Carretera Central, Ate, Lima Metropolitana, Lima, 15487, Perú</t>
  </si>
  <si>
    <t>Carretera Central, Chaclacayo, Lima Metropolitana, Lima, 15464, Perú</t>
  </si>
  <si>
    <t>133 km/h</t>
  </si>
  <si>
    <t>Calle 3, Ate, Lima Metropolitana, Lima, 15487, Perú</t>
  </si>
  <si>
    <t>121 km/h</t>
  </si>
  <si>
    <t>Calle 8, Ate, Lima Metropolitana, Lima, 15483, Perú</t>
  </si>
  <si>
    <t>Avenida 9 de Diciembre, 150, Lima, Lima Metropolitana, Lima, 15083, Perú, (Ruta4507nueva era 23-10-23)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</si>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</sst>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305"/>
  <sheetViews>
    <sheetView tabSelected="1" workbookViewId="0">
      <selection sqref="A1:J1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3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3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3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3" s="1" customFormat="1" x14ac:dyDescent="0.25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</row>
    <row r="7" spans="1:13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 x14ac:dyDescent="0.25">
      <c r="A8" t="s">
        <v>442</v>
      </c>
      <c r="B8" s="3">
        <v>45712.186840277776</v>
      </c>
      <c r="C8" t="s">
        <v>18</v>
      </c>
      <c r="D8" s="3">
        <v>45712.918749999997</v>
      </c>
      <c r="E8" t="s">
        <v>18</v>
      </c>
      <c r="F8" s="4">
        <v>212.477</v>
      </c>
      <c r="G8" s="4">
        <v>516119.837</v>
      </c>
      <c r="H8" s="4">
        <v>516332.31400000001</v>
      </c>
      <c r="I8" s="5">
        <f>12612 / 86400</f>
        <v>0.14597222222222223</v>
      </c>
      <c r="J8" t="s">
        <v>19</v>
      </c>
      <c r="K8" t="s">
        <v>20</v>
      </c>
      <c r="L8" s="5">
        <f>42599 / 86400</f>
        <v>0.49304398148148149</v>
      </c>
      <c r="M8" s="5">
        <f>43794 / 86400</f>
        <v>0.50687499999999996</v>
      </c>
    </row>
    <row r="9" spans="1:13" x14ac:dyDescent="0.25">
      <c r="A9" t="s">
        <v>443</v>
      </c>
      <c r="B9" s="3">
        <v>45712.308020833334</v>
      </c>
      <c r="C9" t="s">
        <v>21</v>
      </c>
      <c r="D9" s="3">
        <v>45712.979814814811</v>
      </c>
      <c r="E9" t="s">
        <v>22</v>
      </c>
      <c r="F9" s="4">
        <v>4.4660000000000002</v>
      </c>
      <c r="G9" s="4">
        <v>20846.210999999999</v>
      </c>
      <c r="H9" s="4">
        <v>20850.677</v>
      </c>
      <c r="I9" s="5">
        <f>43702 / 86400</f>
        <v>0.50581018518518517</v>
      </c>
      <c r="J9" t="s">
        <v>23</v>
      </c>
      <c r="K9" t="s">
        <v>24</v>
      </c>
      <c r="L9" s="5">
        <f>44153 / 86400</f>
        <v>0.51103009259259258</v>
      </c>
      <c r="M9" s="5">
        <f>42242 / 86400</f>
        <v>0.48891203703703706</v>
      </c>
    </row>
    <row r="10" spans="1:13" x14ac:dyDescent="0.25">
      <c r="A10" t="s">
        <v>444</v>
      </c>
      <c r="B10" s="3">
        <v>45712.234189814815</v>
      </c>
      <c r="C10" t="s">
        <v>25</v>
      </c>
      <c r="D10" s="3">
        <v>45712.896817129629</v>
      </c>
      <c r="E10" t="s">
        <v>25</v>
      </c>
      <c r="F10" s="4">
        <v>234.197</v>
      </c>
      <c r="G10" s="4">
        <v>330182.68900000001</v>
      </c>
      <c r="H10" s="4">
        <v>330416.886</v>
      </c>
      <c r="I10" s="5">
        <f>15103 / 86400</f>
        <v>0.17480324074074075</v>
      </c>
      <c r="J10" t="s">
        <v>26</v>
      </c>
      <c r="K10" t="s">
        <v>20</v>
      </c>
      <c r="L10" s="5">
        <f>45703 / 86400</f>
        <v>0.52896990740740746</v>
      </c>
      <c r="M10" s="5">
        <f>40687 / 86400</f>
        <v>0.47091435185185188</v>
      </c>
    </row>
    <row r="11" spans="1:13" x14ac:dyDescent="0.25">
      <c r="A11" t="s">
        <v>445</v>
      </c>
      <c r="B11" s="3">
        <v>45712.614791666667</v>
      </c>
      <c r="C11" t="s">
        <v>27</v>
      </c>
      <c r="D11" s="3">
        <v>45712.615717592591</v>
      </c>
      <c r="E11" t="s">
        <v>27</v>
      </c>
      <c r="F11" s="4">
        <v>4.0000000000000001E-3</v>
      </c>
      <c r="G11" s="4">
        <v>21964.315999999999</v>
      </c>
      <c r="H11" s="4">
        <v>21964.32</v>
      </c>
      <c r="I11" s="5">
        <f>79 / 86400</f>
        <v>9.1435185185185185E-4</v>
      </c>
      <c r="J11" t="s">
        <v>24</v>
      </c>
      <c r="K11" t="s">
        <v>24</v>
      </c>
      <c r="L11" s="5">
        <f>80 / 86400</f>
        <v>9.2592592592592596E-4</v>
      </c>
      <c r="M11" s="5">
        <f>86319 / 86400</f>
        <v>0.99906249999999996</v>
      </c>
    </row>
    <row r="12" spans="1:13" x14ac:dyDescent="0.25">
      <c r="A12" t="s">
        <v>446</v>
      </c>
      <c r="B12" s="3">
        <v>45712.240358796298</v>
      </c>
      <c r="C12" t="s">
        <v>28</v>
      </c>
      <c r="D12" s="3">
        <v>45712.929201388892</v>
      </c>
      <c r="E12" t="s">
        <v>28</v>
      </c>
      <c r="F12" s="4">
        <v>219.48000000000002</v>
      </c>
      <c r="G12" s="4">
        <v>515353.74099999998</v>
      </c>
      <c r="H12" s="4">
        <v>515573.22100000002</v>
      </c>
      <c r="I12" s="5">
        <f>15231 / 86400</f>
        <v>0.17628472222222222</v>
      </c>
      <c r="J12" t="s">
        <v>29</v>
      </c>
      <c r="K12" t="s">
        <v>30</v>
      </c>
      <c r="L12" s="5">
        <f>47175 / 86400</f>
        <v>0.54600694444444442</v>
      </c>
      <c r="M12" s="5">
        <f>39219 / 86400</f>
        <v>0.45392361111111112</v>
      </c>
    </row>
    <row r="13" spans="1:13" x14ac:dyDescent="0.25">
      <c r="A13" t="s">
        <v>447</v>
      </c>
      <c r="B13" s="3">
        <v>45712.353819444441</v>
      </c>
      <c r="C13" t="s">
        <v>27</v>
      </c>
      <c r="D13" s="3">
        <v>45712.794259259259</v>
      </c>
      <c r="E13" t="s">
        <v>27</v>
      </c>
      <c r="F13" s="4">
        <v>2.6079999999999997</v>
      </c>
      <c r="G13" s="4">
        <v>93379.024000000005</v>
      </c>
      <c r="H13" s="4">
        <v>93381.631999999998</v>
      </c>
      <c r="I13" s="5">
        <f>839 / 86400</f>
        <v>9.7106481481481488E-3</v>
      </c>
      <c r="J13" t="s">
        <v>31</v>
      </c>
      <c r="K13" t="s">
        <v>32</v>
      </c>
      <c r="L13" s="5">
        <f>1594 / 86400</f>
        <v>1.8449074074074073E-2</v>
      </c>
      <c r="M13" s="5">
        <f>84804 / 86400</f>
        <v>0.98152777777777778</v>
      </c>
    </row>
    <row r="14" spans="1:13" x14ac:dyDescent="0.25">
      <c r="A14" t="s">
        <v>448</v>
      </c>
      <c r="B14" s="3">
        <v>45712.181562500002</v>
      </c>
      <c r="C14" t="s">
        <v>18</v>
      </c>
      <c r="D14" s="3">
        <v>45712.787442129629</v>
      </c>
      <c r="E14" t="s">
        <v>18</v>
      </c>
      <c r="F14" s="4">
        <v>212.29400000000001</v>
      </c>
      <c r="G14" s="4">
        <v>140297.26</v>
      </c>
      <c r="H14" s="4">
        <v>140509.554</v>
      </c>
      <c r="I14" s="5">
        <f>15618 / 86400</f>
        <v>0.18076388888888889</v>
      </c>
      <c r="J14" t="s">
        <v>33</v>
      </c>
      <c r="K14" t="s">
        <v>34</v>
      </c>
      <c r="L14" s="5">
        <f>47028 / 86400</f>
        <v>0.5443055555555556</v>
      </c>
      <c r="M14" s="5">
        <f>39368 / 86400</f>
        <v>0.45564814814814814</v>
      </c>
    </row>
    <row r="15" spans="1:13" x14ac:dyDescent="0.25">
      <c r="A15" t="s">
        <v>449</v>
      </c>
      <c r="B15" s="3">
        <v>45712.212824074071</v>
      </c>
      <c r="C15" t="s">
        <v>27</v>
      </c>
      <c r="D15" s="3">
        <v>45712.79965277778</v>
      </c>
      <c r="E15" t="s">
        <v>27</v>
      </c>
      <c r="F15" s="4">
        <v>180.30069872009753</v>
      </c>
      <c r="G15" s="4">
        <v>350378.72372348531</v>
      </c>
      <c r="H15" s="4">
        <v>350570.09304172039</v>
      </c>
      <c r="I15" s="5">
        <f>0 / 86400</f>
        <v>0</v>
      </c>
      <c r="J15" t="s">
        <v>35</v>
      </c>
      <c r="K15" t="s">
        <v>36</v>
      </c>
      <c r="L15" s="5">
        <f>30555 / 86400</f>
        <v>0.35364583333333333</v>
      </c>
      <c r="M15" s="5">
        <f>55844 / 86400</f>
        <v>0.64634259259259264</v>
      </c>
    </row>
    <row r="16" spans="1:13" x14ac:dyDescent="0.25">
      <c r="A16" t="s">
        <v>450</v>
      </c>
      <c r="B16" s="3">
        <v>45712.171539351853</v>
      </c>
      <c r="C16" t="s">
        <v>37</v>
      </c>
      <c r="D16" s="3">
        <v>45712.668634259258</v>
      </c>
      <c r="E16" t="s">
        <v>37</v>
      </c>
      <c r="F16" s="4">
        <v>197.499</v>
      </c>
      <c r="G16" s="4">
        <v>485516.04800000001</v>
      </c>
      <c r="H16" s="4">
        <v>485713.54700000002</v>
      </c>
      <c r="I16" s="5">
        <f>10752 / 86400</f>
        <v>0.12444444444444444</v>
      </c>
      <c r="J16" t="s">
        <v>38</v>
      </c>
      <c r="K16" t="s">
        <v>20</v>
      </c>
      <c r="L16" s="5">
        <f>38924 / 86400</f>
        <v>0.45050925925925928</v>
      </c>
      <c r="M16" s="5">
        <f>47474 / 86400</f>
        <v>0.54946759259259259</v>
      </c>
    </row>
    <row r="17" spans="1:13" x14ac:dyDescent="0.25">
      <c r="A17" t="s">
        <v>451</v>
      </c>
      <c r="B17" s="3">
        <v>45712.129513888889</v>
      </c>
      <c r="C17" t="s">
        <v>39</v>
      </c>
      <c r="D17" s="3">
        <v>45712.843159722222</v>
      </c>
      <c r="E17" t="s">
        <v>39</v>
      </c>
      <c r="F17" s="4">
        <v>210.60300000000001</v>
      </c>
      <c r="G17" s="4">
        <v>509970.31699999998</v>
      </c>
      <c r="H17" s="4">
        <v>510180.92</v>
      </c>
      <c r="I17" s="5">
        <f>13415 / 86400</f>
        <v>0.1552662037037037</v>
      </c>
      <c r="J17" t="s">
        <v>33</v>
      </c>
      <c r="K17" t="s">
        <v>30</v>
      </c>
      <c r="L17" s="5">
        <f>44605 / 86400</f>
        <v>0.51626157407407403</v>
      </c>
      <c r="M17" s="5">
        <f>41791 / 86400</f>
        <v>0.48369212962962965</v>
      </c>
    </row>
    <row r="18" spans="1:13" x14ac:dyDescent="0.25">
      <c r="A18" t="s">
        <v>452</v>
      </c>
      <c r="B18" s="3">
        <v>45712.23060185185</v>
      </c>
      <c r="C18" t="s">
        <v>40</v>
      </c>
      <c r="D18" s="3">
        <v>45712.893437499995</v>
      </c>
      <c r="E18" t="s">
        <v>40</v>
      </c>
      <c r="F18" s="4">
        <v>100.28399999999999</v>
      </c>
      <c r="G18" s="4">
        <v>409174.22200000001</v>
      </c>
      <c r="H18" s="4">
        <v>409275.33</v>
      </c>
      <c r="I18" s="5">
        <f>15720 / 86400</f>
        <v>0.18194444444444444</v>
      </c>
      <c r="J18" t="s">
        <v>41</v>
      </c>
      <c r="K18" t="s">
        <v>42</v>
      </c>
      <c r="L18" s="5">
        <f>33525 / 86400</f>
        <v>0.38802083333333331</v>
      </c>
      <c r="M18" s="5">
        <f>52863 / 86400</f>
        <v>0.61184027777777783</v>
      </c>
    </row>
    <row r="19" spans="1:13" x14ac:dyDescent="0.25">
      <c r="A19" t="s">
        <v>453</v>
      </c>
      <c r="B19" s="3">
        <v>45712.217685185184</v>
      </c>
      <c r="C19" t="s">
        <v>43</v>
      </c>
      <c r="D19" s="3">
        <v>45712.795694444445</v>
      </c>
      <c r="E19" t="s">
        <v>43</v>
      </c>
      <c r="F19" s="4">
        <v>199.232</v>
      </c>
      <c r="G19" s="4">
        <v>438905.68599999999</v>
      </c>
      <c r="H19" s="4">
        <v>439104.91800000001</v>
      </c>
      <c r="I19" s="5">
        <f>14881 / 86400</f>
        <v>0.17223379629629629</v>
      </c>
      <c r="J19" t="s">
        <v>44</v>
      </c>
      <c r="K19" t="s">
        <v>34</v>
      </c>
      <c r="L19" s="5">
        <f>45351 / 86400</f>
        <v>0.52489583333333334</v>
      </c>
      <c r="M19" s="5">
        <f>41047 / 86400</f>
        <v>0.47508101851851853</v>
      </c>
    </row>
    <row r="20" spans="1:13" x14ac:dyDescent="0.25">
      <c r="A20" t="s">
        <v>454</v>
      </c>
      <c r="B20" s="3">
        <v>45712.220787037033</v>
      </c>
      <c r="C20" t="s">
        <v>39</v>
      </c>
      <c r="D20" s="3">
        <v>45712.973796296297</v>
      </c>
      <c r="E20" t="s">
        <v>45</v>
      </c>
      <c r="F20" s="4">
        <v>199.87299999999999</v>
      </c>
      <c r="G20" s="4">
        <v>56461.275999999998</v>
      </c>
      <c r="H20" s="4">
        <v>56661.148999999998</v>
      </c>
      <c r="I20" s="5">
        <f>15794 / 86400</f>
        <v>0.18280092592592592</v>
      </c>
      <c r="J20" t="s">
        <v>46</v>
      </c>
      <c r="K20" t="s">
        <v>34</v>
      </c>
      <c r="L20" s="5">
        <f>46177 / 86400</f>
        <v>0.53445601851851854</v>
      </c>
      <c r="M20" s="5">
        <f>40217 / 86400</f>
        <v>0.46547453703703706</v>
      </c>
    </row>
    <row r="21" spans="1:13" x14ac:dyDescent="0.25">
      <c r="A21" t="s">
        <v>455</v>
      </c>
      <c r="B21" s="3">
        <v>45712.234571759254</v>
      </c>
      <c r="C21" t="s">
        <v>47</v>
      </c>
      <c r="D21" s="3">
        <v>45712.837766203702</v>
      </c>
      <c r="E21" t="s">
        <v>47</v>
      </c>
      <c r="F21" s="4">
        <v>170.6480000000596</v>
      </c>
      <c r="G21" s="4">
        <v>527066.62</v>
      </c>
      <c r="H21" s="4">
        <v>527237.26800000004</v>
      </c>
      <c r="I21" s="5">
        <f>14499 / 86400</f>
        <v>0.1678125</v>
      </c>
      <c r="J21" t="s">
        <v>33</v>
      </c>
      <c r="K21" t="s">
        <v>48</v>
      </c>
      <c r="L21" s="5">
        <f>42934 / 86400</f>
        <v>0.49692129629629628</v>
      </c>
      <c r="M21" s="5">
        <f>43459 / 86400</f>
        <v>0.50299768518518517</v>
      </c>
    </row>
    <row r="22" spans="1:13" x14ac:dyDescent="0.25">
      <c r="A22" t="s">
        <v>456</v>
      </c>
      <c r="B22" s="3">
        <v>45712.690613425926</v>
      </c>
      <c r="C22" t="s">
        <v>49</v>
      </c>
      <c r="D22" s="3">
        <v>45712.858912037038</v>
      </c>
      <c r="E22" t="s">
        <v>49</v>
      </c>
      <c r="F22" s="4">
        <v>12.258000000000001</v>
      </c>
      <c r="G22" s="4">
        <v>346632.64600000001</v>
      </c>
      <c r="H22" s="4">
        <v>346644.90399999998</v>
      </c>
      <c r="I22" s="5">
        <f>1757 / 86400</f>
        <v>2.0335648148148148E-2</v>
      </c>
      <c r="J22" t="s">
        <v>50</v>
      </c>
      <c r="K22" t="s">
        <v>51</v>
      </c>
      <c r="L22" s="5">
        <f>4487 / 86400</f>
        <v>5.1932870370370372E-2</v>
      </c>
      <c r="M22" s="5">
        <f>81906 / 86400</f>
        <v>0.94798611111111108</v>
      </c>
    </row>
    <row r="23" spans="1:13" x14ac:dyDescent="0.25">
      <c r="A23" t="s">
        <v>457</v>
      </c>
      <c r="B23" s="3">
        <v>45712.247858796298</v>
      </c>
      <c r="C23" t="s">
        <v>52</v>
      </c>
      <c r="D23" s="3">
        <v>45712.887511574074</v>
      </c>
      <c r="E23" t="s">
        <v>52</v>
      </c>
      <c r="F23" s="4">
        <v>188.66800000000001</v>
      </c>
      <c r="G23" s="4">
        <v>427146.17200000002</v>
      </c>
      <c r="H23" s="4">
        <v>427334.84</v>
      </c>
      <c r="I23" s="5">
        <f>12858 / 86400</f>
        <v>0.14881944444444445</v>
      </c>
      <c r="J23" t="s">
        <v>53</v>
      </c>
      <c r="K23" t="s">
        <v>30</v>
      </c>
      <c r="L23" s="5">
        <f>39873 / 86400</f>
        <v>0.46149305555555553</v>
      </c>
      <c r="M23" s="5">
        <f>46521 / 86400</f>
        <v>0.53843750000000001</v>
      </c>
    </row>
    <row r="24" spans="1:13" x14ac:dyDescent="0.25">
      <c r="A24" t="s">
        <v>458</v>
      </c>
      <c r="B24" s="3">
        <v>45712.232685185183</v>
      </c>
      <c r="C24" t="s">
        <v>27</v>
      </c>
      <c r="D24" s="3">
        <v>45712.793715277774</v>
      </c>
      <c r="E24" t="s">
        <v>27</v>
      </c>
      <c r="F24" s="4">
        <v>184.46600000000001</v>
      </c>
      <c r="G24" s="4">
        <v>14487.718999999999</v>
      </c>
      <c r="H24" s="4">
        <v>14672.184999999999</v>
      </c>
      <c r="I24" s="5">
        <f>16896 / 86400</f>
        <v>0.19555555555555557</v>
      </c>
      <c r="J24" t="s">
        <v>54</v>
      </c>
      <c r="K24" t="s">
        <v>34</v>
      </c>
      <c r="L24" s="5">
        <f>42799 / 86400</f>
        <v>0.49535879629629631</v>
      </c>
      <c r="M24" s="5">
        <f>43597 / 86400</f>
        <v>0.50459490740740742</v>
      </c>
    </row>
    <row r="25" spans="1:13" x14ac:dyDescent="0.25">
      <c r="A25" t="s">
        <v>459</v>
      </c>
      <c r="B25" s="3">
        <v>45712.238425925927</v>
      </c>
      <c r="C25" t="s">
        <v>55</v>
      </c>
      <c r="D25" s="3">
        <v>45712.874872685185</v>
      </c>
      <c r="E25" t="s">
        <v>55</v>
      </c>
      <c r="F25" s="4">
        <v>218.994</v>
      </c>
      <c r="G25" s="4">
        <v>139784.726</v>
      </c>
      <c r="H25" s="4">
        <v>140003.72</v>
      </c>
      <c r="I25" s="5">
        <f>16211 / 86400</f>
        <v>0.18762731481481482</v>
      </c>
      <c r="J25" t="s">
        <v>46</v>
      </c>
      <c r="K25" t="s">
        <v>34</v>
      </c>
      <c r="L25" s="5">
        <f>49361 / 86400</f>
        <v>0.57130787037037034</v>
      </c>
      <c r="M25" s="5">
        <f>37035 / 86400</f>
        <v>0.42864583333333334</v>
      </c>
    </row>
    <row r="26" spans="1:13" x14ac:dyDescent="0.25">
      <c r="A26" t="s">
        <v>460</v>
      </c>
      <c r="B26" s="3">
        <v>45712.233252314814</v>
      </c>
      <c r="C26" t="s">
        <v>27</v>
      </c>
      <c r="D26" s="3">
        <v>45712.845856481479</v>
      </c>
      <c r="E26" t="s">
        <v>27</v>
      </c>
      <c r="F26" s="4">
        <v>5.6260000000000003</v>
      </c>
      <c r="G26" s="4">
        <v>6954.0990000000002</v>
      </c>
      <c r="H26" s="4">
        <v>6959.7250000000004</v>
      </c>
      <c r="I26" s="5">
        <f>2673 / 86400</f>
        <v>3.09375E-2</v>
      </c>
      <c r="J26" t="s">
        <v>56</v>
      </c>
      <c r="K26" t="s">
        <v>57</v>
      </c>
      <c r="L26" s="5">
        <f>4166 / 86400</f>
        <v>4.821759259259259E-2</v>
      </c>
      <c r="M26" s="5">
        <f>82228 / 86400</f>
        <v>0.95171296296296293</v>
      </c>
    </row>
    <row r="27" spans="1:13" x14ac:dyDescent="0.25">
      <c r="A27" t="s">
        <v>461</v>
      </c>
      <c r="B27" s="3">
        <v>45712.210717592592</v>
      </c>
      <c r="C27" t="s">
        <v>37</v>
      </c>
      <c r="D27" s="3">
        <v>45712.691435185188</v>
      </c>
      <c r="E27" t="s">
        <v>37</v>
      </c>
      <c r="F27" s="4">
        <v>162.09100000000001</v>
      </c>
      <c r="G27" s="4">
        <v>388572.90500000003</v>
      </c>
      <c r="H27" s="4">
        <v>388734.99599999998</v>
      </c>
      <c r="I27" s="5">
        <f>10436 / 86400</f>
        <v>0.12078703703703704</v>
      </c>
      <c r="J27" t="s">
        <v>53</v>
      </c>
      <c r="K27" t="s">
        <v>30</v>
      </c>
      <c r="L27" s="5">
        <f>34379 / 86400</f>
        <v>0.3979050925925926</v>
      </c>
      <c r="M27" s="5">
        <f>52017 / 86400</f>
        <v>0.60204861111111108</v>
      </c>
    </row>
    <row r="28" spans="1:13" x14ac:dyDescent="0.25">
      <c r="A28" t="s">
        <v>462</v>
      </c>
      <c r="B28" s="3">
        <v>45712.239907407406</v>
      </c>
      <c r="C28" t="s">
        <v>37</v>
      </c>
      <c r="D28" s="3">
        <v>45712.834733796291</v>
      </c>
      <c r="E28" t="s">
        <v>37</v>
      </c>
      <c r="F28" s="4">
        <v>185.25299999999999</v>
      </c>
      <c r="G28" s="4">
        <v>392325.772</v>
      </c>
      <c r="H28" s="4">
        <v>392511.02500000002</v>
      </c>
      <c r="I28" s="5">
        <f>15852 / 86400</f>
        <v>0.18347222222222223</v>
      </c>
      <c r="J28" t="s">
        <v>58</v>
      </c>
      <c r="K28" t="s">
        <v>59</v>
      </c>
      <c r="L28" s="5">
        <f>44633 / 86400</f>
        <v>0.51658564814814811</v>
      </c>
      <c r="M28" s="5">
        <f>41764 / 86400</f>
        <v>0.4833796296296296</v>
      </c>
    </row>
    <row r="29" spans="1:13" x14ac:dyDescent="0.25">
      <c r="A29" t="s">
        <v>463</v>
      </c>
      <c r="B29" s="3">
        <v>45712.147013888884</v>
      </c>
      <c r="C29" t="s">
        <v>60</v>
      </c>
      <c r="D29" s="3">
        <v>45712.830324074079</v>
      </c>
      <c r="E29" t="s">
        <v>60</v>
      </c>
      <c r="F29" s="4">
        <v>250.62700000011921</v>
      </c>
      <c r="G29" s="4">
        <v>525667.26599999995</v>
      </c>
      <c r="H29" s="4">
        <v>525917.89300000004</v>
      </c>
      <c r="I29" s="5">
        <f>15197 / 86400</f>
        <v>0.1758912037037037</v>
      </c>
      <c r="J29" t="s">
        <v>61</v>
      </c>
      <c r="K29" t="s">
        <v>20</v>
      </c>
      <c r="L29" s="5">
        <f>51040 / 86400</f>
        <v>0.59074074074074079</v>
      </c>
      <c r="M29" s="5">
        <f>35356 / 86400</f>
        <v>0.40921296296296295</v>
      </c>
    </row>
    <row r="30" spans="1:13" x14ac:dyDescent="0.25">
      <c r="A30" t="s">
        <v>464</v>
      </c>
      <c r="B30" s="3">
        <v>45712.380775462967</v>
      </c>
      <c r="C30" t="s">
        <v>62</v>
      </c>
      <c r="D30" s="3">
        <v>45712.99998842593</v>
      </c>
      <c r="E30" t="s">
        <v>63</v>
      </c>
      <c r="F30" s="4">
        <v>208.749</v>
      </c>
      <c r="G30" s="4">
        <v>413296.83299999998</v>
      </c>
      <c r="H30" s="4">
        <v>413505.58199999999</v>
      </c>
      <c r="I30" s="5">
        <f>14363 / 86400</f>
        <v>0.16623842592592591</v>
      </c>
      <c r="J30" t="s">
        <v>64</v>
      </c>
      <c r="K30" t="s">
        <v>34</v>
      </c>
      <c r="L30" s="5">
        <f>47160 / 86400</f>
        <v>0.54583333333333328</v>
      </c>
      <c r="M30" s="5">
        <f>39236 / 86400</f>
        <v>0.4541203703703704</v>
      </c>
    </row>
    <row r="31" spans="1:13" x14ac:dyDescent="0.25">
      <c r="A31" t="s">
        <v>465</v>
      </c>
      <c r="B31" s="3">
        <v>45712.239212962959</v>
      </c>
      <c r="C31" t="s">
        <v>65</v>
      </c>
      <c r="D31" s="3">
        <v>45712.828599537039</v>
      </c>
      <c r="E31" t="s">
        <v>66</v>
      </c>
      <c r="F31" s="4">
        <v>201.648</v>
      </c>
      <c r="G31" s="4">
        <v>404553.17700000003</v>
      </c>
      <c r="H31" s="4">
        <v>404754.82500000001</v>
      </c>
      <c r="I31" s="5">
        <f>16044 / 86400</f>
        <v>0.18569444444444444</v>
      </c>
      <c r="J31" t="s">
        <v>67</v>
      </c>
      <c r="K31" t="s">
        <v>59</v>
      </c>
      <c r="L31" s="5">
        <f>47563 / 86400</f>
        <v>0.55049768518518516</v>
      </c>
      <c r="M31" s="5">
        <f>38831 / 86400</f>
        <v>0.44943287037037039</v>
      </c>
    </row>
    <row r="32" spans="1:13" x14ac:dyDescent="0.25">
      <c r="A32" t="s">
        <v>466</v>
      </c>
      <c r="B32" s="3">
        <v>45712.635787037041</v>
      </c>
      <c r="C32" t="s">
        <v>68</v>
      </c>
      <c r="D32" s="3">
        <v>45712.79650462963</v>
      </c>
      <c r="E32" t="s">
        <v>69</v>
      </c>
      <c r="F32" s="4">
        <v>35.97</v>
      </c>
      <c r="G32" s="4">
        <v>408464.58799999999</v>
      </c>
      <c r="H32" s="4">
        <v>408500.55800000002</v>
      </c>
      <c r="I32" s="5">
        <f>4339 / 86400</f>
        <v>5.0219907407407408E-2</v>
      </c>
      <c r="J32" t="s">
        <v>70</v>
      </c>
      <c r="K32" t="s">
        <v>71</v>
      </c>
      <c r="L32" s="5">
        <f>9656 / 86400</f>
        <v>0.11175925925925925</v>
      </c>
      <c r="M32" s="5">
        <f>76737 / 86400</f>
        <v>0.88815972222222217</v>
      </c>
    </row>
    <row r="33" spans="1:13" x14ac:dyDescent="0.25">
      <c r="A33" t="s">
        <v>467</v>
      </c>
      <c r="B33" s="3">
        <v>45712.290474537032</v>
      </c>
      <c r="C33" t="s">
        <v>72</v>
      </c>
      <c r="D33" s="3">
        <v>45712.719884259262</v>
      </c>
      <c r="E33" t="s">
        <v>72</v>
      </c>
      <c r="F33" s="4">
        <v>126.17900000000002</v>
      </c>
      <c r="G33" s="4">
        <v>348947.68800000002</v>
      </c>
      <c r="H33" s="4">
        <v>349073.86700000003</v>
      </c>
      <c r="I33" s="5">
        <f>11757 / 86400</f>
        <v>0.1360763888888889</v>
      </c>
      <c r="J33" t="s">
        <v>35</v>
      </c>
      <c r="K33" t="s">
        <v>59</v>
      </c>
      <c r="L33" s="5">
        <f>31312 / 86400</f>
        <v>0.3624074074074074</v>
      </c>
      <c r="M33" s="5">
        <f>55084 / 86400</f>
        <v>0.63754629629629633</v>
      </c>
    </row>
    <row r="34" spans="1:13" x14ac:dyDescent="0.25">
      <c r="A34" t="s">
        <v>468</v>
      </c>
      <c r="B34" s="3">
        <v>45712.162997685184</v>
      </c>
      <c r="C34" t="s">
        <v>73</v>
      </c>
      <c r="D34" s="3">
        <v>45712.99998842593</v>
      </c>
      <c r="E34" t="s">
        <v>74</v>
      </c>
      <c r="F34" s="4">
        <v>317.92200000000003</v>
      </c>
      <c r="G34" s="4">
        <v>42848.311999999998</v>
      </c>
      <c r="H34" s="4">
        <v>43166.233999999997</v>
      </c>
      <c r="I34" s="5">
        <f>19075 / 86400</f>
        <v>0.22077546296296297</v>
      </c>
      <c r="J34" t="s">
        <v>75</v>
      </c>
      <c r="K34" t="s">
        <v>20</v>
      </c>
      <c r="L34" s="5">
        <f>61900 / 86400</f>
        <v>0.71643518518518523</v>
      </c>
      <c r="M34" s="5">
        <f>24498 / 86400</f>
        <v>0.28354166666666669</v>
      </c>
    </row>
    <row r="35" spans="1:13" x14ac:dyDescent="0.25">
      <c r="A35" t="s">
        <v>469</v>
      </c>
      <c r="B35" s="3">
        <v>45712.172314814816</v>
      </c>
      <c r="C35" t="s">
        <v>37</v>
      </c>
      <c r="D35" s="3">
        <v>45712.99998842593</v>
      </c>
      <c r="E35" t="s">
        <v>63</v>
      </c>
      <c r="F35" s="4">
        <v>264.77300000000002</v>
      </c>
      <c r="G35" s="4">
        <v>49007.396999999997</v>
      </c>
      <c r="H35" s="4">
        <v>49272.17</v>
      </c>
      <c r="I35" s="5">
        <f>18730 / 86400</f>
        <v>0.2167824074074074</v>
      </c>
      <c r="J35" t="s">
        <v>19</v>
      </c>
      <c r="K35" t="s">
        <v>20</v>
      </c>
      <c r="L35" s="5">
        <f>54418 / 86400</f>
        <v>0.62983796296296302</v>
      </c>
      <c r="M35" s="5">
        <f>31975 / 86400</f>
        <v>0.37008101851851855</v>
      </c>
    </row>
    <row r="36" spans="1:13" x14ac:dyDescent="0.25">
      <c r="A36" t="s">
        <v>470</v>
      </c>
      <c r="B36" s="3">
        <v>45712.002523148149</v>
      </c>
      <c r="C36" t="s">
        <v>76</v>
      </c>
      <c r="D36" s="3">
        <v>45712.99998842593</v>
      </c>
      <c r="E36" t="s">
        <v>77</v>
      </c>
      <c r="F36" s="4">
        <v>330.82399999999996</v>
      </c>
      <c r="G36" s="4">
        <v>530820.701</v>
      </c>
      <c r="H36" s="4">
        <v>531151.52500000002</v>
      </c>
      <c r="I36" s="5">
        <f>20891 / 86400</f>
        <v>0.24179398148148148</v>
      </c>
      <c r="J36" t="s">
        <v>78</v>
      </c>
      <c r="K36" t="s">
        <v>20</v>
      </c>
      <c r="L36" s="5">
        <f>65196 / 86400</f>
        <v>0.75458333333333338</v>
      </c>
      <c r="M36" s="5">
        <f>21191 / 86400</f>
        <v>0.24526620370370369</v>
      </c>
    </row>
    <row r="37" spans="1:13" x14ac:dyDescent="0.25">
      <c r="A37" t="s">
        <v>471</v>
      </c>
      <c r="B37" s="3">
        <v>45712.207662037035</v>
      </c>
      <c r="C37" t="s">
        <v>27</v>
      </c>
      <c r="D37" s="3">
        <v>45712.784456018519</v>
      </c>
      <c r="E37" t="s">
        <v>37</v>
      </c>
      <c r="F37" s="4">
        <v>187.46699999999998</v>
      </c>
      <c r="G37" s="4">
        <v>569964.39199999999</v>
      </c>
      <c r="H37" s="4">
        <v>570151.85900000005</v>
      </c>
      <c r="I37" s="5">
        <f>14633 / 86400</f>
        <v>0.16936342592592593</v>
      </c>
      <c r="J37" t="s">
        <v>38</v>
      </c>
      <c r="K37" t="s">
        <v>34</v>
      </c>
      <c r="L37" s="5">
        <f>43072 / 86400</f>
        <v>0.49851851851851853</v>
      </c>
      <c r="M37" s="5">
        <f>43325 / 86400</f>
        <v>0.5014467592592593</v>
      </c>
    </row>
    <row r="38" spans="1:13" x14ac:dyDescent="0.25">
      <c r="A38" t="s">
        <v>472</v>
      </c>
      <c r="B38" s="3">
        <v>45712.254479166666</v>
      </c>
      <c r="C38" t="s">
        <v>79</v>
      </c>
      <c r="D38" s="3">
        <v>45712.943344907406</v>
      </c>
      <c r="E38" t="s">
        <v>68</v>
      </c>
      <c r="F38" s="4">
        <v>220.352</v>
      </c>
      <c r="G38" s="4">
        <v>436634.08199999999</v>
      </c>
      <c r="H38" s="4">
        <v>436854.43400000001</v>
      </c>
      <c r="I38" s="5">
        <f>13416 / 86400</f>
        <v>0.15527777777777776</v>
      </c>
      <c r="J38" t="s">
        <v>80</v>
      </c>
      <c r="K38" t="s">
        <v>30</v>
      </c>
      <c r="L38" s="5">
        <f>46133 / 86400</f>
        <v>0.53394675925925927</v>
      </c>
      <c r="M38" s="5">
        <f>40263 / 86400</f>
        <v>0.46600694444444446</v>
      </c>
    </row>
    <row r="39" spans="1:13" x14ac:dyDescent="0.25">
      <c r="A39" t="s">
        <v>473</v>
      </c>
      <c r="B39" s="3">
        <v>45712.237858796296</v>
      </c>
      <c r="C39" t="s">
        <v>81</v>
      </c>
      <c r="D39" s="3">
        <v>45712.813634259262</v>
      </c>
      <c r="E39" t="s">
        <v>81</v>
      </c>
      <c r="F39" s="4">
        <v>205.25700000000001</v>
      </c>
      <c r="G39" s="4">
        <v>517660.63400000002</v>
      </c>
      <c r="H39" s="4">
        <v>517865.891</v>
      </c>
      <c r="I39" s="5">
        <f>17061 / 86400</f>
        <v>0.19746527777777778</v>
      </c>
      <c r="J39" t="s">
        <v>35</v>
      </c>
      <c r="K39" t="s">
        <v>59</v>
      </c>
      <c r="L39" s="5">
        <f>48068 / 86400</f>
        <v>0.55634259259259256</v>
      </c>
      <c r="M39" s="5">
        <f>38331 / 86400</f>
        <v>0.44364583333333335</v>
      </c>
    </row>
    <row r="40" spans="1:13" x14ac:dyDescent="0.25">
      <c r="A40" t="s">
        <v>474</v>
      </c>
      <c r="B40" s="3">
        <v>45712.220879629633</v>
      </c>
      <c r="C40" t="s">
        <v>82</v>
      </c>
      <c r="D40" s="3">
        <v>45712.812037037038</v>
      </c>
      <c r="E40" t="s">
        <v>82</v>
      </c>
      <c r="F40" s="4">
        <v>205.376</v>
      </c>
      <c r="G40" s="4">
        <v>506887.413</v>
      </c>
      <c r="H40" s="4">
        <v>507092.78899999999</v>
      </c>
      <c r="I40" s="5">
        <f>21688 / 86400</f>
        <v>0.25101851851851853</v>
      </c>
      <c r="J40" t="s">
        <v>70</v>
      </c>
      <c r="K40" t="s">
        <v>48</v>
      </c>
      <c r="L40" s="5">
        <f>51076 / 86400</f>
        <v>0.59115740740740741</v>
      </c>
      <c r="M40" s="5">
        <f>35323 / 86400</f>
        <v>0.4088310185185185</v>
      </c>
    </row>
    <row r="41" spans="1:13" x14ac:dyDescent="0.25">
      <c r="A41" t="s">
        <v>475</v>
      </c>
      <c r="B41" s="3">
        <v>45712.262372685189</v>
      </c>
      <c r="C41" t="s">
        <v>83</v>
      </c>
      <c r="D41" s="3">
        <v>45712.72378472222</v>
      </c>
      <c r="E41" t="s">
        <v>84</v>
      </c>
      <c r="F41" s="4">
        <v>137.083</v>
      </c>
      <c r="G41" s="4">
        <v>353795.02</v>
      </c>
      <c r="H41" s="4">
        <v>353932.103</v>
      </c>
      <c r="I41" s="5">
        <f>10274 / 86400</f>
        <v>0.11891203703703704</v>
      </c>
      <c r="J41" t="s">
        <v>29</v>
      </c>
      <c r="K41" t="s">
        <v>30</v>
      </c>
      <c r="L41" s="5">
        <f>29434 / 86400</f>
        <v>0.34067129629629628</v>
      </c>
      <c r="M41" s="5">
        <f>56964 / 86400</f>
        <v>0.65930555555555559</v>
      </c>
    </row>
    <row r="42" spans="1:13" x14ac:dyDescent="0.25">
      <c r="A42" t="s">
        <v>476</v>
      </c>
      <c r="B42" s="3">
        <v>45712.212743055556</v>
      </c>
      <c r="C42" t="s">
        <v>85</v>
      </c>
      <c r="D42" s="3">
        <v>45712.746863425928</v>
      </c>
      <c r="E42" t="s">
        <v>85</v>
      </c>
      <c r="F42" s="4">
        <v>211.26100000000002</v>
      </c>
      <c r="G42" s="4">
        <v>412503.74699999997</v>
      </c>
      <c r="H42" s="4">
        <v>412715.00799999997</v>
      </c>
      <c r="I42" s="5">
        <f>12714 / 86400</f>
        <v>0.14715277777777777</v>
      </c>
      <c r="J42" t="s">
        <v>86</v>
      </c>
      <c r="K42" t="s">
        <v>20</v>
      </c>
      <c r="L42" s="5">
        <f>41887 / 86400</f>
        <v>0.48480324074074072</v>
      </c>
      <c r="M42" s="5">
        <f>44509 / 86400</f>
        <v>0.51515046296296296</v>
      </c>
    </row>
    <row r="43" spans="1:13" x14ac:dyDescent="0.25">
      <c r="A43" t="s">
        <v>477</v>
      </c>
      <c r="B43" s="3">
        <v>45712.150671296295</v>
      </c>
      <c r="C43" t="s">
        <v>27</v>
      </c>
      <c r="D43" s="3">
        <v>45712.741215277776</v>
      </c>
      <c r="E43" t="s">
        <v>27</v>
      </c>
      <c r="F43" s="4">
        <v>207.54700000000003</v>
      </c>
      <c r="G43" s="4">
        <v>443320.82299999997</v>
      </c>
      <c r="H43" s="4">
        <v>443528.37</v>
      </c>
      <c r="I43" s="5">
        <f>10188 / 86400</f>
        <v>0.11791666666666667</v>
      </c>
      <c r="J43" t="s">
        <v>87</v>
      </c>
      <c r="K43" t="s">
        <v>20</v>
      </c>
      <c r="L43" s="5">
        <f>40793 / 86400</f>
        <v>0.47214120370370372</v>
      </c>
      <c r="M43" s="5">
        <f>45604 / 86400</f>
        <v>0.52782407407407406</v>
      </c>
    </row>
    <row r="44" spans="1:13" x14ac:dyDescent="0.25">
      <c r="A44" t="s">
        <v>478</v>
      </c>
      <c r="B44" s="3">
        <v>45712</v>
      </c>
      <c r="C44" t="s">
        <v>88</v>
      </c>
      <c r="D44" s="3">
        <v>45712.8440162037</v>
      </c>
      <c r="E44" t="s">
        <v>83</v>
      </c>
      <c r="F44" s="4">
        <v>210.23000000000002</v>
      </c>
      <c r="G44" s="4">
        <v>475655.87099999998</v>
      </c>
      <c r="H44" s="4">
        <v>475866.10100000002</v>
      </c>
      <c r="I44" s="5">
        <f>16677 / 86400</f>
        <v>0.19302083333333334</v>
      </c>
      <c r="J44" t="s">
        <v>89</v>
      </c>
      <c r="K44" t="s">
        <v>34</v>
      </c>
      <c r="L44" s="5">
        <f>47957 / 86400</f>
        <v>0.55505787037037035</v>
      </c>
      <c r="M44" s="5">
        <f>38438 / 86400</f>
        <v>0.44488425925925928</v>
      </c>
    </row>
    <row r="45" spans="1:13" x14ac:dyDescent="0.25">
      <c r="A45" t="s">
        <v>479</v>
      </c>
      <c r="B45" s="3">
        <v>45712.522187499999</v>
      </c>
      <c r="C45" t="s">
        <v>82</v>
      </c>
      <c r="D45" s="3">
        <v>45712.997245370367</v>
      </c>
      <c r="E45" t="s">
        <v>90</v>
      </c>
      <c r="F45" s="4">
        <v>158.505</v>
      </c>
      <c r="G45" s="4">
        <v>416151.43400000001</v>
      </c>
      <c r="H45" s="4">
        <v>416309.93900000001</v>
      </c>
      <c r="I45" s="5">
        <f>11116 / 86400</f>
        <v>0.12865740740740741</v>
      </c>
      <c r="J45" t="s">
        <v>26</v>
      </c>
      <c r="K45" t="s">
        <v>20</v>
      </c>
      <c r="L45" s="5">
        <f>31377 / 86400</f>
        <v>0.3631597222222222</v>
      </c>
      <c r="M45" s="5">
        <f>55019 / 86400</f>
        <v>0.63679398148148147</v>
      </c>
    </row>
    <row r="46" spans="1:13" x14ac:dyDescent="0.25">
      <c r="A46" t="s">
        <v>480</v>
      </c>
      <c r="B46" s="3">
        <v>45712.205162037033</v>
      </c>
      <c r="C46" t="s">
        <v>27</v>
      </c>
      <c r="D46" s="3">
        <v>45712.875567129631</v>
      </c>
      <c r="E46" t="s">
        <v>27</v>
      </c>
      <c r="F46" s="4">
        <v>212.39599999999999</v>
      </c>
      <c r="G46" s="4">
        <v>330719.16399999999</v>
      </c>
      <c r="H46" s="4">
        <v>330931.56</v>
      </c>
      <c r="I46" s="5">
        <f>13066 / 86400</f>
        <v>0.15122685185185186</v>
      </c>
      <c r="J46" t="s">
        <v>67</v>
      </c>
      <c r="K46" t="s">
        <v>30</v>
      </c>
      <c r="L46" s="5">
        <f>44708 / 86400</f>
        <v>0.51745370370370369</v>
      </c>
      <c r="M46" s="5">
        <f>41689 / 86400</f>
        <v>0.48251157407407408</v>
      </c>
    </row>
    <row r="47" spans="1:13" x14ac:dyDescent="0.25">
      <c r="A47" t="s">
        <v>481</v>
      </c>
      <c r="B47" s="3">
        <v>45712.270127314812</v>
      </c>
      <c r="C47" t="s">
        <v>91</v>
      </c>
      <c r="D47" s="3">
        <v>45712.811354166668</v>
      </c>
      <c r="E47" t="s">
        <v>18</v>
      </c>
      <c r="F47" s="4">
        <v>51.069999999999993</v>
      </c>
      <c r="G47" s="4">
        <v>82803.525999999998</v>
      </c>
      <c r="H47" s="4">
        <v>82854.596000000005</v>
      </c>
      <c r="I47" s="5">
        <f>16571 / 86400</f>
        <v>0.19179398148148147</v>
      </c>
      <c r="J47" t="s">
        <v>80</v>
      </c>
      <c r="K47" t="s">
        <v>92</v>
      </c>
      <c r="L47" s="5">
        <f>24249 / 86400</f>
        <v>0.28065972222222224</v>
      </c>
      <c r="M47" s="5">
        <f>62142 / 86400</f>
        <v>0.71923611111111108</v>
      </c>
    </row>
    <row r="48" spans="1:13" x14ac:dyDescent="0.25">
      <c r="A48" t="s">
        <v>482</v>
      </c>
      <c r="B48" s="3">
        <v>45712.383229166662</v>
      </c>
      <c r="C48" t="s">
        <v>93</v>
      </c>
      <c r="D48" s="3">
        <v>45712.894016203703</v>
      </c>
      <c r="E48" t="s">
        <v>93</v>
      </c>
      <c r="F48" s="4">
        <v>3.375</v>
      </c>
      <c r="G48" s="4">
        <v>472173.91899999999</v>
      </c>
      <c r="H48" s="4">
        <v>472177.29399999999</v>
      </c>
      <c r="I48" s="5">
        <f>2353 / 86400</f>
        <v>2.7233796296296298E-2</v>
      </c>
      <c r="J48" t="s">
        <v>94</v>
      </c>
      <c r="K48" t="s">
        <v>95</v>
      </c>
      <c r="L48" s="5">
        <f>3663 / 86400</f>
        <v>4.2395833333333334E-2</v>
      </c>
      <c r="M48" s="5">
        <f>82733 / 86400</f>
        <v>0.95755787037037032</v>
      </c>
    </row>
    <row r="49" spans="1:13" x14ac:dyDescent="0.25">
      <c r="A49" t="s">
        <v>483</v>
      </c>
      <c r="B49" s="3">
        <v>45712.392962962964</v>
      </c>
      <c r="C49" t="s">
        <v>84</v>
      </c>
      <c r="D49" s="3">
        <v>45712.99998842593</v>
      </c>
      <c r="E49" t="s">
        <v>84</v>
      </c>
      <c r="F49" s="4">
        <v>0</v>
      </c>
      <c r="G49" s="4">
        <v>428213.33600000001</v>
      </c>
      <c r="H49" s="4">
        <v>428213.33600000001</v>
      </c>
      <c r="I49" s="5">
        <f>48051 / 86400</f>
        <v>0.55614583333333334</v>
      </c>
      <c r="J49" t="s">
        <v>24</v>
      </c>
      <c r="K49" t="s">
        <v>24</v>
      </c>
      <c r="L49" s="5">
        <f>48191 / 86400</f>
        <v>0.55776620370370367</v>
      </c>
      <c r="M49" s="5">
        <f>38206 / 86400</f>
        <v>0.44219907407407405</v>
      </c>
    </row>
    <row r="50" spans="1:13" x14ac:dyDescent="0.25">
      <c r="A50" t="s">
        <v>484</v>
      </c>
      <c r="B50" s="3">
        <v>45712.225474537037</v>
      </c>
      <c r="C50" t="s">
        <v>27</v>
      </c>
      <c r="D50" s="3">
        <v>45712.938356481478</v>
      </c>
      <c r="E50" t="s">
        <v>27</v>
      </c>
      <c r="F50" s="4">
        <v>200.61099999999999</v>
      </c>
      <c r="G50" s="4">
        <v>577362.60499999998</v>
      </c>
      <c r="H50" s="4">
        <v>577563.21600000001</v>
      </c>
      <c r="I50" s="5">
        <f>21962 / 86400</f>
        <v>0.25418981481481484</v>
      </c>
      <c r="J50" t="s">
        <v>96</v>
      </c>
      <c r="K50" t="s">
        <v>71</v>
      </c>
      <c r="L50" s="5">
        <f>55171 / 86400</f>
        <v>0.63855324074074071</v>
      </c>
      <c r="M50" s="5">
        <f>31226 / 86400</f>
        <v>0.36141203703703706</v>
      </c>
    </row>
    <row r="51" spans="1:13" x14ac:dyDescent="0.25">
      <c r="A51" t="s">
        <v>485</v>
      </c>
      <c r="B51" s="3">
        <v>45712.236655092594</v>
      </c>
      <c r="C51" t="s">
        <v>97</v>
      </c>
      <c r="D51" s="3">
        <v>45712.600266203706</v>
      </c>
      <c r="E51" t="s">
        <v>97</v>
      </c>
      <c r="F51" s="4">
        <v>7.3460000000000001</v>
      </c>
      <c r="G51" s="4">
        <v>418161.734</v>
      </c>
      <c r="H51" s="4">
        <v>418169.08</v>
      </c>
      <c r="I51" s="5">
        <f>2436 / 86400</f>
        <v>2.8194444444444446E-2</v>
      </c>
      <c r="J51" t="s">
        <v>98</v>
      </c>
      <c r="K51" t="s">
        <v>99</v>
      </c>
      <c r="L51" s="5">
        <f>3985 / 86400</f>
        <v>4.6122685185185183E-2</v>
      </c>
      <c r="M51" s="5">
        <f>82412 / 86400</f>
        <v>0.95384259259259263</v>
      </c>
    </row>
    <row r="52" spans="1:13" x14ac:dyDescent="0.25">
      <c r="A52" t="s">
        <v>486</v>
      </c>
      <c r="B52" s="3">
        <v>45712.412094907406</v>
      </c>
      <c r="C52" t="s">
        <v>100</v>
      </c>
      <c r="D52" s="3">
        <v>45712.952824074076</v>
      </c>
      <c r="E52" t="s">
        <v>101</v>
      </c>
      <c r="F52" s="4">
        <v>45.888000000000005</v>
      </c>
      <c r="G52" s="4">
        <v>401729.44500000001</v>
      </c>
      <c r="H52" s="4">
        <v>401775.33299999998</v>
      </c>
      <c r="I52" s="5">
        <f>2949 / 86400</f>
        <v>3.4131944444444444E-2</v>
      </c>
      <c r="J52" t="s">
        <v>58</v>
      </c>
      <c r="K52" t="s">
        <v>20</v>
      </c>
      <c r="L52" s="5">
        <f>9181 / 86400</f>
        <v>0.10626157407407408</v>
      </c>
      <c r="M52" s="5">
        <f>77209 / 86400</f>
        <v>0.89362268518518517</v>
      </c>
    </row>
    <row r="53" spans="1:13" x14ac:dyDescent="0.25">
      <c r="A53" t="s">
        <v>487</v>
      </c>
      <c r="B53" s="3">
        <v>45712.206423611111</v>
      </c>
      <c r="C53" t="s">
        <v>27</v>
      </c>
      <c r="D53" s="3">
        <v>45712.850706018522</v>
      </c>
      <c r="E53" t="s">
        <v>27</v>
      </c>
      <c r="F53" s="4">
        <v>217.96899999999999</v>
      </c>
      <c r="G53" s="4">
        <v>383872.20500000002</v>
      </c>
      <c r="H53" s="4">
        <v>384090.174</v>
      </c>
      <c r="I53" s="5">
        <f>15652 / 86400</f>
        <v>0.18115740740740741</v>
      </c>
      <c r="J53" t="s">
        <v>58</v>
      </c>
      <c r="K53" t="s">
        <v>34</v>
      </c>
      <c r="L53" s="5">
        <f>47647 / 86400</f>
        <v>0.55146990740740742</v>
      </c>
      <c r="M53" s="5">
        <f>38742 / 86400</f>
        <v>0.44840277777777776</v>
      </c>
    </row>
    <row r="54" spans="1:13" x14ac:dyDescent="0.25">
      <c r="A54" t="s">
        <v>488</v>
      </c>
      <c r="B54" s="3">
        <v>45712.296967592592</v>
      </c>
      <c r="C54" t="s">
        <v>102</v>
      </c>
      <c r="D54" s="3">
        <v>45712.917986111112</v>
      </c>
      <c r="E54" t="s">
        <v>103</v>
      </c>
      <c r="F54" s="4">
        <v>197.44399999999999</v>
      </c>
      <c r="G54" s="4">
        <v>548182.61699999997</v>
      </c>
      <c r="H54" s="4">
        <v>548380.06099999999</v>
      </c>
      <c r="I54" s="5">
        <f>11632 / 86400</f>
        <v>0.13462962962962963</v>
      </c>
      <c r="J54" t="s">
        <v>104</v>
      </c>
      <c r="K54" t="s">
        <v>34</v>
      </c>
      <c r="L54" s="5">
        <f>44272 / 86400</f>
        <v>0.51240740740740742</v>
      </c>
      <c r="M54" s="5">
        <f>42123 / 86400</f>
        <v>0.48753472222222222</v>
      </c>
    </row>
    <row r="55" spans="1:13" x14ac:dyDescent="0.25">
      <c r="A55" t="s">
        <v>489</v>
      </c>
      <c r="B55" s="3">
        <v>45712.226435185185</v>
      </c>
      <c r="C55" t="s">
        <v>105</v>
      </c>
      <c r="D55" s="3">
        <v>45712.99998842593</v>
      </c>
      <c r="E55" t="s">
        <v>106</v>
      </c>
      <c r="F55" s="4">
        <v>226.102</v>
      </c>
      <c r="G55" s="4">
        <v>106499.91099999999</v>
      </c>
      <c r="H55" s="4">
        <v>106726.01300000001</v>
      </c>
      <c r="I55" s="5">
        <f>16933 / 86400</f>
        <v>0.19598379629629631</v>
      </c>
      <c r="J55" t="s">
        <v>19</v>
      </c>
      <c r="K55" t="s">
        <v>20</v>
      </c>
      <c r="L55" s="5">
        <f>45972 / 86400</f>
        <v>0.53208333333333335</v>
      </c>
      <c r="M55" s="5">
        <f>40427 / 86400</f>
        <v>0.46790509259259261</v>
      </c>
    </row>
    <row r="56" spans="1:13" x14ac:dyDescent="0.25">
      <c r="A56" t="s">
        <v>490</v>
      </c>
      <c r="B56" s="3">
        <v>45712.004201388889</v>
      </c>
      <c r="C56" t="s">
        <v>107</v>
      </c>
      <c r="D56" s="3">
        <v>45712.879745370374</v>
      </c>
      <c r="E56" t="s">
        <v>108</v>
      </c>
      <c r="F56" s="4">
        <v>213.69899999999998</v>
      </c>
      <c r="G56" s="4">
        <v>47417.332000000002</v>
      </c>
      <c r="H56" s="4">
        <v>47631.031000000003</v>
      </c>
      <c r="I56" s="5">
        <f>14503 / 86400</f>
        <v>0.1678587962962963</v>
      </c>
      <c r="J56" t="s">
        <v>109</v>
      </c>
      <c r="K56" t="s">
        <v>20</v>
      </c>
      <c r="L56" s="5">
        <f>42329 / 86400</f>
        <v>0.4899189814814815</v>
      </c>
      <c r="M56" s="5">
        <f>44070 / 86400</f>
        <v>0.51006944444444446</v>
      </c>
    </row>
    <row r="57" spans="1:13" x14ac:dyDescent="0.25">
      <c r="A57" t="s">
        <v>491</v>
      </c>
      <c r="B57" s="3">
        <v>45712</v>
      </c>
      <c r="C57" t="s">
        <v>110</v>
      </c>
      <c r="D57" s="3">
        <v>45712.99998842593</v>
      </c>
      <c r="E57" t="s">
        <v>111</v>
      </c>
      <c r="F57" s="4">
        <v>353.28899999999999</v>
      </c>
      <c r="G57" s="4">
        <v>43489.307999999997</v>
      </c>
      <c r="H57" s="4">
        <v>43842.597000000002</v>
      </c>
      <c r="I57" s="5">
        <f>18903 / 86400</f>
        <v>0.21878472222222223</v>
      </c>
      <c r="J57" t="s">
        <v>75</v>
      </c>
      <c r="K57" t="s">
        <v>112</v>
      </c>
      <c r="L57" s="5">
        <f>62840 / 86400</f>
        <v>0.72731481481481486</v>
      </c>
      <c r="M57" s="5">
        <f>23559 / 86400</f>
        <v>0.2726736111111111</v>
      </c>
    </row>
    <row r="58" spans="1:13" x14ac:dyDescent="0.25">
      <c r="A58" t="s">
        <v>492</v>
      </c>
      <c r="B58" s="3">
        <v>45712.265486111108</v>
      </c>
      <c r="C58" t="s">
        <v>113</v>
      </c>
      <c r="D58" s="3">
        <v>45712.867106481484</v>
      </c>
      <c r="E58" t="s">
        <v>113</v>
      </c>
      <c r="F58" s="4">
        <v>202.15299999999999</v>
      </c>
      <c r="G58" s="4">
        <v>193581.96900000001</v>
      </c>
      <c r="H58" s="4">
        <v>193784.122</v>
      </c>
      <c r="I58" s="5">
        <f>13518 / 86400</f>
        <v>0.15645833333333334</v>
      </c>
      <c r="J58" t="s">
        <v>86</v>
      </c>
      <c r="K58" t="s">
        <v>34</v>
      </c>
      <c r="L58" s="5">
        <f>44771 / 86400</f>
        <v>0.51818287037037036</v>
      </c>
      <c r="M58" s="5">
        <f>41621 / 86400</f>
        <v>0.48172453703703705</v>
      </c>
    </row>
    <row r="59" spans="1:13" x14ac:dyDescent="0.25">
      <c r="A59" t="s">
        <v>493</v>
      </c>
      <c r="B59" s="3">
        <v>45712.201956018514</v>
      </c>
      <c r="C59" t="s">
        <v>91</v>
      </c>
      <c r="D59" s="3">
        <v>45712.99998842593</v>
      </c>
      <c r="E59" t="s">
        <v>114</v>
      </c>
      <c r="F59" s="4">
        <v>303.2970000000596</v>
      </c>
      <c r="G59" s="4">
        <v>525147.03</v>
      </c>
      <c r="H59" s="4">
        <v>525450.32700000005</v>
      </c>
      <c r="I59" s="5">
        <f>22518 / 86400</f>
        <v>0.260625</v>
      </c>
      <c r="J59" t="s">
        <v>70</v>
      </c>
      <c r="K59" t="s">
        <v>30</v>
      </c>
      <c r="L59" s="5">
        <f>63382 / 86400</f>
        <v>0.73358796296296291</v>
      </c>
      <c r="M59" s="5">
        <f>23014 / 86400</f>
        <v>0.26636574074074076</v>
      </c>
    </row>
    <row r="60" spans="1:13" x14ac:dyDescent="0.25">
      <c r="A60" t="s">
        <v>494</v>
      </c>
      <c r="B60" s="3">
        <v>45712.263067129628</v>
      </c>
      <c r="C60" t="s">
        <v>105</v>
      </c>
      <c r="D60" s="3">
        <v>45712.883703703701</v>
      </c>
      <c r="E60" t="s">
        <v>105</v>
      </c>
      <c r="F60" s="4">
        <v>186.31399999999999</v>
      </c>
      <c r="G60" s="4">
        <v>24970.848999999998</v>
      </c>
      <c r="H60" s="4">
        <v>25157.163</v>
      </c>
      <c r="I60" s="5">
        <f>16335 / 86400</f>
        <v>0.18906249999999999</v>
      </c>
      <c r="J60" t="s">
        <v>41</v>
      </c>
      <c r="K60" t="s">
        <v>48</v>
      </c>
      <c r="L60" s="5">
        <f>46318 / 86400</f>
        <v>0.53608796296296302</v>
      </c>
      <c r="M60" s="5">
        <f>40075 / 86400</f>
        <v>0.46383101851851855</v>
      </c>
    </row>
    <row r="61" spans="1:13" x14ac:dyDescent="0.25">
      <c r="A61" t="s">
        <v>495</v>
      </c>
      <c r="B61" s="3">
        <v>45712.211597222224</v>
      </c>
      <c r="C61" t="s">
        <v>37</v>
      </c>
      <c r="D61" s="3">
        <v>45712.832766203705</v>
      </c>
      <c r="E61" t="s">
        <v>37</v>
      </c>
      <c r="F61" s="4">
        <v>228.886</v>
      </c>
      <c r="G61" s="4">
        <v>66012.485000000001</v>
      </c>
      <c r="H61" s="4">
        <v>66241.370999999999</v>
      </c>
      <c r="I61" s="5">
        <f>16380 / 86400</f>
        <v>0.18958333333333333</v>
      </c>
      <c r="J61" t="s">
        <v>67</v>
      </c>
      <c r="K61" t="s">
        <v>30</v>
      </c>
      <c r="L61" s="5">
        <f>48505 / 86400</f>
        <v>0.56140046296296298</v>
      </c>
      <c r="M61" s="5">
        <f>37890 / 86400</f>
        <v>0.43854166666666666</v>
      </c>
    </row>
    <row r="62" spans="1:13" x14ac:dyDescent="0.25">
      <c r="A62" t="s">
        <v>496</v>
      </c>
      <c r="B62" s="3">
        <v>45712</v>
      </c>
      <c r="C62" t="s">
        <v>115</v>
      </c>
      <c r="D62" s="3">
        <v>45712.997210648144</v>
      </c>
      <c r="E62" t="s">
        <v>116</v>
      </c>
      <c r="F62" s="4">
        <v>186.9</v>
      </c>
      <c r="G62" s="4">
        <v>410314.31</v>
      </c>
      <c r="H62" s="4">
        <v>410501.21</v>
      </c>
      <c r="I62" s="5">
        <f>9176 / 86400</f>
        <v>0.1062037037037037</v>
      </c>
      <c r="J62" t="s">
        <v>117</v>
      </c>
      <c r="K62" t="s">
        <v>112</v>
      </c>
      <c r="L62" s="5">
        <f>32862 / 86400</f>
        <v>0.38034722222222223</v>
      </c>
      <c r="M62" s="5">
        <f>53525 / 86400</f>
        <v>0.61950231481481477</v>
      </c>
    </row>
    <row r="63" spans="1:13" x14ac:dyDescent="0.25">
      <c r="A63" t="s">
        <v>497</v>
      </c>
      <c r="B63" s="3">
        <v>45712</v>
      </c>
      <c r="C63" t="s">
        <v>118</v>
      </c>
      <c r="D63" s="3">
        <v>45712.99998842593</v>
      </c>
      <c r="E63" t="s">
        <v>119</v>
      </c>
      <c r="F63" s="4">
        <v>189.04900000000001</v>
      </c>
      <c r="G63" s="4">
        <v>552798.08900000004</v>
      </c>
      <c r="H63" s="4">
        <v>552987.13800000004</v>
      </c>
      <c r="I63" s="5">
        <f>15179 / 86400</f>
        <v>0.17568287037037036</v>
      </c>
      <c r="J63" t="s">
        <v>26</v>
      </c>
      <c r="K63" t="s">
        <v>30</v>
      </c>
      <c r="L63" s="5">
        <f>40898 / 86400</f>
        <v>0.47335648148148146</v>
      </c>
      <c r="M63" s="5">
        <f>45501 / 86400</f>
        <v>0.5266319444444445</v>
      </c>
    </row>
    <row r="64" spans="1:13" x14ac:dyDescent="0.25">
      <c r="A64" t="s">
        <v>498</v>
      </c>
      <c r="B64" s="3">
        <v>45712</v>
      </c>
      <c r="C64" t="s">
        <v>120</v>
      </c>
      <c r="D64" s="3">
        <v>45712.996469907404</v>
      </c>
      <c r="E64" t="s">
        <v>121</v>
      </c>
      <c r="F64" s="4">
        <v>703.0600000000004</v>
      </c>
      <c r="G64" s="4">
        <v>2948.2449999999999</v>
      </c>
      <c r="H64" s="4">
        <v>3651.3050000000003</v>
      </c>
      <c r="I64" s="5">
        <f>16145 / 86400</f>
        <v>0.18686342592592592</v>
      </c>
      <c r="J64" t="s">
        <v>104</v>
      </c>
      <c r="K64" t="s">
        <v>122</v>
      </c>
      <c r="L64" s="5">
        <f>36390 / 86400</f>
        <v>0.42118055555555556</v>
      </c>
      <c r="M64" s="5">
        <f>50003 / 86400</f>
        <v>0.57873842592592595</v>
      </c>
    </row>
    <row r="65" spans="1:13" x14ac:dyDescent="0.25">
      <c r="A65" t="s">
        <v>499</v>
      </c>
      <c r="B65" s="3">
        <v>45712</v>
      </c>
      <c r="C65" t="s">
        <v>123</v>
      </c>
      <c r="D65" s="3">
        <v>45712.99998842593</v>
      </c>
      <c r="E65" t="s">
        <v>77</v>
      </c>
      <c r="F65" s="4">
        <v>282.36500000000001</v>
      </c>
      <c r="G65" s="4">
        <v>62461.288999999997</v>
      </c>
      <c r="H65" s="4">
        <v>62743.654000000002</v>
      </c>
      <c r="I65" s="5">
        <f>17618 / 86400</f>
        <v>0.20391203703703703</v>
      </c>
      <c r="J65" t="s">
        <v>124</v>
      </c>
      <c r="K65" t="s">
        <v>30</v>
      </c>
      <c r="L65" s="5">
        <f>58876 / 86400</f>
        <v>0.6814351851851852</v>
      </c>
      <c r="M65" s="5">
        <f>27515 / 86400</f>
        <v>0.31846064814814817</v>
      </c>
    </row>
    <row r="66" spans="1:13" x14ac:dyDescent="0.25">
      <c r="A66" t="s">
        <v>500</v>
      </c>
      <c r="B66" s="3">
        <v>45712.016770833332</v>
      </c>
      <c r="C66" t="s">
        <v>102</v>
      </c>
      <c r="D66" s="3">
        <v>45712.99998842593</v>
      </c>
      <c r="E66" t="s">
        <v>93</v>
      </c>
      <c r="F66" s="4">
        <v>160.86600000001491</v>
      </c>
      <c r="G66" s="4">
        <v>66163.460999999996</v>
      </c>
      <c r="H66" s="4">
        <v>66324.327000000005</v>
      </c>
      <c r="I66" s="5">
        <f>11882 / 86400</f>
        <v>0.13752314814814814</v>
      </c>
      <c r="J66" t="s">
        <v>117</v>
      </c>
      <c r="K66" t="s">
        <v>20</v>
      </c>
      <c r="L66" s="5">
        <f>31859 / 86400</f>
        <v>0.36873842592592593</v>
      </c>
      <c r="M66" s="5">
        <f>54540 / 86400</f>
        <v>0.63124999999999998</v>
      </c>
    </row>
    <row r="67" spans="1:13" x14ac:dyDescent="0.25">
      <c r="A67" t="s">
        <v>501</v>
      </c>
      <c r="B67" s="3">
        <v>45712.026562500003</v>
      </c>
      <c r="C67" t="s">
        <v>125</v>
      </c>
      <c r="D67" s="3">
        <v>45712.910613425927</v>
      </c>
      <c r="E67" t="s">
        <v>125</v>
      </c>
      <c r="F67" s="4">
        <v>188.99200000000002</v>
      </c>
      <c r="G67" s="4">
        <v>293721.60800000001</v>
      </c>
      <c r="H67" s="4">
        <v>293910.59999999998</v>
      </c>
      <c r="I67" s="5">
        <f>19956 / 86400</f>
        <v>0.23097222222222222</v>
      </c>
      <c r="J67" t="s">
        <v>29</v>
      </c>
      <c r="K67" t="s">
        <v>59</v>
      </c>
      <c r="L67" s="5">
        <f>46780 / 86400</f>
        <v>0.54143518518518519</v>
      </c>
      <c r="M67" s="5">
        <f>39617 / 86400</f>
        <v>0.45853009259259259</v>
      </c>
    </row>
    <row r="68" spans="1:13" x14ac:dyDescent="0.25">
      <c r="A68" s="6" t="s">
        <v>126</v>
      </c>
      <c r="B68" s="6" t="s">
        <v>127</v>
      </c>
      <c r="C68" s="6" t="s">
        <v>127</v>
      </c>
      <c r="D68" s="6" t="s">
        <v>127</v>
      </c>
      <c r="E68" s="6" t="s">
        <v>127</v>
      </c>
      <c r="F68" s="7">
        <v>10942.162698720351</v>
      </c>
      <c r="G68" s="6" t="s">
        <v>127</v>
      </c>
      <c r="H68" s="6" t="s">
        <v>127</v>
      </c>
      <c r="I68" s="8">
        <f>856809 / 86400</f>
        <v>9.9167708333333326</v>
      </c>
      <c r="J68" s="6" t="s">
        <v>127</v>
      </c>
      <c r="K68" s="6" t="s">
        <v>127</v>
      </c>
      <c r="L68" s="8">
        <f>2360992 / 86400</f>
        <v>27.326296296296295</v>
      </c>
      <c r="M68" s="8">
        <f>2822719 / 86400</f>
        <v>32.670358796296298</v>
      </c>
    </row>
    <row r="69" spans="1:13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</row>
    <row r="70" spans="1:13" s="9" customFormat="1" x14ac:dyDescent="0.25">
      <c r="A70" s="14" t="s">
        <v>128</v>
      </c>
      <c r="B70" s="14"/>
      <c r="C70" s="14"/>
      <c r="D70" s="14"/>
      <c r="E70" s="14"/>
      <c r="F70" s="14"/>
      <c r="G70" s="14"/>
      <c r="H70" s="14"/>
      <c r="I70" s="14"/>
      <c r="J70" s="14"/>
    </row>
    <row r="71" spans="1:13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</row>
    <row r="72" spans="1:13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</row>
    <row r="73" spans="1:13" s="10" customFormat="1" ht="20.100000000000001" customHeight="1" x14ac:dyDescent="0.35">
      <c r="A73" s="15" t="s">
        <v>442</v>
      </c>
      <c r="B73" s="15"/>
      <c r="C73" s="15"/>
      <c r="D73" s="15"/>
      <c r="E73" s="15"/>
      <c r="F73" s="15"/>
      <c r="G73" s="15"/>
      <c r="H73" s="15"/>
      <c r="I73" s="15"/>
      <c r="J73" s="15"/>
    </row>
    <row r="74" spans="1:13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</row>
    <row r="75" spans="1:13" ht="30" x14ac:dyDescent="0.25">
      <c r="A75" s="2" t="s">
        <v>6</v>
      </c>
      <c r="B75" s="2" t="s">
        <v>7</v>
      </c>
      <c r="C75" s="2" t="s">
        <v>8</v>
      </c>
      <c r="D75" s="2" t="s">
        <v>9</v>
      </c>
      <c r="E75" s="2" t="s">
        <v>10</v>
      </c>
      <c r="F75" s="2" t="s">
        <v>11</v>
      </c>
      <c r="G75" s="2" t="s">
        <v>12</v>
      </c>
      <c r="H75" s="2" t="s">
        <v>13</v>
      </c>
      <c r="I75" s="2" t="s">
        <v>14</v>
      </c>
      <c r="J75" s="2" t="s">
        <v>15</v>
      </c>
      <c r="K75" s="2" t="s">
        <v>16</v>
      </c>
      <c r="L75" s="2" t="s">
        <v>17</v>
      </c>
    </row>
    <row r="76" spans="1:13" x14ac:dyDescent="0.25">
      <c r="A76" s="3">
        <v>45712.186840277776</v>
      </c>
      <c r="B76" t="s">
        <v>18</v>
      </c>
      <c r="C76" s="3">
        <v>45712.186898148153</v>
      </c>
      <c r="D76" t="s">
        <v>18</v>
      </c>
      <c r="E76" s="4">
        <v>0</v>
      </c>
      <c r="F76" s="4">
        <v>516119.837</v>
      </c>
      <c r="G76" s="4">
        <v>516119.837</v>
      </c>
      <c r="H76" s="5">
        <f>0 / 86400</f>
        <v>0</v>
      </c>
      <c r="I76" t="s">
        <v>24</v>
      </c>
      <c r="J76" t="s">
        <v>24</v>
      </c>
      <c r="K76" s="5">
        <f>5 / 86400</f>
        <v>5.7870370370370373E-5</v>
      </c>
      <c r="L76" s="5">
        <f>16157 / 86400</f>
        <v>0.1870023148148148</v>
      </c>
    </row>
    <row r="77" spans="1:13" x14ac:dyDescent="0.25">
      <c r="A77" s="3">
        <v>45712.187060185184</v>
      </c>
      <c r="B77" t="s">
        <v>18</v>
      </c>
      <c r="C77" s="3">
        <v>45712.190115740741</v>
      </c>
      <c r="D77" t="s">
        <v>18</v>
      </c>
      <c r="E77" s="4">
        <v>0</v>
      </c>
      <c r="F77" s="4">
        <v>516119.837</v>
      </c>
      <c r="G77" s="4">
        <v>516119.837</v>
      </c>
      <c r="H77" s="5">
        <f>260 / 86400</f>
        <v>3.0092592592592593E-3</v>
      </c>
      <c r="I77" t="s">
        <v>24</v>
      </c>
      <c r="J77" t="s">
        <v>24</v>
      </c>
      <c r="K77" s="5">
        <f>264 / 86400</f>
        <v>3.0555555555555557E-3</v>
      </c>
      <c r="L77" s="5">
        <f>4 / 86400</f>
        <v>4.6296296296296294E-5</v>
      </c>
    </row>
    <row r="78" spans="1:13" x14ac:dyDescent="0.25">
      <c r="A78" s="3">
        <v>45712.190162037034</v>
      </c>
      <c r="B78" t="s">
        <v>18</v>
      </c>
      <c r="C78" s="3">
        <v>45712.190324074079</v>
      </c>
      <c r="D78" t="s">
        <v>18</v>
      </c>
      <c r="E78" s="4">
        <v>0</v>
      </c>
      <c r="F78" s="4">
        <v>516119.837</v>
      </c>
      <c r="G78" s="4">
        <v>516119.837</v>
      </c>
      <c r="H78" s="5">
        <f>12 / 86400</f>
        <v>1.3888888888888889E-4</v>
      </c>
      <c r="I78" t="s">
        <v>24</v>
      </c>
      <c r="J78" t="s">
        <v>24</v>
      </c>
      <c r="K78" s="5">
        <f>14 / 86400</f>
        <v>1.6203703703703703E-4</v>
      </c>
      <c r="L78" s="5">
        <f>7809 / 86400</f>
        <v>9.0381944444444445E-2</v>
      </c>
    </row>
    <row r="79" spans="1:13" x14ac:dyDescent="0.25">
      <c r="A79" s="3">
        <v>45712.280706018515</v>
      </c>
      <c r="B79" t="s">
        <v>18</v>
      </c>
      <c r="C79" s="3">
        <v>45712.290844907402</v>
      </c>
      <c r="D79" t="s">
        <v>18</v>
      </c>
      <c r="E79" s="4">
        <v>2.5999999999999999E-2</v>
      </c>
      <c r="F79" s="4">
        <v>516119.837</v>
      </c>
      <c r="G79" s="4">
        <v>516119.86300000001</v>
      </c>
      <c r="H79" s="5">
        <f>839 / 86400</f>
        <v>9.7106481481481488E-3</v>
      </c>
      <c r="I79" t="s">
        <v>129</v>
      </c>
      <c r="J79" t="s">
        <v>24</v>
      </c>
      <c r="K79" s="5">
        <f>876 / 86400</f>
        <v>1.0138888888888888E-2</v>
      </c>
      <c r="L79" s="5">
        <f>8 / 86400</f>
        <v>9.2592592592592588E-5</v>
      </c>
    </row>
    <row r="80" spans="1:13" x14ac:dyDescent="0.25">
      <c r="A80" s="3">
        <v>45712.290937500002</v>
      </c>
      <c r="B80" t="s">
        <v>18</v>
      </c>
      <c r="C80" s="3">
        <v>45712.29105324074</v>
      </c>
      <c r="D80" t="s">
        <v>18</v>
      </c>
      <c r="E80" s="4">
        <v>0</v>
      </c>
      <c r="F80" s="4">
        <v>516119.86300000001</v>
      </c>
      <c r="G80" s="4">
        <v>516119.86300000001</v>
      </c>
      <c r="H80" s="5">
        <f>0 / 86400</f>
        <v>0</v>
      </c>
      <c r="I80" t="s">
        <v>24</v>
      </c>
      <c r="J80" t="s">
        <v>24</v>
      </c>
      <c r="K80" s="5">
        <f>9 / 86400</f>
        <v>1.0416666666666667E-4</v>
      </c>
      <c r="L80" s="5">
        <f>2783 / 86400</f>
        <v>3.2210648148148148E-2</v>
      </c>
    </row>
    <row r="81" spans="1:12" x14ac:dyDescent="0.25">
      <c r="A81" s="3">
        <v>45712.323263888888</v>
      </c>
      <c r="B81" t="s">
        <v>18</v>
      </c>
      <c r="C81" s="3">
        <v>45712.331666666665</v>
      </c>
      <c r="D81" t="s">
        <v>130</v>
      </c>
      <c r="E81" s="4">
        <v>3.702</v>
      </c>
      <c r="F81" s="4">
        <v>516119.86300000001</v>
      </c>
      <c r="G81" s="4">
        <v>516123.565</v>
      </c>
      <c r="H81" s="5">
        <f>119 / 86400</f>
        <v>1.3773148148148147E-3</v>
      </c>
      <c r="I81" t="s">
        <v>131</v>
      </c>
      <c r="J81" t="s">
        <v>20</v>
      </c>
      <c r="K81" s="5">
        <f>726 / 86400</f>
        <v>8.4027777777777781E-3</v>
      </c>
      <c r="L81" s="5">
        <f>72 / 86400</f>
        <v>8.3333333333333339E-4</v>
      </c>
    </row>
    <row r="82" spans="1:12" x14ac:dyDescent="0.25">
      <c r="A82" s="3">
        <v>45712.332500000004</v>
      </c>
      <c r="B82" t="s">
        <v>130</v>
      </c>
      <c r="C82" s="3">
        <v>45712.397870370369</v>
      </c>
      <c r="D82" t="s">
        <v>132</v>
      </c>
      <c r="E82" s="4">
        <v>34.798999999999999</v>
      </c>
      <c r="F82" s="4">
        <v>516123.565</v>
      </c>
      <c r="G82" s="4">
        <v>516158.364</v>
      </c>
      <c r="H82" s="5">
        <f>1220 / 86400</f>
        <v>1.412037037037037E-2</v>
      </c>
      <c r="I82" t="s">
        <v>133</v>
      </c>
      <c r="J82" t="s">
        <v>134</v>
      </c>
      <c r="K82" s="5">
        <f>5648 / 86400</f>
        <v>6.537037037037037E-2</v>
      </c>
      <c r="L82" s="5">
        <f>1215 / 86400</f>
        <v>1.40625E-2</v>
      </c>
    </row>
    <row r="83" spans="1:12" x14ac:dyDescent="0.25">
      <c r="A83" s="3">
        <v>45712.411932870367</v>
      </c>
      <c r="B83" t="s">
        <v>132</v>
      </c>
      <c r="C83" s="3">
        <v>45712.413877314815</v>
      </c>
      <c r="D83" t="s">
        <v>21</v>
      </c>
      <c r="E83" s="4">
        <v>0.39800000000000002</v>
      </c>
      <c r="F83" s="4">
        <v>516158.364</v>
      </c>
      <c r="G83" s="4">
        <v>516158.76199999999</v>
      </c>
      <c r="H83" s="5">
        <f>0 / 86400</f>
        <v>0</v>
      </c>
      <c r="I83" t="s">
        <v>48</v>
      </c>
      <c r="J83" t="s">
        <v>135</v>
      </c>
      <c r="K83" s="5">
        <f>167 / 86400</f>
        <v>1.9328703703703704E-3</v>
      </c>
      <c r="L83" s="5">
        <f>2071 / 86400</f>
        <v>2.3969907407407409E-2</v>
      </c>
    </row>
    <row r="84" spans="1:12" x14ac:dyDescent="0.25">
      <c r="A84" s="3">
        <v>45712.437847222223</v>
      </c>
      <c r="B84" t="s">
        <v>21</v>
      </c>
      <c r="C84" s="3">
        <v>45712.613622685181</v>
      </c>
      <c r="D84" t="s">
        <v>136</v>
      </c>
      <c r="E84" s="4">
        <v>71.305000000000007</v>
      </c>
      <c r="F84" s="4">
        <v>516158.76199999999</v>
      </c>
      <c r="G84" s="4">
        <v>516230.06699999998</v>
      </c>
      <c r="H84" s="5">
        <f>4502 / 86400</f>
        <v>5.2106481481481483E-2</v>
      </c>
      <c r="I84" t="s">
        <v>70</v>
      </c>
      <c r="J84" t="s">
        <v>30</v>
      </c>
      <c r="K84" s="5">
        <f>15186 / 86400</f>
        <v>0.17576388888888889</v>
      </c>
      <c r="L84" s="5">
        <f>5831 / 86400</f>
        <v>6.7488425925925924E-2</v>
      </c>
    </row>
    <row r="85" spans="1:12" x14ac:dyDescent="0.25">
      <c r="A85" s="3">
        <v>45712.681111111116</v>
      </c>
      <c r="B85" t="s">
        <v>136</v>
      </c>
      <c r="C85" s="3">
        <v>45712.762812500005</v>
      </c>
      <c r="D85" t="s">
        <v>68</v>
      </c>
      <c r="E85" s="4">
        <v>37.128</v>
      </c>
      <c r="F85" s="4">
        <v>516230.06699999998</v>
      </c>
      <c r="G85" s="4">
        <v>516267.19500000001</v>
      </c>
      <c r="H85" s="5">
        <f>1741 / 86400</f>
        <v>2.0150462962962964E-2</v>
      </c>
      <c r="I85" t="s">
        <v>58</v>
      </c>
      <c r="J85" t="s">
        <v>137</v>
      </c>
      <c r="K85" s="5">
        <f>7058 / 86400</f>
        <v>8.1689814814814812E-2</v>
      </c>
      <c r="L85" s="5">
        <f>358 / 86400</f>
        <v>4.1435185185185186E-3</v>
      </c>
    </row>
    <row r="86" spans="1:12" x14ac:dyDescent="0.25">
      <c r="A86" s="3">
        <v>45712.766956018517</v>
      </c>
      <c r="B86" t="s">
        <v>68</v>
      </c>
      <c r="C86" s="3">
        <v>45712.769293981481</v>
      </c>
      <c r="D86" t="s">
        <v>138</v>
      </c>
      <c r="E86" s="4">
        <v>0.84199999999999997</v>
      </c>
      <c r="F86" s="4">
        <v>516267.19500000001</v>
      </c>
      <c r="G86" s="4">
        <v>516268.03700000001</v>
      </c>
      <c r="H86" s="5">
        <f>0 / 86400</f>
        <v>0</v>
      </c>
      <c r="I86" t="s">
        <v>139</v>
      </c>
      <c r="J86" t="s">
        <v>59</v>
      </c>
      <c r="K86" s="5">
        <f>202 / 86400</f>
        <v>2.3379629629629631E-3</v>
      </c>
      <c r="L86" s="5">
        <f>267 / 86400</f>
        <v>3.0902777777777777E-3</v>
      </c>
    </row>
    <row r="87" spans="1:12" x14ac:dyDescent="0.25">
      <c r="A87" s="3">
        <v>45712.77238425926</v>
      </c>
      <c r="B87" t="s">
        <v>140</v>
      </c>
      <c r="C87" s="3">
        <v>45712.911921296298</v>
      </c>
      <c r="D87" t="s">
        <v>141</v>
      </c>
      <c r="E87" s="4">
        <v>63.704999999999998</v>
      </c>
      <c r="F87" s="4">
        <v>516268.03700000001</v>
      </c>
      <c r="G87" s="4">
        <v>516331.74200000003</v>
      </c>
      <c r="H87" s="5">
        <f>3719 / 86400</f>
        <v>4.3043981481481482E-2</v>
      </c>
      <c r="I87" t="s">
        <v>19</v>
      </c>
      <c r="J87" t="s">
        <v>137</v>
      </c>
      <c r="K87" s="5">
        <f>12055 / 86400</f>
        <v>0.13952546296296298</v>
      </c>
      <c r="L87" s="5">
        <f>200 / 86400</f>
        <v>2.3148148148148147E-3</v>
      </c>
    </row>
    <row r="88" spans="1:12" x14ac:dyDescent="0.25">
      <c r="A88" s="3">
        <v>45712.914236111115</v>
      </c>
      <c r="B88" t="s">
        <v>142</v>
      </c>
      <c r="C88" s="3">
        <v>45712.918749999997</v>
      </c>
      <c r="D88" t="s">
        <v>18</v>
      </c>
      <c r="E88" s="4">
        <v>0.57199999999999995</v>
      </c>
      <c r="F88" s="4">
        <v>516331.74200000003</v>
      </c>
      <c r="G88" s="4">
        <v>516332.31400000001</v>
      </c>
      <c r="H88" s="5">
        <f>200 / 86400</f>
        <v>2.3148148148148147E-3</v>
      </c>
      <c r="I88" t="s">
        <v>20</v>
      </c>
      <c r="J88" t="s">
        <v>57</v>
      </c>
      <c r="K88" s="5">
        <f>389 / 86400</f>
        <v>4.5023148148148149E-3</v>
      </c>
      <c r="L88" s="5">
        <f>7019 / 86400</f>
        <v>8.1238425925925922E-2</v>
      </c>
    </row>
    <row r="89" spans="1:12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</row>
    <row r="90" spans="1:12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</row>
    <row r="91" spans="1:12" s="10" customFormat="1" ht="20.100000000000001" customHeight="1" x14ac:dyDescent="0.35">
      <c r="A91" s="15" t="s">
        <v>443</v>
      </c>
      <c r="B91" s="15"/>
      <c r="C91" s="15"/>
      <c r="D91" s="15"/>
      <c r="E91" s="15"/>
      <c r="F91" s="15"/>
      <c r="G91" s="15"/>
      <c r="H91" s="15"/>
      <c r="I91" s="15"/>
      <c r="J91" s="15"/>
    </row>
    <row r="92" spans="1:12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</row>
    <row r="93" spans="1:12" ht="30" x14ac:dyDescent="0.25">
      <c r="A93" s="2" t="s">
        <v>6</v>
      </c>
      <c r="B93" s="2" t="s">
        <v>7</v>
      </c>
      <c r="C93" s="2" t="s">
        <v>8</v>
      </c>
      <c r="D93" s="2" t="s">
        <v>9</v>
      </c>
      <c r="E93" s="2" t="s">
        <v>10</v>
      </c>
      <c r="F93" s="2" t="s">
        <v>11</v>
      </c>
      <c r="G93" s="2" t="s">
        <v>12</v>
      </c>
      <c r="H93" s="2" t="s">
        <v>13</v>
      </c>
      <c r="I93" s="2" t="s">
        <v>14</v>
      </c>
      <c r="J93" s="2" t="s">
        <v>15</v>
      </c>
      <c r="K93" s="2" t="s">
        <v>16</v>
      </c>
      <c r="L93" s="2" t="s">
        <v>17</v>
      </c>
    </row>
    <row r="94" spans="1:12" x14ac:dyDescent="0.25">
      <c r="A94" s="3">
        <v>45712.308020833334</v>
      </c>
      <c r="B94" t="s">
        <v>21</v>
      </c>
      <c r="C94" s="3">
        <v>45712.567881944444</v>
      </c>
      <c r="D94" t="s">
        <v>22</v>
      </c>
      <c r="E94" s="4">
        <v>4.4660000000000002</v>
      </c>
      <c r="F94" s="4">
        <v>20846.210999999999</v>
      </c>
      <c r="G94" s="4">
        <v>20850.677</v>
      </c>
      <c r="H94" s="5">
        <f>22111 / 86400</f>
        <v>0.25591435185185185</v>
      </c>
      <c r="I94" t="s">
        <v>23</v>
      </c>
      <c r="J94" t="s">
        <v>143</v>
      </c>
      <c r="K94" s="5">
        <f>22452 / 86400</f>
        <v>0.2598611111111111</v>
      </c>
      <c r="L94" s="5">
        <f>27195 / 86400</f>
        <v>0.31475694444444446</v>
      </c>
    </row>
    <row r="95" spans="1:12" x14ac:dyDescent="0.25">
      <c r="A95" s="3">
        <v>45712.574618055558</v>
      </c>
      <c r="B95" t="s">
        <v>22</v>
      </c>
      <c r="C95" s="3">
        <v>45712.575983796298</v>
      </c>
      <c r="D95" t="s">
        <v>22</v>
      </c>
      <c r="E95" s="4">
        <v>0</v>
      </c>
      <c r="F95" s="4">
        <v>20850.677</v>
      </c>
      <c r="G95" s="4">
        <v>20850.677</v>
      </c>
      <c r="H95" s="5">
        <f>99 / 86400</f>
        <v>1.1458333333333333E-3</v>
      </c>
      <c r="I95" t="s">
        <v>24</v>
      </c>
      <c r="J95" t="s">
        <v>24</v>
      </c>
      <c r="K95" s="5">
        <f>118 / 86400</f>
        <v>1.3657407407407407E-3</v>
      </c>
      <c r="L95" s="5">
        <f>302 / 86400</f>
        <v>3.4953703703703705E-3</v>
      </c>
    </row>
    <row r="96" spans="1:12" x14ac:dyDescent="0.25">
      <c r="A96" s="3">
        <v>45712.57947916667</v>
      </c>
      <c r="B96" t="s">
        <v>22</v>
      </c>
      <c r="C96" s="3">
        <v>45712.580277777779</v>
      </c>
      <c r="D96" t="s">
        <v>22</v>
      </c>
      <c r="E96" s="4">
        <v>0</v>
      </c>
      <c r="F96" s="4">
        <v>20850.677</v>
      </c>
      <c r="G96" s="4">
        <v>20850.677</v>
      </c>
      <c r="H96" s="5">
        <f>59 / 86400</f>
        <v>6.8287037037037036E-4</v>
      </c>
      <c r="I96" t="s">
        <v>24</v>
      </c>
      <c r="J96" t="s">
        <v>24</v>
      </c>
      <c r="K96" s="5">
        <f>68 / 86400</f>
        <v>7.8703703703703705E-4</v>
      </c>
      <c r="L96" s="5">
        <f>416 / 86400</f>
        <v>4.8148148148148152E-3</v>
      </c>
    </row>
    <row r="97" spans="1:12" x14ac:dyDescent="0.25">
      <c r="A97" s="3">
        <v>45712.585092592592</v>
      </c>
      <c r="B97" t="s">
        <v>22</v>
      </c>
      <c r="C97" s="3">
        <v>45712.588171296295</v>
      </c>
      <c r="D97" t="s">
        <v>22</v>
      </c>
      <c r="E97" s="4">
        <v>0</v>
      </c>
      <c r="F97" s="4">
        <v>20850.677</v>
      </c>
      <c r="G97" s="4">
        <v>20850.677</v>
      </c>
      <c r="H97" s="5">
        <f>259 / 86400</f>
        <v>2.9976851851851853E-3</v>
      </c>
      <c r="I97" t="s">
        <v>24</v>
      </c>
      <c r="J97" t="s">
        <v>24</v>
      </c>
      <c r="K97" s="5">
        <f>265 / 86400</f>
        <v>3.0671296296296297E-3</v>
      </c>
      <c r="L97" s="5">
        <f>733 / 86400</f>
        <v>8.4837962962962966E-3</v>
      </c>
    </row>
    <row r="98" spans="1:12" x14ac:dyDescent="0.25">
      <c r="A98" s="3">
        <v>45712.596655092595</v>
      </c>
      <c r="B98" t="s">
        <v>22</v>
      </c>
      <c r="C98" s="3">
        <v>45712.600370370375</v>
      </c>
      <c r="D98" t="s">
        <v>22</v>
      </c>
      <c r="E98" s="4">
        <v>0</v>
      </c>
      <c r="F98" s="4">
        <v>20850.677</v>
      </c>
      <c r="G98" s="4">
        <v>20850.677</v>
      </c>
      <c r="H98" s="5">
        <f>299 / 86400</f>
        <v>3.460648148148148E-3</v>
      </c>
      <c r="I98" t="s">
        <v>24</v>
      </c>
      <c r="J98" t="s">
        <v>24</v>
      </c>
      <c r="K98" s="5">
        <f>320 / 86400</f>
        <v>3.7037037037037038E-3</v>
      </c>
      <c r="L98" s="5">
        <f>793 / 86400</f>
        <v>9.1782407407407403E-3</v>
      </c>
    </row>
    <row r="99" spans="1:12" x14ac:dyDescent="0.25">
      <c r="A99" s="3">
        <v>45712.609548611115</v>
      </c>
      <c r="B99" t="s">
        <v>22</v>
      </c>
      <c r="C99" s="3">
        <v>45712.613449074073</v>
      </c>
      <c r="D99" t="s">
        <v>22</v>
      </c>
      <c r="E99" s="4">
        <v>0</v>
      </c>
      <c r="F99" s="4">
        <v>20850.677</v>
      </c>
      <c r="G99" s="4">
        <v>20850.677</v>
      </c>
      <c r="H99" s="5">
        <f>319 / 86400</f>
        <v>3.6921296296296298E-3</v>
      </c>
      <c r="I99" t="s">
        <v>24</v>
      </c>
      <c r="J99" t="s">
        <v>24</v>
      </c>
      <c r="K99" s="5">
        <f>337 / 86400</f>
        <v>3.9004629629629628E-3</v>
      </c>
      <c r="L99" s="5">
        <f>4185 / 86400</f>
        <v>4.8437500000000001E-2</v>
      </c>
    </row>
    <row r="100" spans="1:12" x14ac:dyDescent="0.25">
      <c r="A100" s="3">
        <v>45712.661886574075</v>
      </c>
      <c r="B100" t="s">
        <v>22</v>
      </c>
      <c r="C100" s="3">
        <v>45712.895150462966</v>
      </c>
      <c r="D100" t="s">
        <v>22</v>
      </c>
      <c r="E100" s="4">
        <v>0</v>
      </c>
      <c r="F100" s="4">
        <v>20850.677</v>
      </c>
      <c r="G100" s="4">
        <v>20850.677</v>
      </c>
      <c r="H100" s="5">
        <f>20139 / 86400</f>
        <v>0.23309027777777777</v>
      </c>
      <c r="I100" t="s">
        <v>24</v>
      </c>
      <c r="J100" t="s">
        <v>24</v>
      </c>
      <c r="K100" s="5">
        <f>20154 / 86400</f>
        <v>0.23326388888888888</v>
      </c>
      <c r="L100" s="5">
        <f>478 / 86400</f>
        <v>5.5324074074074078E-3</v>
      </c>
    </row>
    <row r="101" spans="1:12" x14ac:dyDescent="0.25">
      <c r="A101" s="3">
        <v>45712.900682870371</v>
      </c>
      <c r="B101" t="s">
        <v>22</v>
      </c>
      <c r="C101" s="3">
        <v>45712.902800925927</v>
      </c>
      <c r="D101" t="s">
        <v>22</v>
      </c>
      <c r="E101" s="4">
        <v>0</v>
      </c>
      <c r="F101" s="4">
        <v>20850.677</v>
      </c>
      <c r="G101" s="4">
        <v>20850.677</v>
      </c>
      <c r="H101" s="5">
        <f>179 / 86400</f>
        <v>2.0717592592592593E-3</v>
      </c>
      <c r="I101" t="s">
        <v>24</v>
      </c>
      <c r="J101" t="s">
        <v>24</v>
      </c>
      <c r="K101" s="5">
        <f>182 / 86400</f>
        <v>2.1064814814814813E-3</v>
      </c>
      <c r="L101" s="5">
        <f>6012 / 86400</f>
        <v>6.958333333333333E-2</v>
      </c>
    </row>
    <row r="102" spans="1:12" x14ac:dyDescent="0.25">
      <c r="A102" s="3">
        <v>45712.972384259258</v>
      </c>
      <c r="B102" t="s">
        <v>22</v>
      </c>
      <c r="C102" s="3">
        <v>45712.974976851852</v>
      </c>
      <c r="D102" t="s">
        <v>22</v>
      </c>
      <c r="E102" s="4">
        <v>0</v>
      </c>
      <c r="F102" s="4">
        <v>20850.677</v>
      </c>
      <c r="G102" s="4">
        <v>20850.677</v>
      </c>
      <c r="H102" s="5">
        <f>219 / 86400</f>
        <v>2.5347222222222221E-3</v>
      </c>
      <c r="I102" t="s">
        <v>24</v>
      </c>
      <c r="J102" t="s">
        <v>24</v>
      </c>
      <c r="K102" s="5">
        <f>224 / 86400</f>
        <v>2.5925925925925925E-3</v>
      </c>
      <c r="L102" s="5">
        <f>385 / 86400</f>
        <v>4.4560185185185189E-3</v>
      </c>
    </row>
    <row r="103" spans="1:12" x14ac:dyDescent="0.25">
      <c r="A103" s="3">
        <v>45712.979432870372</v>
      </c>
      <c r="B103" t="s">
        <v>22</v>
      </c>
      <c r="C103" s="3">
        <v>45712.979814814811</v>
      </c>
      <c r="D103" t="s">
        <v>22</v>
      </c>
      <c r="E103" s="4">
        <v>0</v>
      </c>
      <c r="F103" s="4">
        <v>20850.677</v>
      </c>
      <c r="G103" s="4">
        <v>20850.677</v>
      </c>
      <c r="H103" s="5">
        <f>19 / 86400</f>
        <v>2.199074074074074E-4</v>
      </c>
      <c r="I103" t="s">
        <v>24</v>
      </c>
      <c r="J103" t="s">
        <v>24</v>
      </c>
      <c r="K103" s="5">
        <f>33 / 86400</f>
        <v>3.8194444444444446E-4</v>
      </c>
      <c r="L103" s="5">
        <f>1743 / 86400</f>
        <v>2.0173611111111111E-2</v>
      </c>
    </row>
    <row r="104" spans="1:12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1:12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1:12" s="10" customFormat="1" ht="20.100000000000001" customHeight="1" x14ac:dyDescent="0.35">
      <c r="A106" s="15" t="s">
        <v>444</v>
      </c>
      <c r="B106" s="15"/>
      <c r="C106" s="15"/>
      <c r="D106" s="15"/>
      <c r="E106" s="15"/>
      <c r="F106" s="15"/>
      <c r="G106" s="15"/>
      <c r="H106" s="15"/>
      <c r="I106" s="15"/>
      <c r="J106" s="15"/>
    </row>
    <row r="107" spans="1:12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1:12" ht="30" x14ac:dyDescent="0.25">
      <c r="A108" s="2" t="s">
        <v>6</v>
      </c>
      <c r="B108" s="2" t="s">
        <v>7</v>
      </c>
      <c r="C108" s="2" t="s">
        <v>8</v>
      </c>
      <c r="D108" s="2" t="s">
        <v>9</v>
      </c>
      <c r="E108" s="2" t="s">
        <v>10</v>
      </c>
      <c r="F108" s="2" t="s">
        <v>11</v>
      </c>
      <c r="G108" s="2" t="s">
        <v>12</v>
      </c>
      <c r="H108" s="2" t="s">
        <v>13</v>
      </c>
      <c r="I108" s="2" t="s">
        <v>14</v>
      </c>
      <c r="J108" s="2" t="s">
        <v>15</v>
      </c>
      <c r="K108" s="2" t="s">
        <v>16</v>
      </c>
      <c r="L108" s="2" t="s">
        <v>17</v>
      </c>
    </row>
    <row r="109" spans="1:12" x14ac:dyDescent="0.25">
      <c r="A109" s="3">
        <v>45712.234189814815</v>
      </c>
      <c r="B109" t="s">
        <v>25</v>
      </c>
      <c r="C109" s="3">
        <v>45712.239386574074</v>
      </c>
      <c r="D109" t="s">
        <v>123</v>
      </c>
      <c r="E109" s="4">
        <v>1.4330000000000001</v>
      </c>
      <c r="F109" s="4">
        <v>330182.68900000001</v>
      </c>
      <c r="G109" s="4">
        <v>330184.12199999997</v>
      </c>
      <c r="H109" s="5">
        <f>199 / 86400</f>
        <v>2.3032407407407407E-3</v>
      </c>
      <c r="I109" t="s">
        <v>144</v>
      </c>
      <c r="J109" t="s">
        <v>145</v>
      </c>
      <c r="K109" s="5">
        <f>448 / 86400</f>
        <v>5.185185185185185E-3</v>
      </c>
      <c r="L109" s="5">
        <f>20643 / 86400</f>
        <v>0.2389236111111111</v>
      </c>
    </row>
    <row r="110" spans="1:12" x14ac:dyDescent="0.25">
      <c r="A110" s="3">
        <v>45712.244120370371</v>
      </c>
      <c r="B110" t="s">
        <v>123</v>
      </c>
      <c r="C110" s="3">
        <v>45712.33321759259</v>
      </c>
      <c r="D110" t="s">
        <v>146</v>
      </c>
      <c r="E110" s="4">
        <v>41.009</v>
      </c>
      <c r="F110" s="4">
        <v>330184.12199999997</v>
      </c>
      <c r="G110" s="4">
        <v>330225.13099999999</v>
      </c>
      <c r="H110" s="5">
        <f>2501 / 86400</f>
        <v>2.8946759259259259E-2</v>
      </c>
      <c r="I110" t="s">
        <v>26</v>
      </c>
      <c r="J110" t="s">
        <v>137</v>
      </c>
      <c r="K110" s="5">
        <f>7698 / 86400</f>
        <v>8.9097222222222217E-2</v>
      </c>
      <c r="L110" s="5">
        <f>21 / 86400</f>
        <v>2.4305555555555555E-4</v>
      </c>
    </row>
    <row r="111" spans="1:12" x14ac:dyDescent="0.25">
      <c r="A111" s="3">
        <v>45712.333460648151</v>
      </c>
      <c r="B111" t="s">
        <v>147</v>
      </c>
      <c r="C111" s="3">
        <v>45712.333518518513</v>
      </c>
      <c r="D111" t="s">
        <v>148</v>
      </c>
      <c r="E111" s="4">
        <v>5.0000000000000001E-3</v>
      </c>
      <c r="F111" s="4">
        <v>330225.13099999999</v>
      </c>
      <c r="G111" s="4">
        <v>330225.136</v>
      </c>
      <c r="H111" s="5">
        <f>0 / 86400</f>
        <v>0</v>
      </c>
      <c r="I111" t="s">
        <v>24</v>
      </c>
      <c r="J111" t="s">
        <v>129</v>
      </c>
      <c r="K111" s="5">
        <f>5 / 86400</f>
        <v>5.7870370370370373E-5</v>
      </c>
      <c r="L111" s="5">
        <f>59 / 86400</f>
        <v>6.8287037037037036E-4</v>
      </c>
    </row>
    <row r="112" spans="1:12" x14ac:dyDescent="0.25">
      <c r="A112" s="3">
        <v>45712.334201388891</v>
      </c>
      <c r="B112" t="s">
        <v>148</v>
      </c>
      <c r="C112" s="3">
        <v>45712.444282407407</v>
      </c>
      <c r="D112" t="s">
        <v>149</v>
      </c>
      <c r="E112" s="4">
        <v>49.286000000000001</v>
      </c>
      <c r="F112" s="4">
        <v>330225.136</v>
      </c>
      <c r="G112" s="4">
        <v>330274.42200000002</v>
      </c>
      <c r="H112" s="5">
        <f>2900 / 86400</f>
        <v>3.3564814814814818E-2</v>
      </c>
      <c r="I112" t="s">
        <v>61</v>
      </c>
      <c r="J112" t="s">
        <v>137</v>
      </c>
      <c r="K112" s="5">
        <f>9511 / 86400</f>
        <v>0.11008101851851852</v>
      </c>
      <c r="L112" s="5">
        <f>3129 / 86400</f>
        <v>3.6215277777777777E-2</v>
      </c>
    </row>
    <row r="113" spans="1:12" x14ac:dyDescent="0.25">
      <c r="A113" s="3">
        <v>45712.480497685188</v>
      </c>
      <c r="B113" t="s">
        <v>149</v>
      </c>
      <c r="C113" s="3">
        <v>45712.481493055559</v>
      </c>
      <c r="D113" t="s">
        <v>68</v>
      </c>
      <c r="E113" s="4">
        <v>0.14199999999999999</v>
      </c>
      <c r="F113" s="4">
        <v>330274.42200000002</v>
      </c>
      <c r="G113" s="4">
        <v>330274.56400000001</v>
      </c>
      <c r="H113" s="5">
        <f>19 / 86400</f>
        <v>2.199074074074074E-4</v>
      </c>
      <c r="I113" t="s">
        <v>34</v>
      </c>
      <c r="J113" t="s">
        <v>32</v>
      </c>
      <c r="K113" s="5">
        <f>86 / 86400</f>
        <v>9.9537037037037042E-4</v>
      </c>
      <c r="L113" s="5">
        <f>1573 / 86400</f>
        <v>1.8206018518518517E-2</v>
      </c>
    </row>
    <row r="114" spans="1:12" x14ac:dyDescent="0.25">
      <c r="A114" s="3">
        <v>45712.499699074076</v>
      </c>
      <c r="B114" t="s">
        <v>68</v>
      </c>
      <c r="C114" s="3">
        <v>45712.500844907408</v>
      </c>
      <c r="D114" t="s">
        <v>68</v>
      </c>
      <c r="E114" s="4">
        <v>6.6000000000000003E-2</v>
      </c>
      <c r="F114" s="4">
        <v>330274.56400000001</v>
      </c>
      <c r="G114" s="4">
        <v>330274.63</v>
      </c>
      <c r="H114" s="5">
        <f>40 / 86400</f>
        <v>4.6296296296296298E-4</v>
      </c>
      <c r="I114" t="s">
        <v>32</v>
      </c>
      <c r="J114" t="s">
        <v>150</v>
      </c>
      <c r="K114" s="5">
        <f>98 / 86400</f>
        <v>1.1342592592592593E-3</v>
      </c>
      <c r="L114" s="5">
        <f>372 / 86400</f>
        <v>4.3055555555555555E-3</v>
      </c>
    </row>
    <row r="115" spans="1:12" x14ac:dyDescent="0.25">
      <c r="A115" s="3">
        <v>45712.505150462966</v>
      </c>
      <c r="B115" t="s">
        <v>68</v>
      </c>
      <c r="C115" s="3">
        <v>45712.509062500001</v>
      </c>
      <c r="D115" t="s">
        <v>151</v>
      </c>
      <c r="E115" s="4">
        <v>1.393</v>
      </c>
      <c r="F115" s="4">
        <v>330274.63</v>
      </c>
      <c r="G115" s="4">
        <v>330276.02299999999</v>
      </c>
      <c r="H115" s="5">
        <f>20 / 86400</f>
        <v>2.3148148148148149E-4</v>
      </c>
      <c r="I115" t="s">
        <v>152</v>
      </c>
      <c r="J115" t="s">
        <v>59</v>
      </c>
      <c r="K115" s="5">
        <f>338 / 86400</f>
        <v>3.9120370370370368E-3</v>
      </c>
      <c r="L115" s="5">
        <f>3584 / 86400</f>
        <v>4.148148148148148E-2</v>
      </c>
    </row>
    <row r="116" spans="1:12" x14ac:dyDescent="0.25">
      <c r="A116" s="3">
        <v>45712.550543981481</v>
      </c>
      <c r="B116" t="s">
        <v>151</v>
      </c>
      <c r="C116" s="3">
        <v>45712.551261574074</v>
      </c>
      <c r="D116" t="s">
        <v>21</v>
      </c>
      <c r="E116" s="4">
        <v>7.8E-2</v>
      </c>
      <c r="F116" s="4">
        <v>330276.02299999999</v>
      </c>
      <c r="G116" s="4">
        <v>330276.10100000002</v>
      </c>
      <c r="H116" s="5">
        <f>40 / 86400</f>
        <v>4.6296296296296298E-4</v>
      </c>
      <c r="I116" t="s">
        <v>99</v>
      </c>
      <c r="J116" t="s">
        <v>57</v>
      </c>
      <c r="K116" s="5">
        <f>61 / 86400</f>
        <v>7.0601851851851847E-4</v>
      </c>
      <c r="L116" s="5">
        <f>1030 / 86400</f>
        <v>1.1921296296296296E-2</v>
      </c>
    </row>
    <row r="117" spans="1:12" x14ac:dyDescent="0.25">
      <c r="A117" s="3">
        <v>45712.56318287037</v>
      </c>
      <c r="B117" t="s">
        <v>21</v>
      </c>
      <c r="C117" s="3">
        <v>45712.676215277781</v>
      </c>
      <c r="D117" t="s">
        <v>148</v>
      </c>
      <c r="E117" s="4">
        <v>48.203000000000003</v>
      </c>
      <c r="F117" s="4">
        <v>330276.10100000002</v>
      </c>
      <c r="G117" s="4">
        <v>330324.304</v>
      </c>
      <c r="H117" s="5">
        <f>3419 / 86400</f>
        <v>3.9571759259259258E-2</v>
      </c>
      <c r="I117" t="s">
        <v>41</v>
      </c>
      <c r="J117" t="s">
        <v>20</v>
      </c>
      <c r="K117" s="5">
        <f>9766 / 86400</f>
        <v>0.1130324074074074</v>
      </c>
      <c r="L117" s="5">
        <f>161 / 86400</f>
        <v>1.8634259259259259E-3</v>
      </c>
    </row>
    <row r="118" spans="1:12" x14ac:dyDescent="0.25">
      <c r="A118" s="3">
        <v>45712.678078703699</v>
      </c>
      <c r="B118" t="s">
        <v>153</v>
      </c>
      <c r="C118" s="3">
        <v>45712.836527777778</v>
      </c>
      <c r="D118" t="s">
        <v>154</v>
      </c>
      <c r="E118" s="4">
        <v>74.063999999999993</v>
      </c>
      <c r="F118" s="4">
        <v>330324.304</v>
      </c>
      <c r="G118" s="4">
        <v>330398.36800000002</v>
      </c>
      <c r="H118" s="5">
        <f>4401 / 86400</f>
        <v>5.0937499999999997E-2</v>
      </c>
      <c r="I118" t="s">
        <v>54</v>
      </c>
      <c r="J118" t="s">
        <v>137</v>
      </c>
      <c r="K118" s="5">
        <f>13689 / 86400</f>
        <v>0.15843750000000001</v>
      </c>
      <c r="L118" s="5">
        <f>129 / 86400</f>
        <v>1.4930555555555556E-3</v>
      </c>
    </row>
    <row r="119" spans="1:12" x14ac:dyDescent="0.25">
      <c r="A119" s="3">
        <v>45712.838020833333</v>
      </c>
      <c r="B119" t="s">
        <v>155</v>
      </c>
      <c r="C119" s="3">
        <v>45712.878506944442</v>
      </c>
      <c r="D119" t="s">
        <v>156</v>
      </c>
      <c r="E119" s="4">
        <v>16.271999999999998</v>
      </c>
      <c r="F119" s="4">
        <v>330398.36800000002</v>
      </c>
      <c r="G119" s="4">
        <v>330414.64</v>
      </c>
      <c r="H119" s="5">
        <f>1500 / 86400</f>
        <v>1.7361111111111112E-2</v>
      </c>
      <c r="I119" t="s">
        <v>133</v>
      </c>
      <c r="J119" t="s">
        <v>30</v>
      </c>
      <c r="K119" s="5">
        <f>3498 / 86400</f>
        <v>4.0486111111111112E-2</v>
      </c>
      <c r="L119" s="5">
        <f>107 / 86400</f>
        <v>1.238425925925926E-3</v>
      </c>
    </row>
    <row r="120" spans="1:12" x14ac:dyDescent="0.25">
      <c r="A120" s="3">
        <v>45712.879745370374</v>
      </c>
      <c r="B120" t="s">
        <v>156</v>
      </c>
      <c r="C120" s="3">
        <v>45712.881655092591</v>
      </c>
      <c r="D120" t="s">
        <v>90</v>
      </c>
      <c r="E120" s="4">
        <v>0.86099999999999999</v>
      </c>
      <c r="F120" s="4">
        <v>330414.64</v>
      </c>
      <c r="G120" s="4">
        <v>330415.50099999999</v>
      </c>
      <c r="H120" s="5">
        <f>20 / 86400</f>
        <v>2.3148148148148149E-4</v>
      </c>
      <c r="I120" t="s">
        <v>157</v>
      </c>
      <c r="J120" t="s">
        <v>137</v>
      </c>
      <c r="K120" s="5">
        <f>164 / 86400</f>
        <v>1.8981481481481482E-3</v>
      </c>
      <c r="L120" s="5">
        <f>445 / 86400</f>
        <v>5.1504629629629626E-3</v>
      </c>
    </row>
    <row r="121" spans="1:12" x14ac:dyDescent="0.25">
      <c r="A121" s="3">
        <v>45712.88680555555</v>
      </c>
      <c r="B121" t="s">
        <v>90</v>
      </c>
      <c r="C121" s="3">
        <v>45712.88690972222</v>
      </c>
      <c r="D121" t="s">
        <v>90</v>
      </c>
      <c r="E121" s="4">
        <v>3.0000000000000001E-3</v>
      </c>
      <c r="F121" s="4">
        <v>330415.50099999999</v>
      </c>
      <c r="G121" s="4">
        <v>330415.50400000002</v>
      </c>
      <c r="H121" s="5">
        <f>0 / 86400</f>
        <v>0</v>
      </c>
      <c r="I121" t="s">
        <v>24</v>
      </c>
      <c r="J121" t="s">
        <v>143</v>
      </c>
      <c r="K121" s="5">
        <f>8 / 86400</f>
        <v>9.2592592592592588E-5</v>
      </c>
      <c r="L121" s="5">
        <f>158 / 86400</f>
        <v>1.8287037037037037E-3</v>
      </c>
    </row>
    <row r="122" spans="1:12" x14ac:dyDescent="0.25">
      <c r="A122" s="3">
        <v>45712.888738425929</v>
      </c>
      <c r="B122" t="s">
        <v>90</v>
      </c>
      <c r="C122" s="3">
        <v>45712.890729166669</v>
      </c>
      <c r="D122" t="s">
        <v>158</v>
      </c>
      <c r="E122" s="4">
        <v>0.91200000000000003</v>
      </c>
      <c r="F122" s="4">
        <v>330415.50400000002</v>
      </c>
      <c r="G122" s="4">
        <v>330416.41600000003</v>
      </c>
      <c r="H122" s="5">
        <f>24 / 86400</f>
        <v>2.7777777777777778E-4</v>
      </c>
      <c r="I122" t="s">
        <v>159</v>
      </c>
      <c r="J122" t="s">
        <v>137</v>
      </c>
      <c r="K122" s="5">
        <f>171 / 86400</f>
        <v>1.9791666666666668E-3</v>
      </c>
      <c r="L122" s="5">
        <f>325 / 86400</f>
        <v>3.7615740740740739E-3</v>
      </c>
    </row>
    <row r="123" spans="1:12" x14ac:dyDescent="0.25">
      <c r="A123" s="3">
        <v>45712.894490740742</v>
      </c>
      <c r="B123" t="s">
        <v>158</v>
      </c>
      <c r="C123" s="3">
        <v>45712.895416666666</v>
      </c>
      <c r="D123" t="s">
        <v>25</v>
      </c>
      <c r="E123" s="4">
        <v>0.443</v>
      </c>
      <c r="F123" s="4">
        <v>330416.41600000003</v>
      </c>
      <c r="G123" s="4">
        <v>330416.859</v>
      </c>
      <c r="H123" s="5">
        <f>0 / 86400</f>
        <v>0</v>
      </c>
      <c r="I123" t="s">
        <v>160</v>
      </c>
      <c r="J123" t="s">
        <v>112</v>
      </c>
      <c r="K123" s="5">
        <f>79 / 86400</f>
        <v>9.1435185185185185E-4</v>
      </c>
      <c r="L123" s="5">
        <f>37 / 86400</f>
        <v>4.2824074074074075E-4</v>
      </c>
    </row>
    <row r="124" spans="1:12" x14ac:dyDescent="0.25">
      <c r="A124" s="3">
        <v>45712.895844907413</v>
      </c>
      <c r="B124" t="s">
        <v>25</v>
      </c>
      <c r="C124" s="3">
        <v>45712.896817129629</v>
      </c>
      <c r="D124" t="s">
        <v>25</v>
      </c>
      <c r="E124" s="4">
        <v>2.7E-2</v>
      </c>
      <c r="F124" s="4">
        <v>330416.859</v>
      </c>
      <c r="G124" s="4">
        <v>330416.886</v>
      </c>
      <c r="H124" s="5">
        <f>20 / 86400</f>
        <v>2.3148148148148149E-4</v>
      </c>
      <c r="I124" t="s">
        <v>92</v>
      </c>
      <c r="J124" t="s">
        <v>143</v>
      </c>
      <c r="K124" s="5">
        <f>83 / 86400</f>
        <v>9.6064814814814819E-4</v>
      </c>
      <c r="L124" s="5">
        <f>8914 / 86400</f>
        <v>0.1031712962962963</v>
      </c>
    </row>
    <row r="125" spans="1:12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1:12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1:12" s="10" customFormat="1" ht="20.100000000000001" customHeight="1" x14ac:dyDescent="0.35">
      <c r="A127" s="15" t="s">
        <v>445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1:12" ht="30" x14ac:dyDescent="0.25">
      <c r="A129" s="2" t="s">
        <v>6</v>
      </c>
      <c r="B129" s="2" t="s">
        <v>7</v>
      </c>
      <c r="C129" s="2" t="s">
        <v>8</v>
      </c>
      <c r="D129" s="2" t="s">
        <v>9</v>
      </c>
      <c r="E129" s="2" t="s">
        <v>10</v>
      </c>
      <c r="F129" s="2" t="s">
        <v>11</v>
      </c>
      <c r="G129" s="2" t="s">
        <v>12</v>
      </c>
      <c r="H129" s="2" t="s">
        <v>13</v>
      </c>
      <c r="I129" s="2" t="s">
        <v>14</v>
      </c>
      <c r="J129" s="2" t="s">
        <v>15</v>
      </c>
      <c r="K129" s="2" t="s">
        <v>16</v>
      </c>
      <c r="L129" s="2" t="s">
        <v>17</v>
      </c>
    </row>
    <row r="130" spans="1:12" x14ac:dyDescent="0.25">
      <c r="A130" s="3">
        <v>45712.614791666667</v>
      </c>
      <c r="B130" t="s">
        <v>27</v>
      </c>
      <c r="C130" s="3">
        <v>45712.615717592591</v>
      </c>
      <c r="D130" t="s">
        <v>27</v>
      </c>
      <c r="E130" s="4">
        <v>4.0000000000000001E-3</v>
      </c>
      <c r="F130" s="4">
        <v>21964.315999999999</v>
      </c>
      <c r="G130" s="4">
        <v>21964.32</v>
      </c>
      <c r="H130" s="5">
        <f>79 / 86400</f>
        <v>9.1435185185185185E-4</v>
      </c>
      <c r="I130" t="s">
        <v>24</v>
      </c>
      <c r="J130" t="s">
        <v>24</v>
      </c>
      <c r="K130" s="5">
        <f>80 / 86400</f>
        <v>9.2592592592592596E-4</v>
      </c>
      <c r="L130" s="5">
        <f>86319 / 86400</f>
        <v>0.99906249999999996</v>
      </c>
    </row>
    <row r="131" spans="1:12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</row>
    <row r="132" spans="1:12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1:12" s="10" customFormat="1" ht="20.100000000000001" customHeight="1" x14ac:dyDescent="0.35">
      <c r="A133" s="15" t="s">
        <v>446</v>
      </c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1:12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1:12" ht="30" x14ac:dyDescent="0.25">
      <c r="A135" s="2" t="s">
        <v>6</v>
      </c>
      <c r="B135" s="2" t="s">
        <v>7</v>
      </c>
      <c r="C135" s="2" t="s">
        <v>8</v>
      </c>
      <c r="D135" s="2" t="s">
        <v>9</v>
      </c>
      <c r="E135" s="2" t="s">
        <v>10</v>
      </c>
      <c r="F135" s="2" t="s">
        <v>11</v>
      </c>
      <c r="G135" s="2" t="s">
        <v>12</v>
      </c>
      <c r="H135" s="2" t="s">
        <v>13</v>
      </c>
      <c r="I135" s="2" t="s">
        <v>14</v>
      </c>
      <c r="J135" s="2" t="s">
        <v>15</v>
      </c>
      <c r="K135" s="2" t="s">
        <v>16</v>
      </c>
      <c r="L135" s="2" t="s">
        <v>17</v>
      </c>
    </row>
    <row r="136" spans="1:12" x14ac:dyDescent="0.25">
      <c r="A136" s="3">
        <v>45712.240358796298</v>
      </c>
      <c r="B136" t="s">
        <v>28</v>
      </c>
      <c r="C136" s="3">
        <v>45712.301365740743</v>
      </c>
      <c r="D136" t="s">
        <v>161</v>
      </c>
      <c r="E136" s="4">
        <v>33.884</v>
      </c>
      <c r="F136" s="4">
        <v>515353.74099999998</v>
      </c>
      <c r="G136" s="4">
        <v>515387.625</v>
      </c>
      <c r="H136" s="5">
        <f>1180 / 86400</f>
        <v>1.3657407407407408E-2</v>
      </c>
      <c r="I136" t="s">
        <v>61</v>
      </c>
      <c r="J136" t="s">
        <v>139</v>
      </c>
      <c r="K136" s="5">
        <f>5270 / 86400</f>
        <v>6.0995370370370373E-2</v>
      </c>
      <c r="L136" s="5">
        <f>24536 / 86400</f>
        <v>0.2839814814814815</v>
      </c>
    </row>
    <row r="137" spans="1:12" x14ac:dyDescent="0.25">
      <c r="A137" s="3">
        <v>45712.344988425924</v>
      </c>
      <c r="B137" t="s">
        <v>161</v>
      </c>
      <c r="C137" s="3">
        <v>45712.349120370374</v>
      </c>
      <c r="D137" t="s">
        <v>21</v>
      </c>
      <c r="E137" s="4">
        <v>0.90600000000000003</v>
      </c>
      <c r="F137" s="4">
        <v>515387.625</v>
      </c>
      <c r="G137" s="4">
        <v>515388.53100000002</v>
      </c>
      <c r="H137" s="5">
        <f>39 / 86400</f>
        <v>4.5138888888888887E-4</v>
      </c>
      <c r="I137" t="s">
        <v>34</v>
      </c>
      <c r="J137" t="s">
        <v>135</v>
      </c>
      <c r="K137" s="5">
        <f>357 / 86400</f>
        <v>4.1319444444444442E-3</v>
      </c>
      <c r="L137" s="5">
        <f>2181 / 86400</f>
        <v>2.5243055555555557E-2</v>
      </c>
    </row>
    <row r="138" spans="1:12" x14ac:dyDescent="0.25">
      <c r="A138" s="3">
        <v>45712.37436342593</v>
      </c>
      <c r="B138" t="s">
        <v>21</v>
      </c>
      <c r="C138" s="3">
        <v>45712.485335648147</v>
      </c>
      <c r="D138" t="s">
        <v>162</v>
      </c>
      <c r="E138" s="4">
        <v>50.991</v>
      </c>
      <c r="F138" s="4">
        <v>515388.53100000002</v>
      </c>
      <c r="G138" s="4">
        <v>515439.522</v>
      </c>
      <c r="H138" s="5">
        <f>2857 / 86400</f>
        <v>3.3067129629629627E-2</v>
      </c>
      <c r="I138" t="s">
        <v>86</v>
      </c>
      <c r="J138" t="s">
        <v>137</v>
      </c>
      <c r="K138" s="5">
        <f>9588 / 86400</f>
        <v>0.11097222222222222</v>
      </c>
      <c r="L138" s="5">
        <f>1622 / 86400</f>
        <v>1.8773148148148146E-2</v>
      </c>
    </row>
    <row r="139" spans="1:12" x14ac:dyDescent="0.25">
      <c r="A139" s="3">
        <v>45712.504108796296</v>
      </c>
      <c r="B139" t="s">
        <v>162</v>
      </c>
      <c r="C139" s="3">
        <v>45712.633657407408</v>
      </c>
      <c r="D139" t="s">
        <v>161</v>
      </c>
      <c r="E139" s="4">
        <v>51.432000000000002</v>
      </c>
      <c r="F139" s="4">
        <v>515439.522</v>
      </c>
      <c r="G139" s="4">
        <v>515490.95400000003</v>
      </c>
      <c r="H139" s="5">
        <f>3200 / 86400</f>
        <v>3.7037037037037035E-2</v>
      </c>
      <c r="I139" t="s">
        <v>61</v>
      </c>
      <c r="J139" t="s">
        <v>30</v>
      </c>
      <c r="K139" s="5">
        <f>11192 / 86400</f>
        <v>0.12953703703703703</v>
      </c>
      <c r="L139" s="5">
        <f>3123 / 86400</f>
        <v>3.6145833333333335E-2</v>
      </c>
    </row>
    <row r="140" spans="1:12" x14ac:dyDescent="0.25">
      <c r="A140" s="3">
        <v>45712.669803240744</v>
      </c>
      <c r="B140" t="s">
        <v>161</v>
      </c>
      <c r="C140" s="3">
        <v>45712.67387731481</v>
      </c>
      <c r="D140" t="s">
        <v>68</v>
      </c>
      <c r="E140" s="4">
        <v>0.93200000000000005</v>
      </c>
      <c r="F140" s="4">
        <v>515490.95400000003</v>
      </c>
      <c r="G140" s="4">
        <v>515491.886</v>
      </c>
      <c r="H140" s="5">
        <f>79 / 86400</f>
        <v>9.1435185185185185E-4</v>
      </c>
      <c r="I140" t="s">
        <v>163</v>
      </c>
      <c r="J140" t="s">
        <v>51</v>
      </c>
      <c r="K140" s="5">
        <f>352 / 86400</f>
        <v>4.0740740740740737E-3</v>
      </c>
      <c r="L140" s="5">
        <f>411 / 86400</f>
        <v>4.7569444444444447E-3</v>
      </c>
    </row>
    <row r="141" spans="1:12" x14ac:dyDescent="0.25">
      <c r="A141" s="3">
        <v>45712.67863425926</v>
      </c>
      <c r="B141" t="s">
        <v>68</v>
      </c>
      <c r="C141" s="3">
        <v>45712.679872685185</v>
      </c>
      <c r="D141" t="s">
        <v>114</v>
      </c>
      <c r="E141" s="4">
        <v>0.25800000000000001</v>
      </c>
      <c r="F141" s="4">
        <v>515491.886</v>
      </c>
      <c r="G141" s="4">
        <v>515492.14399999997</v>
      </c>
      <c r="H141" s="5">
        <f>0 / 86400</f>
        <v>0</v>
      </c>
      <c r="I141" t="s">
        <v>164</v>
      </c>
      <c r="J141" t="s">
        <v>135</v>
      </c>
      <c r="K141" s="5">
        <f>106 / 86400</f>
        <v>1.2268518518518518E-3</v>
      </c>
      <c r="L141" s="5">
        <f>103 / 86400</f>
        <v>1.1921296296296296E-3</v>
      </c>
    </row>
    <row r="142" spans="1:12" x14ac:dyDescent="0.25">
      <c r="A142" s="3">
        <v>45712.681064814809</v>
      </c>
      <c r="B142" t="s">
        <v>114</v>
      </c>
      <c r="C142" s="3">
        <v>45712.681354166663</v>
      </c>
      <c r="D142" t="s">
        <v>114</v>
      </c>
      <c r="E142" s="4">
        <v>2.1000000000000001E-2</v>
      </c>
      <c r="F142" s="4">
        <v>515492.14399999997</v>
      </c>
      <c r="G142" s="4">
        <v>515492.16499999998</v>
      </c>
      <c r="H142" s="5">
        <f>19 / 86400</f>
        <v>2.199074074074074E-4</v>
      </c>
      <c r="I142" t="s">
        <v>24</v>
      </c>
      <c r="J142" t="s">
        <v>95</v>
      </c>
      <c r="K142" s="5">
        <f>24 / 86400</f>
        <v>2.7777777777777778E-4</v>
      </c>
      <c r="L142" s="5">
        <f>407 / 86400</f>
        <v>4.7106481481481478E-3</v>
      </c>
    </row>
    <row r="143" spans="1:12" x14ac:dyDescent="0.25">
      <c r="A143" s="3">
        <v>45712.686064814814</v>
      </c>
      <c r="B143" t="s">
        <v>114</v>
      </c>
      <c r="C143" s="3">
        <v>45712.905023148152</v>
      </c>
      <c r="D143" t="s">
        <v>165</v>
      </c>
      <c r="E143" s="4">
        <v>74.597999999999999</v>
      </c>
      <c r="F143" s="4">
        <v>515492.16499999998</v>
      </c>
      <c r="G143" s="4">
        <v>515566.76299999998</v>
      </c>
      <c r="H143" s="5">
        <f>7378 / 86400</f>
        <v>8.5393518518518521E-2</v>
      </c>
      <c r="I143" t="s">
        <v>29</v>
      </c>
      <c r="J143" t="s">
        <v>48</v>
      </c>
      <c r="K143" s="5">
        <f>18918 / 86400</f>
        <v>0.21895833333333334</v>
      </c>
      <c r="L143" s="5">
        <f>175 / 86400</f>
        <v>2.0254629629629629E-3</v>
      </c>
    </row>
    <row r="144" spans="1:12" x14ac:dyDescent="0.25">
      <c r="A144" s="3">
        <v>45712.907048611116</v>
      </c>
      <c r="B144" t="s">
        <v>111</v>
      </c>
      <c r="C144" s="3">
        <v>45712.907488425924</v>
      </c>
      <c r="D144" t="s">
        <v>165</v>
      </c>
      <c r="E144" s="4">
        <v>3.5000000000000003E-2</v>
      </c>
      <c r="F144" s="4">
        <v>515566.76299999998</v>
      </c>
      <c r="G144" s="4">
        <v>515566.79800000001</v>
      </c>
      <c r="H144" s="5">
        <f>0 / 86400</f>
        <v>0</v>
      </c>
      <c r="I144" t="s">
        <v>99</v>
      </c>
      <c r="J144" t="s">
        <v>95</v>
      </c>
      <c r="K144" s="5">
        <f>38 / 86400</f>
        <v>4.3981481481481481E-4</v>
      </c>
      <c r="L144" s="5">
        <f>545 / 86400</f>
        <v>6.3078703703703708E-3</v>
      </c>
    </row>
    <row r="145" spans="1:12" x14ac:dyDescent="0.25">
      <c r="A145" s="3">
        <v>45712.9137962963</v>
      </c>
      <c r="B145" t="s">
        <v>111</v>
      </c>
      <c r="C145" s="3">
        <v>45712.929201388892</v>
      </c>
      <c r="D145" t="s">
        <v>28</v>
      </c>
      <c r="E145" s="4">
        <v>6.423</v>
      </c>
      <c r="F145" s="4">
        <v>515566.79800000001</v>
      </c>
      <c r="G145" s="4">
        <v>515573.22100000002</v>
      </c>
      <c r="H145" s="5">
        <f>479 / 86400</f>
        <v>5.5439814814814813E-3</v>
      </c>
      <c r="I145" t="s">
        <v>166</v>
      </c>
      <c r="J145" t="s">
        <v>30</v>
      </c>
      <c r="K145" s="5">
        <f>1330 / 86400</f>
        <v>1.5393518518518518E-2</v>
      </c>
      <c r="L145" s="5">
        <f>6116 / 86400</f>
        <v>7.0787037037037037E-2</v>
      </c>
    </row>
    <row r="146" spans="1:12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</row>
    <row r="147" spans="1:12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1:12" s="10" customFormat="1" ht="20.100000000000001" customHeight="1" x14ac:dyDescent="0.35">
      <c r="A148" s="15" t="s">
        <v>447</v>
      </c>
      <c r="B148" s="15"/>
      <c r="C148" s="15"/>
      <c r="D148" s="15"/>
      <c r="E148" s="15"/>
      <c r="F148" s="15"/>
      <c r="G148" s="15"/>
      <c r="H148" s="15"/>
      <c r="I148" s="15"/>
      <c r="J148" s="15"/>
    </row>
    <row r="149" spans="1:12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1:12" ht="30" x14ac:dyDescent="0.25">
      <c r="A150" s="2" t="s">
        <v>6</v>
      </c>
      <c r="B150" s="2" t="s">
        <v>7</v>
      </c>
      <c r="C150" s="2" t="s">
        <v>8</v>
      </c>
      <c r="D150" s="2" t="s">
        <v>9</v>
      </c>
      <c r="E150" s="2" t="s">
        <v>10</v>
      </c>
      <c r="F150" s="2" t="s">
        <v>11</v>
      </c>
      <c r="G150" s="2" t="s">
        <v>12</v>
      </c>
      <c r="H150" s="2" t="s">
        <v>13</v>
      </c>
      <c r="I150" s="2" t="s">
        <v>14</v>
      </c>
      <c r="J150" s="2" t="s">
        <v>15</v>
      </c>
      <c r="K150" s="2" t="s">
        <v>16</v>
      </c>
      <c r="L150" s="2" t="s">
        <v>17</v>
      </c>
    </row>
    <row r="151" spans="1:12" x14ac:dyDescent="0.25">
      <c r="A151" s="3">
        <v>45712.353819444441</v>
      </c>
      <c r="B151" t="s">
        <v>27</v>
      </c>
      <c r="C151" s="3">
        <v>45712.365150462967</v>
      </c>
      <c r="D151" t="s">
        <v>167</v>
      </c>
      <c r="E151" s="4">
        <v>0.64200000000000002</v>
      </c>
      <c r="F151" s="4">
        <v>93379.024000000005</v>
      </c>
      <c r="G151" s="4">
        <v>93379.665999999997</v>
      </c>
      <c r="H151" s="5">
        <f>759 / 86400</f>
        <v>8.7847222222222215E-3</v>
      </c>
      <c r="I151" t="s">
        <v>36</v>
      </c>
      <c r="J151" t="s">
        <v>150</v>
      </c>
      <c r="K151" s="5">
        <f>979 / 86400</f>
        <v>1.1331018518518518E-2</v>
      </c>
      <c r="L151" s="5">
        <f>30760 / 86400</f>
        <v>0.35601851851851851</v>
      </c>
    </row>
    <row r="152" spans="1:12" x14ac:dyDescent="0.25">
      <c r="A152" s="3">
        <v>45712.367349537039</v>
      </c>
      <c r="B152" t="s">
        <v>167</v>
      </c>
      <c r="C152" s="3">
        <v>45712.370034722218</v>
      </c>
      <c r="D152" t="s">
        <v>167</v>
      </c>
      <c r="E152" s="4">
        <v>0.91900000000000004</v>
      </c>
      <c r="F152" s="4">
        <v>93379.665999999997</v>
      </c>
      <c r="G152" s="4">
        <v>93380.585000000006</v>
      </c>
      <c r="H152" s="5">
        <f>0 / 86400</f>
        <v>0</v>
      </c>
      <c r="I152" t="s">
        <v>152</v>
      </c>
      <c r="J152" t="s">
        <v>48</v>
      </c>
      <c r="K152" s="5">
        <f>231 / 86400</f>
        <v>2.673611111111111E-3</v>
      </c>
      <c r="L152" s="5">
        <f>125 / 86400</f>
        <v>1.4467592592592592E-3</v>
      </c>
    </row>
    <row r="153" spans="1:12" x14ac:dyDescent="0.25">
      <c r="A153" s="3">
        <v>45712.371481481481</v>
      </c>
      <c r="B153" t="s">
        <v>167</v>
      </c>
      <c r="C153" s="3">
        <v>45712.372407407413</v>
      </c>
      <c r="D153" t="s">
        <v>167</v>
      </c>
      <c r="E153" s="4">
        <v>2.8000000000000001E-2</v>
      </c>
      <c r="F153" s="4">
        <v>93380.585000000006</v>
      </c>
      <c r="G153" s="4">
        <v>93380.612999999998</v>
      </c>
      <c r="H153" s="5">
        <f>40 / 86400</f>
        <v>4.6296296296296298E-4</v>
      </c>
      <c r="I153" t="s">
        <v>150</v>
      </c>
      <c r="J153" t="s">
        <v>143</v>
      </c>
      <c r="K153" s="5">
        <f>80 / 86400</f>
        <v>9.2592592592592596E-4</v>
      </c>
      <c r="L153" s="5">
        <f>36144 / 86400</f>
        <v>0.41833333333333333</v>
      </c>
    </row>
    <row r="154" spans="1:12" x14ac:dyDescent="0.25">
      <c r="A154" s="3">
        <v>45712.79074074074</v>
      </c>
      <c r="B154" t="s">
        <v>167</v>
      </c>
      <c r="C154" s="3">
        <v>45712.794259259259</v>
      </c>
      <c r="D154" t="s">
        <v>27</v>
      </c>
      <c r="E154" s="4">
        <v>1.0189999999999999</v>
      </c>
      <c r="F154" s="4">
        <v>93380.612999999998</v>
      </c>
      <c r="G154" s="4">
        <v>93381.631999999998</v>
      </c>
      <c r="H154" s="5">
        <f>40 / 86400</f>
        <v>4.6296296296296298E-4</v>
      </c>
      <c r="I154" t="s">
        <v>31</v>
      </c>
      <c r="J154" t="s">
        <v>145</v>
      </c>
      <c r="K154" s="5">
        <f>304 / 86400</f>
        <v>3.5185185185185185E-3</v>
      </c>
      <c r="L154" s="5">
        <f>17775 / 86400</f>
        <v>0.20572916666666666</v>
      </c>
    </row>
    <row r="155" spans="1:12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</row>
    <row r="156" spans="1:12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</row>
    <row r="157" spans="1:12" s="10" customFormat="1" ht="20.100000000000001" customHeight="1" x14ac:dyDescent="0.35">
      <c r="A157" s="15" t="s">
        <v>448</v>
      </c>
      <c r="B157" s="15"/>
      <c r="C157" s="15"/>
      <c r="D157" s="15"/>
      <c r="E157" s="15"/>
      <c r="F157" s="15"/>
      <c r="G157" s="15"/>
      <c r="H157" s="15"/>
      <c r="I157" s="15"/>
      <c r="J157" s="15"/>
    </row>
    <row r="158" spans="1:12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</row>
    <row r="159" spans="1:12" ht="30" x14ac:dyDescent="0.25">
      <c r="A159" s="2" t="s">
        <v>6</v>
      </c>
      <c r="B159" s="2" t="s">
        <v>7</v>
      </c>
      <c r="C159" s="2" t="s">
        <v>8</v>
      </c>
      <c r="D159" s="2" t="s">
        <v>9</v>
      </c>
      <c r="E159" s="2" t="s">
        <v>10</v>
      </c>
      <c r="F159" s="2" t="s">
        <v>11</v>
      </c>
      <c r="G159" s="2" t="s">
        <v>12</v>
      </c>
      <c r="H159" s="2" t="s">
        <v>13</v>
      </c>
      <c r="I159" s="2" t="s">
        <v>14</v>
      </c>
      <c r="J159" s="2" t="s">
        <v>15</v>
      </c>
      <c r="K159" s="2" t="s">
        <v>16</v>
      </c>
      <c r="L159" s="2" t="s">
        <v>17</v>
      </c>
    </row>
    <row r="160" spans="1:12" x14ac:dyDescent="0.25">
      <c r="A160" s="3">
        <v>45712.181562500002</v>
      </c>
      <c r="B160" t="s">
        <v>18</v>
      </c>
      <c r="C160" s="3">
        <v>45712.273043981477</v>
      </c>
      <c r="D160" t="s">
        <v>21</v>
      </c>
      <c r="E160" s="4">
        <v>49.954000000000001</v>
      </c>
      <c r="F160" s="4">
        <v>140297.26</v>
      </c>
      <c r="G160" s="4">
        <v>140347.21400000001</v>
      </c>
      <c r="H160" s="5">
        <f>1639 / 86400</f>
        <v>1.8969907407407408E-2</v>
      </c>
      <c r="I160" t="s">
        <v>168</v>
      </c>
      <c r="J160" t="s">
        <v>139</v>
      </c>
      <c r="K160" s="5">
        <f>7903 / 86400</f>
        <v>9.1469907407407403E-2</v>
      </c>
      <c r="L160" s="5">
        <f>16460 / 86400</f>
        <v>0.19050925925925927</v>
      </c>
    </row>
    <row r="161" spans="1:12" x14ac:dyDescent="0.25">
      <c r="A161" s="3">
        <v>45712.281990740739</v>
      </c>
      <c r="B161" t="s">
        <v>21</v>
      </c>
      <c r="C161" s="3">
        <v>45712.538078703699</v>
      </c>
      <c r="D161" t="s">
        <v>68</v>
      </c>
      <c r="E161" s="4">
        <v>100.726</v>
      </c>
      <c r="F161" s="4">
        <v>140347.21400000001</v>
      </c>
      <c r="G161" s="4">
        <v>140447.94</v>
      </c>
      <c r="H161" s="5">
        <f>7140 / 86400</f>
        <v>8.2638888888888887E-2</v>
      </c>
      <c r="I161" t="s">
        <v>33</v>
      </c>
      <c r="J161" t="s">
        <v>34</v>
      </c>
      <c r="K161" s="5">
        <f>22126 / 86400</f>
        <v>0.25608796296296299</v>
      </c>
      <c r="L161" s="5">
        <f>312 / 86400</f>
        <v>3.6111111111111109E-3</v>
      </c>
    </row>
    <row r="162" spans="1:12" x14ac:dyDescent="0.25">
      <c r="A162" s="3">
        <v>45712.541689814811</v>
      </c>
      <c r="B162" t="s">
        <v>68</v>
      </c>
      <c r="C162" s="3">
        <v>45712.542291666672</v>
      </c>
      <c r="D162" t="s">
        <v>68</v>
      </c>
      <c r="E162" s="4">
        <v>1.6E-2</v>
      </c>
      <c r="F162" s="4">
        <v>140447.94</v>
      </c>
      <c r="G162" s="4">
        <v>140447.95600000001</v>
      </c>
      <c r="H162" s="5">
        <f>0 / 86400</f>
        <v>0</v>
      </c>
      <c r="I162" t="s">
        <v>95</v>
      </c>
      <c r="J162" t="s">
        <v>143</v>
      </c>
      <c r="K162" s="5">
        <f>51 / 86400</f>
        <v>5.9027777777777778E-4</v>
      </c>
      <c r="L162" s="5">
        <f>2499 / 86400</f>
        <v>2.8923611111111112E-2</v>
      </c>
    </row>
    <row r="163" spans="1:12" x14ac:dyDescent="0.25">
      <c r="A163" s="3">
        <v>45712.571215277778</v>
      </c>
      <c r="B163" t="s">
        <v>68</v>
      </c>
      <c r="C163" s="3">
        <v>45712.761620370366</v>
      </c>
      <c r="D163" t="s">
        <v>169</v>
      </c>
      <c r="E163" s="4">
        <v>60.325000000000003</v>
      </c>
      <c r="F163" s="4">
        <v>140447.95600000001</v>
      </c>
      <c r="G163" s="4">
        <v>140508.28099999999</v>
      </c>
      <c r="H163" s="5">
        <f>6660 / 86400</f>
        <v>7.7083333333333337E-2</v>
      </c>
      <c r="I163" t="s">
        <v>133</v>
      </c>
      <c r="J163" t="s">
        <v>71</v>
      </c>
      <c r="K163" s="5">
        <f>16451 / 86400</f>
        <v>0.19040509259259258</v>
      </c>
      <c r="L163" s="5">
        <f>1681 / 86400</f>
        <v>1.9456018518518518E-2</v>
      </c>
    </row>
    <row r="164" spans="1:12" x14ac:dyDescent="0.25">
      <c r="A164" s="3">
        <v>45712.781076388885</v>
      </c>
      <c r="B164" t="s">
        <v>169</v>
      </c>
      <c r="C164" s="3">
        <v>45712.785127314812</v>
      </c>
      <c r="D164" t="s">
        <v>18</v>
      </c>
      <c r="E164" s="4">
        <v>1.214</v>
      </c>
      <c r="F164" s="4">
        <v>140508.28099999999</v>
      </c>
      <c r="G164" s="4">
        <v>140509.495</v>
      </c>
      <c r="H164" s="5">
        <f>79 / 86400</f>
        <v>9.1435185185185185E-4</v>
      </c>
      <c r="I164" t="s">
        <v>170</v>
      </c>
      <c r="J164" t="s">
        <v>71</v>
      </c>
      <c r="K164" s="5">
        <f>349 / 86400</f>
        <v>4.0393518518518521E-3</v>
      </c>
      <c r="L164" s="5">
        <f>52 / 86400</f>
        <v>6.018518518518519E-4</v>
      </c>
    </row>
    <row r="165" spans="1:12" x14ac:dyDescent="0.25">
      <c r="A165" s="3">
        <v>45712.785729166666</v>
      </c>
      <c r="B165" t="s">
        <v>18</v>
      </c>
      <c r="C165" s="3">
        <v>45712.787442129629</v>
      </c>
      <c r="D165" t="s">
        <v>18</v>
      </c>
      <c r="E165" s="4">
        <v>5.8999999999999997E-2</v>
      </c>
      <c r="F165" s="4">
        <v>140509.495</v>
      </c>
      <c r="G165" s="4">
        <v>140509.554</v>
      </c>
      <c r="H165" s="5">
        <f>100 / 86400</f>
        <v>1.1574074074074073E-3</v>
      </c>
      <c r="I165" t="s">
        <v>57</v>
      </c>
      <c r="J165" t="s">
        <v>143</v>
      </c>
      <c r="K165" s="5">
        <f>148 / 86400</f>
        <v>1.712962962962963E-3</v>
      </c>
      <c r="L165" s="5">
        <f>18364 / 86400</f>
        <v>0.21254629629629629</v>
      </c>
    </row>
    <row r="166" spans="1:12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1:12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1:12" s="10" customFormat="1" ht="20.100000000000001" customHeight="1" x14ac:dyDescent="0.35">
      <c r="A168" s="15" t="s">
        <v>449</v>
      </c>
      <c r="B168" s="15"/>
      <c r="C168" s="15"/>
      <c r="D168" s="15"/>
      <c r="E168" s="15"/>
      <c r="F168" s="15"/>
      <c r="G168" s="15"/>
      <c r="H168" s="15"/>
      <c r="I168" s="15"/>
      <c r="J168" s="15"/>
    </row>
    <row r="169" spans="1:12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1:12" ht="30" x14ac:dyDescent="0.25">
      <c r="A170" s="2" t="s">
        <v>6</v>
      </c>
      <c r="B170" s="2" t="s">
        <v>7</v>
      </c>
      <c r="C170" s="2" t="s">
        <v>8</v>
      </c>
      <c r="D170" s="2" t="s">
        <v>9</v>
      </c>
      <c r="E170" s="2" t="s">
        <v>10</v>
      </c>
      <c r="F170" s="2" t="s">
        <v>11</v>
      </c>
      <c r="G170" s="2" t="s">
        <v>12</v>
      </c>
      <c r="H170" s="2" t="s">
        <v>13</v>
      </c>
      <c r="I170" s="2" t="s">
        <v>14</v>
      </c>
      <c r="J170" s="2" t="s">
        <v>15</v>
      </c>
      <c r="K170" s="2" t="s">
        <v>16</v>
      </c>
      <c r="L170" s="2" t="s">
        <v>17</v>
      </c>
    </row>
    <row r="171" spans="1:12" x14ac:dyDescent="0.25">
      <c r="A171" s="3">
        <v>45712.212824074071</v>
      </c>
      <c r="B171" t="s">
        <v>27</v>
      </c>
      <c r="C171" s="3">
        <v>45712.21565972222</v>
      </c>
      <c r="D171" t="s">
        <v>171</v>
      </c>
      <c r="E171" s="4">
        <v>0.92263338309526444</v>
      </c>
      <c r="F171" s="4">
        <v>350378.72372348531</v>
      </c>
      <c r="G171" s="4">
        <v>350379.64635686838</v>
      </c>
      <c r="H171" s="5">
        <f t="shared" ref="H171:H234" si="0">0 / 86400</f>
        <v>0</v>
      </c>
      <c r="I171" t="s">
        <v>164</v>
      </c>
      <c r="J171" t="s">
        <v>48</v>
      </c>
      <c r="K171" s="5">
        <f>245 / 86400</f>
        <v>2.8356481481481483E-3</v>
      </c>
      <c r="L171" s="5">
        <f>18450 / 86400</f>
        <v>0.21354166666666666</v>
      </c>
    </row>
    <row r="172" spans="1:12" x14ac:dyDescent="0.25">
      <c r="A172" s="3">
        <v>45712.216377314813</v>
      </c>
      <c r="B172" t="s">
        <v>171</v>
      </c>
      <c r="C172" s="3">
        <v>45712.218796296293</v>
      </c>
      <c r="D172" t="s">
        <v>172</v>
      </c>
      <c r="E172" s="4">
        <v>2.2584424018263816</v>
      </c>
      <c r="F172" s="4">
        <v>350379.64959294413</v>
      </c>
      <c r="G172" s="4">
        <v>350381.90803534596</v>
      </c>
      <c r="H172" s="5">
        <f t="shared" si="0"/>
        <v>0</v>
      </c>
      <c r="I172" t="s">
        <v>173</v>
      </c>
      <c r="J172" t="s">
        <v>159</v>
      </c>
      <c r="K172" s="5">
        <f>209 / 86400</f>
        <v>2.4189814814814816E-3</v>
      </c>
      <c r="L172" s="5">
        <f>20 / 86400</f>
        <v>2.3148148148148149E-4</v>
      </c>
    </row>
    <row r="173" spans="1:12" x14ac:dyDescent="0.25">
      <c r="A173" s="3">
        <v>45712.219027777777</v>
      </c>
      <c r="B173" t="s">
        <v>174</v>
      </c>
      <c r="C173" s="3">
        <v>45712.220648148148</v>
      </c>
      <c r="D173" t="s">
        <v>175</v>
      </c>
      <c r="E173" s="4">
        <v>1.9554655975103379</v>
      </c>
      <c r="F173" s="4">
        <v>350381.91088422755</v>
      </c>
      <c r="G173" s="4">
        <v>350383.86634982511</v>
      </c>
      <c r="H173" s="5">
        <f t="shared" si="0"/>
        <v>0</v>
      </c>
      <c r="I173" t="s">
        <v>176</v>
      </c>
      <c r="J173" t="s">
        <v>177</v>
      </c>
      <c r="K173" s="5">
        <f>140 / 86400</f>
        <v>1.6203703703703703E-3</v>
      </c>
      <c r="L173" s="5">
        <f>20 / 86400</f>
        <v>2.3148148148148149E-4</v>
      </c>
    </row>
    <row r="174" spans="1:12" x14ac:dyDescent="0.25">
      <c r="A174" s="3">
        <v>45712.220879629633</v>
      </c>
      <c r="B174" t="s">
        <v>175</v>
      </c>
      <c r="C174" s="3">
        <v>45712.221967592588</v>
      </c>
      <c r="D174" t="s">
        <v>111</v>
      </c>
      <c r="E174" s="4">
        <v>0.77077382451295851</v>
      </c>
      <c r="F174" s="4">
        <v>350383.87263618317</v>
      </c>
      <c r="G174" s="4">
        <v>350384.64341000764</v>
      </c>
      <c r="H174" s="5">
        <f t="shared" si="0"/>
        <v>0</v>
      </c>
      <c r="I174" t="s">
        <v>160</v>
      </c>
      <c r="J174" t="s">
        <v>178</v>
      </c>
      <c r="K174" s="5">
        <f>94 / 86400</f>
        <v>1.0879629629629629E-3</v>
      </c>
      <c r="L174" s="5">
        <f>360 / 86400</f>
        <v>4.1666666666666666E-3</v>
      </c>
    </row>
    <row r="175" spans="1:12" x14ac:dyDescent="0.25">
      <c r="A175" s="3">
        <v>45712.226134259261</v>
      </c>
      <c r="B175" t="s">
        <v>175</v>
      </c>
      <c r="C175" s="3">
        <v>45712.226365740746</v>
      </c>
      <c r="D175" t="s">
        <v>175</v>
      </c>
      <c r="E175" s="4">
        <v>6.2772964239120486E-3</v>
      </c>
      <c r="F175" s="4">
        <v>350384.69435699092</v>
      </c>
      <c r="G175" s="4">
        <v>350384.70063428738</v>
      </c>
      <c r="H175" s="5">
        <f t="shared" si="0"/>
        <v>0</v>
      </c>
      <c r="I175" t="s">
        <v>150</v>
      </c>
      <c r="J175" t="s">
        <v>143</v>
      </c>
      <c r="K175" s="5">
        <f>20 / 86400</f>
        <v>2.3148148148148149E-4</v>
      </c>
      <c r="L175" s="5">
        <f>200 / 86400</f>
        <v>2.3148148148148147E-3</v>
      </c>
    </row>
    <row r="176" spans="1:12" x14ac:dyDescent="0.25">
      <c r="A176" s="3">
        <v>45712.228680555556</v>
      </c>
      <c r="B176" t="s">
        <v>175</v>
      </c>
      <c r="C176" s="3">
        <v>45712.228912037041</v>
      </c>
      <c r="D176" t="s">
        <v>179</v>
      </c>
      <c r="E176" s="4">
        <v>2.4429528713226316E-3</v>
      </c>
      <c r="F176" s="4">
        <v>350384.71748278185</v>
      </c>
      <c r="G176" s="4">
        <v>350384.71992573468</v>
      </c>
      <c r="H176" s="5">
        <f t="shared" si="0"/>
        <v>0</v>
      </c>
      <c r="I176" t="s">
        <v>143</v>
      </c>
      <c r="J176" t="s">
        <v>24</v>
      </c>
      <c r="K176" s="5">
        <f>20 / 86400</f>
        <v>2.3148148148148149E-4</v>
      </c>
      <c r="L176" s="5">
        <f>160 / 86400</f>
        <v>1.8518518518518519E-3</v>
      </c>
    </row>
    <row r="177" spans="1:12" x14ac:dyDescent="0.25">
      <c r="A177" s="3">
        <v>45712.230763888889</v>
      </c>
      <c r="B177" t="s">
        <v>111</v>
      </c>
      <c r="C177" s="3">
        <v>45712.231458333335</v>
      </c>
      <c r="D177" t="s">
        <v>111</v>
      </c>
      <c r="E177" s="4">
        <v>0.35049934238195418</v>
      </c>
      <c r="F177" s="4">
        <v>350384.80272346217</v>
      </c>
      <c r="G177" s="4">
        <v>350385.15322280454</v>
      </c>
      <c r="H177" s="5">
        <f t="shared" si="0"/>
        <v>0</v>
      </c>
      <c r="I177" t="s">
        <v>180</v>
      </c>
      <c r="J177" t="s">
        <v>36</v>
      </c>
      <c r="K177" s="5">
        <f>60 / 86400</f>
        <v>6.9444444444444447E-4</v>
      </c>
      <c r="L177" s="5">
        <f>20 / 86400</f>
        <v>2.3148148148148149E-4</v>
      </c>
    </row>
    <row r="178" spans="1:12" x14ac:dyDescent="0.25">
      <c r="A178" s="3">
        <v>45712.231689814813</v>
      </c>
      <c r="B178" t="s">
        <v>111</v>
      </c>
      <c r="C178" s="3">
        <v>45712.232152777782</v>
      </c>
      <c r="D178" t="s">
        <v>111</v>
      </c>
      <c r="E178" s="4">
        <v>7.1331415772438048E-3</v>
      </c>
      <c r="F178" s="4">
        <v>350385.16002086888</v>
      </c>
      <c r="G178" s="4">
        <v>350385.1671540105</v>
      </c>
      <c r="H178" s="5">
        <f t="shared" si="0"/>
        <v>0</v>
      </c>
      <c r="I178" t="s">
        <v>150</v>
      </c>
      <c r="J178" t="s">
        <v>143</v>
      </c>
      <c r="K178" s="5">
        <f>40 / 86400</f>
        <v>4.6296296296296298E-4</v>
      </c>
      <c r="L178" s="5">
        <f>40 / 86400</f>
        <v>4.6296296296296298E-4</v>
      </c>
    </row>
    <row r="179" spans="1:12" x14ac:dyDescent="0.25">
      <c r="A179" s="3">
        <v>45712.232615740737</v>
      </c>
      <c r="B179" t="s">
        <v>181</v>
      </c>
      <c r="C179" s="3">
        <v>45712.233773148153</v>
      </c>
      <c r="D179" t="s">
        <v>111</v>
      </c>
      <c r="E179" s="4">
        <v>0.67258721077442174</v>
      </c>
      <c r="F179" s="4">
        <v>350385.19970745337</v>
      </c>
      <c r="G179" s="4">
        <v>350385.87229466415</v>
      </c>
      <c r="H179" s="5">
        <f t="shared" si="0"/>
        <v>0</v>
      </c>
      <c r="I179" t="s">
        <v>98</v>
      </c>
      <c r="J179" t="s">
        <v>182</v>
      </c>
      <c r="K179" s="5">
        <f>100 / 86400</f>
        <v>1.1574074074074073E-3</v>
      </c>
      <c r="L179" s="5">
        <f>35 / 86400</f>
        <v>4.0509259259259258E-4</v>
      </c>
    </row>
    <row r="180" spans="1:12" x14ac:dyDescent="0.25">
      <c r="A180" s="3">
        <v>45712.234178240746</v>
      </c>
      <c r="B180" t="s">
        <v>111</v>
      </c>
      <c r="C180" s="3">
        <v>45712.234884259262</v>
      </c>
      <c r="D180" t="s">
        <v>123</v>
      </c>
      <c r="E180" s="4">
        <v>0.79796896135807038</v>
      </c>
      <c r="F180" s="4">
        <v>350385.87455185142</v>
      </c>
      <c r="G180" s="4">
        <v>350386.67252081278</v>
      </c>
      <c r="H180" s="5">
        <f t="shared" si="0"/>
        <v>0</v>
      </c>
      <c r="I180" t="s">
        <v>122</v>
      </c>
      <c r="J180" t="s">
        <v>183</v>
      </c>
      <c r="K180" s="5">
        <f>61 / 86400</f>
        <v>7.0601851851851847E-4</v>
      </c>
      <c r="L180" s="5">
        <f>2 / 86400</f>
        <v>2.3148148148148147E-5</v>
      </c>
    </row>
    <row r="181" spans="1:12" x14ac:dyDescent="0.25">
      <c r="A181" s="3">
        <v>45712.234907407408</v>
      </c>
      <c r="B181" t="s">
        <v>123</v>
      </c>
      <c r="C181" s="3">
        <v>45712.235590277778</v>
      </c>
      <c r="D181" t="s">
        <v>123</v>
      </c>
      <c r="E181" s="4">
        <v>0.5191410472989082</v>
      </c>
      <c r="F181" s="4">
        <v>350386.67409133993</v>
      </c>
      <c r="G181" s="4">
        <v>350387.19323238725</v>
      </c>
      <c r="H181" s="5">
        <f t="shared" si="0"/>
        <v>0</v>
      </c>
      <c r="I181" t="s">
        <v>144</v>
      </c>
      <c r="J181" t="s">
        <v>184</v>
      </c>
      <c r="K181" s="5">
        <f>59 / 86400</f>
        <v>6.8287037037037036E-4</v>
      </c>
      <c r="L181" s="5">
        <f>20 / 86400</f>
        <v>2.3148148148148149E-4</v>
      </c>
    </row>
    <row r="182" spans="1:12" x14ac:dyDescent="0.25">
      <c r="A182" s="3">
        <v>45712.235821759255</v>
      </c>
      <c r="B182" t="s">
        <v>123</v>
      </c>
      <c r="C182" s="3">
        <v>45712.236979166672</v>
      </c>
      <c r="D182" t="s">
        <v>123</v>
      </c>
      <c r="E182" s="4">
        <v>0.8400741221904755</v>
      </c>
      <c r="F182" s="4">
        <v>350387.21574630059</v>
      </c>
      <c r="G182" s="4">
        <v>350388.05582042277</v>
      </c>
      <c r="H182" s="5">
        <f t="shared" si="0"/>
        <v>0</v>
      </c>
      <c r="I182" t="s">
        <v>133</v>
      </c>
      <c r="J182" t="s">
        <v>178</v>
      </c>
      <c r="K182" s="5">
        <f>100 / 86400</f>
        <v>1.1574074074074073E-3</v>
      </c>
      <c r="L182" s="5">
        <f>20 / 86400</f>
        <v>2.3148148148148149E-4</v>
      </c>
    </row>
    <row r="183" spans="1:12" x14ac:dyDescent="0.25">
      <c r="A183" s="3">
        <v>45712.237210648149</v>
      </c>
      <c r="B183" t="s">
        <v>123</v>
      </c>
      <c r="C183" s="3">
        <v>45712.237442129626</v>
      </c>
      <c r="D183" t="s">
        <v>123</v>
      </c>
      <c r="E183" s="4">
        <v>2.4660134911537171E-3</v>
      </c>
      <c r="F183" s="4">
        <v>350388.05855543754</v>
      </c>
      <c r="G183" s="4">
        <v>350388.06102145108</v>
      </c>
      <c r="H183" s="5">
        <f t="shared" si="0"/>
        <v>0</v>
      </c>
      <c r="I183" t="s">
        <v>95</v>
      </c>
      <c r="J183" t="s">
        <v>24</v>
      </c>
      <c r="K183" s="5">
        <f>20 / 86400</f>
        <v>2.3148148148148149E-4</v>
      </c>
      <c r="L183" s="5">
        <f>20 / 86400</f>
        <v>2.3148148148148149E-4</v>
      </c>
    </row>
    <row r="184" spans="1:12" x14ac:dyDescent="0.25">
      <c r="A184" s="3">
        <v>45712.237673611111</v>
      </c>
      <c r="B184" t="s">
        <v>123</v>
      </c>
      <c r="C184" s="3">
        <v>45712.238599537042</v>
      </c>
      <c r="D184" t="s">
        <v>123</v>
      </c>
      <c r="E184" s="4">
        <v>0.92636567181348806</v>
      </c>
      <c r="F184" s="4">
        <v>350388.06991959939</v>
      </c>
      <c r="G184" s="4">
        <v>350388.99628527125</v>
      </c>
      <c r="H184" s="5">
        <f t="shared" si="0"/>
        <v>0</v>
      </c>
      <c r="I184" t="s">
        <v>185</v>
      </c>
      <c r="J184" t="s">
        <v>186</v>
      </c>
      <c r="K184" s="5">
        <f>80 / 86400</f>
        <v>9.2592592592592596E-4</v>
      </c>
      <c r="L184" s="5">
        <f>60 / 86400</f>
        <v>6.9444444444444447E-4</v>
      </c>
    </row>
    <row r="185" spans="1:12" x14ac:dyDescent="0.25">
      <c r="A185" s="3">
        <v>45712.239293981482</v>
      </c>
      <c r="B185" t="s">
        <v>110</v>
      </c>
      <c r="C185" s="3">
        <v>45712.239525462966</v>
      </c>
      <c r="D185" t="s">
        <v>187</v>
      </c>
      <c r="E185" s="4">
        <v>0.16188585478067399</v>
      </c>
      <c r="F185" s="4">
        <v>350389.17806905444</v>
      </c>
      <c r="G185" s="4">
        <v>350389.33995490923</v>
      </c>
      <c r="H185" s="5">
        <f t="shared" si="0"/>
        <v>0</v>
      </c>
      <c r="I185" t="s">
        <v>188</v>
      </c>
      <c r="J185" t="s">
        <v>31</v>
      </c>
      <c r="K185" s="5">
        <f>20 / 86400</f>
        <v>2.3148148148148149E-4</v>
      </c>
      <c r="L185" s="5">
        <f>20 / 86400</f>
        <v>2.3148148148148149E-4</v>
      </c>
    </row>
    <row r="186" spans="1:12" x14ac:dyDescent="0.25">
      <c r="A186" s="3">
        <v>45712.239756944444</v>
      </c>
      <c r="B186" t="s">
        <v>110</v>
      </c>
      <c r="C186" s="3">
        <v>45712.240451388891</v>
      </c>
      <c r="D186" t="s">
        <v>110</v>
      </c>
      <c r="E186" s="4">
        <v>0.71873989826440809</v>
      </c>
      <c r="F186" s="4">
        <v>350389.53616086795</v>
      </c>
      <c r="G186" s="4">
        <v>350390.25490076619</v>
      </c>
      <c r="H186" s="5">
        <f t="shared" si="0"/>
        <v>0</v>
      </c>
      <c r="I186" t="s">
        <v>176</v>
      </c>
      <c r="J186" t="s">
        <v>189</v>
      </c>
      <c r="K186" s="5">
        <f>60 / 86400</f>
        <v>6.9444444444444447E-4</v>
      </c>
      <c r="L186" s="5">
        <f>20 / 86400</f>
        <v>2.3148148148148149E-4</v>
      </c>
    </row>
    <row r="187" spans="1:12" x14ac:dyDescent="0.25">
      <c r="A187" s="3">
        <v>45712.240682870368</v>
      </c>
      <c r="B187" t="s">
        <v>110</v>
      </c>
      <c r="C187" s="3">
        <v>45712.241377314815</v>
      </c>
      <c r="D187" t="s">
        <v>110</v>
      </c>
      <c r="E187" s="4">
        <v>0.5999885700345039</v>
      </c>
      <c r="F187" s="4">
        <v>350390.28325063124</v>
      </c>
      <c r="G187" s="4">
        <v>350390.88323920127</v>
      </c>
      <c r="H187" s="5">
        <f t="shared" si="0"/>
        <v>0</v>
      </c>
      <c r="I187" t="s">
        <v>166</v>
      </c>
      <c r="J187" t="s">
        <v>190</v>
      </c>
      <c r="K187" s="5">
        <f>60 / 86400</f>
        <v>6.9444444444444447E-4</v>
      </c>
      <c r="L187" s="5">
        <f>20 / 86400</f>
        <v>2.3148148148148149E-4</v>
      </c>
    </row>
    <row r="188" spans="1:12" x14ac:dyDescent="0.25">
      <c r="A188" s="3">
        <v>45712.241608796292</v>
      </c>
      <c r="B188" t="s">
        <v>110</v>
      </c>
      <c r="C188" s="3">
        <v>45712.244849537034</v>
      </c>
      <c r="D188" t="s">
        <v>74</v>
      </c>
      <c r="E188" s="4">
        <v>1.7030539657473565</v>
      </c>
      <c r="F188" s="4">
        <v>350390.90160206251</v>
      </c>
      <c r="G188" s="4">
        <v>350392.60465602827</v>
      </c>
      <c r="H188" s="5">
        <f t="shared" si="0"/>
        <v>0</v>
      </c>
      <c r="I188" t="s">
        <v>173</v>
      </c>
      <c r="J188" t="s">
        <v>134</v>
      </c>
      <c r="K188" s="5">
        <f>280 / 86400</f>
        <v>3.2407407407407406E-3</v>
      </c>
      <c r="L188" s="5">
        <f>40 / 86400</f>
        <v>4.6296296296296298E-4</v>
      </c>
    </row>
    <row r="189" spans="1:12" x14ac:dyDescent="0.25">
      <c r="A189" s="3">
        <v>45712.245312500003</v>
      </c>
      <c r="B189" t="s">
        <v>74</v>
      </c>
      <c r="C189" s="3">
        <v>45712.24554398148</v>
      </c>
      <c r="D189" t="s">
        <v>74</v>
      </c>
      <c r="E189" s="4">
        <v>7.4505495429039005E-3</v>
      </c>
      <c r="F189" s="4">
        <v>350392.63122557721</v>
      </c>
      <c r="G189" s="4">
        <v>350392.63867612678</v>
      </c>
      <c r="H189" s="5">
        <f t="shared" si="0"/>
        <v>0</v>
      </c>
      <c r="I189" t="s">
        <v>150</v>
      </c>
      <c r="J189" t="s">
        <v>143</v>
      </c>
      <c r="K189" s="5">
        <f>20 / 86400</f>
        <v>2.3148148148148149E-4</v>
      </c>
      <c r="L189" s="5">
        <f>20 / 86400</f>
        <v>2.3148148148148149E-4</v>
      </c>
    </row>
    <row r="190" spans="1:12" x14ac:dyDescent="0.25">
      <c r="A190" s="3">
        <v>45712.245775462958</v>
      </c>
      <c r="B190" t="s">
        <v>74</v>
      </c>
      <c r="C190" s="3">
        <v>45712.251331018517</v>
      </c>
      <c r="D190" t="s">
        <v>120</v>
      </c>
      <c r="E190" s="4">
        <v>3.9946285694837571</v>
      </c>
      <c r="F190" s="4">
        <v>350392.64293485804</v>
      </c>
      <c r="G190" s="4">
        <v>350396.6375634275</v>
      </c>
      <c r="H190" s="5">
        <f t="shared" si="0"/>
        <v>0</v>
      </c>
      <c r="I190" t="s">
        <v>61</v>
      </c>
      <c r="J190" t="s">
        <v>178</v>
      </c>
      <c r="K190" s="5">
        <f>480 / 86400</f>
        <v>5.5555555555555558E-3</v>
      </c>
      <c r="L190" s="5">
        <f>5 / 86400</f>
        <v>5.7870370370370373E-5</v>
      </c>
    </row>
    <row r="191" spans="1:12" x14ac:dyDescent="0.25">
      <c r="A191" s="3">
        <v>45712.251388888893</v>
      </c>
      <c r="B191" t="s">
        <v>120</v>
      </c>
      <c r="C191" s="3">
        <v>45712.252083333333</v>
      </c>
      <c r="D191" t="s">
        <v>191</v>
      </c>
      <c r="E191" s="4">
        <v>0.15419040298461914</v>
      </c>
      <c r="F191" s="4">
        <v>350396.63939451223</v>
      </c>
      <c r="G191" s="4">
        <v>350396.79358491523</v>
      </c>
      <c r="H191" s="5">
        <f t="shared" si="0"/>
        <v>0</v>
      </c>
      <c r="I191" t="s">
        <v>51</v>
      </c>
      <c r="J191" t="s">
        <v>135</v>
      </c>
      <c r="K191" s="5">
        <f>60 / 86400</f>
        <v>6.9444444444444447E-4</v>
      </c>
      <c r="L191" s="5">
        <f>40 / 86400</f>
        <v>4.6296296296296298E-4</v>
      </c>
    </row>
    <row r="192" spans="1:12" x14ac:dyDescent="0.25">
      <c r="A192" s="3">
        <v>45712.252546296295</v>
      </c>
      <c r="B192" t="s">
        <v>192</v>
      </c>
      <c r="C192" s="3">
        <v>45712.25277777778</v>
      </c>
      <c r="D192" t="s">
        <v>192</v>
      </c>
      <c r="E192" s="4">
        <v>5.7372453808784488E-3</v>
      </c>
      <c r="F192" s="4">
        <v>350396.82164021925</v>
      </c>
      <c r="G192" s="4">
        <v>350396.82737746468</v>
      </c>
      <c r="H192" s="5">
        <f t="shared" si="0"/>
        <v>0</v>
      </c>
      <c r="I192" t="s">
        <v>95</v>
      </c>
      <c r="J192" t="s">
        <v>143</v>
      </c>
      <c r="K192" s="5">
        <f>20 / 86400</f>
        <v>2.3148148148148149E-4</v>
      </c>
      <c r="L192" s="5">
        <f>37 / 86400</f>
        <v>4.2824074074074075E-4</v>
      </c>
    </row>
    <row r="193" spans="1:12" x14ac:dyDescent="0.25">
      <c r="A193" s="3">
        <v>45712.253206018519</v>
      </c>
      <c r="B193" t="s">
        <v>130</v>
      </c>
      <c r="C193" s="3">
        <v>45712.253437499996</v>
      </c>
      <c r="D193" t="s">
        <v>193</v>
      </c>
      <c r="E193" s="4">
        <v>1.4520840108394623E-2</v>
      </c>
      <c r="F193" s="4">
        <v>350396.84356932557</v>
      </c>
      <c r="G193" s="4">
        <v>350396.85809016565</v>
      </c>
      <c r="H193" s="5">
        <f t="shared" si="0"/>
        <v>0</v>
      </c>
      <c r="I193" t="s">
        <v>57</v>
      </c>
      <c r="J193" t="s">
        <v>95</v>
      </c>
      <c r="K193" s="5">
        <f>20 / 86400</f>
        <v>2.3148148148148149E-4</v>
      </c>
      <c r="L193" s="5">
        <f>20 / 86400</f>
        <v>2.3148148148148149E-4</v>
      </c>
    </row>
    <row r="194" spans="1:12" x14ac:dyDescent="0.25">
      <c r="A194" s="3">
        <v>45712.253668981481</v>
      </c>
      <c r="B194" t="s">
        <v>194</v>
      </c>
      <c r="C194" s="3">
        <v>45712.254131944443</v>
      </c>
      <c r="D194" t="s">
        <v>130</v>
      </c>
      <c r="E194" s="4">
        <v>8.1961411058902742E-2</v>
      </c>
      <c r="F194" s="4">
        <v>350396.86771112826</v>
      </c>
      <c r="G194" s="4">
        <v>350396.94967253931</v>
      </c>
      <c r="H194" s="5">
        <f t="shared" si="0"/>
        <v>0</v>
      </c>
      <c r="I194" t="s">
        <v>135</v>
      </c>
      <c r="J194" t="s">
        <v>99</v>
      </c>
      <c r="K194" s="5">
        <f>40 / 86400</f>
        <v>4.6296296296296298E-4</v>
      </c>
      <c r="L194" s="5">
        <f>48 / 86400</f>
        <v>5.5555555555555556E-4</v>
      </c>
    </row>
    <row r="195" spans="1:12" x14ac:dyDescent="0.25">
      <c r="A195" s="3">
        <v>45712.254687499997</v>
      </c>
      <c r="B195" t="s">
        <v>195</v>
      </c>
      <c r="C195" s="3">
        <v>45712.255462962959</v>
      </c>
      <c r="D195" t="s">
        <v>196</v>
      </c>
      <c r="E195" s="4">
        <v>0.12527572864294051</v>
      </c>
      <c r="F195" s="4">
        <v>350396.97092682455</v>
      </c>
      <c r="G195" s="4">
        <v>350397.09620255319</v>
      </c>
      <c r="H195" s="5">
        <f t="shared" si="0"/>
        <v>0</v>
      </c>
      <c r="I195" t="s">
        <v>92</v>
      </c>
      <c r="J195" t="s">
        <v>99</v>
      </c>
      <c r="K195" s="5">
        <f>67 / 86400</f>
        <v>7.7546296296296293E-4</v>
      </c>
      <c r="L195" s="5">
        <f>37 / 86400</f>
        <v>4.2824074074074075E-4</v>
      </c>
    </row>
    <row r="196" spans="1:12" x14ac:dyDescent="0.25">
      <c r="A196" s="3">
        <v>45712.255891203706</v>
      </c>
      <c r="B196" t="s">
        <v>197</v>
      </c>
      <c r="C196" s="3">
        <v>45712.256585648152</v>
      </c>
      <c r="D196" t="s">
        <v>194</v>
      </c>
      <c r="E196" s="4">
        <v>6.2177545905113221E-2</v>
      </c>
      <c r="F196" s="4">
        <v>350397.11470964749</v>
      </c>
      <c r="G196" s="4">
        <v>350397.1768871934</v>
      </c>
      <c r="H196" s="5">
        <f t="shared" si="0"/>
        <v>0</v>
      </c>
      <c r="I196" t="s">
        <v>57</v>
      </c>
      <c r="J196" t="s">
        <v>129</v>
      </c>
      <c r="K196" s="5">
        <f>60 / 86400</f>
        <v>6.9444444444444447E-4</v>
      </c>
      <c r="L196" s="5">
        <f>20 / 86400</f>
        <v>2.3148148148148149E-4</v>
      </c>
    </row>
    <row r="197" spans="1:12" x14ac:dyDescent="0.25">
      <c r="A197" s="3">
        <v>45712.25681712963</v>
      </c>
      <c r="B197" t="s">
        <v>194</v>
      </c>
      <c r="C197" s="3">
        <v>45712.258437500001</v>
      </c>
      <c r="D197" t="s">
        <v>130</v>
      </c>
      <c r="E197" s="4">
        <v>1.0755417518615722</v>
      </c>
      <c r="F197" s="4">
        <v>350397.18361700757</v>
      </c>
      <c r="G197" s="4">
        <v>350398.25915875944</v>
      </c>
      <c r="H197" s="5">
        <f t="shared" si="0"/>
        <v>0</v>
      </c>
      <c r="I197" t="s">
        <v>61</v>
      </c>
      <c r="J197" t="s">
        <v>198</v>
      </c>
      <c r="K197" s="5">
        <f>140 / 86400</f>
        <v>1.6203703703703703E-3</v>
      </c>
      <c r="L197" s="5">
        <f>20 / 86400</f>
        <v>2.3148148148148149E-4</v>
      </c>
    </row>
    <row r="198" spans="1:12" x14ac:dyDescent="0.25">
      <c r="A198" s="3">
        <v>45712.258668981478</v>
      </c>
      <c r="B198" t="s">
        <v>77</v>
      </c>
      <c r="C198" s="3">
        <v>45712.259131944447</v>
      </c>
      <c r="D198" t="s">
        <v>130</v>
      </c>
      <c r="E198" s="4">
        <v>0.14369686204195023</v>
      </c>
      <c r="F198" s="4">
        <v>350398.33839993563</v>
      </c>
      <c r="G198" s="4">
        <v>350398.48209679767</v>
      </c>
      <c r="H198" s="5">
        <f t="shared" si="0"/>
        <v>0</v>
      </c>
      <c r="I198" t="s">
        <v>190</v>
      </c>
      <c r="J198" t="s">
        <v>71</v>
      </c>
      <c r="K198" s="5">
        <f>40 / 86400</f>
        <v>4.6296296296296298E-4</v>
      </c>
      <c r="L198" s="5">
        <f>20 / 86400</f>
        <v>2.3148148148148149E-4</v>
      </c>
    </row>
    <row r="199" spans="1:12" x14ac:dyDescent="0.25">
      <c r="A199" s="3">
        <v>45712.259363425925</v>
      </c>
      <c r="B199" t="s">
        <v>120</v>
      </c>
      <c r="C199" s="3">
        <v>45712.259826388894</v>
      </c>
      <c r="D199" t="s">
        <v>130</v>
      </c>
      <c r="E199" s="4">
        <v>0.15604919016361238</v>
      </c>
      <c r="F199" s="4">
        <v>350398.50423582603</v>
      </c>
      <c r="G199" s="4">
        <v>350398.66028501617</v>
      </c>
      <c r="H199" s="5">
        <f t="shared" si="0"/>
        <v>0</v>
      </c>
      <c r="I199" t="s">
        <v>137</v>
      </c>
      <c r="J199" t="s">
        <v>48</v>
      </c>
      <c r="K199" s="5">
        <f>40 / 86400</f>
        <v>4.6296296296296298E-4</v>
      </c>
      <c r="L199" s="5">
        <f>6 / 86400</f>
        <v>6.9444444444444444E-5</v>
      </c>
    </row>
    <row r="200" spans="1:12" x14ac:dyDescent="0.25">
      <c r="A200" s="3">
        <v>45712.259895833333</v>
      </c>
      <c r="B200" t="s">
        <v>130</v>
      </c>
      <c r="C200" s="3">
        <v>45712.261747685188</v>
      </c>
      <c r="D200" t="s">
        <v>199</v>
      </c>
      <c r="E200" s="4">
        <v>1.5283600625991822</v>
      </c>
      <c r="F200" s="4">
        <v>350398.66352615866</v>
      </c>
      <c r="G200" s="4">
        <v>350400.19188622129</v>
      </c>
      <c r="H200" s="5">
        <f t="shared" si="0"/>
        <v>0</v>
      </c>
      <c r="I200" t="s">
        <v>173</v>
      </c>
      <c r="J200" t="s">
        <v>200</v>
      </c>
      <c r="K200" s="5">
        <f>160 / 86400</f>
        <v>1.8518518518518519E-3</v>
      </c>
      <c r="L200" s="5">
        <f>40 / 86400</f>
        <v>4.6296296296296298E-4</v>
      </c>
    </row>
    <row r="201" spans="1:12" x14ac:dyDescent="0.25">
      <c r="A201" s="3">
        <v>45712.262210648143</v>
      </c>
      <c r="B201" t="s">
        <v>199</v>
      </c>
      <c r="C201" s="3">
        <v>45712.263599537036</v>
      </c>
      <c r="D201" t="s">
        <v>201</v>
      </c>
      <c r="E201" s="4">
        <v>0.84868459290266041</v>
      </c>
      <c r="F201" s="4">
        <v>350400.19551095658</v>
      </c>
      <c r="G201" s="4">
        <v>350401.0441955495</v>
      </c>
      <c r="H201" s="5">
        <f t="shared" si="0"/>
        <v>0</v>
      </c>
      <c r="I201" t="s">
        <v>56</v>
      </c>
      <c r="J201" t="s">
        <v>202</v>
      </c>
      <c r="K201" s="5">
        <f>120 / 86400</f>
        <v>1.3888888888888889E-3</v>
      </c>
      <c r="L201" s="5">
        <f>20 / 86400</f>
        <v>2.3148148148148149E-4</v>
      </c>
    </row>
    <row r="202" spans="1:12" x14ac:dyDescent="0.25">
      <c r="A202" s="3">
        <v>45712.263831018514</v>
      </c>
      <c r="B202" t="s">
        <v>201</v>
      </c>
      <c r="C202" s="3">
        <v>45712.264062499999</v>
      </c>
      <c r="D202" t="s">
        <v>201</v>
      </c>
      <c r="E202" s="4">
        <v>0.15281803464889526</v>
      </c>
      <c r="F202" s="4">
        <v>350401.09381340467</v>
      </c>
      <c r="G202" s="4">
        <v>350401.24663143931</v>
      </c>
      <c r="H202" s="5">
        <f t="shared" si="0"/>
        <v>0</v>
      </c>
      <c r="I202" t="s">
        <v>184</v>
      </c>
      <c r="J202" t="s">
        <v>198</v>
      </c>
      <c r="K202" s="5">
        <f>20 / 86400</f>
        <v>2.3148148148148149E-4</v>
      </c>
      <c r="L202" s="5">
        <f>40 / 86400</f>
        <v>4.6296296296296298E-4</v>
      </c>
    </row>
    <row r="203" spans="1:12" x14ac:dyDescent="0.25">
      <c r="A203" s="3">
        <v>45712.264525462961</v>
      </c>
      <c r="B203" t="s">
        <v>201</v>
      </c>
      <c r="C203" s="3">
        <v>45712.265914351854</v>
      </c>
      <c r="D203" t="s">
        <v>203</v>
      </c>
      <c r="E203" s="4">
        <v>0.81918235242366788</v>
      </c>
      <c r="F203" s="4">
        <v>350401.29716244352</v>
      </c>
      <c r="G203" s="4">
        <v>350402.11634479597</v>
      </c>
      <c r="H203" s="5">
        <f t="shared" si="0"/>
        <v>0</v>
      </c>
      <c r="I203" t="s">
        <v>163</v>
      </c>
      <c r="J203" t="s">
        <v>202</v>
      </c>
      <c r="K203" s="5">
        <f>120 / 86400</f>
        <v>1.3888888888888889E-3</v>
      </c>
      <c r="L203" s="5">
        <f>20 / 86400</f>
        <v>2.3148148148148149E-4</v>
      </c>
    </row>
    <row r="204" spans="1:12" x14ac:dyDescent="0.25">
      <c r="A204" s="3">
        <v>45712.266145833331</v>
      </c>
      <c r="B204" t="s">
        <v>204</v>
      </c>
      <c r="C204" s="3">
        <v>45712.26730324074</v>
      </c>
      <c r="D204" t="s">
        <v>205</v>
      </c>
      <c r="E204" s="4">
        <v>0.36976879805326462</v>
      </c>
      <c r="F204" s="4">
        <v>350402.23799407471</v>
      </c>
      <c r="G204" s="4">
        <v>350402.60776287277</v>
      </c>
      <c r="H204" s="5">
        <f t="shared" si="0"/>
        <v>0</v>
      </c>
      <c r="I204" t="s">
        <v>170</v>
      </c>
      <c r="J204" t="s">
        <v>71</v>
      </c>
      <c r="K204" s="5">
        <f>100 / 86400</f>
        <v>1.1574074074074073E-3</v>
      </c>
      <c r="L204" s="5">
        <f>20 / 86400</f>
        <v>2.3148148148148149E-4</v>
      </c>
    </row>
    <row r="205" spans="1:12" x14ac:dyDescent="0.25">
      <c r="A205" s="3">
        <v>45712.267534722225</v>
      </c>
      <c r="B205" t="s">
        <v>206</v>
      </c>
      <c r="C205" s="3">
        <v>45712.267766203702</v>
      </c>
      <c r="D205" t="s">
        <v>207</v>
      </c>
      <c r="E205" s="4">
        <v>4.3541776537895205E-2</v>
      </c>
      <c r="F205" s="4">
        <v>350402.61266049399</v>
      </c>
      <c r="G205" s="4">
        <v>350402.65620227053</v>
      </c>
      <c r="H205" s="5">
        <f t="shared" si="0"/>
        <v>0</v>
      </c>
      <c r="I205" t="s">
        <v>99</v>
      </c>
      <c r="J205" t="s">
        <v>92</v>
      </c>
      <c r="K205" s="5">
        <f>20 / 86400</f>
        <v>2.3148148148148149E-4</v>
      </c>
      <c r="L205" s="5">
        <f>20 / 86400</f>
        <v>2.3148148148148149E-4</v>
      </c>
    </row>
    <row r="206" spans="1:12" x14ac:dyDescent="0.25">
      <c r="A206" s="3">
        <v>45712.267997685187</v>
      </c>
      <c r="B206" t="s">
        <v>207</v>
      </c>
      <c r="C206" s="3">
        <v>45712.272523148145</v>
      </c>
      <c r="D206" t="s">
        <v>208</v>
      </c>
      <c r="E206" s="4">
        <v>1.544182285130024</v>
      </c>
      <c r="F206" s="4">
        <v>350402.76115191175</v>
      </c>
      <c r="G206" s="4">
        <v>350404.30533419689</v>
      </c>
      <c r="H206" s="5">
        <f t="shared" si="0"/>
        <v>0</v>
      </c>
      <c r="I206" t="s">
        <v>189</v>
      </c>
      <c r="J206" t="s">
        <v>48</v>
      </c>
      <c r="K206" s="5">
        <f>391 / 86400</f>
        <v>4.5254629629629629E-3</v>
      </c>
      <c r="L206" s="5">
        <f>3 / 86400</f>
        <v>3.4722222222222222E-5</v>
      </c>
    </row>
    <row r="207" spans="1:12" x14ac:dyDescent="0.25">
      <c r="A207" s="3">
        <v>45712.272557870368</v>
      </c>
      <c r="B207" t="s">
        <v>209</v>
      </c>
      <c r="C207" s="3">
        <v>45712.276249999995</v>
      </c>
      <c r="D207" t="s">
        <v>210</v>
      </c>
      <c r="E207" s="4">
        <v>1.7951430318355561</v>
      </c>
      <c r="F207" s="4">
        <v>350404.30951143458</v>
      </c>
      <c r="G207" s="4">
        <v>350406.10465446638</v>
      </c>
      <c r="H207" s="5">
        <f t="shared" si="0"/>
        <v>0</v>
      </c>
      <c r="I207" t="s">
        <v>131</v>
      </c>
      <c r="J207" t="s">
        <v>112</v>
      </c>
      <c r="K207" s="5">
        <f>319 / 86400</f>
        <v>3.6921296296296298E-3</v>
      </c>
      <c r="L207" s="5">
        <f>20 / 86400</f>
        <v>2.3148148148148149E-4</v>
      </c>
    </row>
    <row r="208" spans="1:12" x14ac:dyDescent="0.25">
      <c r="A208" s="3">
        <v>45712.27648148148</v>
      </c>
      <c r="B208" t="s">
        <v>210</v>
      </c>
      <c r="C208" s="3">
        <v>45712.280069444445</v>
      </c>
      <c r="D208" t="s">
        <v>211</v>
      </c>
      <c r="E208" s="4">
        <v>1.1549302071928977</v>
      </c>
      <c r="F208" s="4">
        <v>350406.12584979471</v>
      </c>
      <c r="G208" s="4">
        <v>350407.28078000189</v>
      </c>
      <c r="H208" s="5">
        <f t="shared" si="0"/>
        <v>0</v>
      </c>
      <c r="I208" t="s">
        <v>202</v>
      </c>
      <c r="J208" t="s">
        <v>71</v>
      </c>
      <c r="K208" s="5">
        <f>310 / 86400</f>
        <v>3.5879629629629629E-3</v>
      </c>
      <c r="L208" s="5">
        <f>5 / 86400</f>
        <v>5.7870370370370373E-5</v>
      </c>
    </row>
    <row r="209" spans="1:12" x14ac:dyDescent="0.25">
      <c r="A209" s="3">
        <v>45712.280127314814</v>
      </c>
      <c r="B209" t="s">
        <v>211</v>
      </c>
      <c r="C209" s="3">
        <v>45712.281446759254</v>
      </c>
      <c r="D209" t="s">
        <v>212</v>
      </c>
      <c r="E209" s="4">
        <v>0.35163262671232226</v>
      </c>
      <c r="F209" s="4">
        <v>350407.28417292994</v>
      </c>
      <c r="G209" s="4">
        <v>350407.63580555667</v>
      </c>
      <c r="H209" s="5">
        <f t="shared" si="0"/>
        <v>0</v>
      </c>
      <c r="I209" t="s">
        <v>134</v>
      </c>
      <c r="J209" t="s">
        <v>42</v>
      </c>
      <c r="K209" s="5">
        <f>114 / 86400</f>
        <v>1.3194444444444445E-3</v>
      </c>
      <c r="L209" s="5">
        <f>16 / 86400</f>
        <v>1.8518518518518518E-4</v>
      </c>
    </row>
    <row r="210" spans="1:12" x14ac:dyDescent="0.25">
      <c r="A210" s="3">
        <v>45712.281631944439</v>
      </c>
      <c r="B210" t="s">
        <v>212</v>
      </c>
      <c r="C210" s="3">
        <v>45712.284351851849</v>
      </c>
      <c r="D210" t="s">
        <v>213</v>
      </c>
      <c r="E210" s="4">
        <v>0.7947189804911613</v>
      </c>
      <c r="F210" s="4">
        <v>350407.6469064398</v>
      </c>
      <c r="G210" s="4">
        <v>350408.4416254203</v>
      </c>
      <c r="H210" s="5">
        <f t="shared" si="0"/>
        <v>0</v>
      </c>
      <c r="I210" t="s">
        <v>164</v>
      </c>
      <c r="J210" t="s">
        <v>145</v>
      </c>
      <c r="K210" s="5">
        <f>235 / 86400</f>
        <v>2.7199074074074074E-3</v>
      </c>
      <c r="L210" s="5">
        <f>20 / 86400</f>
        <v>2.3148148148148149E-4</v>
      </c>
    </row>
    <row r="211" spans="1:12" x14ac:dyDescent="0.25">
      <c r="A211" s="3">
        <v>45712.284583333334</v>
      </c>
      <c r="B211" t="s">
        <v>214</v>
      </c>
      <c r="C211" s="3">
        <v>45712.286192129628</v>
      </c>
      <c r="D211" t="s">
        <v>215</v>
      </c>
      <c r="E211" s="4">
        <v>0.58392785441875461</v>
      </c>
      <c r="F211" s="4">
        <v>350408.47157160006</v>
      </c>
      <c r="G211" s="4">
        <v>350409.05549945449</v>
      </c>
      <c r="H211" s="5">
        <f t="shared" si="0"/>
        <v>0</v>
      </c>
      <c r="I211" t="s">
        <v>152</v>
      </c>
      <c r="J211" t="s">
        <v>59</v>
      </c>
      <c r="K211" s="5">
        <f>139 / 86400</f>
        <v>1.6087962962962963E-3</v>
      </c>
      <c r="L211" s="5">
        <f>20 / 86400</f>
        <v>2.3148148148148149E-4</v>
      </c>
    </row>
    <row r="212" spans="1:12" x14ac:dyDescent="0.25">
      <c r="A212" s="3">
        <v>45712.286423611113</v>
      </c>
      <c r="B212" t="s">
        <v>216</v>
      </c>
      <c r="C212" s="3">
        <v>45712.289027777777</v>
      </c>
      <c r="D212" t="s">
        <v>217</v>
      </c>
      <c r="E212" s="4">
        <v>1.1529389800429344</v>
      </c>
      <c r="F212" s="4">
        <v>350409.08795602125</v>
      </c>
      <c r="G212" s="4">
        <v>350410.24089500128</v>
      </c>
      <c r="H212" s="5">
        <f t="shared" si="0"/>
        <v>0</v>
      </c>
      <c r="I212" t="s">
        <v>218</v>
      </c>
      <c r="J212" t="s">
        <v>20</v>
      </c>
      <c r="K212" s="5">
        <f>225 / 86400</f>
        <v>2.6041666666666665E-3</v>
      </c>
      <c r="L212" s="5">
        <f>25 / 86400</f>
        <v>2.8935185185185184E-4</v>
      </c>
    </row>
    <row r="213" spans="1:12" x14ac:dyDescent="0.25">
      <c r="A213" s="3">
        <v>45712.289317129631</v>
      </c>
      <c r="B213" t="s">
        <v>217</v>
      </c>
      <c r="C213" s="3">
        <v>45712.289548611108</v>
      </c>
      <c r="D213" t="s">
        <v>219</v>
      </c>
      <c r="E213" s="4">
        <v>5.4755423665046694E-3</v>
      </c>
      <c r="F213" s="4">
        <v>350410.25017390639</v>
      </c>
      <c r="G213" s="4">
        <v>350410.25564944878</v>
      </c>
      <c r="H213" s="5">
        <f t="shared" si="0"/>
        <v>0</v>
      </c>
      <c r="I213" t="s">
        <v>57</v>
      </c>
      <c r="J213" t="s">
        <v>143</v>
      </c>
      <c r="K213" s="5">
        <f>20 / 86400</f>
        <v>2.3148148148148149E-4</v>
      </c>
      <c r="L213" s="5">
        <f>60 / 86400</f>
        <v>6.9444444444444447E-4</v>
      </c>
    </row>
    <row r="214" spans="1:12" x14ac:dyDescent="0.25">
      <c r="A214" s="3">
        <v>45712.290243055555</v>
      </c>
      <c r="B214" t="s">
        <v>219</v>
      </c>
      <c r="C214" s="3">
        <v>45712.290706018517</v>
      </c>
      <c r="D214" t="s">
        <v>219</v>
      </c>
      <c r="E214" s="4">
        <v>9.6215466260910036E-3</v>
      </c>
      <c r="F214" s="4">
        <v>350410.26569074695</v>
      </c>
      <c r="G214" s="4">
        <v>350410.27531229361</v>
      </c>
      <c r="H214" s="5">
        <f t="shared" si="0"/>
        <v>0</v>
      </c>
      <c r="I214" t="s">
        <v>143</v>
      </c>
      <c r="J214" t="s">
        <v>143</v>
      </c>
      <c r="K214" s="5">
        <f>40 / 86400</f>
        <v>4.6296296296296298E-4</v>
      </c>
      <c r="L214" s="5">
        <f>168 / 86400</f>
        <v>1.9444444444444444E-3</v>
      </c>
    </row>
    <row r="215" spans="1:12" x14ac:dyDescent="0.25">
      <c r="A215" s="3">
        <v>45712.292650462958</v>
      </c>
      <c r="B215" t="s">
        <v>220</v>
      </c>
      <c r="C215" s="3">
        <v>45712.293773148151</v>
      </c>
      <c r="D215" t="s">
        <v>221</v>
      </c>
      <c r="E215" s="4">
        <v>0.61795793205499649</v>
      </c>
      <c r="F215" s="4">
        <v>350410.35510935809</v>
      </c>
      <c r="G215" s="4">
        <v>350410.97306729015</v>
      </c>
      <c r="H215" s="5">
        <f t="shared" si="0"/>
        <v>0</v>
      </c>
      <c r="I215" t="s">
        <v>183</v>
      </c>
      <c r="J215" t="s">
        <v>139</v>
      </c>
      <c r="K215" s="5">
        <f>97 / 86400</f>
        <v>1.1226851851851851E-3</v>
      </c>
      <c r="L215" s="5">
        <f>20 / 86400</f>
        <v>2.3148148148148149E-4</v>
      </c>
    </row>
    <row r="216" spans="1:12" x14ac:dyDescent="0.25">
      <c r="A216" s="3">
        <v>45712.294004629628</v>
      </c>
      <c r="B216" t="s">
        <v>222</v>
      </c>
      <c r="C216" s="3">
        <v>45712.295162037037</v>
      </c>
      <c r="D216" t="s">
        <v>223</v>
      </c>
      <c r="E216" s="4">
        <v>0.78903731459379201</v>
      </c>
      <c r="F216" s="4">
        <v>350411.06902206561</v>
      </c>
      <c r="G216" s="4">
        <v>350411.85805938026</v>
      </c>
      <c r="H216" s="5">
        <f t="shared" si="0"/>
        <v>0</v>
      </c>
      <c r="I216" t="s">
        <v>224</v>
      </c>
      <c r="J216" t="s">
        <v>198</v>
      </c>
      <c r="K216" s="5">
        <f>100 / 86400</f>
        <v>1.1574074074074073E-3</v>
      </c>
      <c r="L216" s="5">
        <f>12 / 86400</f>
        <v>1.3888888888888889E-4</v>
      </c>
    </row>
    <row r="217" spans="1:12" x14ac:dyDescent="0.25">
      <c r="A217" s="3">
        <v>45712.295300925922</v>
      </c>
      <c r="B217" t="s">
        <v>223</v>
      </c>
      <c r="C217" s="3">
        <v>45712.296631944446</v>
      </c>
      <c r="D217" t="s">
        <v>225</v>
      </c>
      <c r="E217" s="4">
        <v>0.89474655246734625</v>
      </c>
      <c r="F217" s="4">
        <v>350411.86422582314</v>
      </c>
      <c r="G217" s="4">
        <v>350412.75897237565</v>
      </c>
      <c r="H217" s="5">
        <f t="shared" si="0"/>
        <v>0</v>
      </c>
      <c r="I217" t="s">
        <v>50</v>
      </c>
      <c r="J217" t="s">
        <v>198</v>
      </c>
      <c r="K217" s="5">
        <f>115 / 86400</f>
        <v>1.3310185185185185E-3</v>
      </c>
      <c r="L217" s="5">
        <f>16 / 86400</f>
        <v>1.8518518518518518E-4</v>
      </c>
    </row>
    <row r="218" spans="1:12" x14ac:dyDescent="0.25">
      <c r="A218" s="3">
        <v>45712.296817129631</v>
      </c>
      <c r="B218" t="s">
        <v>226</v>
      </c>
      <c r="C218" s="3">
        <v>45712.297291666662</v>
      </c>
      <c r="D218" t="s">
        <v>227</v>
      </c>
      <c r="E218" s="4">
        <v>0.10983132410049438</v>
      </c>
      <c r="F218" s="4">
        <v>350412.82907925377</v>
      </c>
      <c r="G218" s="4">
        <v>350412.93891057791</v>
      </c>
      <c r="H218" s="5">
        <f t="shared" si="0"/>
        <v>0</v>
      </c>
      <c r="I218" t="s">
        <v>20</v>
      </c>
      <c r="J218" t="s">
        <v>51</v>
      </c>
      <c r="K218" s="5">
        <f>41 / 86400</f>
        <v>4.7453703703703704E-4</v>
      </c>
      <c r="L218" s="5">
        <f>20 / 86400</f>
        <v>2.3148148148148149E-4</v>
      </c>
    </row>
    <row r="219" spans="1:12" x14ac:dyDescent="0.25">
      <c r="A219" s="3">
        <v>45712.297523148147</v>
      </c>
      <c r="B219" t="s">
        <v>227</v>
      </c>
      <c r="C219" s="3">
        <v>45712.297835648147</v>
      </c>
      <c r="D219" t="s">
        <v>228</v>
      </c>
      <c r="E219" s="4">
        <v>0.14971453607082366</v>
      </c>
      <c r="F219" s="4">
        <v>350412.94007710199</v>
      </c>
      <c r="G219" s="4">
        <v>350413.08979163808</v>
      </c>
      <c r="H219" s="5">
        <f t="shared" si="0"/>
        <v>0</v>
      </c>
      <c r="I219" t="s">
        <v>164</v>
      </c>
      <c r="J219" t="s">
        <v>112</v>
      </c>
      <c r="K219" s="5">
        <f>27 / 86400</f>
        <v>3.1250000000000001E-4</v>
      </c>
      <c r="L219" s="5">
        <f>2 / 86400</f>
        <v>2.3148148148148147E-5</v>
      </c>
    </row>
    <row r="220" spans="1:12" x14ac:dyDescent="0.25">
      <c r="A220" s="3">
        <v>45712.297858796301</v>
      </c>
      <c r="B220" t="s">
        <v>228</v>
      </c>
      <c r="C220" s="3">
        <v>45712.29923611111</v>
      </c>
      <c r="D220" t="s">
        <v>229</v>
      </c>
      <c r="E220" s="4">
        <v>0.48327725780010222</v>
      </c>
      <c r="F220" s="4">
        <v>350413.09358493279</v>
      </c>
      <c r="G220" s="4">
        <v>350413.57686219062</v>
      </c>
      <c r="H220" s="5">
        <f t="shared" si="0"/>
        <v>0</v>
      </c>
      <c r="I220" t="s">
        <v>202</v>
      </c>
      <c r="J220" t="s">
        <v>59</v>
      </c>
      <c r="K220" s="5">
        <f>119 / 86400</f>
        <v>1.3773148148148147E-3</v>
      </c>
      <c r="L220" s="5">
        <f>60 / 86400</f>
        <v>6.9444444444444447E-4</v>
      </c>
    </row>
    <row r="221" spans="1:12" x14ac:dyDescent="0.25">
      <c r="A221" s="3">
        <v>45712.299930555557</v>
      </c>
      <c r="B221" t="s">
        <v>230</v>
      </c>
      <c r="C221" s="3">
        <v>45712.302824074075</v>
      </c>
      <c r="D221" t="s">
        <v>231</v>
      </c>
      <c r="E221" s="4">
        <v>1.1127774539589881</v>
      </c>
      <c r="F221" s="4">
        <v>350413.5893372618</v>
      </c>
      <c r="G221" s="4">
        <v>350414.70211471576</v>
      </c>
      <c r="H221" s="5">
        <f t="shared" si="0"/>
        <v>0</v>
      </c>
      <c r="I221" t="s">
        <v>131</v>
      </c>
      <c r="J221" t="s">
        <v>34</v>
      </c>
      <c r="K221" s="5">
        <f>250 / 86400</f>
        <v>2.8935185185185184E-3</v>
      </c>
      <c r="L221" s="5">
        <f>40 / 86400</f>
        <v>4.6296296296296298E-4</v>
      </c>
    </row>
    <row r="222" spans="1:12" x14ac:dyDescent="0.25">
      <c r="A222" s="3">
        <v>45712.303287037037</v>
      </c>
      <c r="B222" t="s">
        <v>232</v>
      </c>
      <c r="C222" s="3">
        <v>45712.303518518514</v>
      </c>
      <c r="D222" t="s">
        <v>232</v>
      </c>
      <c r="E222" s="4">
        <v>8.2080685496330255E-3</v>
      </c>
      <c r="F222" s="4">
        <v>350414.74777536409</v>
      </c>
      <c r="G222" s="4">
        <v>350414.75598343264</v>
      </c>
      <c r="H222" s="5">
        <f t="shared" si="0"/>
        <v>0</v>
      </c>
      <c r="I222" t="s">
        <v>57</v>
      </c>
      <c r="J222" t="s">
        <v>143</v>
      </c>
      <c r="K222" s="5">
        <f>20 / 86400</f>
        <v>2.3148148148148149E-4</v>
      </c>
      <c r="L222" s="5">
        <f>60 / 86400</f>
        <v>6.9444444444444447E-4</v>
      </c>
    </row>
    <row r="223" spans="1:12" x14ac:dyDescent="0.25">
      <c r="A223" s="3">
        <v>45712.304212962961</v>
      </c>
      <c r="B223" t="s">
        <v>233</v>
      </c>
      <c r="C223" s="3">
        <v>45712.30532407407</v>
      </c>
      <c r="D223" t="s">
        <v>234</v>
      </c>
      <c r="E223" s="4">
        <v>0.3538627552986145</v>
      </c>
      <c r="F223" s="4">
        <v>350414.76701721107</v>
      </c>
      <c r="G223" s="4">
        <v>350415.12087996636</v>
      </c>
      <c r="H223" s="5">
        <f t="shared" si="0"/>
        <v>0</v>
      </c>
      <c r="I223" t="s">
        <v>178</v>
      </c>
      <c r="J223" t="s">
        <v>71</v>
      </c>
      <c r="K223" s="5">
        <f>96 / 86400</f>
        <v>1.1111111111111111E-3</v>
      </c>
      <c r="L223" s="5">
        <f>20 / 86400</f>
        <v>2.3148148148148149E-4</v>
      </c>
    </row>
    <row r="224" spans="1:12" x14ac:dyDescent="0.25">
      <c r="A224" s="3">
        <v>45712.305555555555</v>
      </c>
      <c r="B224" t="s">
        <v>234</v>
      </c>
      <c r="C224" s="3">
        <v>45712.307175925926</v>
      </c>
      <c r="D224" t="s">
        <v>235</v>
      </c>
      <c r="E224" s="4">
        <v>0.73553150129318234</v>
      </c>
      <c r="F224" s="4">
        <v>350415.15362699673</v>
      </c>
      <c r="G224" s="4">
        <v>350415.88915849803</v>
      </c>
      <c r="H224" s="5">
        <f t="shared" si="0"/>
        <v>0</v>
      </c>
      <c r="I224" t="s">
        <v>180</v>
      </c>
      <c r="J224" t="s">
        <v>137</v>
      </c>
      <c r="K224" s="5">
        <f>140 / 86400</f>
        <v>1.6203703703703703E-3</v>
      </c>
      <c r="L224" s="5">
        <f>36 / 86400</f>
        <v>4.1666666666666669E-4</v>
      </c>
    </row>
    <row r="225" spans="1:12" x14ac:dyDescent="0.25">
      <c r="A225" s="3">
        <v>45712.307592592595</v>
      </c>
      <c r="B225" t="s">
        <v>235</v>
      </c>
      <c r="C225" s="3">
        <v>45712.307928240742</v>
      </c>
      <c r="D225" t="s">
        <v>235</v>
      </c>
      <c r="E225" s="4">
        <v>3.0157898843288421E-2</v>
      </c>
      <c r="F225" s="4">
        <v>350415.90163457184</v>
      </c>
      <c r="G225" s="4">
        <v>350415.93179247068</v>
      </c>
      <c r="H225" s="5">
        <f t="shared" si="0"/>
        <v>0</v>
      </c>
      <c r="I225" t="s">
        <v>135</v>
      </c>
      <c r="J225" t="s">
        <v>129</v>
      </c>
      <c r="K225" s="5">
        <f>29 / 86400</f>
        <v>3.3564814814814812E-4</v>
      </c>
      <c r="L225" s="5">
        <f>11 / 86400</f>
        <v>1.273148148148148E-4</v>
      </c>
    </row>
    <row r="226" spans="1:12" x14ac:dyDescent="0.25">
      <c r="A226" s="3">
        <v>45712.308055555557</v>
      </c>
      <c r="B226" t="s">
        <v>235</v>
      </c>
      <c r="C226" s="3">
        <v>45712.308854166666</v>
      </c>
      <c r="D226" t="s">
        <v>236</v>
      </c>
      <c r="E226" s="4">
        <v>0.27842299139499666</v>
      </c>
      <c r="F226" s="4">
        <v>350415.93489685096</v>
      </c>
      <c r="G226" s="4">
        <v>350416.21331984235</v>
      </c>
      <c r="H226" s="5">
        <f t="shared" si="0"/>
        <v>0</v>
      </c>
      <c r="I226" t="s">
        <v>182</v>
      </c>
      <c r="J226" t="s">
        <v>59</v>
      </c>
      <c r="K226" s="5">
        <f>69 / 86400</f>
        <v>7.9861111111111116E-4</v>
      </c>
      <c r="L226" s="5">
        <f>14 / 86400</f>
        <v>1.6203703703703703E-4</v>
      </c>
    </row>
    <row r="227" spans="1:12" x14ac:dyDescent="0.25">
      <c r="A227" s="3">
        <v>45712.309016203704</v>
      </c>
      <c r="B227" t="s">
        <v>236</v>
      </c>
      <c r="C227" s="3">
        <v>45712.309490740736</v>
      </c>
      <c r="D227" t="s">
        <v>237</v>
      </c>
      <c r="E227" s="4">
        <v>5.6777679026126862E-2</v>
      </c>
      <c r="F227" s="4">
        <v>350416.22111543681</v>
      </c>
      <c r="G227" s="4">
        <v>350416.27789311582</v>
      </c>
      <c r="H227" s="5">
        <f t="shared" si="0"/>
        <v>0</v>
      </c>
      <c r="I227" t="s">
        <v>135</v>
      </c>
      <c r="J227" t="s">
        <v>57</v>
      </c>
      <c r="K227" s="5">
        <f>41 / 86400</f>
        <v>4.7453703703703704E-4</v>
      </c>
      <c r="L227" s="5">
        <f>60 / 86400</f>
        <v>6.9444444444444447E-4</v>
      </c>
    </row>
    <row r="228" spans="1:12" x14ac:dyDescent="0.25">
      <c r="A228" s="3">
        <v>45712.310185185182</v>
      </c>
      <c r="B228" t="s">
        <v>238</v>
      </c>
      <c r="C228" s="3">
        <v>45712.310416666667</v>
      </c>
      <c r="D228" t="s">
        <v>239</v>
      </c>
      <c r="E228" s="4">
        <v>9.5927704572677606E-3</v>
      </c>
      <c r="F228" s="4">
        <v>350416.29410062335</v>
      </c>
      <c r="G228" s="4">
        <v>350416.30369339383</v>
      </c>
      <c r="H228" s="5">
        <f t="shared" si="0"/>
        <v>0</v>
      </c>
      <c r="I228" t="s">
        <v>143</v>
      </c>
      <c r="J228" t="s">
        <v>150</v>
      </c>
      <c r="K228" s="5">
        <f>20 / 86400</f>
        <v>2.3148148148148149E-4</v>
      </c>
      <c r="L228" s="5">
        <f>20 / 86400</f>
        <v>2.3148148148148149E-4</v>
      </c>
    </row>
    <row r="229" spans="1:12" x14ac:dyDescent="0.25">
      <c r="A229" s="3">
        <v>45712.310648148152</v>
      </c>
      <c r="B229" t="s">
        <v>239</v>
      </c>
      <c r="C229" s="3">
        <v>45712.310879629629</v>
      </c>
      <c r="D229" t="s">
        <v>239</v>
      </c>
      <c r="E229" s="4">
        <v>2.7888109087944031E-3</v>
      </c>
      <c r="F229" s="4">
        <v>350416.30654155923</v>
      </c>
      <c r="G229" s="4">
        <v>350416.3093303701</v>
      </c>
      <c r="H229" s="5">
        <f t="shared" si="0"/>
        <v>0</v>
      </c>
      <c r="I229" t="s">
        <v>143</v>
      </c>
      <c r="J229" t="s">
        <v>143</v>
      </c>
      <c r="K229" s="5">
        <f>20 / 86400</f>
        <v>2.3148148148148149E-4</v>
      </c>
      <c r="L229" s="5">
        <f>260 / 86400</f>
        <v>3.0092592592592593E-3</v>
      </c>
    </row>
    <row r="230" spans="1:12" x14ac:dyDescent="0.25">
      <c r="A230" s="3">
        <v>45712.313888888893</v>
      </c>
      <c r="B230" t="s">
        <v>239</v>
      </c>
      <c r="C230" s="3">
        <v>45712.314120370371</v>
      </c>
      <c r="D230" t="s">
        <v>239</v>
      </c>
      <c r="E230" s="4">
        <v>4.4882566928863528E-3</v>
      </c>
      <c r="F230" s="4">
        <v>350416.34195728623</v>
      </c>
      <c r="G230" s="4">
        <v>350416.34644554293</v>
      </c>
      <c r="H230" s="5">
        <f t="shared" si="0"/>
        <v>0</v>
      </c>
      <c r="I230" t="s">
        <v>143</v>
      </c>
      <c r="J230" t="s">
        <v>143</v>
      </c>
      <c r="K230" s="5">
        <f>20 / 86400</f>
        <v>2.3148148148148149E-4</v>
      </c>
      <c r="L230" s="5">
        <f>40 / 86400</f>
        <v>4.6296296296296298E-4</v>
      </c>
    </row>
    <row r="231" spans="1:12" x14ac:dyDescent="0.25">
      <c r="A231" s="3">
        <v>45712.314583333333</v>
      </c>
      <c r="B231" t="s">
        <v>238</v>
      </c>
      <c r="C231" s="3">
        <v>45712.314814814818</v>
      </c>
      <c r="D231" t="s">
        <v>238</v>
      </c>
      <c r="E231" s="4">
        <v>2.2378977537155153E-3</v>
      </c>
      <c r="F231" s="4">
        <v>350416.35192240064</v>
      </c>
      <c r="G231" s="4">
        <v>350416.35416029842</v>
      </c>
      <c r="H231" s="5">
        <f t="shared" si="0"/>
        <v>0</v>
      </c>
      <c r="I231" t="s">
        <v>150</v>
      </c>
      <c r="J231" t="s">
        <v>24</v>
      </c>
      <c r="K231" s="5">
        <f>20 / 86400</f>
        <v>2.3148148148148149E-4</v>
      </c>
      <c r="L231" s="5">
        <f>100 / 86400</f>
        <v>1.1574074074074073E-3</v>
      </c>
    </row>
    <row r="232" spans="1:12" x14ac:dyDescent="0.25">
      <c r="A232" s="3">
        <v>45712.315972222219</v>
      </c>
      <c r="B232" t="s">
        <v>238</v>
      </c>
      <c r="C232" s="3">
        <v>45712.31659722222</v>
      </c>
      <c r="D232" t="s">
        <v>240</v>
      </c>
      <c r="E232" s="4">
        <v>0.21185184019804001</v>
      </c>
      <c r="F232" s="4">
        <v>350416.4102661839</v>
      </c>
      <c r="G232" s="4">
        <v>350416.6221180241</v>
      </c>
      <c r="H232" s="5">
        <f t="shared" si="0"/>
        <v>0</v>
      </c>
      <c r="I232" t="s">
        <v>134</v>
      </c>
      <c r="J232" t="s">
        <v>48</v>
      </c>
      <c r="K232" s="5">
        <f>54 / 86400</f>
        <v>6.2500000000000001E-4</v>
      </c>
      <c r="L232" s="5">
        <f>16 / 86400</f>
        <v>1.8518518518518518E-4</v>
      </c>
    </row>
    <row r="233" spans="1:12" x14ac:dyDescent="0.25">
      <c r="A233" s="3">
        <v>45712.316782407404</v>
      </c>
      <c r="B233" t="s">
        <v>241</v>
      </c>
      <c r="C233" s="3">
        <v>45712.317743055552</v>
      </c>
      <c r="D233" t="s">
        <v>242</v>
      </c>
      <c r="E233" s="4">
        <v>0.19130987620353698</v>
      </c>
      <c r="F233" s="4">
        <v>350416.63639653841</v>
      </c>
      <c r="G233" s="4">
        <v>350416.82770641462</v>
      </c>
      <c r="H233" s="5">
        <f t="shared" si="0"/>
        <v>0</v>
      </c>
      <c r="I233" t="s">
        <v>36</v>
      </c>
      <c r="J233" t="s">
        <v>92</v>
      </c>
      <c r="K233" s="5">
        <f>83 / 86400</f>
        <v>9.6064814814814819E-4</v>
      </c>
      <c r="L233" s="5">
        <f>6 / 86400</f>
        <v>6.9444444444444444E-5</v>
      </c>
    </row>
    <row r="234" spans="1:12" x14ac:dyDescent="0.25">
      <c r="A234" s="3">
        <v>45712.317812499998</v>
      </c>
      <c r="B234" t="s">
        <v>243</v>
      </c>
      <c r="C234" s="3">
        <v>45712.318206018521</v>
      </c>
      <c r="D234" t="s">
        <v>244</v>
      </c>
      <c r="E234" s="4">
        <v>7.544713145494461E-2</v>
      </c>
      <c r="F234" s="4">
        <v>350416.86367000837</v>
      </c>
      <c r="G234" s="4">
        <v>350416.93911713979</v>
      </c>
      <c r="H234" s="5">
        <f t="shared" si="0"/>
        <v>0</v>
      </c>
      <c r="I234" t="s">
        <v>71</v>
      </c>
      <c r="J234" t="s">
        <v>92</v>
      </c>
      <c r="K234" s="5">
        <f>34 / 86400</f>
        <v>3.9351851851851852E-4</v>
      </c>
      <c r="L234" s="5">
        <f>40 / 86400</f>
        <v>4.6296296296296298E-4</v>
      </c>
    </row>
    <row r="235" spans="1:12" x14ac:dyDescent="0.25">
      <c r="A235" s="3">
        <v>45712.318668981483</v>
      </c>
      <c r="B235" t="s">
        <v>244</v>
      </c>
      <c r="C235" s="3">
        <v>45712.318900462968</v>
      </c>
      <c r="D235" t="s">
        <v>245</v>
      </c>
      <c r="E235" s="4">
        <v>4.0936896860599516E-2</v>
      </c>
      <c r="F235" s="4">
        <v>350417.00421192369</v>
      </c>
      <c r="G235" s="4">
        <v>350417.04514882056</v>
      </c>
      <c r="H235" s="5">
        <f t="shared" ref="H235:H298" si="1">0 / 86400</f>
        <v>0</v>
      </c>
      <c r="I235" t="s">
        <v>134</v>
      </c>
      <c r="J235" t="s">
        <v>99</v>
      </c>
      <c r="K235" s="5">
        <f>20 / 86400</f>
        <v>2.3148148148148149E-4</v>
      </c>
      <c r="L235" s="5">
        <f>20 / 86400</f>
        <v>2.3148148148148149E-4</v>
      </c>
    </row>
    <row r="236" spans="1:12" x14ac:dyDescent="0.25">
      <c r="A236" s="3">
        <v>45712.319131944445</v>
      </c>
      <c r="B236" t="s">
        <v>246</v>
      </c>
      <c r="C236" s="3">
        <v>45712.3205787037</v>
      </c>
      <c r="D236" t="s">
        <v>247</v>
      </c>
      <c r="E236" s="4">
        <v>0.30905445325374603</v>
      </c>
      <c r="F236" s="4">
        <v>350417.08919800038</v>
      </c>
      <c r="G236" s="4">
        <v>350417.3982524536</v>
      </c>
      <c r="H236" s="5">
        <f t="shared" si="1"/>
        <v>0</v>
      </c>
      <c r="I236" t="s">
        <v>112</v>
      </c>
      <c r="J236" t="s">
        <v>135</v>
      </c>
      <c r="K236" s="5">
        <f>125 / 86400</f>
        <v>1.4467592592592592E-3</v>
      </c>
      <c r="L236" s="5">
        <f>40 / 86400</f>
        <v>4.6296296296296298E-4</v>
      </c>
    </row>
    <row r="237" spans="1:12" x14ac:dyDescent="0.25">
      <c r="A237" s="3">
        <v>45712.32104166667</v>
      </c>
      <c r="B237" t="s">
        <v>248</v>
      </c>
      <c r="C237" s="3">
        <v>45712.321527777778</v>
      </c>
      <c r="D237" t="s">
        <v>249</v>
      </c>
      <c r="E237" s="4">
        <v>0.18082471847534179</v>
      </c>
      <c r="F237" s="4">
        <v>350417.42032295192</v>
      </c>
      <c r="G237" s="4">
        <v>350417.60114767042</v>
      </c>
      <c r="H237" s="5">
        <f t="shared" si="1"/>
        <v>0</v>
      </c>
      <c r="I237" t="s">
        <v>152</v>
      </c>
      <c r="J237" t="s">
        <v>59</v>
      </c>
      <c r="K237" s="5">
        <f>42 / 86400</f>
        <v>4.861111111111111E-4</v>
      </c>
      <c r="L237" s="5">
        <f>20 / 86400</f>
        <v>2.3148148148148149E-4</v>
      </c>
    </row>
    <row r="238" spans="1:12" x14ac:dyDescent="0.25">
      <c r="A238" s="3">
        <v>45712.321759259255</v>
      </c>
      <c r="B238" t="s">
        <v>250</v>
      </c>
      <c r="C238" s="3">
        <v>45712.323715277773</v>
      </c>
      <c r="D238" t="s">
        <v>251</v>
      </c>
      <c r="E238" s="4">
        <v>0.90902753466367725</v>
      </c>
      <c r="F238" s="4">
        <v>350417.66028997378</v>
      </c>
      <c r="G238" s="4">
        <v>350418.56931750843</v>
      </c>
      <c r="H238" s="5">
        <f t="shared" si="1"/>
        <v>0</v>
      </c>
      <c r="I238" t="s">
        <v>218</v>
      </c>
      <c r="J238" t="s">
        <v>137</v>
      </c>
      <c r="K238" s="5">
        <f>169 / 86400</f>
        <v>1.9560185185185184E-3</v>
      </c>
      <c r="L238" s="5">
        <f>54 / 86400</f>
        <v>6.2500000000000001E-4</v>
      </c>
    </row>
    <row r="239" spans="1:12" x14ac:dyDescent="0.25">
      <c r="A239" s="3">
        <v>45712.324340277773</v>
      </c>
      <c r="B239" t="s">
        <v>252</v>
      </c>
      <c r="C239" s="3">
        <v>45712.324803240743</v>
      </c>
      <c r="D239" t="s">
        <v>229</v>
      </c>
      <c r="E239" s="4">
        <v>7.5992826104164121E-2</v>
      </c>
      <c r="F239" s="4">
        <v>350418.57405968034</v>
      </c>
      <c r="G239" s="4">
        <v>350418.65005250642</v>
      </c>
      <c r="H239" s="5">
        <f t="shared" si="1"/>
        <v>0</v>
      </c>
      <c r="I239" t="s">
        <v>99</v>
      </c>
      <c r="J239" t="s">
        <v>99</v>
      </c>
      <c r="K239" s="5">
        <f>40 / 86400</f>
        <v>4.6296296296296298E-4</v>
      </c>
      <c r="L239" s="5">
        <f>73 / 86400</f>
        <v>8.4490740740740739E-4</v>
      </c>
    </row>
    <row r="240" spans="1:12" x14ac:dyDescent="0.25">
      <c r="A240" s="3">
        <v>45712.325648148151</v>
      </c>
      <c r="B240" t="s">
        <v>229</v>
      </c>
      <c r="C240" s="3">
        <v>45712.326354166667</v>
      </c>
      <c r="D240" t="s">
        <v>253</v>
      </c>
      <c r="E240" s="4">
        <v>0.18689450973272323</v>
      </c>
      <c r="F240" s="4">
        <v>350418.65825392201</v>
      </c>
      <c r="G240" s="4">
        <v>350418.84514843172</v>
      </c>
      <c r="H240" s="5">
        <f t="shared" si="1"/>
        <v>0</v>
      </c>
      <c r="I240" t="s">
        <v>36</v>
      </c>
      <c r="J240" t="s">
        <v>42</v>
      </c>
      <c r="K240" s="5">
        <f>61 / 86400</f>
        <v>7.0601851851851847E-4</v>
      </c>
      <c r="L240" s="5">
        <f>20 / 86400</f>
        <v>2.3148148148148149E-4</v>
      </c>
    </row>
    <row r="241" spans="1:12" x14ac:dyDescent="0.25">
      <c r="A241" s="3">
        <v>45712.326585648145</v>
      </c>
      <c r="B241" t="s">
        <v>253</v>
      </c>
      <c r="C241" s="3">
        <v>45712.327048611114</v>
      </c>
      <c r="D241" t="s">
        <v>229</v>
      </c>
      <c r="E241" s="4">
        <v>0.13681872153282165</v>
      </c>
      <c r="F241" s="4">
        <v>350418.8714887118</v>
      </c>
      <c r="G241" s="4">
        <v>350419.00830743328</v>
      </c>
      <c r="H241" s="5">
        <f t="shared" si="1"/>
        <v>0</v>
      </c>
      <c r="I241" t="s">
        <v>139</v>
      </c>
      <c r="J241" t="s">
        <v>145</v>
      </c>
      <c r="K241" s="5">
        <f>40 / 86400</f>
        <v>4.6296296296296298E-4</v>
      </c>
      <c r="L241" s="5">
        <f>37 / 86400</f>
        <v>4.2824074074074075E-4</v>
      </c>
    </row>
    <row r="242" spans="1:12" x14ac:dyDescent="0.25">
      <c r="A242" s="3">
        <v>45712.327476851853</v>
      </c>
      <c r="B242" t="s">
        <v>229</v>
      </c>
      <c r="C242" s="3">
        <v>45712.328182870369</v>
      </c>
      <c r="D242" t="s">
        <v>254</v>
      </c>
      <c r="E242" s="4">
        <v>0.24686085736751556</v>
      </c>
      <c r="F242" s="4">
        <v>350419.02130114916</v>
      </c>
      <c r="G242" s="4">
        <v>350419.26816200651</v>
      </c>
      <c r="H242" s="5">
        <f t="shared" si="1"/>
        <v>0</v>
      </c>
      <c r="I242" t="s">
        <v>139</v>
      </c>
      <c r="J242" t="s">
        <v>59</v>
      </c>
      <c r="K242" s="5">
        <f>61 / 86400</f>
        <v>7.0601851851851847E-4</v>
      </c>
      <c r="L242" s="5">
        <f>19 / 86400</f>
        <v>2.199074074074074E-4</v>
      </c>
    </row>
    <row r="243" spans="1:12" x14ac:dyDescent="0.25">
      <c r="A243" s="3">
        <v>45712.328402777777</v>
      </c>
      <c r="B243" t="s">
        <v>254</v>
      </c>
      <c r="C243" s="3">
        <v>45712.33017361111</v>
      </c>
      <c r="D243" t="s">
        <v>148</v>
      </c>
      <c r="E243" s="4">
        <v>0.99369072121381763</v>
      </c>
      <c r="F243" s="4">
        <v>350419.2782942559</v>
      </c>
      <c r="G243" s="4">
        <v>350420.27198497712</v>
      </c>
      <c r="H243" s="5">
        <f t="shared" si="1"/>
        <v>0</v>
      </c>
      <c r="I243" t="s">
        <v>168</v>
      </c>
      <c r="J243" t="s">
        <v>139</v>
      </c>
      <c r="K243" s="5">
        <f>153 / 86400</f>
        <v>1.7708333333333332E-3</v>
      </c>
      <c r="L243" s="5">
        <f>20 / 86400</f>
        <v>2.3148148148148149E-4</v>
      </c>
    </row>
    <row r="244" spans="1:12" x14ac:dyDescent="0.25">
      <c r="A244" s="3">
        <v>45712.330405092594</v>
      </c>
      <c r="B244" t="s">
        <v>255</v>
      </c>
      <c r="C244" s="3">
        <v>45712.330636574072</v>
      </c>
      <c r="D244" t="s">
        <v>255</v>
      </c>
      <c r="E244" s="4">
        <v>1.3313623487949372E-2</v>
      </c>
      <c r="F244" s="4">
        <v>350420.30173988035</v>
      </c>
      <c r="G244" s="4">
        <v>350420.31505350379</v>
      </c>
      <c r="H244" s="5">
        <f t="shared" si="1"/>
        <v>0</v>
      </c>
      <c r="I244" t="s">
        <v>20</v>
      </c>
      <c r="J244" t="s">
        <v>150</v>
      </c>
      <c r="K244" s="5">
        <f>20 / 86400</f>
        <v>2.3148148148148149E-4</v>
      </c>
      <c r="L244" s="5">
        <f>8 / 86400</f>
        <v>9.2592592592592588E-5</v>
      </c>
    </row>
    <row r="245" spans="1:12" x14ac:dyDescent="0.25">
      <c r="A245" s="3">
        <v>45712.330729166672</v>
      </c>
      <c r="B245" t="s">
        <v>255</v>
      </c>
      <c r="C245" s="3">
        <v>45712.332812499997</v>
      </c>
      <c r="D245" t="s">
        <v>256</v>
      </c>
      <c r="E245" s="4">
        <v>1.3012373433113098</v>
      </c>
      <c r="F245" s="4">
        <v>350420.3181537604</v>
      </c>
      <c r="G245" s="4">
        <v>350421.61939110368</v>
      </c>
      <c r="H245" s="5">
        <f t="shared" si="1"/>
        <v>0</v>
      </c>
      <c r="I245" t="s">
        <v>50</v>
      </c>
      <c r="J245" t="s">
        <v>164</v>
      </c>
      <c r="K245" s="5">
        <f>180 / 86400</f>
        <v>2.0833333333333333E-3</v>
      </c>
      <c r="L245" s="5">
        <f>40 / 86400</f>
        <v>4.6296296296296298E-4</v>
      </c>
    </row>
    <row r="246" spans="1:12" x14ac:dyDescent="0.25">
      <c r="A246" s="3">
        <v>45712.333275462966</v>
      </c>
      <c r="B246" t="s">
        <v>257</v>
      </c>
      <c r="C246" s="3">
        <v>45712.334664351853</v>
      </c>
      <c r="D246" t="s">
        <v>258</v>
      </c>
      <c r="E246" s="4">
        <v>0.49230588936805725</v>
      </c>
      <c r="F246" s="4">
        <v>350421.72904756194</v>
      </c>
      <c r="G246" s="4">
        <v>350422.22135345131</v>
      </c>
      <c r="H246" s="5">
        <f t="shared" si="1"/>
        <v>0</v>
      </c>
      <c r="I246" t="s">
        <v>180</v>
      </c>
      <c r="J246" t="s">
        <v>59</v>
      </c>
      <c r="K246" s="5">
        <f>120 / 86400</f>
        <v>1.3888888888888889E-3</v>
      </c>
      <c r="L246" s="5">
        <f>20 / 86400</f>
        <v>2.3148148148148149E-4</v>
      </c>
    </row>
    <row r="247" spans="1:12" x14ac:dyDescent="0.25">
      <c r="A247" s="3">
        <v>45712.334895833337</v>
      </c>
      <c r="B247" t="s">
        <v>258</v>
      </c>
      <c r="C247" s="3">
        <v>45712.335127314815</v>
      </c>
      <c r="D247" t="s">
        <v>258</v>
      </c>
      <c r="E247" s="4">
        <v>1.5695438504219054E-2</v>
      </c>
      <c r="F247" s="4">
        <v>350422.27944182319</v>
      </c>
      <c r="G247" s="4">
        <v>350422.29513726168</v>
      </c>
      <c r="H247" s="5">
        <f t="shared" si="1"/>
        <v>0</v>
      </c>
      <c r="I247" t="s">
        <v>71</v>
      </c>
      <c r="J247" t="s">
        <v>95</v>
      </c>
      <c r="K247" s="5">
        <f>20 / 86400</f>
        <v>2.3148148148148149E-4</v>
      </c>
      <c r="L247" s="5">
        <f>180 / 86400</f>
        <v>2.0833333333333333E-3</v>
      </c>
    </row>
    <row r="248" spans="1:12" x14ac:dyDescent="0.25">
      <c r="A248" s="3">
        <v>45712.337210648147</v>
      </c>
      <c r="B248" t="s">
        <v>258</v>
      </c>
      <c r="C248" s="3">
        <v>45712.337442129632</v>
      </c>
      <c r="D248" t="s">
        <v>258</v>
      </c>
      <c r="E248" s="4">
        <v>1.7748302459716796E-2</v>
      </c>
      <c r="F248" s="4">
        <v>350422.31196473597</v>
      </c>
      <c r="G248" s="4">
        <v>350422.32971303846</v>
      </c>
      <c r="H248" s="5">
        <f t="shared" si="1"/>
        <v>0</v>
      </c>
      <c r="I248" t="s">
        <v>95</v>
      </c>
      <c r="J248" t="s">
        <v>95</v>
      </c>
      <c r="K248" s="5">
        <f>20 / 86400</f>
        <v>2.3148148148148149E-4</v>
      </c>
      <c r="L248" s="5">
        <f>80 / 86400</f>
        <v>9.2592592592592596E-4</v>
      </c>
    </row>
    <row r="249" spans="1:12" x14ac:dyDescent="0.25">
      <c r="A249" s="3">
        <v>45712.338368055556</v>
      </c>
      <c r="B249" t="s">
        <v>258</v>
      </c>
      <c r="C249" s="3">
        <v>45712.338599537034</v>
      </c>
      <c r="D249" t="s">
        <v>258</v>
      </c>
      <c r="E249" s="4">
        <v>3.4996915459632873E-3</v>
      </c>
      <c r="F249" s="4">
        <v>350422.34654057131</v>
      </c>
      <c r="G249" s="4">
        <v>350422.35004026286</v>
      </c>
      <c r="H249" s="5">
        <f t="shared" si="1"/>
        <v>0</v>
      </c>
      <c r="I249" t="s">
        <v>143</v>
      </c>
      <c r="J249" t="s">
        <v>143</v>
      </c>
      <c r="K249" s="5">
        <f>20 / 86400</f>
        <v>2.3148148148148149E-4</v>
      </c>
      <c r="L249" s="5">
        <f>52 / 86400</f>
        <v>6.018518518518519E-4</v>
      </c>
    </row>
    <row r="250" spans="1:12" x14ac:dyDescent="0.25">
      <c r="A250" s="3">
        <v>45712.339201388888</v>
      </c>
      <c r="B250" t="s">
        <v>258</v>
      </c>
      <c r="C250" s="3">
        <v>45712.33966435185</v>
      </c>
      <c r="D250" t="s">
        <v>258</v>
      </c>
      <c r="E250" s="4">
        <v>1.5147538840770721E-2</v>
      </c>
      <c r="F250" s="4">
        <v>350422.35820990807</v>
      </c>
      <c r="G250" s="4">
        <v>350422.37335744692</v>
      </c>
      <c r="H250" s="5">
        <f t="shared" si="1"/>
        <v>0</v>
      </c>
      <c r="I250" t="s">
        <v>32</v>
      </c>
      <c r="J250" t="s">
        <v>143</v>
      </c>
      <c r="K250" s="5">
        <f>40 / 86400</f>
        <v>4.6296296296296298E-4</v>
      </c>
      <c r="L250" s="5">
        <f>140 / 86400</f>
        <v>1.6203703703703703E-3</v>
      </c>
    </row>
    <row r="251" spans="1:12" x14ac:dyDescent="0.25">
      <c r="A251" s="3">
        <v>45712.341284722221</v>
      </c>
      <c r="B251" t="s">
        <v>258</v>
      </c>
      <c r="C251" s="3">
        <v>45712.341516203705</v>
      </c>
      <c r="D251" t="s">
        <v>258</v>
      </c>
      <c r="E251" s="4">
        <v>3.3128973245620729E-3</v>
      </c>
      <c r="F251" s="4">
        <v>350422.400166773</v>
      </c>
      <c r="G251" s="4">
        <v>350422.40347967035</v>
      </c>
      <c r="H251" s="5">
        <f t="shared" si="1"/>
        <v>0</v>
      </c>
      <c r="I251" t="s">
        <v>143</v>
      </c>
      <c r="J251" t="s">
        <v>143</v>
      </c>
      <c r="K251" s="5">
        <f>20 / 86400</f>
        <v>2.3148148148148149E-4</v>
      </c>
      <c r="L251" s="5">
        <f>116 / 86400</f>
        <v>1.3425925925925925E-3</v>
      </c>
    </row>
    <row r="252" spans="1:12" x14ac:dyDescent="0.25">
      <c r="A252" s="3">
        <v>45712.342858796299</v>
      </c>
      <c r="B252" t="s">
        <v>258</v>
      </c>
      <c r="C252" s="3">
        <v>45712.343090277776</v>
      </c>
      <c r="D252" t="s">
        <v>258</v>
      </c>
      <c r="E252" s="4">
        <v>1.3404796123504639E-2</v>
      </c>
      <c r="F252" s="4">
        <v>350422.4170565118</v>
      </c>
      <c r="G252" s="4">
        <v>350422.43046130793</v>
      </c>
      <c r="H252" s="5">
        <f t="shared" si="1"/>
        <v>0</v>
      </c>
      <c r="I252" t="s">
        <v>32</v>
      </c>
      <c r="J252" t="s">
        <v>150</v>
      </c>
      <c r="K252" s="5">
        <f>20 / 86400</f>
        <v>2.3148148148148149E-4</v>
      </c>
      <c r="L252" s="5">
        <f>20 / 86400</f>
        <v>2.3148148148148149E-4</v>
      </c>
    </row>
    <row r="253" spans="1:12" x14ac:dyDescent="0.25">
      <c r="A253" s="3">
        <v>45712.343321759261</v>
      </c>
      <c r="B253" t="s">
        <v>258</v>
      </c>
      <c r="C253" s="3">
        <v>45712.346967592588</v>
      </c>
      <c r="D253" t="s">
        <v>259</v>
      </c>
      <c r="E253" s="4">
        <v>0.88307607984542846</v>
      </c>
      <c r="F253" s="4">
        <v>350422.44443080865</v>
      </c>
      <c r="G253" s="4">
        <v>350423.32750688848</v>
      </c>
      <c r="H253" s="5">
        <f t="shared" si="1"/>
        <v>0</v>
      </c>
      <c r="I253" t="s">
        <v>131</v>
      </c>
      <c r="J253" t="s">
        <v>51</v>
      </c>
      <c r="K253" s="5">
        <f>315 / 86400</f>
        <v>3.6458333333333334E-3</v>
      </c>
      <c r="L253" s="5">
        <f>20 / 86400</f>
        <v>2.3148148148148149E-4</v>
      </c>
    </row>
    <row r="254" spans="1:12" x14ac:dyDescent="0.25">
      <c r="A254" s="3">
        <v>45712.347199074073</v>
      </c>
      <c r="B254" t="s">
        <v>260</v>
      </c>
      <c r="C254" s="3">
        <v>45712.347430555557</v>
      </c>
      <c r="D254" t="s">
        <v>259</v>
      </c>
      <c r="E254" s="4">
        <v>3.5804800152778628E-2</v>
      </c>
      <c r="F254" s="4">
        <v>350423.34601135977</v>
      </c>
      <c r="G254" s="4">
        <v>350423.38181615988</v>
      </c>
      <c r="H254" s="5">
        <f t="shared" si="1"/>
        <v>0</v>
      </c>
      <c r="I254" t="s">
        <v>92</v>
      </c>
      <c r="J254" t="s">
        <v>32</v>
      </c>
      <c r="K254" s="5">
        <f>20 / 86400</f>
        <v>2.3148148148148149E-4</v>
      </c>
      <c r="L254" s="5">
        <f>20 / 86400</f>
        <v>2.3148148148148149E-4</v>
      </c>
    </row>
    <row r="255" spans="1:12" x14ac:dyDescent="0.25">
      <c r="A255" s="3">
        <v>45712.347662037035</v>
      </c>
      <c r="B255" t="s">
        <v>259</v>
      </c>
      <c r="C255" s="3">
        <v>45712.347893518519</v>
      </c>
      <c r="D255" t="s">
        <v>259</v>
      </c>
      <c r="E255" s="4">
        <v>3.0316398739814758E-3</v>
      </c>
      <c r="F255" s="4">
        <v>350423.38490494178</v>
      </c>
      <c r="G255" s="4">
        <v>350423.38793658168</v>
      </c>
      <c r="H255" s="5">
        <f t="shared" si="1"/>
        <v>0</v>
      </c>
      <c r="I255" t="s">
        <v>143</v>
      </c>
      <c r="J255" t="s">
        <v>143</v>
      </c>
      <c r="K255" s="5">
        <f>20 / 86400</f>
        <v>2.3148148148148149E-4</v>
      </c>
      <c r="L255" s="5">
        <f>9 / 86400</f>
        <v>1.0416666666666667E-4</v>
      </c>
    </row>
    <row r="256" spans="1:12" x14ac:dyDescent="0.25">
      <c r="A256" s="3">
        <v>45712.347997685181</v>
      </c>
      <c r="B256" t="s">
        <v>259</v>
      </c>
      <c r="C256" s="3">
        <v>45712.350706018522</v>
      </c>
      <c r="D256" t="s">
        <v>261</v>
      </c>
      <c r="E256" s="4">
        <v>0.83966217213869099</v>
      </c>
      <c r="F256" s="4">
        <v>350423.39095058717</v>
      </c>
      <c r="G256" s="4">
        <v>350424.2306127593</v>
      </c>
      <c r="H256" s="5">
        <f t="shared" si="1"/>
        <v>0</v>
      </c>
      <c r="I256" t="s">
        <v>198</v>
      </c>
      <c r="J256" t="s">
        <v>71</v>
      </c>
      <c r="K256" s="5">
        <f>234 / 86400</f>
        <v>2.7083333333333334E-3</v>
      </c>
      <c r="L256" s="5">
        <f>14 / 86400</f>
        <v>1.6203703703703703E-4</v>
      </c>
    </row>
    <row r="257" spans="1:12" x14ac:dyDescent="0.25">
      <c r="A257" s="3">
        <v>45712.350868055553</v>
      </c>
      <c r="B257" t="s">
        <v>261</v>
      </c>
      <c r="C257" s="3">
        <v>45712.35219907407</v>
      </c>
      <c r="D257" t="s">
        <v>262</v>
      </c>
      <c r="E257" s="4">
        <v>0.54138807636499409</v>
      </c>
      <c r="F257" s="4">
        <v>350424.24020735233</v>
      </c>
      <c r="G257" s="4">
        <v>350424.78159542871</v>
      </c>
      <c r="H257" s="5">
        <f t="shared" si="1"/>
        <v>0</v>
      </c>
      <c r="I257" t="s">
        <v>200</v>
      </c>
      <c r="J257" t="s">
        <v>30</v>
      </c>
      <c r="K257" s="5">
        <f>115 / 86400</f>
        <v>1.3310185185185185E-3</v>
      </c>
      <c r="L257" s="5">
        <f>80 / 86400</f>
        <v>9.2592592592592596E-4</v>
      </c>
    </row>
    <row r="258" spans="1:12" x14ac:dyDescent="0.25">
      <c r="A258" s="3">
        <v>45712.353125000001</v>
      </c>
      <c r="B258" t="s">
        <v>262</v>
      </c>
      <c r="C258" s="3">
        <v>45712.355497685188</v>
      </c>
      <c r="D258" t="s">
        <v>263</v>
      </c>
      <c r="E258" s="4">
        <v>1.4046398475170137</v>
      </c>
      <c r="F258" s="4">
        <v>350424.89704013075</v>
      </c>
      <c r="G258" s="4">
        <v>350426.30167997826</v>
      </c>
      <c r="H258" s="5">
        <f t="shared" si="1"/>
        <v>0</v>
      </c>
      <c r="I258" t="s">
        <v>166</v>
      </c>
      <c r="J258" t="s">
        <v>202</v>
      </c>
      <c r="K258" s="5">
        <f>205 / 86400</f>
        <v>2.3726851851851851E-3</v>
      </c>
      <c r="L258" s="5">
        <f>60 / 86400</f>
        <v>6.9444444444444447E-4</v>
      </c>
    </row>
    <row r="259" spans="1:12" x14ac:dyDescent="0.25">
      <c r="A259" s="3">
        <v>45712.356192129635</v>
      </c>
      <c r="B259" t="s">
        <v>264</v>
      </c>
      <c r="C259" s="3">
        <v>45712.357581018514</v>
      </c>
      <c r="D259" t="s">
        <v>265</v>
      </c>
      <c r="E259" s="4">
        <v>1.0143991407752038</v>
      </c>
      <c r="F259" s="4">
        <v>350426.30624671624</v>
      </c>
      <c r="G259" s="4">
        <v>350427.32064585702</v>
      </c>
      <c r="H259" s="5">
        <f t="shared" si="1"/>
        <v>0</v>
      </c>
      <c r="I259" t="s">
        <v>266</v>
      </c>
      <c r="J259" t="s">
        <v>178</v>
      </c>
      <c r="K259" s="5">
        <f>120 / 86400</f>
        <v>1.3888888888888889E-3</v>
      </c>
      <c r="L259" s="5">
        <f>72 / 86400</f>
        <v>8.3333333333333339E-4</v>
      </c>
    </row>
    <row r="260" spans="1:12" x14ac:dyDescent="0.25">
      <c r="A260" s="3">
        <v>45712.358414351853</v>
      </c>
      <c r="B260" t="s">
        <v>265</v>
      </c>
      <c r="C260" s="3">
        <v>45712.36</v>
      </c>
      <c r="D260" t="s">
        <v>267</v>
      </c>
      <c r="E260" s="4">
        <v>1.073287108719349</v>
      </c>
      <c r="F260" s="4">
        <v>350427.34885481058</v>
      </c>
      <c r="G260" s="4">
        <v>350428.42214191932</v>
      </c>
      <c r="H260" s="5">
        <f t="shared" si="1"/>
        <v>0</v>
      </c>
      <c r="I260" t="s">
        <v>268</v>
      </c>
      <c r="J260" t="s">
        <v>198</v>
      </c>
      <c r="K260" s="5">
        <f>137 / 86400</f>
        <v>1.5856481481481481E-3</v>
      </c>
      <c r="L260" s="5">
        <f>20 / 86400</f>
        <v>2.3148148148148149E-4</v>
      </c>
    </row>
    <row r="261" spans="1:12" x14ac:dyDescent="0.25">
      <c r="A261" s="3">
        <v>45712.360231481478</v>
      </c>
      <c r="B261" t="s">
        <v>267</v>
      </c>
      <c r="C261" s="3">
        <v>45712.360462962963</v>
      </c>
      <c r="D261" t="s">
        <v>267</v>
      </c>
      <c r="E261" s="4">
        <v>5.2601089477539061E-3</v>
      </c>
      <c r="F261" s="4">
        <v>350428.43288128619</v>
      </c>
      <c r="G261" s="4">
        <v>350428.43814139516</v>
      </c>
      <c r="H261" s="5">
        <f t="shared" si="1"/>
        <v>0</v>
      </c>
      <c r="I261" t="s">
        <v>143</v>
      </c>
      <c r="J261" t="s">
        <v>143</v>
      </c>
      <c r="K261" s="5">
        <f>20 / 86400</f>
        <v>2.3148148148148149E-4</v>
      </c>
      <c r="L261" s="5">
        <f>8 / 86400</f>
        <v>9.2592592592592588E-5</v>
      </c>
    </row>
    <row r="262" spans="1:12" x14ac:dyDescent="0.25">
      <c r="A262" s="3">
        <v>45712.360555555555</v>
      </c>
      <c r="B262" t="s">
        <v>267</v>
      </c>
      <c r="C262" s="3">
        <v>45712.361250000002</v>
      </c>
      <c r="D262" t="s">
        <v>203</v>
      </c>
      <c r="E262" s="4">
        <v>0.37667494010925295</v>
      </c>
      <c r="F262" s="4">
        <v>350428.44417412224</v>
      </c>
      <c r="G262" s="4">
        <v>350428.82084906235</v>
      </c>
      <c r="H262" s="5">
        <f t="shared" si="1"/>
        <v>0</v>
      </c>
      <c r="I262" t="s">
        <v>198</v>
      </c>
      <c r="J262" t="s">
        <v>139</v>
      </c>
      <c r="K262" s="5">
        <f>60 / 86400</f>
        <v>6.9444444444444447E-4</v>
      </c>
      <c r="L262" s="5">
        <f>20 / 86400</f>
        <v>2.3148148148148149E-4</v>
      </c>
    </row>
    <row r="263" spans="1:12" x14ac:dyDescent="0.25">
      <c r="A263" s="3">
        <v>45712.361481481479</v>
      </c>
      <c r="B263" t="s">
        <v>203</v>
      </c>
      <c r="C263" s="3">
        <v>45712.362407407403</v>
      </c>
      <c r="D263" t="s">
        <v>203</v>
      </c>
      <c r="E263" s="4">
        <v>0.14460083508491517</v>
      </c>
      <c r="F263" s="4">
        <v>350428.85225919652</v>
      </c>
      <c r="G263" s="4">
        <v>350428.99686003162</v>
      </c>
      <c r="H263" s="5">
        <f t="shared" si="1"/>
        <v>0</v>
      </c>
      <c r="I263" t="s">
        <v>30</v>
      </c>
      <c r="J263" t="s">
        <v>99</v>
      </c>
      <c r="K263" s="5">
        <f>80 / 86400</f>
        <v>9.2592592592592596E-4</v>
      </c>
      <c r="L263" s="5">
        <f>180 / 86400</f>
        <v>2.0833333333333333E-3</v>
      </c>
    </row>
    <row r="264" spans="1:12" x14ac:dyDescent="0.25">
      <c r="A264" s="3">
        <v>45712.364490740743</v>
      </c>
      <c r="B264" t="s">
        <v>203</v>
      </c>
      <c r="C264" s="3">
        <v>45712.364722222221</v>
      </c>
      <c r="D264" t="s">
        <v>203</v>
      </c>
      <c r="E264" s="4">
        <v>2.9424652040004731E-2</v>
      </c>
      <c r="F264" s="4">
        <v>350429.02413640439</v>
      </c>
      <c r="G264" s="4">
        <v>350429.05356105644</v>
      </c>
      <c r="H264" s="5">
        <f t="shared" si="1"/>
        <v>0</v>
      </c>
      <c r="I264" t="s">
        <v>57</v>
      </c>
      <c r="J264" t="s">
        <v>57</v>
      </c>
      <c r="K264" s="5">
        <f>20 / 86400</f>
        <v>2.3148148148148149E-4</v>
      </c>
      <c r="L264" s="5">
        <f>5 / 86400</f>
        <v>5.7870370370370373E-5</v>
      </c>
    </row>
    <row r="265" spans="1:12" x14ac:dyDescent="0.25">
      <c r="A265" s="3">
        <v>45712.364780092597</v>
      </c>
      <c r="B265" t="s">
        <v>203</v>
      </c>
      <c r="C265" s="3">
        <v>45712.365497685183</v>
      </c>
      <c r="D265" t="s">
        <v>203</v>
      </c>
      <c r="E265" s="4">
        <v>5.2925524055957796E-2</v>
      </c>
      <c r="F265" s="4">
        <v>350429.0569083991</v>
      </c>
      <c r="G265" s="4">
        <v>350429.10983392317</v>
      </c>
      <c r="H265" s="5">
        <f t="shared" si="1"/>
        <v>0</v>
      </c>
      <c r="I265" t="s">
        <v>135</v>
      </c>
      <c r="J265" t="s">
        <v>95</v>
      </c>
      <c r="K265" s="5">
        <f>62 / 86400</f>
        <v>7.1759259259259259E-4</v>
      </c>
      <c r="L265" s="5">
        <f>20 / 86400</f>
        <v>2.3148148148148149E-4</v>
      </c>
    </row>
    <row r="266" spans="1:12" x14ac:dyDescent="0.25">
      <c r="A266" s="3">
        <v>45712.365729166668</v>
      </c>
      <c r="B266" t="s">
        <v>203</v>
      </c>
      <c r="C266" s="3">
        <v>45712.367291666669</v>
      </c>
      <c r="D266" t="s">
        <v>269</v>
      </c>
      <c r="E266" s="4">
        <v>1.3197639855742453</v>
      </c>
      <c r="F266" s="4">
        <v>350429.29475999327</v>
      </c>
      <c r="G266" s="4">
        <v>350430.61452397885</v>
      </c>
      <c r="H266" s="5">
        <f t="shared" si="1"/>
        <v>0</v>
      </c>
      <c r="I266" t="s">
        <v>173</v>
      </c>
      <c r="J266" t="s">
        <v>163</v>
      </c>
      <c r="K266" s="5">
        <f>135 / 86400</f>
        <v>1.5625000000000001E-3</v>
      </c>
      <c r="L266" s="5">
        <f>20 / 86400</f>
        <v>2.3148148148148149E-4</v>
      </c>
    </row>
    <row r="267" spans="1:12" x14ac:dyDescent="0.25">
      <c r="A267" s="3">
        <v>45712.367523148147</v>
      </c>
      <c r="B267" t="s">
        <v>269</v>
      </c>
      <c r="C267" s="3">
        <v>45712.368217592593</v>
      </c>
      <c r="D267" t="s">
        <v>270</v>
      </c>
      <c r="E267" s="4">
        <v>0.68825256329774853</v>
      </c>
      <c r="F267" s="4">
        <v>350430.76065471303</v>
      </c>
      <c r="G267" s="4">
        <v>350431.44890727632</v>
      </c>
      <c r="H267" s="5">
        <f t="shared" si="1"/>
        <v>0</v>
      </c>
      <c r="I267" t="s">
        <v>44</v>
      </c>
      <c r="J267" t="s">
        <v>94</v>
      </c>
      <c r="K267" s="5">
        <f>60 / 86400</f>
        <v>6.9444444444444447E-4</v>
      </c>
      <c r="L267" s="5">
        <f>20 / 86400</f>
        <v>2.3148148148148149E-4</v>
      </c>
    </row>
    <row r="268" spans="1:12" x14ac:dyDescent="0.25">
      <c r="A268" s="3">
        <v>45712.368449074071</v>
      </c>
      <c r="B268" t="s">
        <v>130</v>
      </c>
      <c r="C268" s="3">
        <v>45712.37122685185</v>
      </c>
      <c r="D268" t="s">
        <v>77</v>
      </c>
      <c r="E268" s="4">
        <v>1.9119766471385955</v>
      </c>
      <c r="F268" s="4">
        <v>350431.49359301099</v>
      </c>
      <c r="G268" s="4">
        <v>350433.40556965815</v>
      </c>
      <c r="H268" s="5">
        <f t="shared" si="1"/>
        <v>0</v>
      </c>
      <c r="I268" t="s">
        <v>268</v>
      </c>
      <c r="J268" t="s">
        <v>31</v>
      </c>
      <c r="K268" s="5">
        <f>240 / 86400</f>
        <v>2.7777777777777779E-3</v>
      </c>
      <c r="L268" s="5">
        <f>20 / 86400</f>
        <v>2.3148148148148149E-4</v>
      </c>
    </row>
    <row r="269" spans="1:12" x14ac:dyDescent="0.25">
      <c r="A269" s="3">
        <v>45712.371458333335</v>
      </c>
      <c r="B269" t="s">
        <v>130</v>
      </c>
      <c r="C269" s="3">
        <v>45712.37263888889</v>
      </c>
      <c r="D269" t="s">
        <v>77</v>
      </c>
      <c r="E269" s="4">
        <v>1.0259401119351388</v>
      </c>
      <c r="F269" s="4">
        <v>350433.43629109574</v>
      </c>
      <c r="G269" s="4">
        <v>350434.4622312077</v>
      </c>
      <c r="H269" s="5">
        <f t="shared" si="1"/>
        <v>0</v>
      </c>
      <c r="I269" t="s">
        <v>271</v>
      </c>
      <c r="J269" t="s">
        <v>190</v>
      </c>
      <c r="K269" s="5">
        <f>102 / 86400</f>
        <v>1.1805555555555556E-3</v>
      </c>
      <c r="L269" s="5">
        <f>15 / 86400</f>
        <v>1.7361111111111112E-4</v>
      </c>
    </row>
    <row r="270" spans="1:12" x14ac:dyDescent="0.25">
      <c r="A270" s="3">
        <v>45712.372812500005</v>
      </c>
      <c r="B270" t="s">
        <v>77</v>
      </c>
      <c r="C270" s="3">
        <v>45712.37431712963</v>
      </c>
      <c r="D270" t="s">
        <v>272</v>
      </c>
      <c r="E270" s="4">
        <v>0.50477838832139965</v>
      </c>
      <c r="F270" s="4">
        <v>350434.46723536489</v>
      </c>
      <c r="G270" s="4">
        <v>350434.97201375326</v>
      </c>
      <c r="H270" s="5">
        <f t="shared" si="1"/>
        <v>0</v>
      </c>
      <c r="I270" t="s">
        <v>189</v>
      </c>
      <c r="J270" t="s">
        <v>48</v>
      </c>
      <c r="K270" s="5">
        <f>130 / 86400</f>
        <v>1.5046296296296296E-3</v>
      </c>
      <c r="L270" s="5">
        <f>13 / 86400</f>
        <v>1.5046296296296297E-4</v>
      </c>
    </row>
    <row r="271" spans="1:12" x14ac:dyDescent="0.25">
      <c r="A271" s="3">
        <v>45712.374467592592</v>
      </c>
      <c r="B271" t="s">
        <v>273</v>
      </c>
      <c r="C271" s="3">
        <v>45712.375625000001</v>
      </c>
      <c r="D271" t="s">
        <v>195</v>
      </c>
      <c r="E271" s="4">
        <v>0.72137257820367817</v>
      </c>
      <c r="F271" s="4">
        <v>350434.99138944835</v>
      </c>
      <c r="G271" s="4">
        <v>350435.71276202652</v>
      </c>
      <c r="H271" s="5">
        <f t="shared" si="1"/>
        <v>0</v>
      </c>
      <c r="I271" t="s">
        <v>184</v>
      </c>
      <c r="J271" t="s">
        <v>164</v>
      </c>
      <c r="K271" s="5">
        <f>100 / 86400</f>
        <v>1.1574074074074073E-3</v>
      </c>
      <c r="L271" s="5">
        <f>21 / 86400</f>
        <v>2.4305555555555555E-4</v>
      </c>
    </row>
    <row r="272" spans="1:12" x14ac:dyDescent="0.25">
      <c r="A272" s="3">
        <v>45712.375868055555</v>
      </c>
      <c r="B272" t="s">
        <v>274</v>
      </c>
      <c r="C272" s="3">
        <v>45712.376099537039</v>
      </c>
      <c r="D272" t="s">
        <v>275</v>
      </c>
      <c r="E272" s="4">
        <v>4.4930383384227751E-2</v>
      </c>
      <c r="F272" s="4">
        <v>350435.75002109207</v>
      </c>
      <c r="G272" s="4">
        <v>350435.79495147546</v>
      </c>
      <c r="H272" s="5">
        <f t="shared" si="1"/>
        <v>0</v>
      </c>
      <c r="I272" t="s">
        <v>145</v>
      </c>
      <c r="J272" t="s">
        <v>92</v>
      </c>
      <c r="K272" s="5">
        <f>20 / 86400</f>
        <v>2.3148148148148149E-4</v>
      </c>
      <c r="L272" s="5">
        <f>20 / 86400</f>
        <v>2.3148148148148149E-4</v>
      </c>
    </row>
    <row r="273" spans="1:12" x14ac:dyDescent="0.25">
      <c r="A273" s="3">
        <v>45712.376331018517</v>
      </c>
      <c r="B273" t="s">
        <v>84</v>
      </c>
      <c r="C273" s="3">
        <v>45712.377476851849</v>
      </c>
      <c r="D273" t="s">
        <v>84</v>
      </c>
      <c r="E273" s="4">
        <v>0.61318188124895101</v>
      </c>
      <c r="F273" s="4">
        <v>350435.83654129296</v>
      </c>
      <c r="G273" s="4">
        <v>350436.44972317421</v>
      </c>
      <c r="H273" s="5">
        <f t="shared" si="1"/>
        <v>0</v>
      </c>
      <c r="I273" t="s">
        <v>180</v>
      </c>
      <c r="J273" t="s">
        <v>134</v>
      </c>
      <c r="K273" s="5">
        <f>99 / 86400</f>
        <v>1.1458333333333333E-3</v>
      </c>
      <c r="L273" s="5">
        <f>20 / 86400</f>
        <v>2.3148148148148149E-4</v>
      </c>
    </row>
    <row r="274" spans="1:12" x14ac:dyDescent="0.25">
      <c r="A274" s="3">
        <v>45712.377708333333</v>
      </c>
      <c r="B274" t="s">
        <v>84</v>
      </c>
      <c r="C274" s="3">
        <v>45712.38071759259</v>
      </c>
      <c r="D274" t="s">
        <v>110</v>
      </c>
      <c r="E274" s="4">
        <v>2.4381417745947838</v>
      </c>
      <c r="F274" s="4">
        <v>350436.50329454191</v>
      </c>
      <c r="G274" s="4">
        <v>350438.94143631647</v>
      </c>
      <c r="H274" s="5">
        <f t="shared" si="1"/>
        <v>0</v>
      </c>
      <c r="I274" t="s">
        <v>176</v>
      </c>
      <c r="J274" t="s">
        <v>200</v>
      </c>
      <c r="K274" s="5">
        <f>260 / 86400</f>
        <v>3.0092592592592593E-3</v>
      </c>
      <c r="L274" s="5">
        <f>20 / 86400</f>
        <v>2.3148148148148149E-4</v>
      </c>
    </row>
    <row r="275" spans="1:12" x14ac:dyDescent="0.25">
      <c r="A275" s="3">
        <v>45712.380949074075</v>
      </c>
      <c r="B275" t="s">
        <v>110</v>
      </c>
      <c r="C275" s="3">
        <v>45712.381412037037</v>
      </c>
      <c r="D275" t="s">
        <v>110</v>
      </c>
      <c r="E275" s="4">
        <v>6.635406070947647E-2</v>
      </c>
      <c r="F275" s="4">
        <v>350438.9706396939</v>
      </c>
      <c r="G275" s="4">
        <v>350439.03699375462</v>
      </c>
      <c r="H275" s="5">
        <f t="shared" si="1"/>
        <v>0</v>
      </c>
      <c r="I275" t="s">
        <v>20</v>
      </c>
      <c r="J275" t="s">
        <v>32</v>
      </c>
      <c r="K275" s="5">
        <f>40 / 86400</f>
        <v>4.6296296296296298E-4</v>
      </c>
      <c r="L275" s="5">
        <f>80 / 86400</f>
        <v>9.2592592592592596E-4</v>
      </c>
    </row>
    <row r="276" spans="1:12" x14ac:dyDescent="0.25">
      <c r="A276" s="3">
        <v>45712.382337962961</v>
      </c>
      <c r="B276" t="s">
        <v>110</v>
      </c>
      <c r="C276" s="3">
        <v>45712.384421296301</v>
      </c>
      <c r="D276" t="s">
        <v>187</v>
      </c>
      <c r="E276" s="4">
        <v>1.7049602277874947</v>
      </c>
      <c r="F276" s="4">
        <v>350439.04353072279</v>
      </c>
      <c r="G276" s="4">
        <v>350440.74849095056</v>
      </c>
      <c r="H276" s="5">
        <f t="shared" si="1"/>
        <v>0</v>
      </c>
      <c r="I276" t="s">
        <v>168</v>
      </c>
      <c r="J276" t="s">
        <v>200</v>
      </c>
      <c r="K276" s="5">
        <f>180 / 86400</f>
        <v>2.0833333333333333E-3</v>
      </c>
      <c r="L276" s="5">
        <f>20 / 86400</f>
        <v>2.3148148148148149E-4</v>
      </c>
    </row>
    <row r="277" spans="1:12" x14ac:dyDescent="0.25">
      <c r="A277" s="3">
        <v>45712.384652777779</v>
      </c>
      <c r="B277" t="s">
        <v>187</v>
      </c>
      <c r="C277" s="3">
        <v>45712.387662037036</v>
      </c>
      <c r="D277" t="s">
        <v>276</v>
      </c>
      <c r="E277" s="4">
        <v>2.8214023745059968</v>
      </c>
      <c r="F277" s="4">
        <v>350440.77474353072</v>
      </c>
      <c r="G277" s="4">
        <v>350443.59614590526</v>
      </c>
      <c r="H277" s="5">
        <f t="shared" si="1"/>
        <v>0</v>
      </c>
      <c r="I277" t="s">
        <v>271</v>
      </c>
      <c r="J277" t="s">
        <v>159</v>
      </c>
      <c r="K277" s="5">
        <f>260 / 86400</f>
        <v>3.0092592592592593E-3</v>
      </c>
      <c r="L277" s="5">
        <f>20 / 86400</f>
        <v>2.3148148148148149E-4</v>
      </c>
    </row>
    <row r="278" spans="1:12" x14ac:dyDescent="0.25">
      <c r="A278" s="3">
        <v>45712.38789351852</v>
      </c>
      <c r="B278" t="s">
        <v>277</v>
      </c>
      <c r="C278" s="3">
        <v>45712.388819444444</v>
      </c>
      <c r="D278" t="s">
        <v>278</v>
      </c>
      <c r="E278" s="4">
        <v>0.74807642132043839</v>
      </c>
      <c r="F278" s="4">
        <v>350443.65034764743</v>
      </c>
      <c r="G278" s="4">
        <v>350444.39842406876</v>
      </c>
      <c r="H278" s="5">
        <f t="shared" si="1"/>
        <v>0</v>
      </c>
      <c r="I278" t="s">
        <v>176</v>
      </c>
      <c r="J278" t="s">
        <v>200</v>
      </c>
      <c r="K278" s="5">
        <f>80 / 86400</f>
        <v>9.2592592592592596E-4</v>
      </c>
      <c r="L278" s="5">
        <f>38 / 86400</f>
        <v>4.3981481481481481E-4</v>
      </c>
    </row>
    <row r="279" spans="1:12" x14ac:dyDescent="0.25">
      <c r="A279" s="3">
        <v>45712.38925925926</v>
      </c>
      <c r="B279" t="s">
        <v>278</v>
      </c>
      <c r="C279" s="3">
        <v>45712.393958333334</v>
      </c>
      <c r="D279" t="s">
        <v>37</v>
      </c>
      <c r="E279" s="4">
        <v>3.1570062430500982</v>
      </c>
      <c r="F279" s="4">
        <v>350444.40474235598</v>
      </c>
      <c r="G279" s="4">
        <v>350447.56174859905</v>
      </c>
      <c r="H279" s="5">
        <f t="shared" si="1"/>
        <v>0</v>
      </c>
      <c r="I279" t="s">
        <v>185</v>
      </c>
      <c r="J279" t="s">
        <v>198</v>
      </c>
      <c r="K279" s="5">
        <f>406 / 86400</f>
        <v>4.6990740740740743E-3</v>
      </c>
      <c r="L279" s="5">
        <f>40 / 86400</f>
        <v>4.6296296296296298E-4</v>
      </c>
    </row>
    <row r="280" spans="1:12" x14ac:dyDescent="0.25">
      <c r="A280" s="3">
        <v>45712.394421296296</v>
      </c>
      <c r="B280" t="s">
        <v>63</v>
      </c>
      <c r="C280" s="3">
        <v>45712.397662037038</v>
      </c>
      <c r="D280" t="s">
        <v>63</v>
      </c>
      <c r="E280" s="4">
        <v>3.1780938599109652</v>
      </c>
      <c r="F280" s="4">
        <v>350447.62202510622</v>
      </c>
      <c r="G280" s="4">
        <v>350450.80011896609</v>
      </c>
      <c r="H280" s="5">
        <f t="shared" si="1"/>
        <v>0</v>
      </c>
      <c r="I280" t="s">
        <v>176</v>
      </c>
      <c r="J280" t="s">
        <v>94</v>
      </c>
      <c r="K280" s="5">
        <f>280 / 86400</f>
        <v>3.2407407407407406E-3</v>
      </c>
      <c r="L280" s="5">
        <f>15 / 86400</f>
        <v>1.7361111111111112E-4</v>
      </c>
    </row>
    <row r="281" spans="1:12" x14ac:dyDescent="0.25">
      <c r="A281" s="3">
        <v>45712.397835648153</v>
      </c>
      <c r="B281" t="s">
        <v>63</v>
      </c>
      <c r="C281" s="3">
        <v>45712.401539351849</v>
      </c>
      <c r="D281" t="s">
        <v>279</v>
      </c>
      <c r="E281" s="4">
        <v>2.6999000850319863</v>
      </c>
      <c r="F281" s="4">
        <v>350450.80159945565</v>
      </c>
      <c r="G281" s="4">
        <v>350453.5014995407</v>
      </c>
      <c r="H281" s="5">
        <f t="shared" si="1"/>
        <v>0</v>
      </c>
      <c r="I281" t="s">
        <v>168</v>
      </c>
      <c r="J281" t="s">
        <v>178</v>
      </c>
      <c r="K281" s="5">
        <f>320 / 86400</f>
        <v>3.7037037037037038E-3</v>
      </c>
      <c r="L281" s="5">
        <f>20 / 86400</f>
        <v>2.3148148148148149E-4</v>
      </c>
    </row>
    <row r="282" spans="1:12" x14ac:dyDescent="0.25">
      <c r="A282" s="3">
        <v>45712.401770833334</v>
      </c>
      <c r="B282" t="s">
        <v>279</v>
      </c>
      <c r="C282" s="3">
        <v>45712.404085648144</v>
      </c>
      <c r="D282" t="s">
        <v>279</v>
      </c>
      <c r="E282" s="4">
        <v>1.5025090311169624</v>
      </c>
      <c r="F282" s="4">
        <v>350453.51168438361</v>
      </c>
      <c r="G282" s="4">
        <v>350455.01419341477</v>
      </c>
      <c r="H282" s="5">
        <f t="shared" si="1"/>
        <v>0</v>
      </c>
      <c r="I282" t="s">
        <v>186</v>
      </c>
      <c r="J282" t="s">
        <v>152</v>
      </c>
      <c r="K282" s="5">
        <f>200 / 86400</f>
        <v>2.3148148148148147E-3</v>
      </c>
      <c r="L282" s="5">
        <f>20 / 86400</f>
        <v>2.3148148148148149E-4</v>
      </c>
    </row>
    <row r="283" spans="1:12" x14ac:dyDescent="0.25">
      <c r="A283" s="3">
        <v>45712.404317129629</v>
      </c>
      <c r="B283" t="s">
        <v>279</v>
      </c>
      <c r="C283" s="3">
        <v>45712.405601851853</v>
      </c>
      <c r="D283" t="s">
        <v>280</v>
      </c>
      <c r="E283" s="4">
        <v>0.84456754297018055</v>
      </c>
      <c r="F283" s="4">
        <v>350455.06687738927</v>
      </c>
      <c r="G283" s="4">
        <v>350455.91144493222</v>
      </c>
      <c r="H283" s="5">
        <f t="shared" si="1"/>
        <v>0</v>
      </c>
      <c r="I283" t="s">
        <v>281</v>
      </c>
      <c r="J283" t="s">
        <v>152</v>
      </c>
      <c r="K283" s="5">
        <f>111 / 86400</f>
        <v>1.2847222222222223E-3</v>
      </c>
      <c r="L283" s="5">
        <f>20 / 86400</f>
        <v>2.3148148148148149E-4</v>
      </c>
    </row>
    <row r="284" spans="1:12" x14ac:dyDescent="0.25">
      <c r="A284" s="3">
        <v>45712.405833333338</v>
      </c>
      <c r="B284" t="s">
        <v>280</v>
      </c>
      <c r="C284" s="3">
        <v>45712.408842592587</v>
      </c>
      <c r="D284" t="s">
        <v>282</v>
      </c>
      <c r="E284" s="4">
        <v>2.6233517547249794</v>
      </c>
      <c r="F284" s="4">
        <v>350456.01653622399</v>
      </c>
      <c r="G284" s="4">
        <v>350458.63988797873</v>
      </c>
      <c r="H284" s="5">
        <f t="shared" si="1"/>
        <v>0</v>
      </c>
      <c r="I284" t="s">
        <v>185</v>
      </c>
      <c r="J284" t="s">
        <v>190</v>
      </c>
      <c r="K284" s="5">
        <f>260 / 86400</f>
        <v>3.0092592592592593E-3</v>
      </c>
      <c r="L284" s="5">
        <f>20 / 86400</f>
        <v>2.3148148148148149E-4</v>
      </c>
    </row>
    <row r="285" spans="1:12" x14ac:dyDescent="0.25">
      <c r="A285" s="3">
        <v>45712.409074074079</v>
      </c>
      <c r="B285" t="s">
        <v>282</v>
      </c>
      <c r="C285" s="3">
        <v>45712.414178240739</v>
      </c>
      <c r="D285" t="s">
        <v>283</v>
      </c>
      <c r="E285" s="4">
        <v>2.908410793542862</v>
      </c>
      <c r="F285" s="4">
        <v>350458.80731112673</v>
      </c>
      <c r="G285" s="4">
        <v>350461.71572192025</v>
      </c>
      <c r="H285" s="5">
        <f t="shared" si="1"/>
        <v>0</v>
      </c>
      <c r="I285" t="s">
        <v>177</v>
      </c>
      <c r="J285" t="s">
        <v>182</v>
      </c>
      <c r="K285" s="5">
        <f>441 / 86400</f>
        <v>5.1041666666666666E-3</v>
      </c>
      <c r="L285" s="5">
        <f>19 / 86400</f>
        <v>2.199074074074074E-4</v>
      </c>
    </row>
    <row r="286" spans="1:12" x14ac:dyDescent="0.25">
      <c r="A286" s="3">
        <v>45712.414398148147</v>
      </c>
      <c r="B286" t="s">
        <v>284</v>
      </c>
      <c r="C286" s="3">
        <v>45712.415092592593</v>
      </c>
      <c r="D286" t="s">
        <v>283</v>
      </c>
      <c r="E286" s="4">
        <v>0.25631871044635773</v>
      </c>
      <c r="F286" s="4">
        <v>350461.84171038825</v>
      </c>
      <c r="G286" s="4">
        <v>350462.09802909871</v>
      </c>
      <c r="H286" s="5">
        <f t="shared" si="1"/>
        <v>0</v>
      </c>
      <c r="I286" t="s">
        <v>178</v>
      </c>
      <c r="J286" t="s">
        <v>59</v>
      </c>
      <c r="K286" s="5">
        <f>60 / 86400</f>
        <v>6.9444444444444447E-4</v>
      </c>
      <c r="L286" s="5">
        <f>40 / 86400</f>
        <v>4.6296296296296298E-4</v>
      </c>
    </row>
    <row r="287" spans="1:12" x14ac:dyDescent="0.25">
      <c r="A287" s="3">
        <v>45712.415555555555</v>
      </c>
      <c r="B287" t="s">
        <v>283</v>
      </c>
      <c r="C287" s="3">
        <v>45712.416018518517</v>
      </c>
      <c r="D287" t="s">
        <v>285</v>
      </c>
      <c r="E287" s="4">
        <v>7.8376066148281104E-2</v>
      </c>
      <c r="F287" s="4">
        <v>350462.12976943754</v>
      </c>
      <c r="G287" s="4">
        <v>350462.20814550371</v>
      </c>
      <c r="H287" s="5">
        <f t="shared" si="1"/>
        <v>0</v>
      </c>
      <c r="I287" t="s">
        <v>42</v>
      </c>
      <c r="J287" t="s">
        <v>99</v>
      </c>
      <c r="K287" s="5">
        <f>40 / 86400</f>
        <v>4.6296296296296298E-4</v>
      </c>
      <c r="L287" s="5">
        <f>31 / 86400</f>
        <v>3.5879629629629629E-4</v>
      </c>
    </row>
    <row r="288" spans="1:12" x14ac:dyDescent="0.25">
      <c r="A288" s="3">
        <v>45712.416377314818</v>
      </c>
      <c r="B288" t="s">
        <v>285</v>
      </c>
      <c r="C288" s="3">
        <v>45712.418842592597</v>
      </c>
      <c r="D288" t="s">
        <v>286</v>
      </c>
      <c r="E288" s="4">
        <v>1.3880146116614342</v>
      </c>
      <c r="F288" s="4">
        <v>350462.21746346238</v>
      </c>
      <c r="G288" s="4">
        <v>350463.60547807399</v>
      </c>
      <c r="H288" s="5">
        <f t="shared" si="1"/>
        <v>0</v>
      </c>
      <c r="I288" t="s">
        <v>56</v>
      </c>
      <c r="J288" t="s">
        <v>139</v>
      </c>
      <c r="K288" s="5">
        <f>213 / 86400</f>
        <v>2.4652777777777776E-3</v>
      </c>
      <c r="L288" s="5">
        <f>20 / 86400</f>
        <v>2.3148148148148149E-4</v>
      </c>
    </row>
    <row r="289" spans="1:12" x14ac:dyDescent="0.25">
      <c r="A289" s="3">
        <v>45712.419074074074</v>
      </c>
      <c r="B289" t="s">
        <v>22</v>
      </c>
      <c r="C289" s="3">
        <v>45712.42</v>
      </c>
      <c r="D289" t="s">
        <v>287</v>
      </c>
      <c r="E289" s="4">
        <v>0.66913961809873579</v>
      </c>
      <c r="F289" s="4">
        <v>350463.7263688739</v>
      </c>
      <c r="G289" s="4">
        <v>350464.39550849202</v>
      </c>
      <c r="H289" s="5">
        <f t="shared" si="1"/>
        <v>0</v>
      </c>
      <c r="I289" t="s">
        <v>180</v>
      </c>
      <c r="J289" t="s">
        <v>178</v>
      </c>
      <c r="K289" s="5">
        <f>80 / 86400</f>
        <v>9.2592592592592596E-4</v>
      </c>
      <c r="L289" s="5">
        <f>18 / 86400</f>
        <v>2.0833333333333335E-4</v>
      </c>
    </row>
    <row r="290" spans="1:12" x14ac:dyDescent="0.25">
      <c r="A290" s="3">
        <v>45712.420208333337</v>
      </c>
      <c r="B290" t="s">
        <v>287</v>
      </c>
      <c r="C290" s="3">
        <v>45712.420671296291</v>
      </c>
      <c r="D290" t="s">
        <v>288</v>
      </c>
      <c r="E290" s="4">
        <v>0.25436194604635237</v>
      </c>
      <c r="F290" s="4">
        <v>350464.4805431118</v>
      </c>
      <c r="G290" s="4">
        <v>350464.73490505782</v>
      </c>
      <c r="H290" s="5">
        <f t="shared" si="1"/>
        <v>0</v>
      </c>
      <c r="I290" t="s">
        <v>163</v>
      </c>
      <c r="J290" t="s">
        <v>139</v>
      </c>
      <c r="K290" s="5">
        <f>40 / 86400</f>
        <v>4.6296296296296298E-4</v>
      </c>
      <c r="L290" s="5">
        <f>20 / 86400</f>
        <v>2.3148148148148149E-4</v>
      </c>
    </row>
    <row r="291" spans="1:12" x14ac:dyDescent="0.25">
      <c r="A291" s="3">
        <v>45712.420902777776</v>
      </c>
      <c r="B291" t="s">
        <v>288</v>
      </c>
      <c r="C291" s="3">
        <v>45712.421365740738</v>
      </c>
      <c r="D291" t="s">
        <v>288</v>
      </c>
      <c r="E291" s="4">
        <v>0.24695643037557602</v>
      </c>
      <c r="F291" s="4">
        <v>350464.73803565121</v>
      </c>
      <c r="G291" s="4">
        <v>350464.98499208159</v>
      </c>
      <c r="H291" s="5">
        <f t="shared" si="1"/>
        <v>0</v>
      </c>
      <c r="I291" t="s">
        <v>30</v>
      </c>
      <c r="J291" t="s">
        <v>134</v>
      </c>
      <c r="K291" s="5">
        <f>40 / 86400</f>
        <v>4.6296296296296298E-4</v>
      </c>
      <c r="L291" s="5">
        <f>20 / 86400</f>
        <v>2.3148148148148149E-4</v>
      </c>
    </row>
    <row r="292" spans="1:12" x14ac:dyDescent="0.25">
      <c r="A292" s="3">
        <v>45712.421597222223</v>
      </c>
      <c r="B292" t="s">
        <v>22</v>
      </c>
      <c r="C292" s="3">
        <v>45712.422291666662</v>
      </c>
      <c r="D292" t="s">
        <v>289</v>
      </c>
      <c r="E292" s="4">
        <v>0.36709807926416399</v>
      </c>
      <c r="F292" s="4">
        <v>350465.11622223142</v>
      </c>
      <c r="G292" s="4">
        <v>350465.48332031065</v>
      </c>
      <c r="H292" s="5">
        <f t="shared" si="1"/>
        <v>0</v>
      </c>
      <c r="I292" t="s">
        <v>189</v>
      </c>
      <c r="J292" t="s">
        <v>134</v>
      </c>
      <c r="K292" s="5">
        <f>60 / 86400</f>
        <v>6.9444444444444447E-4</v>
      </c>
      <c r="L292" s="5">
        <f>20 / 86400</f>
        <v>2.3148148148148149E-4</v>
      </c>
    </row>
    <row r="293" spans="1:12" x14ac:dyDescent="0.25">
      <c r="A293" s="3">
        <v>45712.422523148147</v>
      </c>
      <c r="B293" t="s">
        <v>289</v>
      </c>
      <c r="C293" s="3">
        <v>45712.426168981481</v>
      </c>
      <c r="D293" t="s">
        <v>68</v>
      </c>
      <c r="E293" s="4">
        <v>1.480305833876133</v>
      </c>
      <c r="F293" s="4">
        <v>350465.54294655268</v>
      </c>
      <c r="G293" s="4">
        <v>350467.02325238654</v>
      </c>
      <c r="H293" s="5">
        <f t="shared" si="1"/>
        <v>0</v>
      </c>
      <c r="I293" t="s">
        <v>290</v>
      </c>
      <c r="J293" t="s">
        <v>30</v>
      </c>
      <c r="K293" s="5">
        <f>315 / 86400</f>
        <v>3.6458333333333334E-3</v>
      </c>
      <c r="L293" s="5">
        <f>563 / 86400</f>
        <v>6.5162037037037037E-3</v>
      </c>
    </row>
    <row r="294" spans="1:12" x14ac:dyDescent="0.25">
      <c r="A294" s="3">
        <v>45712.43268518518</v>
      </c>
      <c r="B294" t="s">
        <v>68</v>
      </c>
      <c r="C294" s="3">
        <v>45712.433009259257</v>
      </c>
      <c r="D294" t="s">
        <v>68</v>
      </c>
      <c r="E294" s="4">
        <v>2.6951756119728089E-2</v>
      </c>
      <c r="F294" s="4">
        <v>350467.03262615146</v>
      </c>
      <c r="G294" s="4">
        <v>350467.05957790755</v>
      </c>
      <c r="H294" s="5">
        <f t="shared" si="1"/>
        <v>0</v>
      </c>
      <c r="I294" t="s">
        <v>32</v>
      </c>
      <c r="J294" t="s">
        <v>95</v>
      </c>
      <c r="K294" s="5">
        <f>28 / 86400</f>
        <v>3.2407407407407406E-4</v>
      </c>
      <c r="L294" s="5">
        <f>554 / 86400</f>
        <v>6.4120370370370373E-3</v>
      </c>
    </row>
    <row r="295" spans="1:12" x14ac:dyDescent="0.25">
      <c r="A295" s="3">
        <v>45712.439421296294</v>
      </c>
      <c r="B295" t="s">
        <v>68</v>
      </c>
      <c r="C295" s="3">
        <v>45712.44017361111</v>
      </c>
      <c r="D295" t="s">
        <v>149</v>
      </c>
      <c r="E295" s="4">
        <v>7.8118915140628811E-2</v>
      </c>
      <c r="F295" s="4">
        <v>350467.06785789295</v>
      </c>
      <c r="G295" s="4">
        <v>350467.1459768081</v>
      </c>
      <c r="H295" s="5">
        <f t="shared" si="1"/>
        <v>0</v>
      </c>
      <c r="I295" t="s">
        <v>42</v>
      </c>
      <c r="J295" t="s">
        <v>129</v>
      </c>
      <c r="K295" s="5">
        <f>65 / 86400</f>
        <v>7.5231481481481482E-4</v>
      </c>
      <c r="L295" s="5">
        <f>689 / 86400</f>
        <v>7.9745370370370369E-3</v>
      </c>
    </row>
    <row r="296" spans="1:12" x14ac:dyDescent="0.25">
      <c r="A296" s="3">
        <v>45712.448148148149</v>
      </c>
      <c r="B296" t="s">
        <v>149</v>
      </c>
      <c r="C296" s="3">
        <v>45712.449814814812</v>
      </c>
      <c r="D296" t="s">
        <v>81</v>
      </c>
      <c r="E296" s="4">
        <v>0.70345071583986285</v>
      </c>
      <c r="F296" s="4">
        <v>350467.15112052928</v>
      </c>
      <c r="G296" s="4">
        <v>350467.85457124515</v>
      </c>
      <c r="H296" s="5">
        <f t="shared" si="1"/>
        <v>0</v>
      </c>
      <c r="I296" t="s">
        <v>159</v>
      </c>
      <c r="J296" t="s">
        <v>20</v>
      </c>
      <c r="K296" s="5">
        <f>144 / 86400</f>
        <v>1.6666666666666668E-3</v>
      </c>
      <c r="L296" s="5">
        <f>3458 / 86400</f>
        <v>4.0023148148148148E-2</v>
      </c>
    </row>
    <row r="297" spans="1:12" x14ac:dyDescent="0.25">
      <c r="A297" s="3">
        <v>45712.489837962959</v>
      </c>
      <c r="B297" t="s">
        <v>291</v>
      </c>
      <c r="C297" s="3">
        <v>45712.491226851853</v>
      </c>
      <c r="D297" t="s">
        <v>292</v>
      </c>
      <c r="E297" s="4">
        <v>0.48456476163864137</v>
      </c>
      <c r="F297" s="4">
        <v>350467.86495166202</v>
      </c>
      <c r="G297" s="4">
        <v>350468.34951642365</v>
      </c>
      <c r="H297" s="5">
        <f t="shared" si="1"/>
        <v>0</v>
      </c>
      <c r="I297" t="s">
        <v>139</v>
      </c>
      <c r="J297" t="s">
        <v>59</v>
      </c>
      <c r="K297" s="5">
        <f>120 / 86400</f>
        <v>1.3888888888888889E-3</v>
      </c>
      <c r="L297" s="5">
        <f>40 / 86400</f>
        <v>4.6296296296296298E-4</v>
      </c>
    </row>
    <row r="298" spans="1:12" x14ac:dyDescent="0.25">
      <c r="A298" s="3">
        <v>45712.491689814815</v>
      </c>
      <c r="B298" t="s">
        <v>292</v>
      </c>
      <c r="C298" s="3">
        <v>45712.4919212963</v>
      </c>
      <c r="D298" t="s">
        <v>292</v>
      </c>
      <c r="E298" s="4">
        <v>2.6024327874183653E-3</v>
      </c>
      <c r="F298" s="4">
        <v>350468.36177653528</v>
      </c>
      <c r="G298" s="4">
        <v>350468.36437896808</v>
      </c>
      <c r="H298" s="5">
        <f t="shared" si="1"/>
        <v>0</v>
      </c>
      <c r="I298" t="s">
        <v>143</v>
      </c>
      <c r="J298" t="s">
        <v>24</v>
      </c>
      <c r="K298" s="5">
        <f>20 / 86400</f>
        <v>2.3148148148148149E-4</v>
      </c>
      <c r="L298" s="5">
        <f>5 / 86400</f>
        <v>5.7870370370370373E-5</v>
      </c>
    </row>
    <row r="299" spans="1:12" x14ac:dyDescent="0.25">
      <c r="A299" s="3">
        <v>45712.491979166662</v>
      </c>
      <c r="B299" t="s">
        <v>293</v>
      </c>
      <c r="C299" s="3">
        <v>45712.493217592593</v>
      </c>
      <c r="D299" t="s">
        <v>21</v>
      </c>
      <c r="E299" s="4">
        <v>0.42726682621240614</v>
      </c>
      <c r="F299" s="4">
        <v>350468.36712087539</v>
      </c>
      <c r="G299" s="4">
        <v>350468.79438770161</v>
      </c>
      <c r="H299" s="5">
        <f t="shared" ref="H299:H362" si="2">0 / 86400</f>
        <v>0</v>
      </c>
      <c r="I299" t="s">
        <v>152</v>
      </c>
      <c r="J299" t="s">
        <v>48</v>
      </c>
      <c r="K299" s="5">
        <f>107 / 86400</f>
        <v>1.238425925925926E-3</v>
      </c>
      <c r="L299" s="5">
        <f>3164 / 86400</f>
        <v>3.6620370370370373E-2</v>
      </c>
    </row>
    <row r="300" spans="1:12" x14ac:dyDescent="0.25">
      <c r="A300" s="3">
        <v>45712.529837962968</v>
      </c>
      <c r="B300" t="s">
        <v>21</v>
      </c>
      <c r="C300" s="3">
        <v>45712.539594907408</v>
      </c>
      <c r="D300" t="s">
        <v>116</v>
      </c>
      <c r="E300" s="4">
        <v>5.5512946628332136</v>
      </c>
      <c r="F300" s="4">
        <v>350468.8148227738</v>
      </c>
      <c r="G300" s="4">
        <v>350474.36611743667</v>
      </c>
      <c r="H300" s="5">
        <f t="shared" si="2"/>
        <v>0</v>
      </c>
      <c r="I300" t="s">
        <v>173</v>
      </c>
      <c r="J300" t="s">
        <v>182</v>
      </c>
      <c r="K300" s="5">
        <f>843 / 86400</f>
        <v>9.7569444444444448E-3</v>
      </c>
      <c r="L300" s="5">
        <f>41 / 86400</f>
        <v>4.7453703703703704E-4</v>
      </c>
    </row>
    <row r="301" spans="1:12" x14ac:dyDescent="0.25">
      <c r="A301" s="3">
        <v>45712.54006944444</v>
      </c>
      <c r="B301" t="s">
        <v>116</v>
      </c>
      <c r="C301" s="3">
        <v>45712.540300925924</v>
      </c>
      <c r="D301" t="s">
        <v>116</v>
      </c>
      <c r="E301" s="4">
        <v>2.4341839253902434E-2</v>
      </c>
      <c r="F301" s="4">
        <v>350474.40311877796</v>
      </c>
      <c r="G301" s="4">
        <v>350474.42746061727</v>
      </c>
      <c r="H301" s="5">
        <f t="shared" si="2"/>
        <v>0</v>
      </c>
      <c r="I301" t="s">
        <v>152</v>
      </c>
      <c r="J301" t="s">
        <v>129</v>
      </c>
      <c r="K301" s="5">
        <f>20 / 86400</f>
        <v>2.3148148148148149E-4</v>
      </c>
      <c r="L301" s="5">
        <f>18 / 86400</f>
        <v>2.0833333333333335E-4</v>
      </c>
    </row>
    <row r="302" spans="1:12" x14ac:dyDescent="0.25">
      <c r="A302" s="3">
        <v>45712.540509259255</v>
      </c>
      <c r="B302" t="s">
        <v>116</v>
      </c>
      <c r="C302" s="3">
        <v>45712.541168981479</v>
      </c>
      <c r="D302" t="s">
        <v>294</v>
      </c>
      <c r="E302" s="4">
        <v>0.23824064171314238</v>
      </c>
      <c r="F302" s="4">
        <v>350474.43117197597</v>
      </c>
      <c r="G302" s="4">
        <v>350474.66941261769</v>
      </c>
      <c r="H302" s="5">
        <f t="shared" si="2"/>
        <v>0</v>
      </c>
      <c r="I302" t="s">
        <v>170</v>
      </c>
      <c r="J302" t="s">
        <v>59</v>
      </c>
      <c r="K302" s="5">
        <f>57 / 86400</f>
        <v>6.5972222222222224E-4</v>
      </c>
      <c r="L302" s="5">
        <f>20 / 86400</f>
        <v>2.3148148148148149E-4</v>
      </c>
    </row>
    <row r="303" spans="1:12" x14ac:dyDescent="0.25">
      <c r="A303" s="3">
        <v>45712.541400462964</v>
      </c>
      <c r="B303" t="s">
        <v>295</v>
      </c>
      <c r="C303" s="3">
        <v>45712.543483796297</v>
      </c>
      <c r="D303" t="s">
        <v>283</v>
      </c>
      <c r="E303" s="4">
        <v>1.2351285138726233</v>
      </c>
      <c r="F303" s="4">
        <v>350474.75202038075</v>
      </c>
      <c r="G303" s="4">
        <v>350475.98714889458</v>
      </c>
      <c r="H303" s="5">
        <f t="shared" si="2"/>
        <v>0</v>
      </c>
      <c r="I303" t="s">
        <v>50</v>
      </c>
      <c r="J303" t="s">
        <v>202</v>
      </c>
      <c r="K303" s="5">
        <f>180 / 86400</f>
        <v>2.0833333333333333E-3</v>
      </c>
      <c r="L303" s="5">
        <f>20 / 86400</f>
        <v>2.3148148148148149E-4</v>
      </c>
    </row>
    <row r="304" spans="1:12" x14ac:dyDescent="0.25">
      <c r="A304" s="3">
        <v>45712.543715277774</v>
      </c>
      <c r="B304" t="s">
        <v>283</v>
      </c>
      <c r="C304" s="3">
        <v>45712.544398148151</v>
      </c>
      <c r="D304" t="s">
        <v>283</v>
      </c>
      <c r="E304" s="4">
        <v>0.46848917639255522</v>
      </c>
      <c r="F304" s="4">
        <v>350476.04804259178</v>
      </c>
      <c r="G304" s="4">
        <v>350476.51653176814</v>
      </c>
      <c r="H304" s="5">
        <f t="shared" si="2"/>
        <v>0</v>
      </c>
      <c r="I304" t="s">
        <v>163</v>
      </c>
      <c r="J304" t="s">
        <v>31</v>
      </c>
      <c r="K304" s="5">
        <f>59 / 86400</f>
        <v>6.8287037037037036E-4</v>
      </c>
      <c r="L304" s="5">
        <f>20 / 86400</f>
        <v>2.3148148148148149E-4</v>
      </c>
    </row>
    <row r="305" spans="1:12" x14ac:dyDescent="0.25">
      <c r="A305" s="3">
        <v>45712.544629629629</v>
      </c>
      <c r="B305" t="s">
        <v>282</v>
      </c>
      <c r="C305" s="3">
        <v>45712.551562499997</v>
      </c>
      <c r="D305" t="s">
        <v>279</v>
      </c>
      <c r="E305" s="4">
        <v>5.9395941548943521</v>
      </c>
      <c r="F305" s="4">
        <v>350476.69661003683</v>
      </c>
      <c r="G305" s="4">
        <v>350482.63620419172</v>
      </c>
      <c r="H305" s="5">
        <f t="shared" si="2"/>
        <v>0</v>
      </c>
      <c r="I305" t="s">
        <v>54</v>
      </c>
      <c r="J305" t="s">
        <v>190</v>
      </c>
      <c r="K305" s="5">
        <f>599 / 86400</f>
        <v>6.9328703703703705E-3</v>
      </c>
      <c r="L305" s="5">
        <f>20 / 86400</f>
        <v>2.3148148148148149E-4</v>
      </c>
    </row>
    <row r="306" spans="1:12" x14ac:dyDescent="0.25">
      <c r="A306" s="3">
        <v>45712.551793981482</v>
      </c>
      <c r="B306" t="s">
        <v>279</v>
      </c>
      <c r="C306" s="3">
        <v>45712.5546875</v>
      </c>
      <c r="D306" t="s">
        <v>63</v>
      </c>
      <c r="E306" s="4">
        <v>2.6581558152437208</v>
      </c>
      <c r="F306" s="4">
        <v>350482.65673098131</v>
      </c>
      <c r="G306" s="4">
        <v>350485.31488679652</v>
      </c>
      <c r="H306" s="5">
        <f t="shared" si="2"/>
        <v>0</v>
      </c>
      <c r="I306" t="s">
        <v>61</v>
      </c>
      <c r="J306" t="s">
        <v>131</v>
      </c>
      <c r="K306" s="5">
        <f>250 / 86400</f>
        <v>2.8935185185185184E-3</v>
      </c>
      <c r="L306" s="5">
        <f>20 / 86400</f>
        <v>2.3148148148148149E-4</v>
      </c>
    </row>
    <row r="307" spans="1:12" x14ac:dyDescent="0.25">
      <c r="A307" s="3">
        <v>45712.554918981477</v>
      </c>
      <c r="B307" t="s">
        <v>63</v>
      </c>
      <c r="C307" s="3">
        <v>45712.555381944447</v>
      </c>
      <c r="D307" t="s">
        <v>296</v>
      </c>
      <c r="E307" s="4">
        <v>0.31582007789611816</v>
      </c>
      <c r="F307" s="4">
        <v>350485.53133073117</v>
      </c>
      <c r="G307" s="4">
        <v>350485.84715080907</v>
      </c>
      <c r="H307" s="5">
        <f t="shared" si="2"/>
        <v>0</v>
      </c>
      <c r="I307" t="s">
        <v>297</v>
      </c>
      <c r="J307" t="s">
        <v>198</v>
      </c>
      <c r="K307" s="5">
        <f>40 / 86400</f>
        <v>4.6296296296296298E-4</v>
      </c>
      <c r="L307" s="5">
        <f>2 / 86400</f>
        <v>2.3148148148148147E-5</v>
      </c>
    </row>
    <row r="308" spans="1:12" x14ac:dyDescent="0.25">
      <c r="A308" s="3">
        <v>45712.555405092593</v>
      </c>
      <c r="B308" t="s">
        <v>296</v>
      </c>
      <c r="C308" s="3">
        <v>45712.55841435185</v>
      </c>
      <c r="D308" t="s">
        <v>63</v>
      </c>
      <c r="E308" s="4">
        <v>2.7848951050043107</v>
      </c>
      <c r="F308" s="4">
        <v>350485.85018985008</v>
      </c>
      <c r="G308" s="4">
        <v>350488.63508495508</v>
      </c>
      <c r="H308" s="5">
        <f t="shared" si="2"/>
        <v>0</v>
      </c>
      <c r="I308" t="s">
        <v>61</v>
      </c>
      <c r="J308" t="s">
        <v>159</v>
      </c>
      <c r="K308" s="5">
        <f>260 / 86400</f>
        <v>3.0092592592592593E-3</v>
      </c>
      <c r="L308" s="5">
        <f>20 / 86400</f>
        <v>2.3148148148148149E-4</v>
      </c>
    </row>
    <row r="309" spans="1:12" x14ac:dyDescent="0.25">
      <c r="A309" s="3">
        <v>45712.558645833335</v>
      </c>
      <c r="B309" t="s">
        <v>63</v>
      </c>
      <c r="C309" s="3">
        <v>45712.559108796297</v>
      </c>
      <c r="D309" t="s">
        <v>63</v>
      </c>
      <c r="E309" s="4">
        <v>0.34513579493761065</v>
      </c>
      <c r="F309" s="4">
        <v>350488.77192268614</v>
      </c>
      <c r="G309" s="4">
        <v>350489.11705848109</v>
      </c>
      <c r="H309" s="5">
        <f t="shared" si="2"/>
        <v>0</v>
      </c>
      <c r="I309" t="s">
        <v>224</v>
      </c>
      <c r="J309" t="s">
        <v>170</v>
      </c>
      <c r="K309" s="5">
        <f>40 / 86400</f>
        <v>4.6296296296296298E-4</v>
      </c>
      <c r="L309" s="5">
        <f>50 / 86400</f>
        <v>5.7870370370370367E-4</v>
      </c>
    </row>
    <row r="310" spans="1:12" x14ac:dyDescent="0.25">
      <c r="A310" s="3">
        <v>45712.559687500005</v>
      </c>
      <c r="B310" t="s">
        <v>63</v>
      </c>
      <c r="C310" s="3">
        <v>45712.560150462959</v>
      </c>
      <c r="D310" t="s">
        <v>111</v>
      </c>
      <c r="E310" s="4">
        <v>3.887992459535599E-2</v>
      </c>
      <c r="F310" s="4">
        <v>350489.1258491184</v>
      </c>
      <c r="G310" s="4">
        <v>350489.16472904303</v>
      </c>
      <c r="H310" s="5">
        <f t="shared" si="2"/>
        <v>0</v>
      </c>
      <c r="I310" t="s">
        <v>32</v>
      </c>
      <c r="J310" t="s">
        <v>95</v>
      </c>
      <c r="K310" s="5">
        <f>40 / 86400</f>
        <v>4.6296296296296298E-4</v>
      </c>
      <c r="L310" s="5">
        <f>7 / 86400</f>
        <v>8.1018518518518516E-5</v>
      </c>
    </row>
    <row r="311" spans="1:12" x14ac:dyDescent="0.25">
      <c r="A311" s="3">
        <v>45712.560231481482</v>
      </c>
      <c r="B311" t="s">
        <v>111</v>
      </c>
      <c r="C311" s="3">
        <v>45712.560462962967</v>
      </c>
      <c r="D311" t="s">
        <v>111</v>
      </c>
      <c r="E311" s="4">
        <v>1.492544174194336E-3</v>
      </c>
      <c r="F311" s="4">
        <v>350489.17783761478</v>
      </c>
      <c r="G311" s="4">
        <v>350489.17933015892</v>
      </c>
      <c r="H311" s="5">
        <f t="shared" si="2"/>
        <v>0</v>
      </c>
      <c r="I311" t="s">
        <v>57</v>
      </c>
      <c r="J311" t="s">
        <v>24</v>
      </c>
      <c r="K311" s="5">
        <f>20 / 86400</f>
        <v>2.3148148148148149E-4</v>
      </c>
      <c r="L311" s="5">
        <f>60 / 86400</f>
        <v>6.9444444444444447E-4</v>
      </c>
    </row>
    <row r="312" spans="1:12" x14ac:dyDescent="0.25">
      <c r="A312" s="3">
        <v>45712.561157407406</v>
      </c>
      <c r="B312" t="s">
        <v>175</v>
      </c>
      <c r="C312" s="3">
        <v>45712.561388888891</v>
      </c>
      <c r="D312" t="s">
        <v>175</v>
      </c>
      <c r="E312" s="4">
        <v>8.1938905119895936E-3</v>
      </c>
      <c r="F312" s="4">
        <v>350489.24429870298</v>
      </c>
      <c r="G312" s="4">
        <v>350489.25249259348</v>
      </c>
      <c r="H312" s="5">
        <f t="shared" si="2"/>
        <v>0</v>
      </c>
      <c r="I312" t="s">
        <v>129</v>
      </c>
      <c r="J312" t="s">
        <v>143</v>
      </c>
      <c r="K312" s="5">
        <f>20 / 86400</f>
        <v>2.3148148148148149E-4</v>
      </c>
      <c r="L312" s="5">
        <f>98 / 86400</f>
        <v>1.1342592592592593E-3</v>
      </c>
    </row>
    <row r="313" spans="1:12" x14ac:dyDescent="0.25">
      <c r="A313" s="3">
        <v>45712.562523148154</v>
      </c>
      <c r="B313" t="s">
        <v>175</v>
      </c>
      <c r="C313" s="3">
        <v>45712.563449074078</v>
      </c>
      <c r="D313" t="s">
        <v>111</v>
      </c>
      <c r="E313" s="4">
        <v>0.43252848315238951</v>
      </c>
      <c r="F313" s="4">
        <v>350489.2650928091</v>
      </c>
      <c r="G313" s="4">
        <v>350489.69762129226</v>
      </c>
      <c r="H313" s="5">
        <f t="shared" si="2"/>
        <v>0</v>
      </c>
      <c r="I313" t="s">
        <v>186</v>
      </c>
      <c r="J313" t="s">
        <v>137</v>
      </c>
      <c r="K313" s="5">
        <f>80 / 86400</f>
        <v>9.2592592592592596E-4</v>
      </c>
      <c r="L313" s="5">
        <f>40 / 86400</f>
        <v>4.6296296296296298E-4</v>
      </c>
    </row>
    <row r="314" spans="1:12" x14ac:dyDescent="0.25">
      <c r="A314" s="3">
        <v>45712.563912037032</v>
      </c>
      <c r="B314" t="s">
        <v>111</v>
      </c>
      <c r="C314" s="3">
        <v>45712.565532407403</v>
      </c>
      <c r="D314" t="s">
        <v>123</v>
      </c>
      <c r="E314" s="4">
        <v>1.3841791115403175</v>
      </c>
      <c r="F314" s="4">
        <v>350489.85304272792</v>
      </c>
      <c r="G314" s="4">
        <v>350491.23722183949</v>
      </c>
      <c r="H314" s="5">
        <f t="shared" si="2"/>
        <v>0</v>
      </c>
      <c r="I314" t="s">
        <v>23</v>
      </c>
      <c r="J314" t="s">
        <v>190</v>
      </c>
      <c r="K314" s="5">
        <f>140 / 86400</f>
        <v>1.6203703703703703E-3</v>
      </c>
      <c r="L314" s="5">
        <f>19 / 86400</f>
        <v>2.199074074074074E-4</v>
      </c>
    </row>
    <row r="315" spans="1:12" x14ac:dyDescent="0.25">
      <c r="A315" s="3">
        <v>45712.565752314811</v>
      </c>
      <c r="B315" t="s">
        <v>123</v>
      </c>
      <c r="C315" s="3">
        <v>45712.568993055553</v>
      </c>
      <c r="D315" t="s">
        <v>123</v>
      </c>
      <c r="E315" s="4">
        <v>2.2928757366538046</v>
      </c>
      <c r="F315" s="4">
        <v>350491.23955149896</v>
      </c>
      <c r="G315" s="4">
        <v>350493.53242723562</v>
      </c>
      <c r="H315" s="5">
        <f t="shared" si="2"/>
        <v>0</v>
      </c>
      <c r="I315" t="s">
        <v>122</v>
      </c>
      <c r="J315" t="s">
        <v>31</v>
      </c>
      <c r="K315" s="5">
        <f>280 / 86400</f>
        <v>3.2407407407407406E-3</v>
      </c>
      <c r="L315" s="5">
        <f>40 / 86400</f>
        <v>4.6296296296296298E-4</v>
      </c>
    </row>
    <row r="316" spans="1:12" x14ac:dyDescent="0.25">
      <c r="A316" s="3">
        <v>45712.569456018522</v>
      </c>
      <c r="B316" t="s">
        <v>123</v>
      </c>
      <c r="C316" s="3">
        <v>45712.573622685188</v>
      </c>
      <c r="D316" t="s">
        <v>74</v>
      </c>
      <c r="E316" s="4">
        <v>3.5874518323540689</v>
      </c>
      <c r="F316" s="4">
        <v>350493.53778742318</v>
      </c>
      <c r="G316" s="4">
        <v>350497.12523925555</v>
      </c>
      <c r="H316" s="5">
        <f t="shared" si="2"/>
        <v>0</v>
      </c>
      <c r="I316" t="s">
        <v>133</v>
      </c>
      <c r="J316" t="s">
        <v>190</v>
      </c>
      <c r="K316" s="5">
        <f>360 / 86400</f>
        <v>4.1666666666666666E-3</v>
      </c>
      <c r="L316" s="5">
        <f>20 / 86400</f>
        <v>2.3148148148148149E-4</v>
      </c>
    </row>
    <row r="317" spans="1:12" x14ac:dyDescent="0.25">
      <c r="A317" s="3">
        <v>45712.573854166665</v>
      </c>
      <c r="B317" t="s">
        <v>74</v>
      </c>
      <c r="C317" s="3">
        <v>45712.57408564815</v>
      </c>
      <c r="D317" t="s">
        <v>74</v>
      </c>
      <c r="E317" s="4">
        <v>6.4550723433494566E-3</v>
      </c>
      <c r="F317" s="4">
        <v>350497.13094535517</v>
      </c>
      <c r="G317" s="4">
        <v>350497.13740042754</v>
      </c>
      <c r="H317" s="5">
        <f t="shared" si="2"/>
        <v>0</v>
      </c>
      <c r="I317" t="s">
        <v>57</v>
      </c>
      <c r="J317" t="s">
        <v>143</v>
      </c>
      <c r="K317" s="5">
        <f>20 / 86400</f>
        <v>2.3148148148148149E-4</v>
      </c>
      <c r="L317" s="5">
        <f>32 / 86400</f>
        <v>3.7037037037037035E-4</v>
      </c>
    </row>
    <row r="318" spans="1:12" x14ac:dyDescent="0.25">
      <c r="A318" s="3">
        <v>45712.574456018519</v>
      </c>
      <c r="B318" t="s">
        <v>74</v>
      </c>
      <c r="C318" s="3">
        <v>45712.575381944444</v>
      </c>
      <c r="D318" t="s">
        <v>110</v>
      </c>
      <c r="E318" s="4">
        <v>1.0407231492996216</v>
      </c>
      <c r="F318" s="4">
        <v>350497.13989200664</v>
      </c>
      <c r="G318" s="4">
        <v>350498.18061515596</v>
      </c>
      <c r="H318" s="5">
        <f t="shared" si="2"/>
        <v>0</v>
      </c>
      <c r="I318" t="s">
        <v>38</v>
      </c>
      <c r="J318" t="s">
        <v>183</v>
      </c>
      <c r="K318" s="5">
        <f>80 / 86400</f>
        <v>9.2592592592592596E-4</v>
      </c>
      <c r="L318" s="5">
        <f>20 / 86400</f>
        <v>2.3148148148148149E-4</v>
      </c>
    </row>
    <row r="319" spans="1:12" x14ac:dyDescent="0.25">
      <c r="A319" s="3">
        <v>45712.575613425928</v>
      </c>
      <c r="B319" t="s">
        <v>110</v>
      </c>
      <c r="C319" s="3">
        <v>45712.577499999999</v>
      </c>
      <c r="D319" t="s">
        <v>84</v>
      </c>
      <c r="E319" s="4">
        <v>1.5497915565371514</v>
      </c>
      <c r="F319" s="4">
        <v>350498.30234257889</v>
      </c>
      <c r="G319" s="4">
        <v>350499.85213413544</v>
      </c>
      <c r="H319" s="5">
        <f t="shared" si="2"/>
        <v>0</v>
      </c>
      <c r="I319" t="s">
        <v>298</v>
      </c>
      <c r="J319" t="s">
        <v>200</v>
      </c>
      <c r="K319" s="5">
        <f>163 / 86400</f>
        <v>1.8865740740740742E-3</v>
      </c>
      <c r="L319" s="5">
        <f>40 / 86400</f>
        <v>4.6296296296296298E-4</v>
      </c>
    </row>
    <row r="320" spans="1:12" x14ac:dyDescent="0.25">
      <c r="A320" s="3">
        <v>45712.577962962961</v>
      </c>
      <c r="B320" t="s">
        <v>84</v>
      </c>
      <c r="C320" s="3">
        <v>45712.578194444446</v>
      </c>
      <c r="D320" t="s">
        <v>84</v>
      </c>
      <c r="E320" s="4">
        <v>2.2663966238498687E-2</v>
      </c>
      <c r="F320" s="4">
        <v>350499.86262416077</v>
      </c>
      <c r="G320" s="4">
        <v>350499.885288127</v>
      </c>
      <c r="H320" s="5">
        <f t="shared" si="2"/>
        <v>0</v>
      </c>
      <c r="I320" t="s">
        <v>143</v>
      </c>
      <c r="J320" t="s">
        <v>129</v>
      </c>
      <c r="K320" s="5">
        <f>20 / 86400</f>
        <v>2.3148148148148149E-4</v>
      </c>
      <c r="L320" s="5">
        <f>15 / 86400</f>
        <v>1.7361111111111112E-4</v>
      </c>
    </row>
    <row r="321" spans="1:12" x14ac:dyDescent="0.25">
      <c r="A321" s="3">
        <v>45712.578368055554</v>
      </c>
      <c r="B321" t="s">
        <v>84</v>
      </c>
      <c r="C321" s="3">
        <v>45712.579525462963</v>
      </c>
      <c r="D321" t="s">
        <v>84</v>
      </c>
      <c r="E321" s="4">
        <v>0.16893112826347351</v>
      </c>
      <c r="F321" s="4">
        <v>350499.90725053416</v>
      </c>
      <c r="G321" s="4">
        <v>350500.07618166244</v>
      </c>
      <c r="H321" s="5">
        <f t="shared" si="2"/>
        <v>0</v>
      </c>
      <c r="I321" t="s">
        <v>134</v>
      </c>
      <c r="J321" t="s">
        <v>32</v>
      </c>
      <c r="K321" s="5">
        <f>100 / 86400</f>
        <v>1.1574074074074073E-3</v>
      </c>
      <c r="L321" s="5">
        <f>20 / 86400</f>
        <v>2.3148148148148149E-4</v>
      </c>
    </row>
    <row r="322" spans="1:12" x14ac:dyDescent="0.25">
      <c r="A322" s="3">
        <v>45712.57975694444</v>
      </c>
      <c r="B322" t="s">
        <v>84</v>
      </c>
      <c r="C322" s="3">
        <v>45712.58021990741</v>
      </c>
      <c r="D322" t="s">
        <v>299</v>
      </c>
      <c r="E322" s="4">
        <v>0.11673575532436371</v>
      </c>
      <c r="F322" s="4">
        <v>350500.12601192744</v>
      </c>
      <c r="G322" s="4">
        <v>350500.24274768273</v>
      </c>
      <c r="H322" s="5">
        <f t="shared" si="2"/>
        <v>0</v>
      </c>
      <c r="I322" t="s">
        <v>34</v>
      </c>
      <c r="J322" t="s">
        <v>42</v>
      </c>
      <c r="K322" s="5">
        <f>40 / 86400</f>
        <v>4.6296296296296298E-4</v>
      </c>
      <c r="L322" s="5">
        <f>33 / 86400</f>
        <v>3.8194444444444446E-4</v>
      </c>
    </row>
    <row r="323" spans="1:12" x14ac:dyDescent="0.25">
      <c r="A323" s="3">
        <v>45712.580601851849</v>
      </c>
      <c r="B323" t="s">
        <v>299</v>
      </c>
      <c r="C323" s="3">
        <v>45712.581064814818</v>
      </c>
      <c r="D323" t="s">
        <v>84</v>
      </c>
      <c r="E323" s="4">
        <v>0.1636553076505661</v>
      </c>
      <c r="F323" s="4">
        <v>350500.25270066265</v>
      </c>
      <c r="G323" s="4">
        <v>350500.41635597032</v>
      </c>
      <c r="H323" s="5">
        <f t="shared" si="2"/>
        <v>0</v>
      </c>
      <c r="I323" t="s">
        <v>59</v>
      </c>
      <c r="J323" t="s">
        <v>59</v>
      </c>
      <c r="K323" s="5">
        <f>40 / 86400</f>
        <v>4.6296296296296298E-4</v>
      </c>
      <c r="L323" s="5">
        <f>40 / 86400</f>
        <v>4.6296296296296298E-4</v>
      </c>
    </row>
    <row r="324" spans="1:12" x14ac:dyDescent="0.25">
      <c r="A324" s="3">
        <v>45712.581527777773</v>
      </c>
      <c r="B324" t="s">
        <v>275</v>
      </c>
      <c r="C324" s="3">
        <v>45712.581990740742</v>
      </c>
      <c r="D324" t="s">
        <v>195</v>
      </c>
      <c r="E324" s="4">
        <v>0.14908038115501404</v>
      </c>
      <c r="F324" s="4">
        <v>350500.4345660368</v>
      </c>
      <c r="G324" s="4">
        <v>350500.583646418</v>
      </c>
      <c r="H324" s="5">
        <f t="shared" si="2"/>
        <v>0</v>
      </c>
      <c r="I324" t="s">
        <v>48</v>
      </c>
      <c r="J324" t="s">
        <v>71</v>
      </c>
      <c r="K324" s="5">
        <f>40 / 86400</f>
        <v>4.6296296296296298E-4</v>
      </c>
      <c r="L324" s="5">
        <f>40 / 86400</f>
        <v>4.6296296296296298E-4</v>
      </c>
    </row>
    <row r="325" spans="1:12" x14ac:dyDescent="0.25">
      <c r="A325" s="3">
        <v>45712.582453703704</v>
      </c>
      <c r="B325" t="s">
        <v>193</v>
      </c>
      <c r="C325" s="3">
        <v>45712.583298611113</v>
      </c>
      <c r="D325" t="s">
        <v>300</v>
      </c>
      <c r="E325" s="4">
        <v>0.45615638709068296</v>
      </c>
      <c r="F325" s="4">
        <v>350500.6709866146</v>
      </c>
      <c r="G325" s="4">
        <v>350501.12714300165</v>
      </c>
      <c r="H325" s="5">
        <f t="shared" si="2"/>
        <v>0</v>
      </c>
      <c r="I325" t="s">
        <v>159</v>
      </c>
      <c r="J325" t="s">
        <v>134</v>
      </c>
      <c r="K325" s="5">
        <f>73 / 86400</f>
        <v>8.4490740740740739E-4</v>
      </c>
      <c r="L325" s="5">
        <f>9 / 86400</f>
        <v>1.0416666666666667E-4</v>
      </c>
    </row>
    <row r="326" spans="1:12" x14ac:dyDescent="0.25">
      <c r="A326" s="3">
        <v>45712.583402777775</v>
      </c>
      <c r="B326" t="s">
        <v>300</v>
      </c>
      <c r="C326" s="3">
        <v>45712.583865740744</v>
      </c>
      <c r="D326" t="s">
        <v>301</v>
      </c>
      <c r="E326" s="4">
        <v>4.7588174343109128E-2</v>
      </c>
      <c r="F326" s="4">
        <v>350501.12967078114</v>
      </c>
      <c r="G326" s="4">
        <v>350501.17725895549</v>
      </c>
      <c r="H326" s="5">
        <f t="shared" si="2"/>
        <v>0</v>
      </c>
      <c r="I326" t="s">
        <v>57</v>
      </c>
      <c r="J326" t="s">
        <v>129</v>
      </c>
      <c r="K326" s="5">
        <f>40 / 86400</f>
        <v>4.6296296296296298E-4</v>
      </c>
      <c r="L326" s="5">
        <f>15 / 86400</f>
        <v>1.7361111111111112E-4</v>
      </c>
    </row>
    <row r="327" spans="1:12" x14ac:dyDescent="0.25">
      <c r="A327" s="3">
        <v>45712.584039351852</v>
      </c>
      <c r="B327" t="s">
        <v>302</v>
      </c>
      <c r="C327" s="3">
        <v>45712.586273148147</v>
      </c>
      <c r="D327" t="s">
        <v>130</v>
      </c>
      <c r="E327" s="4">
        <v>0.48793794858455658</v>
      </c>
      <c r="F327" s="4">
        <v>350501.18295080884</v>
      </c>
      <c r="G327" s="4">
        <v>350501.67088875739</v>
      </c>
      <c r="H327" s="5">
        <f t="shared" si="2"/>
        <v>0</v>
      </c>
      <c r="I327" t="s">
        <v>71</v>
      </c>
      <c r="J327" t="s">
        <v>135</v>
      </c>
      <c r="K327" s="5">
        <f>193 / 86400</f>
        <v>2.2337962962962962E-3</v>
      </c>
      <c r="L327" s="5">
        <f>40 / 86400</f>
        <v>4.6296296296296298E-4</v>
      </c>
    </row>
    <row r="328" spans="1:12" x14ac:dyDescent="0.25">
      <c r="A328" s="3">
        <v>45712.586736111116</v>
      </c>
      <c r="B328" t="s">
        <v>194</v>
      </c>
      <c r="C328" s="3">
        <v>45712.589050925926</v>
      </c>
      <c r="D328" t="s">
        <v>303</v>
      </c>
      <c r="E328" s="4">
        <v>1.4399343136548997</v>
      </c>
      <c r="F328" s="4">
        <v>350501.69637822587</v>
      </c>
      <c r="G328" s="4">
        <v>350503.13631253951</v>
      </c>
      <c r="H328" s="5">
        <f t="shared" si="2"/>
        <v>0</v>
      </c>
      <c r="I328" t="s">
        <v>185</v>
      </c>
      <c r="J328" t="s">
        <v>164</v>
      </c>
      <c r="K328" s="5">
        <f>200 / 86400</f>
        <v>2.3148148148148147E-3</v>
      </c>
      <c r="L328" s="5">
        <f>20 / 86400</f>
        <v>2.3148148148148149E-4</v>
      </c>
    </row>
    <row r="329" spans="1:12" x14ac:dyDescent="0.25">
      <c r="A329" s="3">
        <v>45712.589282407411</v>
      </c>
      <c r="B329" t="s">
        <v>130</v>
      </c>
      <c r="C329" s="3">
        <v>45712.591597222221</v>
      </c>
      <c r="D329" t="s">
        <v>199</v>
      </c>
      <c r="E329" s="4">
        <v>1.5832806507349013</v>
      </c>
      <c r="F329" s="4">
        <v>350503.1729139192</v>
      </c>
      <c r="G329" s="4">
        <v>350504.75619456993</v>
      </c>
      <c r="H329" s="5">
        <f t="shared" si="2"/>
        <v>0</v>
      </c>
      <c r="I329" t="s">
        <v>173</v>
      </c>
      <c r="J329" t="s">
        <v>198</v>
      </c>
      <c r="K329" s="5">
        <f>200 / 86400</f>
        <v>2.3148148148148147E-3</v>
      </c>
      <c r="L329" s="5">
        <f>76 / 86400</f>
        <v>8.7962962962962962E-4</v>
      </c>
    </row>
    <row r="330" spans="1:12" x14ac:dyDescent="0.25">
      <c r="A330" s="3">
        <v>45712.592476851853</v>
      </c>
      <c r="B330" t="s">
        <v>199</v>
      </c>
      <c r="C330" s="3">
        <v>45712.595949074079</v>
      </c>
      <c r="D330" t="s">
        <v>204</v>
      </c>
      <c r="E330" s="4">
        <v>2.2903349202871324</v>
      </c>
      <c r="F330" s="4">
        <v>350504.76289009838</v>
      </c>
      <c r="G330" s="4">
        <v>350507.05322501867</v>
      </c>
      <c r="H330" s="5">
        <f t="shared" si="2"/>
        <v>0</v>
      </c>
      <c r="I330" t="s">
        <v>177</v>
      </c>
      <c r="J330" t="s">
        <v>152</v>
      </c>
      <c r="K330" s="5">
        <f>300 / 86400</f>
        <v>3.472222222222222E-3</v>
      </c>
      <c r="L330" s="5">
        <f>40 / 86400</f>
        <v>4.6296296296296298E-4</v>
      </c>
    </row>
    <row r="331" spans="1:12" x14ac:dyDescent="0.25">
      <c r="A331" s="3">
        <v>45712.596412037034</v>
      </c>
      <c r="B331" t="s">
        <v>204</v>
      </c>
      <c r="C331" s="3">
        <v>45712.596944444449</v>
      </c>
      <c r="D331" t="s">
        <v>304</v>
      </c>
      <c r="E331" s="4">
        <v>4.5260360777378085E-2</v>
      </c>
      <c r="F331" s="4">
        <v>350507.05711394816</v>
      </c>
      <c r="G331" s="4">
        <v>350507.10237430892</v>
      </c>
      <c r="H331" s="5">
        <f t="shared" si="2"/>
        <v>0</v>
      </c>
      <c r="I331" t="s">
        <v>51</v>
      </c>
      <c r="J331" t="s">
        <v>129</v>
      </c>
      <c r="K331" s="5">
        <f>46 / 86400</f>
        <v>5.3240740740740744E-4</v>
      </c>
      <c r="L331" s="5">
        <f>20 / 86400</f>
        <v>2.3148148148148149E-4</v>
      </c>
    </row>
    <row r="332" spans="1:12" x14ac:dyDescent="0.25">
      <c r="A332" s="3">
        <v>45712.597175925926</v>
      </c>
      <c r="B332" t="s">
        <v>204</v>
      </c>
      <c r="C332" s="3">
        <v>45712.598032407404</v>
      </c>
      <c r="D332" t="s">
        <v>206</v>
      </c>
      <c r="E332" s="4">
        <v>8.383536529541015E-2</v>
      </c>
      <c r="F332" s="4">
        <v>350507.11649655027</v>
      </c>
      <c r="G332" s="4">
        <v>350507.20033191558</v>
      </c>
      <c r="H332" s="5">
        <f t="shared" si="2"/>
        <v>0</v>
      </c>
      <c r="I332" t="s">
        <v>42</v>
      </c>
      <c r="J332" t="s">
        <v>129</v>
      </c>
      <c r="K332" s="5">
        <f>74 / 86400</f>
        <v>8.564814814814815E-4</v>
      </c>
      <c r="L332" s="5">
        <f>157 / 86400</f>
        <v>1.8171296296296297E-3</v>
      </c>
    </row>
    <row r="333" spans="1:12" x14ac:dyDescent="0.25">
      <c r="A333" s="3">
        <v>45712.599849537037</v>
      </c>
      <c r="B333" t="s">
        <v>206</v>
      </c>
      <c r="C333" s="3">
        <v>45712.601006944446</v>
      </c>
      <c r="D333" t="s">
        <v>207</v>
      </c>
      <c r="E333" s="4">
        <v>0.51121086829900741</v>
      </c>
      <c r="F333" s="4">
        <v>350507.23180349608</v>
      </c>
      <c r="G333" s="4">
        <v>350507.74301436439</v>
      </c>
      <c r="H333" s="5">
        <f t="shared" si="2"/>
        <v>0</v>
      </c>
      <c r="I333" t="s">
        <v>98</v>
      </c>
      <c r="J333" t="s">
        <v>20</v>
      </c>
      <c r="K333" s="5">
        <f>100 / 86400</f>
        <v>1.1574074074074073E-3</v>
      </c>
      <c r="L333" s="5">
        <f>9 / 86400</f>
        <v>1.0416666666666667E-4</v>
      </c>
    </row>
    <row r="334" spans="1:12" x14ac:dyDescent="0.25">
      <c r="A334" s="3">
        <v>45712.601111111115</v>
      </c>
      <c r="B334" t="s">
        <v>207</v>
      </c>
      <c r="C334" s="3">
        <v>45712.60157407407</v>
      </c>
      <c r="D334" t="s">
        <v>305</v>
      </c>
      <c r="E334" s="4">
        <v>0.32905645823478696</v>
      </c>
      <c r="F334" s="4">
        <v>350507.7453776183</v>
      </c>
      <c r="G334" s="4">
        <v>350508.07443407655</v>
      </c>
      <c r="H334" s="5">
        <f t="shared" si="2"/>
        <v>0</v>
      </c>
      <c r="I334" t="s">
        <v>266</v>
      </c>
      <c r="J334" t="s">
        <v>178</v>
      </c>
      <c r="K334" s="5">
        <f>40 / 86400</f>
        <v>4.6296296296296298E-4</v>
      </c>
      <c r="L334" s="5">
        <f>10 / 86400</f>
        <v>1.1574074074074075E-4</v>
      </c>
    </row>
    <row r="335" spans="1:12" x14ac:dyDescent="0.25">
      <c r="A335" s="3">
        <v>45712.601689814815</v>
      </c>
      <c r="B335" t="s">
        <v>305</v>
      </c>
      <c r="C335" s="3">
        <v>45712.60224537037</v>
      </c>
      <c r="D335" t="s">
        <v>306</v>
      </c>
      <c r="E335" s="4">
        <v>0.21192614686489106</v>
      </c>
      <c r="F335" s="4">
        <v>350508.07782705466</v>
      </c>
      <c r="G335" s="4">
        <v>350508.28975320153</v>
      </c>
      <c r="H335" s="5">
        <f t="shared" si="2"/>
        <v>0</v>
      </c>
      <c r="I335" t="s">
        <v>36</v>
      </c>
      <c r="J335" t="s">
        <v>34</v>
      </c>
      <c r="K335" s="5">
        <f>48 / 86400</f>
        <v>5.5555555555555556E-4</v>
      </c>
      <c r="L335" s="5">
        <f>22 / 86400</f>
        <v>2.5462962962962961E-4</v>
      </c>
    </row>
    <row r="336" spans="1:12" x14ac:dyDescent="0.25">
      <c r="A336" s="3">
        <v>45712.602500000001</v>
      </c>
      <c r="B336" t="s">
        <v>306</v>
      </c>
      <c r="C336" s="3">
        <v>45712.602731481486</v>
      </c>
      <c r="D336" t="s">
        <v>307</v>
      </c>
      <c r="E336" s="4">
        <v>3.4021638512611391E-2</v>
      </c>
      <c r="F336" s="4">
        <v>350508.30487496662</v>
      </c>
      <c r="G336" s="4">
        <v>350508.33889660513</v>
      </c>
      <c r="H336" s="5">
        <f t="shared" si="2"/>
        <v>0</v>
      </c>
      <c r="I336" t="s">
        <v>57</v>
      </c>
      <c r="J336" t="s">
        <v>32</v>
      </c>
      <c r="K336" s="5">
        <f>20 / 86400</f>
        <v>2.3148148148148149E-4</v>
      </c>
      <c r="L336" s="5">
        <f>27 / 86400</f>
        <v>3.1250000000000001E-4</v>
      </c>
    </row>
    <row r="337" spans="1:12" x14ac:dyDescent="0.25">
      <c r="A337" s="3">
        <v>45712.603043981479</v>
      </c>
      <c r="B337" t="s">
        <v>307</v>
      </c>
      <c r="C337" s="3">
        <v>45712.609317129631</v>
      </c>
      <c r="D337" t="s">
        <v>211</v>
      </c>
      <c r="E337" s="4">
        <v>2.6960280732512474</v>
      </c>
      <c r="F337" s="4">
        <v>350508.35404490912</v>
      </c>
      <c r="G337" s="4">
        <v>350511.05007298238</v>
      </c>
      <c r="H337" s="5">
        <f t="shared" si="2"/>
        <v>0</v>
      </c>
      <c r="I337" t="s">
        <v>186</v>
      </c>
      <c r="J337" t="s">
        <v>20</v>
      </c>
      <c r="K337" s="5">
        <f>542 / 86400</f>
        <v>6.2731481481481484E-3</v>
      </c>
      <c r="L337" s="5">
        <f>20 / 86400</f>
        <v>2.3148148148148149E-4</v>
      </c>
    </row>
    <row r="338" spans="1:12" x14ac:dyDescent="0.25">
      <c r="A338" s="3">
        <v>45712.609548611115</v>
      </c>
      <c r="B338" t="s">
        <v>211</v>
      </c>
      <c r="C338" s="3">
        <v>45712.613240740742</v>
      </c>
      <c r="D338" t="s">
        <v>308</v>
      </c>
      <c r="E338" s="4">
        <v>0.98897434204816814</v>
      </c>
      <c r="F338" s="4">
        <v>350511.14009808417</v>
      </c>
      <c r="G338" s="4">
        <v>350512.12907242618</v>
      </c>
      <c r="H338" s="5">
        <f t="shared" si="2"/>
        <v>0</v>
      </c>
      <c r="I338" t="s">
        <v>163</v>
      </c>
      <c r="J338" t="s">
        <v>42</v>
      </c>
      <c r="K338" s="5">
        <f>319 / 86400</f>
        <v>3.6921296296296298E-3</v>
      </c>
      <c r="L338" s="5">
        <f>20 / 86400</f>
        <v>2.3148148148148149E-4</v>
      </c>
    </row>
    <row r="339" spans="1:12" x14ac:dyDescent="0.25">
      <c r="A339" s="3">
        <v>45712.61347222222</v>
      </c>
      <c r="B339" t="s">
        <v>308</v>
      </c>
      <c r="C339" s="3">
        <v>45712.613703703704</v>
      </c>
      <c r="D339" t="s">
        <v>213</v>
      </c>
      <c r="E339" s="4">
        <v>3.7397659838199614E-2</v>
      </c>
      <c r="F339" s="4">
        <v>350512.14550744335</v>
      </c>
      <c r="G339" s="4">
        <v>350512.1829051032</v>
      </c>
      <c r="H339" s="5">
        <f t="shared" si="2"/>
        <v>0</v>
      </c>
      <c r="I339" t="s">
        <v>32</v>
      </c>
      <c r="J339" t="s">
        <v>99</v>
      </c>
      <c r="K339" s="5">
        <f>20 / 86400</f>
        <v>2.3148148148148149E-4</v>
      </c>
      <c r="L339" s="5">
        <f>20 / 86400</f>
        <v>2.3148148148148149E-4</v>
      </c>
    </row>
    <row r="340" spans="1:12" x14ac:dyDescent="0.25">
      <c r="A340" s="3">
        <v>45712.613935185189</v>
      </c>
      <c r="B340" t="s">
        <v>213</v>
      </c>
      <c r="C340" s="3">
        <v>45712.614166666666</v>
      </c>
      <c r="D340" t="s">
        <v>213</v>
      </c>
      <c r="E340" s="4">
        <v>1.3003585159778595E-2</v>
      </c>
      <c r="F340" s="4">
        <v>350512.2243349647</v>
      </c>
      <c r="G340" s="4">
        <v>350512.23733854986</v>
      </c>
      <c r="H340" s="5">
        <f t="shared" si="2"/>
        <v>0</v>
      </c>
      <c r="I340" t="s">
        <v>99</v>
      </c>
      <c r="J340" t="s">
        <v>150</v>
      </c>
      <c r="K340" s="5">
        <f>20 / 86400</f>
        <v>2.3148148148148149E-4</v>
      </c>
      <c r="L340" s="5">
        <f>20 / 86400</f>
        <v>2.3148148148148149E-4</v>
      </c>
    </row>
    <row r="341" spans="1:12" x14ac:dyDescent="0.25">
      <c r="A341" s="3">
        <v>45712.614398148144</v>
      </c>
      <c r="B341" t="s">
        <v>213</v>
      </c>
      <c r="C341" s="3">
        <v>45712.614629629628</v>
      </c>
      <c r="D341" t="s">
        <v>213</v>
      </c>
      <c r="E341" s="4">
        <v>3.8497385978698731E-3</v>
      </c>
      <c r="F341" s="4">
        <v>350512.2457280776</v>
      </c>
      <c r="G341" s="4">
        <v>350512.24957781617</v>
      </c>
      <c r="H341" s="5">
        <f t="shared" si="2"/>
        <v>0</v>
      </c>
      <c r="I341" t="s">
        <v>150</v>
      </c>
      <c r="J341" t="s">
        <v>143</v>
      </c>
      <c r="K341" s="5">
        <f>20 / 86400</f>
        <v>2.3148148148148149E-4</v>
      </c>
      <c r="L341" s="5">
        <f>20 / 86400</f>
        <v>2.3148148148148149E-4</v>
      </c>
    </row>
    <row r="342" spans="1:12" x14ac:dyDescent="0.25">
      <c r="A342" s="3">
        <v>45712.614861111113</v>
      </c>
      <c r="B342" t="s">
        <v>213</v>
      </c>
      <c r="C342" s="3">
        <v>45712.615451388891</v>
      </c>
      <c r="D342" t="s">
        <v>309</v>
      </c>
      <c r="E342" s="4">
        <v>4.40344318151474E-2</v>
      </c>
      <c r="F342" s="4">
        <v>350512.25720989838</v>
      </c>
      <c r="G342" s="4">
        <v>350512.30124433018</v>
      </c>
      <c r="H342" s="5">
        <f t="shared" si="2"/>
        <v>0</v>
      </c>
      <c r="I342" t="s">
        <v>57</v>
      </c>
      <c r="J342" t="s">
        <v>95</v>
      </c>
      <c r="K342" s="5">
        <f>51 / 86400</f>
        <v>5.9027777777777778E-4</v>
      </c>
      <c r="L342" s="5">
        <f>40 / 86400</f>
        <v>4.6296296296296298E-4</v>
      </c>
    </row>
    <row r="343" spans="1:12" x14ac:dyDescent="0.25">
      <c r="A343" s="3">
        <v>45712.615914351853</v>
      </c>
      <c r="B343" t="s">
        <v>309</v>
      </c>
      <c r="C343" s="3">
        <v>45712.61618055556</v>
      </c>
      <c r="D343" t="s">
        <v>259</v>
      </c>
      <c r="E343" s="4">
        <v>3.9597320854663852E-2</v>
      </c>
      <c r="F343" s="4">
        <v>350512.31169025978</v>
      </c>
      <c r="G343" s="4">
        <v>350512.35128758062</v>
      </c>
      <c r="H343" s="5">
        <f t="shared" si="2"/>
        <v>0</v>
      </c>
      <c r="I343" t="s">
        <v>57</v>
      </c>
      <c r="J343" t="s">
        <v>32</v>
      </c>
      <c r="K343" s="5">
        <f>23 / 86400</f>
        <v>2.6620370370370372E-4</v>
      </c>
      <c r="L343" s="5">
        <f>20 / 86400</f>
        <v>2.3148148148148149E-4</v>
      </c>
    </row>
    <row r="344" spans="1:12" x14ac:dyDescent="0.25">
      <c r="A344" s="3">
        <v>45712.616412037038</v>
      </c>
      <c r="B344" t="s">
        <v>259</v>
      </c>
      <c r="C344" s="3">
        <v>45712.616643518515</v>
      </c>
      <c r="D344" t="s">
        <v>259</v>
      </c>
      <c r="E344" s="4">
        <v>1.0475819289684296E-2</v>
      </c>
      <c r="F344" s="4">
        <v>350512.36811100261</v>
      </c>
      <c r="G344" s="4">
        <v>350512.3785868219</v>
      </c>
      <c r="H344" s="5">
        <f t="shared" si="2"/>
        <v>0</v>
      </c>
      <c r="I344" t="s">
        <v>95</v>
      </c>
      <c r="J344" t="s">
        <v>150</v>
      </c>
      <c r="K344" s="5">
        <f>20 / 86400</f>
        <v>2.3148148148148149E-4</v>
      </c>
      <c r="L344" s="5">
        <f>40 / 86400</f>
        <v>4.6296296296296298E-4</v>
      </c>
    </row>
    <row r="345" spans="1:12" x14ac:dyDescent="0.25">
      <c r="A345" s="3">
        <v>45712.617106481484</v>
      </c>
      <c r="B345" t="s">
        <v>259</v>
      </c>
      <c r="C345" s="3">
        <v>45712.617569444439</v>
      </c>
      <c r="D345" t="s">
        <v>308</v>
      </c>
      <c r="E345" s="4">
        <v>6.2017650723457336E-2</v>
      </c>
      <c r="F345" s="4">
        <v>350512.40438737761</v>
      </c>
      <c r="G345" s="4">
        <v>350512.46640502836</v>
      </c>
      <c r="H345" s="5">
        <f t="shared" si="2"/>
        <v>0</v>
      </c>
      <c r="I345" t="s">
        <v>99</v>
      </c>
      <c r="J345" t="s">
        <v>32</v>
      </c>
      <c r="K345" s="5">
        <f>40 / 86400</f>
        <v>4.6296296296296298E-4</v>
      </c>
      <c r="L345" s="5">
        <f>6 / 86400</f>
        <v>6.9444444444444444E-5</v>
      </c>
    </row>
    <row r="346" spans="1:12" x14ac:dyDescent="0.25">
      <c r="A346" s="3">
        <v>45712.617638888885</v>
      </c>
      <c r="B346" t="s">
        <v>308</v>
      </c>
      <c r="C346" s="3">
        <v>45712.618136574078</v>
      </c>
      <c r="D346" t="s">
        <v>213</v>
      </c>
      <c r="E346" s="4">
        <v>6.823040747642517E-2</v>
      </c>
      <c r="F346" s="4">
        <v>350512.46958719241</v>
      </c>
      <c r="G346" s="4">
        <v>350512.53781759989</v>
      </c>
      <c r="H346" s="5">
        <f t="shared" si="2"/>
        <v>0</v>
      </c>
      <c r="I346" t="s">
        <v>145</v>
      </c>
      <c r="J346" t="s">
        <v>32</v>
      </c>
      <c r="K346" s="5">
        <f>43 / 86400</f>
        <v>4.9768518518518521E-4</v>
      </c>
      <c r="L346" s="5">
        <f>40 / 86400</f>
        <v>4.6296296296296298E-4</v>
      </c>
    </row>
    <row r="347" spans="1:12" x14ac:dyDescent="0.25">
      <c r="A347" s="3">
        <v>45712.618599537032</v>
      </c>
      <c r="B347" t="s">
        <v>310</v>
      </c>
      <c r="C347" s="3">
        <v>45712.620497685188</v>
      </c>
      <c r="D347" t="s">
        <v>311</v>
      </c>
      <c r="E347" s="4">
        <v>0.80481774204969403</v>
      </c>
      <c r="F347" s="4">
        <v>350512.58787965676</v>
      </c>
      <c r="G347" s="4">
        <v>350513.39269739878</v>
      </c>
      <c r="H347" s="5">
        <f t="shared" si="2"/>
        <v>0</v>
      </c>
      <c r="I347" t="s">
        <v>31</v>
      </c>
      <c r="J347" t="s">
        <v>20</v>
      </c>
      <c r="K347" s="5">
        <f>164 / 86400</f>
        <v>1.8981481481481482E-3</v>
      </c>
      <c r="L347" s="5">
        <f>80 / 86400</f>
        <v>9.2592592592592596E-4</v>
      </c>
    </row>
    <row r="348" spans="1:12" x14ac:dyDescent="0.25">
      <c r="A348" s="3">
        <v>45712.621423611112</v>
      </c>
      <c r="B348" t="s">
        <v>311</v>
      </c>
      <c r="C348" s="3">
        <v>45712.621655092589</v>
      </c>
      <c r="D348" t="s">
        <v>311</v>
      </c>
      <c r="E348" s="4">
        <v>1.8894734978675842E-3</v>
      </c>
      <c r="F348" s="4">
        <v>350513.40989042248</v>
      </c>
      <c r="G348" s="4">
        <v>350513.41177989595</v>
      </c>
      <c r="H348" s="5">
        <f t="shared" si="2"/>
        <v>0</v>
      </c>
      <c r="I348" t="s">
        <v>143</v>
      </c>
      <c r="J348" t="s">
        <v>24</v>
      </c>
      <c r="K348" s="5">
        <f>20 / 86400</f>
        <v>2.3148148148148149E-4</v>
      </c>
      <c r="L348" s="5">
        <f>160 / 86400</f>
        <v>1.8518518518518519E-3</v>
      </c>
    </row>
    <row r="349" spans="1:12" x14ac:dyDescent="0.25">
      <c r="A349" s="3">
        <v>45712.623506944445</v>
      </c>
      <c r="B349" t="s">
        <v>311</v>
      </c>
      <c r="C349" s="3">
        <v>45712.623738425929</v>
      </c>
      <c r="D349" t="s">
        <v>311</v>
      </c>
      <c r="E349" s="4">
        <v>1.8126189112663269E-3</v>
      </c>
      <c r="F349" s="4">
        <v>350513.42461812787</v>
      </c>
      <c r="G349" s="4">
        <v>350513.4264307468</v>
      </c>
      <c r="H349" s="5">
        <f t="shared" si="2"/>
        <v>0</v>
      </c>
      <c r="I349" t="s">
        <v>95</v>
      </c>
      <c r="J349" t="s">
        <v>24</v>
      </c>
      <c r="K349" s="5">
        <f>20 / 86400</f>
        <v>2.3148148148148149E-4</v>
      </c>
      <c r="L349" s="5">
        <f>50 / 86400</f>
        <v>5.7870370370370367E-4</v>
      </c>
    </row>
    <row r="350" spans="1:12" x14ac:dyDescent="0.25">
      <c r="A350" s="3">
        <v>45712.62431712963</v>
      </c>
      <c r="B350" t="s">
        <v>312</v>
      </c>
      <c r="C350" s="3">
        <v>45712.62501157407</v>
      </c>
      <c r="D350" t="s">
        <v>313</v>
      </c>
      <c r="E350" s="4">
        <v>0.19470347213745118</v>
      </c>
      <c r="F350" s="4">
        <v>350513.43243893591</v>
      </c>
      <c r="G350" s="4">
        <v>350513.62714240805</v>
      </c>
      <c r="H350" s="5">
        <f t="shared" si="2"/>
        <v>0</v>
      </c>
      <c r="I350" t="s">
        <v>145</v>
      </c>
      <c r="J350" t="s">
        <v>145</v>
      </c>
      <c r="K350" s="5">
        <f>60 / 86400</f>
        <v>6.9444444444444447E-4</v>
      </c>
      <c r="L350" s="5">
        <f>20 / 86400</f>
        <v>2.3148148148148149E-4</v>
      </c>
    </row>
    <row r="351" spans="1:12" x14ac:dyDescent="0.25">
      <c r="A351" s="3">
        <v>45712.625243055554</v>
      </c>
      <c r="B351" t="s">
        <v>313</v>
      </c>
      <c r="C351" s="3">
        <v>45712.625474537039</v>
      </c>
      <c r="D351" t="s">
        <v>313</v>
      </c>
      <c r="E351" s="4">
        <v>3.8507526516914367E-3</v>
      </c>
      <c r="F351" s="4">
        <v>350513.6297927624</v>
      </c>
      <c r="G351" s="4">
        <v>350513.63364351506</v>
      </c>
      <c r="H351" s="5">
        <f t="shared" si="2"/>
        <v>0</v>
      </c>
      <c r="I351" t="s">
        <v>143</v>
      </c>
      <c r="J351" t="s">
        <v>143</v>
      </c>
      <c r="K351" s="5">
        <f>20 / 86400</f>
        <v>2.3148148148148149E-4</v>
      </c>
      <c r="L351" s="5">
        <f>53 / 86400</f>
        <v>6.134259259259259E-4</v>
      </c>
    </row>
    <row r="352" spans="1:12" x14ac:dyDescent="0.25">
      <c r="A352" s="3">
        <v>45712.626087962963</v>
      </c>
      <c r="B352" t="s">
        <v>313</v>
      </c>
      <c r="C352" s="3">
        <v>45712.626550925925</v>
      </c>
      <c r="D352" t="s">
        <v>314</v>
      </c>
      <c r="E352" s="4">
        <v>0.23029245215654373</v>
      </c>
      <c r="F352" s="4">
        <v>350513.65491555887</v>
      </c>
      <c r="G352" s="4">
        <v>350513.88520801102</v>
      </c>
      <c r="H352" s="5">
        <f t="shared" si="2"/>
        <v>0</v>
      </c>
      <c r="I352" t="s">
        <v>31</v>
      </c>
      <c r="J352" t="s">
        <v>36</v>
      </c>
      <c r="K352" s="5">
        <f>40 / 86400</f>
        <v>4.6296296296296298E-4</v>
      </c>
      <c r="L352" s="5">
        <f>20 / 86400</f>
        <v>2.3148148148148149E-4</v>
      </c>
    </row>
    <row r="353" spans="1:12" x14ac:dyDescent="0.25">
      <c r="A353" s="3">
        <v>45712.626782407402</v>
      </c>
      <c r="B353" t="s">
        <v>315</v>
      </c>
      <c r="C353" s="3">
        <v>45712.629398148143</v>
      </c>
      <c r="D353" t="s">
        <v>255</v>
      </c>
      <c r="E353" s="4">
        <v>1.7520371977686882</v>
      </c>
      <c r="F353" s="4">
        <v>350513.89058397681</v>
      </c>
      <c r="G353" s="4">
        <v>350515.64262117457</v>
      </c>
      <c r="H353" s="5">
        <f t="shared" si="2"/>
        <v>0</v>
      </c>
      <c r="I353" t="s">
        <v>297</v>
      </c>
      <c r="J353" t="s">
        <v>198</v>
      </c>
      <c r="K353" s="5">
        <f>226 / 86400</f>
        <v>2.6157407407407405E-3</v>
      </c>
      <c r="L353" s="5">
        <f>20 / 86400</f>
        <v>2.3148148148148149E-4</v>
      </c>
    </row>
    <row r="354" spans="1:12" x14ac:dyDescent="0.25">
      <c r="A354" s="3">
        <v>45712.629629629635</v>
      </c>
      <c r="B354" t="s">
        <v>255</v>
      </c>
      <c r="C354" s="3">
        <v>45712.630706018521</v>
      </c>
      <c r="D354" t="s">
        <v>316</v>
      </c>
      <c r="E354" s="4">
        <v>0.54139960932731623</v>
      </c>
      <c r="F354" s="4">
        <v>350515.64521560236</v>
      </c>
      <c r="G354" s="4">
        <v>350516.18661521166</v>
      </c>
      <c r="H354" s="5">
        <f t="shared" si="2"/>
        <v>0</v>
      </c>
      <c r="I354" t="s">
        <v>56</v>
      </c>
      <c r="J354" t="s">
        <v>36</v>
      </c>
      <c r="K354" s="5">
        <f>93 / 86400</f>
        <v>1.0763888888888889E-3</v>
      </c>
      <c r="L354" s="5">
        <f>4 / 86400</f>
        <v>4.6296296296296294E-5</v>
      </c>
    </row>
    <row r="355" spans="1:12" x14ac:dyDescent="0.25">
      <c r="A355" s="3">
        <v>45712.630752314813</v>
      </c>
      <c r="B355" t="s">
        <v>316</v>
      </c>
      <c r="C355" s="3">
        <v>45712.630983796298</v>
      </c>
      <c r="D355" t="s">
        <v>316</v>
      </c>
      <c r="E355" s="4">
        <v>5.2622438073158268E-3</v>
      </c>
      <c r="F355" s="4">
        <v>350516.19510650082</v>
      </c>
      <c r="G355" s="4">
        <v>350516.20036874461</v>
      </c>
      <c r="H355" s="5">
        <f t="shared" si="2"/>
        <v>0</v>
      </c>
      <c r="I355" t="s">
        <v>32</v>
      </c>
      <c r="J355" t="s">
        <v>143</v>
      </c>
      <c r="K355" s="5">
        <f>20 / 86400</f>
        <v>2.3148148148148149E-4</v>
      </c>
      <c r="L355" s="5">
        <f>20 / 86400</f>
        <v>2.3148148148148149E-4</v>
      </c>
    </row>
    <row r="356" spans="1:12" x14ac:dyDescent="0.25">
      <c r="A356" s="3">
        <v>45712.631215277783</v>
      </c>
      <c r="B356" t="s">
        <v>316</v>
      </c>
      <c r="C356" s="3">
        <v>45712.632708333331</v>
      </c>
      <c r="D356" t="s">
        <v>230</v>
      </c>
      <c r="E356" s="4">
        <v>0.72878984940052027</v>
      </c>
      <c r="F356" s="4">
        <v>350516.22502094507</v>
      </c>
      <c r="G356" s="4">
        <v>350516.95381079445</v>
      </c>
      <c r="H356" s="5">
        <f t="shared" si="2"/>
        <v>0</v>
      </c>
      <c r="I356" t="s">
        <v>224</v>
      </c>
      <c r="J356" t="s">
        <v>112</v>
      </c>
      <c r="K356" s="5">
        <f>129 / 86400</f>
        <v>1.4930555555555556E-3</v>
      </c>
      <c r="L356" s="5">
        <f>40 / 86400</f>
        <v>4.6296296296296298E-4</v>
      </c>
    </row>
    <row r="357" spans="1:12" x14ac:dyDescent="0.25">
      <c r="A357" s="3">
        <v>45712.6331712963</v>
      </c>
      <c r="B357" t="s">
        <v>229</v>
      </c>
      <c r="C357" s="3">
        <v>45712.63386574074</v>
      </c>
      <c r="D357" t="s">
        <v>317</v>
      </c>
      <c r="E357" s="4">
        <v>0.19916786468029021</v>
      </c>
      <c r="F357" s="4">
        <v>350517.0321108753</v>
      </c>
      <c r="G357" s="4">
        <v>350517.23127873999</v>
      </c>
      <c r="H357" s="5">
        <f t="shared" si="2"/>
        <v>0</v>
      </c>
      <c r="I357" t="s">
        <v>139</v>
      </c>
      <c r="J357" t="s">
        <v>145</v>
      </c>
      <c r="K357" s="5">
        <f>60 / 86400</f>
        <v>6.9444444444444447E-4</v>
      </c>
      <c r="L357" s="5">
        <f>20 / 86400</f>
        <v>2.3148148148148149E-4</v>
      </c>
    </row>
    <row r="358" spans="1:12" x14ac:dyDescent="0.25">
      <c r="A358" s="3">
        <v>45712.634097222224</v>
      </c>
      <c r="B358" t="s">
        <v>317</v>
      </c>
      <c r="C358" s="3">
        <v>45712.634872685187</v>
      </c>
      <c r="D358" t="s">
        <v>318</v>
      </c>
      <c r="E358" s="4">
        <v>0.30113112705945971</v>
      </c>
      <c r="F358" s="4">
        <v>350517.23464413488</v>
      </c>
      <c r="G358" s="4">
        <v>350517.53577526193</v>
      </c>
      <c r="H358" s="5">
        <f t="shared" si="2"/>
        <v>0</v>
      </c>
      <c r="I358" t="s">
        <v>178</v>
      </c>
      <c r="J358" t="s">
        <v>34</v>
      </c>
      <c r="K358" s="5">
        <f>67 / 86400</f>
        <v>7.7546296296296293E-4</v>
      </c>
      <c r="L358" s="5">
        <f>20 / 86400</f>
        <v>2.3148148148148149E-4</v>
      </c>
    </row>
    <row r="359" spans="1:12" x14ac:dyDescent="0.25">
      <c r="A359" s="3">
        <v>45712.635104166664</v>
      </c>
      <c r="B359" t="s">
        <v>318</v>
      </c>
      <c r="C359" s="3">
        <v>45712.635763888888</v>
      </c>
      <c r="D359" t="s">
        <v>319</v>
      </c>
      <c r="E359" s="4">
        <v>0.44052090406417849</v>
      </c>
      <c r="F359" s="4">
        <v>350517.57157864579</v>
      </c>
      <c r="G359" s="4">
        <v>350518.01209954981</v>
      </c>
      <c r="H359" s="5">
        <f t="shared" si="2"/>
        <v>0</v>
      </c>
      <c r="I359" t="s">
        <v>290</v>
      </c>
      <c r="J359" t="s">
        <v>198</v>
      </c>
      <c r="K359" s="5">
        <f>57 / 86400</f>
        <v>6.5972222222222224E-4</v>
      </c>
      <c r="L359" s="5">
        <f>72 / 86400</f>
        <v>8.3333333333333339E-4</v>
      </c>
    </row>
    <row r="360" spans="1:12" x14ac:dyDescent="0.25">
      <c r="A360" s="3">
        <v>45712.636597222227</v>
      </c>
      <c r="B360" t="s">
        <v>319</v>
      </c>
      <c r="C360" s="3">
        <v>45712.637060185181</v>
      </c>
      <c r="D360" t="s">
        <v>232</v>
      </c>
      <c r="E360" s="4">
        <v>8.4563892960548406E-2</v>
      </c>
      <c r="F360" s="4">
        <v>350518.07074751577</v>
      </c>
      <c r="G360" s="4">
        <v>350518.15531140874</v>
      </c>
      <c r="H360" s="5">
        <f t="shared" si="2"/>
        <v>0</v>
      </c>
      <c r="I360" t="s">
        <v>99</v>
      </c>
      <c r="J360" t="s">
        <v>92</v>
      </c>
      <c r="K360" s="5">
        <f>40 / 86400</f>
        <v>4.6296296296296298E-4</v>
      </c>
      <c r="L360" s="5">
        <f>60 / 86400</f>
        <v>6.9444444444444447E-4</v>
      </c>
    </row>
    <row r="361" spans="1:12" x14ac:dyDescent="0.25">
      <c r="A361" s="3">
        <v>45712.637754629628</v>
      </c>
      <c r="B361" t="s">
        <v>232</v>
      </c>
      <c r="C361" s="3">
        <v>45712.638217592597</v>
      </c>
      <c r="D361" t="s">
        <v>320</v>
      </c>
      <c r="E361" s="4">
        <v>0.1977089879512787</v>
      </c>
      <c r="F361" s="4">
        <v>350518.16856975283</v>
      </c>
      <c r="G361" s="4">
        <v>350518.36627874075</v>
      </c>
      <c r="H361" s="5">
        <f t="shared" si="2"/>
        <v>0</v>
      </c>
      <c r="I361" t="s">
        <v>180</v>
      </c>
      <c r="J361" t="s">
        <v>20</v>
      </c>
      <c r="K361" s="5">
        <f>40 / 86400</f>
        <v>4.6296296296296298E-4</v>
      </c>
      <c r="L361" s="5">
        <f>19 / 86400</f>
        <v>2.199074074074074E-4</v>
      </c>
    </row>
    <row r="362" spans="1:12" x14ac:dyDescent="0.25">
      <c r="A362" s="3">
        <v>45712.638437500005</v>
      </c>
      <c r="B362" t="s">
        <v>321</v>
      </c>
      <c r="C362" s="3">
        <v>45712.63890046296</v>
      </c>
      <c r="D362" t="s">
        <v>234</v>
      </c>
      <c r="E362" s="4">
        <v>0.15471283304691313</v>
      </c>
      <c r="F362" s="4">
        <v>350518.37534331792</v>
      </c>
      <c r="G362" s="4">
        <v>350518.53005615098</v>
      </c>
      <c r="H362" s="5">
        <f t="shared" si="2"/>
        <v>0</v>
      </c>
      <c r="I362" t="s">
        <v>184</v>
      </c>
      <c r="J362" t="s">
        <v>48</v>
      </c>
      <c r="K362" s="5">
        <f>40 / 86400</f>
        <v>4.6296296296296298E-4</v>
      </c>
      <c r="L362" s="5">
        <f>6 / 86400</f>
        <v>6.9444444444444444E-5</v>
      </c>
    </row>
    <row r="363" spans="1:12" x14ac:dyDescent="0.25">
      <c r="A363" s="3">
        <v>45712.638969907406</v>
      </c>
      <c r="B363" t="s">
        <v>234</v>
      </c>
      <c r="C363" s="3">
        <v>45712.640578703707</v>
      </c>
      <c r="D363" t="s">
        <v>322</v>
      </c>
      <c r="E363" s="4">
        <v>0.34874713045358657</v>
      </c>
      <c r="F363" s="4">
        <v>350518.53397829056</v>
      </c>
      <c r="G363" s="4">
        <v>350518.88272542099</v>
      </c>
      <c r="H363" s="5">
        <f t="shared" ref="H363:H426" si="3">0 / 86400</f>
        <v>0</v>
      </c>
      <c r="I363" t="s">
        <v>152</v>
      </c>
      <c r="J363" t="s">
        <v>135</v>
      </c>
      <c r="K363" s="5">
        <f>139 / 86400</f>
        <v>1.6087962962962963E-3</v>
      </c>
      <c r="L363" s="5">
        <f>40 / 86400</f>
        <v>4.6296296296296298E-4</v>
      </c>
    </row>
    <row r="364" spans="1:12" x14ac:dyDescent="0.25">
      <c r="A364" s="3">
        <v>45712.641041666662</v>
      </c>
      <c r="B364" t="s">
        <v>323</v>
      </c>
      <c r="C364" s="3">
        <v>45712.641550925924</v>
      </c>
      <c r="D364" t="s">
        <v>322</v>
      </c>
      <c r="E364" s="4">
        <v>0.10522324126958847</v>
      </c>
      <c r="F364" s="4">
        <v>350518.90732335573</v>
      </c>
      <c r="G364" s="4">
        <v>350519.01254659699</v>
      </c>
      <c r="H364" s="5">
        <f t="shared" si="3"/>
        <v>0</v>
      </c>
      <c r="I364" t="s">
        <v>48</v>
      </c>
      <c r="J364" t="s">
        <v>135</v>
      </c>
      <c r="K364" s="5">
        <f>44 / 86400</f>
        <v>5.0925925925925921E-4</v>
      </c>
      <c r="L364" s="5">
        <f>40 / 86400</f>
        <v>4.6296296296296298E-4</v>
      </c>
    </row>
    <row r="365" spans="1:12" x14ac:dyDescent="0.25">
      <c r="A365" s="3">
        <v>45712.642013888893</v>
      </c>
      <c r="B365" t="s">
        <v>322</v>
      </c>
      <c r="C365" s="3">
        <v>45712.642245370371</v>
      </c>
      <c r="D365" t="s">
        <v>322</v>
      </c>
      <c r="E365" s="4">
        <v>0</v>
      </c>
      <c r="F365" s="4">
        <v>350519.0258883317</v>
      </c>
      <c r="G365" s="4">
        <v>350519.0258883317</v>
      </c>
      <c r="H365" s="5">
        <f t="shared" si="3"/>
        <v>0</v>
      </c>
      <c r="I365" t="s">
        <v>150</v>
      </c>
      <c r="J365" t="s">
        <v>24</v>
      </c>
      <c r="K365" s="5">
        <f>20 / 86400</f>
        <v>2.3148148148148149E-4</v>
      </c>
      <c r="L365" s="5">
        <f>20 / 86400</f>
        <v>2.3148148148148149E-4</v>
      </c>
    </row>
    <row r="366" spans="1:12" x14ac:dyDescent="0.25">
      <c r="A366" s="3">
        <v>45712.642476851848</v>
      </c>
      <c r="B366" t="s">
        <v>244</v>
      </c>
      <c r="C366" s="3">
        <v>45712.645277777774</v>
      </c>
      <c r="D366" t="s">
        <v>324</v>
      </c>
      <c r="E366" s="4">
        <v>0.82844943708181384</v>
      </c>
      <c r="F366" s="4">
        <v>350519.34126285533</v>
      </c>
      <c r="G366" s="4">
        <v>350520.16971229244</v>
      </c>
      <c r="H366" s="5">
        <f t="shared" si="3"/>
        <v>0</v>
      </c>
      <c r="I366" t="s">
        <v>112</v>
      </c>
      <c r="J366" t="s">
        <v>145</v>
      </c>
      <c r="K366" s="5">
        <f>242 / 86400</f>
        <v>2.8009259259259259E-3</v>
      </c>
      <c r="L366" s="5">
        <f>40 / 86400</f>
        <v>4.6296296296296298E-4</v>
      </c>
    </row>
    <row r="367" spans="1:12" x14ac:dyDescent="0.25">
      <c r="A367" s="3">
        <v>45712.645740740743</v>
      </c>
      <c r="B367" t="s">
        <v>325</v>
      </c>
      <c r="C367" s="3">
        <v>45712.64643518519</v>
      </c>
      <c r="D367" t="s">
        <v>326</v>
      </c>
      <c r="E367" s="4">
        <v>7.5215530037879938E-2</v>
      </c>
      <c r="F367" s="4">
        <v>350520.17925567494</v>
      </c>
      <c r="G367" s="4">
        <v>350520.254471205</v>
      </c>
      <c r="H367" s="5">
        <f t="shared" si="3"/>
        <v>0</v>
      </c>
      <c r="I367" t="s">
        <v>145</v>
      </c>
      <c r="J367" t="s">
        <v>57</v>
      </c>
      <c r="K367" s="5">
        <f>60 / 86400</f>
        <v>6.9444444444444447E-4</v>
      </c>
      <c r="L367" s="5">
        <f>50 / 86400</f>
        <v>5.7870370370370367E-4</v>
      </c>
    </row>
    <row r="368" spans="1:12" x14ac:dyDescent="0.25">
      <c r="A368" s="3">
        <v>45712.647013888884</v>
      </c>
      <c r="B368" t="s">
        <v>326</v>
      </c>
      <c r="C368" s="3">
        <v>45712.647627314815</v>
      </c>
      <c r="D368" t="s">
        <v>237</v>
      </c>
      <c r="E368" s="4">
        <v>0.17222100049257277</v>
      </c>
      <c r="F368" s="4">
        <v>350520.26547222282</v>
      </c>
      <c r="G368" s="4">
        <v>350520.4376932233</v>
      </c>
      <c r="H368" s="5">
        <f t="shared" si="3"/>
        <v>0</v>
      </c>
      <c r="I368" t="s">
        <v>59</v>
      </c>
      <c r="J368" t="s">
        <v>145</v>
      </c>
      <c r="K368" s="5">
        <f>53 / 86400</f>
        <v>6.134259259259259E-4</v>
      </c>
      <c r="L368" s="5">
        <f>40 / 86400</f>
        <v>4.6296296296296298E-4</v>
      </c>
    </row>
    <row r="369" spans="1:12" x14ac:dyDescent="0.25">
      <c r="A369" s="3">
        <v>45712.648090277777</v>
      </c>
      <c r="B369" t="s">
        <v>238</v>
      </c>
      <c r="C369" s="3">
        <v>45712.648321759261</v>
      </c>
      <c r="D369" t="s">
        <v>238</v>
      </c>
      <c r="E369" s="4">
        <v>3.4516209363937376E-3</v>
      </c>
      <c r="F369" s="4">
        <v>350520.47002340888</v>
      </c>
      <c r="G369" s="4">
        <v>350520.47347502981</v>
      </c>
      <c r="H369" s="5">
        <f t="shared" si="3"/>
        <v>0</v>
      </c>
      <c r="I369" t="s">
        <v>143</v>
      </c>
      <c r="J369" t="s">
        <v>143</v>
      </c>
      <c r="K369" s="5">
        <f>20 / 86400</f>
        <v>2.3148148148148149E-4</v>
      </c>
      <c r="L369" s="5">
        <f>300 / 86400</f>
        <v>3.472222222222222E-3</v>
      </c>
    </row>
    <row r="370" spans="1:12" x14ac:dyDescent="0.25">
      <c r="A370" s="3">
        <v>45712.65179398148</v>
      </c>
      <c r="B370" t="s">
        <v>238</v>
      </c>
      <c r="C370" s="3">
        <v>45712.652025462958</v>
      </c>
      <c r="D370" t="s">
        <v>238</v>
      </c>
      <c r="E370" s="4">
        <v>8.7806803584098824E-3</v>
      </c>
      <c r="F370" s="4">
        <v>350520.53102846706</v>
      </c>
      <c r="G370" s="4">
        <v>350520.53980914742</v>
      </c>
      <c r="H370" s="5">
        <f t="shared" si="3"/>
        <v>0</v>
      </c>
      <c r="I370" t="s">
        <v>143</v>
      </c>
      <c r="J370" t="s">
        <v>150</v>
      </c>
      <c r="K370" s="5">
        <f>20 / 86400</f>
        <v>2.3148148148148149E-4</v>
      </c>
      <c r="L370" s="5">
        <f>120 / 86400</f>
        <v>1.3888888888888889E-3</v>
      </c>
    </row>
    <row r="371" spans="1:12" x14ac:dyDescent="0.25">
      <c r="A371" s="3">
        <v>45712.653414351851</v>
      </c>
      <c r="B371" t="s">
        <v>238</v>
      </c>
      <c r="C371" s="3">
        <v>45712.653958333336</v>
      </c>
      <c r="D371" t="s">
        <v>235</v>
      </c>
      <c r="E371" s="4">
        <v>0.15070224249362946</v>
      </c>
      <c r="F371" s="4">
        <v>350520.5571132566</v>
      </c>
      <c r="G371" s="4">
        <v>350520.70781549904</v>
      </c>
      <c r="H371" s="5">
        <f t="shared" si="3"/>
        <v>0</v>
      </c>
      <c r="I371" t="s">
        <v>112</v>
      </c>
      <c r="J371" t="s">
        <v>145</v>
      </c>
      <c r="K371" s="5">
        <f>47 / 86400</f>
        <v>5.4398148148148144E-4</v>
      </c>
      <c r="L371" s="5">
        <f>11 / 86400</f>
        <v>1.273148148148148E-4</v>
      </c>
    </row>
    <row r="372" spans="1:12" x14ac:dyDescent="0.25">
      <c r="A372" s="3">
        <v>45712.654085648144</v>
      </c>
      <c r="B372" t="s">
        <v>235</v>
      </c>
      <c r="C372" s="3">
        <v>45712.654548611114</v>
      </c>
      <c r="D372" t="s">
        <v>235</v>
      </c>
      <c r="E372" s="4">
        <v>9.7856588602066044E-2</v>
      </c>
      <c r="F372" s="4">
        <v>350520.71483817417</v>
      </c>
      <c r="G372" s="4">
        <v>350520.81269476278</v>
      </c>
      <c r="H372" s="5">
        <f t="shared" si="3"/>
        <v>0</v>
      </c>
      <c r="I372" t="s">
        <v>57</v>
      </c>
      <c r="J372" t="s">
        <v>135</v>
      </c>
      <c r="K372" s="5">
        <f>40 / 86400</f>
        <v>4.6296296296296298E-4</v>
      </c>
      <c r="L372" s="5">
        <f>29 / 86400</f>
        <v>3.3564814814814812E-4</v>
      </c>
    </row>
    <row r="373" spans="1:12" x14ac:dyDescent="0.25">
      <c r="A373" s="3">
        <v>45712.65488425926</v>
      </c>
      <c r="B373" t="s">
        <v>235</v>
      </c>
      <c r="C373" s="3">
        <v>45712.656273148154</v>
      </c>
      <c r="D373" t="s">
        <v>327</v>
      </c>
      <c r="E373" s="4">
        <v>0.49690445125102994</v>
      </c>
      <c r="F373" s="4">
        <v>350520.82527122332</v>
      </c>
      <c r="G373" s="4">
        <v>350521.32217567455</v>
      </c>
      <c r="H373" s="5">
        <f t="shared" si="3"/>
        <v>0</v>
      </c>
      <c r="I373" t="s">
        <v>190</v>
      </c>
      <c r="J373" t="s">
        <v>59</v>
      </c>
      <c r="K373" s="5">
        <f>120 / 86400</f>
        <v>1.3888888888888889E-3</v>
      </c>
      <c r="L373" s="5">
        <f>8 / 86400</f>
        <v>9.2592592592592588E-5</v>
      </c>
    </row>
    <row r="374" spans="1:12" x14ac:dyDescent="0.25">
      <c r="A374" s="3">
        <v>45712.656365740739</v>
      </c>
      <c r="B374" t="s">
        <v>323</v>
      </c>
      <c r="C374" s="3">
        <v>45712.657291666663</v>
      </c>
      <c r="D374" t="s">
        <v>247</v>
      </c>
      <c r="E374" s="4">
        <v>0.19131756156682969</v>
      </c>
      <c r="F374" s="4">
        <v>350521.32621534646</v>
      </c>
      <c r="G374" s="4">
        <v>350521.51753290801</v>
      </c>
      <c r="H374" s="5">
        <f t="shared" si="3"/>
        <v>0</v>
      </c>
      <c r="I374" t="s">
        <v>48</v>
      </c>
      <c r="J374" t="s">
        <v>135</v>
      </c>
      <c r="K374" s="5">
        <f>80 / 86400</f>
        <v>9.2592592592592596E-4</v>
      </c>
      <c r="L374" s="5">
        <f>38 / 86400</f>
        <v>4.3981481481481481E-4</v>
      </c>
    </row>
    <row r="375" spans="1:12" x14ac:dyDescent="0.25">
      <c r="A375" s="3">
        <v>45712.657731481479</v>
      </c>
      <c r="B375" t="s">
        <v>328</v>
      </c>
      <c r="C375" s="3">
        <v>45712.65825231481</v>
      </c>
      <c r="D375" t="s">
        <v>249</v>
      </c>
      <c r="E375" s="4">
        <v>0.19252604347467422</v>
      </c>
      <c r="F375" s="4">
        <v>350521.54304720199</v>
      </c>
      <c r="G375" s="4">
        <v>350521.73557324545</v>
      </c>
      <c r="H375" s="5">
        <f t="shared" si="3"/>
        <v>0</v>
      </c>
      <c r="I375" t="s">
        <v>31</v>
      </c>
      <c r="J375" t="s">
        <v>59</v>
      </c>
      <c r="K375" s="5">
        <f>45 / 86400</f>
        <v>5.2083333333333333E-4</v>
      </c>
      <c r="L375" s="5">
        <f>20 / 86400</f>
        <v>2.3148148148148149E-4</v>
      </c>
    </row>
    <row r="376" spans="1:12" x14ac:dyDescent="0.25">
      <c r="A376" s="3">
        <v>45712.658483796295</v>
      </c>
      <c r="B376" t="s">
        <v>249</v>
      </c>
      <c r="C376" s="3">
        <v>45712.659085648149</v>
      </c>
      <c r="D376" t="s">
        <v>329</v>
      </c>
      <c r="E376" s="4">
        <v>0.38010134184360506</v>
      </c>
      <c r="F376" s="4">
        <v>350521.75770088891</v>
      </c>
      <c r="G376" s="4">
        <v>350522.13780223078</v>
      </c>
      <c r="H376" s="5">
        <f t="shared" si="3"/>
        <v>0</v>
      </c>
      <c r="I376" t="s">
        <v>218</v>
      </c>
      <c r="J376" t="s">
        <v>164</v>
      </c>
      <c r="K376" s="5">
        <f>52 / 86400</f>
        <v>6.018518518518519E-4</v>
      </c>
      <c r="L376" s="5">
        <f>87 / 86400</f>
        <v>1.0069444444444444E-3</v>
      </c>
    </row>
    <row r="377" spans="1:12" x14ac:dyDescent="0.25">
      <c r="A377" s="3">
        <v>45712.660092592589</v>
      </c>
      <c r="B377" t="s">
        <v>329</v>
      </c>
      <c r="C377" s="3">
        <v>45712.660914351851</v>
      </c>
      <c r="D377" t="s">
        <v>330</v>
      </c>
      <c r="E377" s="4">
        <v>0.41518126749992368</v>
      </c>
      <c r="F377" s="4">
        <v>350522.14853795472</v>
      </c>
      <c r="G377" s="4">
        <v>350522.56371922226</v>
      </c>
      <c r="H377" s="5">
        <f t="shared" si="3"/>
        <v>0</v>
      </c>
      <c r="I377" t="s">
        <v>186</v>
      </c>
      <c r="J377" t="s">
        <v>36</v>
      </c>
      <c r="K377" s="5">
        <f>71 / 86400</f>
        <v>8.2175925925925927E-4</v>
      </c>
      <c r="L377" s="5">
        <f>40 / 86400</f>
        <v>4.6296296296296298E-4</v>
      </c>
    </row>
    <row r="378" spans="1:12" x14ac:dyDescent="0.25">
      <c r="A378" s="3">
        <v>45712.661377314813</v>
      </c>
      <c r="B378" t="s">
        <v>330</v>
      </c>
      <c r="C378" s="3">
        <v>45712.661863425921</v>
      </c>
      <c r="D378" t="s">
        <v>331</v>
      </c>
      <c r="E378" s="4">
        <v>7.9259804904460912E-2</v>
      </c>
      <c r="F378" s="4">
        <v>350522.57335448294</v>
      </c>
      <c r="G378" s="4">
        <v>350522.65261428786</v>
      </c>
      <c r="H378" s="5">
        <f t="shared" si="3"/>
        <v>0</v>
      </c>
      <c r="I378" t="s">
        <v>57</v>
      </c>
      <c r="J378" t="s">
        <v>99</v>
      </c>
      <c r="K378" s="5">
        <f>42 / 86400</f>
        <v>4.861111111111111E-4</v>
      </c>
      <c r="L378" s="5">
        <f>8 / 86400</f>
        <v>9.2592592592592588E-5</v>
      </c>
    </row>
    <row r="379" spans="1:12" x14ac:dyDescent="0.25">
      <c r="A379" s="3">
        <v>45712.661956018521</v>
      </c>
      <c r="B379" t="s">
        <v>331</v>
      </c>
      <c r="C379" s="3">
        <v>45712.662418981483</v>
      </c>
      <c r="D379" t="s">
        <v>332</v>
      </c>
      <c r="E379" s="4">
        <v>9.4651044905185694E-2</v>
      </c>
      <c r="F379" s="4">
        <v>350522.65633803437</v>
      </c>
      <c r="G379" s="4">
        <v>350522.7509890793</v>
      </c>
      <c r="H379" s="5">
        <f t="shared" si="3"/>
        <v>0</v>
      </c>
      <c r="I379" t="s">
        <v>57</v>
      </c>
      <c r="J379" t="s">
        <v>135</v>
      </c>
      <c r="K379" s="5">
        <f>40 / 86400</f>
        <v>4.6296296296296298E-4</v>
      </c>
      <c r="L379" s="5">
        <f>87 / 86400</f>
        <v>1.0069444444444444E-3</v>
      </c>
    </row>
    <row r="380" spans="1:12" x14ac:dyDescent="0.25">
      <c r="A380" s="3">
        <v>45712.66342592593</v>
      </c>
      <c r="B380" t="s">
        <v>332</v>
      </c>
      <c r="C380" s="3">
        <v>45712.664375</v>
      </c>
      <c r="D380" t="s">
        <v>229</v>
      </c>
      <c r="E380" s="4">
        <v>0.37460331875085828</v>
      </c>
      <c r="F380" s="4">
        <v>350522.80306318897</v>
      </c>
      <c r="G380" s="4">
        <v>350523.17766650772</v>
      </c>
      <c r="H380" s="5">
        <f t="shared" si="3"/>
        <v>0</v>
      </c>
      <c r="I380" t="s">
        <v>164</v>
      </c>
      <c r="J380" t="s">
        <v>34</v>
      </c>
      <c r="K380" s="5">
        <f>82 / 86400</f>
        <v>9.4907407407407408E-4</v>
      </c>
      <c r="L380" s="5">
        <f>54 / 86400</f>
        <v>6.2500000000000001E-4</v>
      </c>
    </row>
    <row r="381" spans="1:12" x14ac:dyDescent="0.25">
      <c r="A381" s="3">
        <v>45712.665000000001</v>
      </c>
      <c r="B381" t="s">
        <v>229</v>
      </c>
      <c r="C381" s="3">
        <v>45712.666030092594</v>
      </c>
      <c r="D381" t="s">
        <v>228</v>
      </c>
      <c r="E381" s="4">
        <v>0.29897579216957093</v>
      </c>
      <c r="F381" s="4">
        <v>350523.24063194974</v>
      </c>
      <c r="G381" s="4">
        <v>350523.53960774187</v>
      </c>
      <c r="H381" s="5">
        <f t="shared" si="3"/>
        <v>0</v>
      </c>
      <c r="I381" t="s">
        <v>198</v>
      </c>
      <c r="J381" t="s">
        <v>145</v>
      </c>
      <c r="K381" s="5">
        <f>89 / 86400</f>
        <v>1.0300925925925926E-3</v>
      </c>
      <c r="L381" s="5">
        <f>12 / 86400</f>
        <v>1.3888888888888889E-4</v>
      </c>
    </row>
    <row r="382" spans="1:12" x14ac:dyDescent="0.25">
      <c r="A382" s="3">
        <v>45712.666168981479</v>
      </c>
      <c r="B382" t="s">
        <v>228</v>
      </c>
      <c r="C382" s="3">
        <v>45712.668240740742</v>
      </c>
      <c r="D382" t="s">
        <v>333</v>
      </c>
      <c r="E382" s="4">
        <v>1.3563217462897301</v>
      </c>
      <c r="F382" s="4">
        <v>350523.54826099909</v>
      </c>
      <c r="G382" s="4">
        <v>350524.9045827454</v>
      </c>
      <c r="H382" s="5">
        <f t="shared" si="3"/>
        <v>0</v>
      </c>
      <c r="I382" t="s">
        <v>166</v>
      </c>
      <c r="J382" t="s">
        <v>152</v>
      </c>
      <c r="K382" s="5">
        <f>179 / 86400</f>
        <v>2.0717592592592593E-3</v>
      </c>
      <c r="L382" s="5">
        <f>40 / 86400</f>
        <v>4.6296296296296298E-4</v>
      </c>
    </row>
    <row r="383" spans="1:12" x14ac:dyDescent="0.25">
      <c r="A383" s="3">
        <v>45712.668703703705</v>
      </c>
      <c r="B383" t="s">
        <v>334</v>
      </c>
      <c r="C383" s="3">
        <v>45712.668935185182</v>
      </c>
      <c r="D383" t="s">
        <v>334</v>
      </c>
      <c r="E383" s="4">
        <v>1.1259667813777923E-2</v>
      </c>
      <c r="F383" s="4">
        <v>350524.92563766608</v>
      </c>
      <c r="G383" s="4">
        <v>350524.93689733394</v>
      </c>
      <c r="H383" s="5">
        <f t="shared" si="3"/>
        <v>0</v>
      </c>
      <c r="I383" t="s">
        <v>143</v>
      </c>
      <c r="J383" t="s">
        <v>150</v>
      </c>
      <c r="K383" s="5">
        <f>20 / 86400</f>
        <v>2.3148148148148149E-4</v>
      </c>
      <c r="L383" s="5">
        <f>20 / 86400</f>
        <v>2.3148148148148149E-4</v>
      </c>
    </row>
    <row r="384" spans="1:12" x14ac:dyDescent="0.25">
      <c r="A384" s="3">
        <v>45712.669166666667</v>
      </c>
      <c r="B384" t="s">
        <v>335</v>
      </c>
      <c r="C384" s="3">
        <v>45712.669629629629</v>
      </c>
      <c r="D384" t="s">
        <v>336</v>
      </c>
      <c r="E384" s="4">
        <v>0.26979833781719209</v>
      </c>
      <c r="F384" s="4">
        <v>350524.99900586507</v>
      </c>
      <c r="G384" s="4">
        <v>350525.2688042029</v>
      </c>
      <c r="H384" s="5">
        <f t="shared" si="3"/>
        <v>0</v>
      </c>
      <c r="I384" t="s">
        <v>290</v>
      </c>
      <c r="J384" t="s">
        <v>182</v>
      </c>
      <c r="K384" s="5">
        <f>40 / 86400</f>
        <v>4.6296296296296298E-4</v>
      </c>
      <c r="L384" s="5">
        <f>20 / 86400</f>
        <v>2.3148148148148149E-4</v>
      </c>
    </row>
    <row r="385" spans="1:12" x14ac:dyDescent="0.25">
      <c r="A385" s="3">
        <v>45712.669861111106</v>
      </c>
      <c r="B385" t="s">
        <v>337</v>
      </c>
      <c r="C385" s="3">
        <v>45712.670092592598</v>
      </c>
      <c r="D385" t="s">
        <v>337</v>
      </c>
      <c r="E385" s="4">
        <v>0</v>
      </c>
      <c r="F385" s="4">
        <v>350525.37503293052</v>
      </c>
      <c r="G385" s="4">
        <v>350525.37503293052</v>
      </c>
      <c r="H385" s="5">
        <f t="shared" si="3"/>
        <v>0</v>
      </c>
      <c r="I385" t="s">
        <v>159</v>
      </c>
      <c r="J385" t="s">
        <v>24</v>
      </c>
      <c r="K385" s="5">
        <f>20 / 86400</f>
        <v>2.3148148148148149E-4</v>
      </c>
      <c r="L385" s="5">
        <f>20 / 86400</f>
        <v>2.3148148148148149E-4</v>
      </c>
    </row>
    <row r="386" spans="1:12" x14ac:dyDescent="0.25">
      <c r="A386" s="3">
        <v>45712.670324074075</v>
      </c>
      <c r="B386" t="s">
        <v>338</v>
      </c>
      <c r="C386" s="3">
        <v>45712.671249999999</v>
      </c>
      <c r="D386" t="s">
        <v>257</v>
      </c>
      <c r="E386" s="4">
        <v>0.29848399674892423</v>
      </c>
      <c r="F386" s="4">
        <v>350525.61009952985</v>
      </c>
      <c r="G386" s="4">
        <v>350525.90858352662</v>
      </c>
      <c r="H386" s="5">
        <f t="shared" si="3"/>
        <v>0</v>
      </c>
      <c r="I386" t="s">
        <v>180</v>
      </c>
      <c r="J386" t="s">
        <v>71</v>
      </c>
      <c r="K386" s="5">
        <f>80 / 86400</f>
        <v>9.2592592592592596E-4</v>
      </c>
      <c r="L386" s="5">
        <f>4 / 86400</f>
        <v>4.6296296296296294E-5</v>
      </c>
    </row>
    <row r="387" spans="1:12" x14ac:dyDescent="0.25">
      <c r="A387" s="3">
        <v>45712.671296296292</v>
      </c>
      <c r="B387" t="s">
        <v>339</v>
      </c>
      <c r="C387" s="3">
        <v>45712.671759259261</v>
      </c>
      <c r="D387" t="s">
        <v>222</v>
      </c>
      <c r="E387" s="4">
        <v>0.27795271062850951</v>
      </c>
      <c r="F387" s="4">
        <v>350525.91168379702</v>
      </c>
      <c r="G387" s="4">
        <v>350526.18963650765</v>
      </c>
      <c r="H387" s="5">
        <f t="shared" si="3"/>
        <v>0</v>
      </c>
      <c r="I387" t="s">
        <v>340</v>
      </c>
      <c r="J387" t="s">
        <v>202</v>
      </c>
      <c r="K387" s="5">
        <f>40 / 86400</f>
        <v>4.6296296296296298E-4</v>
      </c>
      <c r="L387" s="5">
        <f>100 / 86400</f>
        <v>1.1574074074074073E-3</v>
      </c>
    </row>
    <row r="388" spans="1:12" x14ac:dyDescent="0.25">
      <c r="A388" s="3">
        <v>45712.672916666663</v>
      </c>
      <c r="B388" t="s">
        <v>222</v>
      </c>
      <c r="C388" s="3">
        <v>45712.673414351855</v>
      </c>
      <c r="D388" t="s">
        <v>258</v>
      </c>
      <c r="E388" s="4">
        <v>0.18939001023769378</v>
      </c>
      <c r="F388" s="4">
        <v>350526.21290881839</v>
      </c>
      <c r="G388" s="4">
        <v>350526.40229882859</v>
      </c>
      <c r="H388" s="5">
        <f t="shared" si="3"/>
        <v>0</v>
      </c>
      <c r="I388" t="s">
        <v>152</v>
      </c>
      <c r="J388" t="s">
        <v>34</v>
      </c>
      <c r="K388" s="5">
        <f>43 / 86400</f>
        <v>4.9768518518518521E-4</v>
      </c>
      <c r="L388" s="5">
        <f>20 / 86400</f>
        <v>2.3148148148148149E-4</v>
      </c>
    </row>
    <row r="389" spans="1:12" x14ac:dyDescent="0.25">
      <c r="A389" s="3">
        <v>45712.673645833333</v>
      </c>
      <c r="B389" t="s">
        <v>258</v>
      </c>
      <c r="C389" s="3">
        <v>45712.680023148147</v>
      </c>
      <c r="D389" t="s">
        <v>341</v>
      </c>
      <c r="E389" s="4">
        <v>1.6528886116743087</v>
      </c>
      <c r="F389" s="4">
        <v>350526.41036590619</v>
      </c>
      <c r="G389" s="4">
        <v>350528.06325451785</v>
      </c>
      <c r="H389" s="5">
        <f t="shared" si="3"/>
        <v>0</v>
      </c>
      <c r="I389" t="s">
        <v>152</v>
      </c>
      <c r="J389" t="s">
        <v>42</v>
      </c>
      <c r="K389" s="5">
        <f>551 / 86400</f>
        <v>6.3773148148148148E-3</v>
      </c>
      <c r="L389" s="5">
        <f>19 / 86400</f>
        <v>2.199074074074074E-4</v>
      </c>
    </row>
    <row r="390" spans="1:12" x14ac:dyDescent="0.25">
      <c r="A390" s="3">
        <v>45712.680243055554</v>
      </c>
      <c r="B390" t="s">
        <v>342</v>
      </c>
      <c r="C390" s="3">
        <v>45712.680706018524</v>
      </c>
      <c r="D390" t="s">
        <v>342</v>
      </c>
      <c r="E390" s="4">
        <v>6.5584970891475677E-2</v>
      </c>
      <c r="F390" s="4">
        <v>350528.07537099748</v>
      </c>
      <c r="G390" s="4">
        <v>350528.14095596835</v>
      </c>
      <c r="H390" s="5">
        <f t="shared" si="3"/>
        <v>0</v>
      </c>
      <c r="I390" t="s">
        <v>135</v>
      </c>
      <c r="J390" t="s">
        <v>32</v>
      </c>
      <c r="K390" s="5">
        <f>40 / 86400</f>
        <v>4.6296296296296298E-4</v>
      </c>
      <c r="L390" s="5">
        <f>48 / 86400</f>
        <v>5.5555555555555556E-4</v>
      </c>
    </row>
    <row r="391" spans="1:12" x14ac:dyDescent="0.25">
      <c r="A391" s="3">
        <v>45712.681261574078</v>
      </c>
      <c r="B391" t="s">
        <v>342</v>
      </c>
      <c r="C391" s="3">
        <v>45712.683368055557</v>
      </c>
      <c r="D391" t="s">
        <v>262</v>
      </c>
      <c r="E391" s="4">
        <v>0.70769930022954941</v>
      </c>
      <c r="F391" s="4">
        <v>350528.16929840326</v>
      </c>
      <c r="G391" s="4">
        <v>350528.87699770351</v>
      </c>
      <c r="H391" s="5">
        <f t="shared" si="3"/>
        <v>0</v>
      </c>
      <c r="I391" t="s">
        <v>186</v>
      </c>
      <c r="J391" t="s">
        <v>48</v>
      </c>
      <c r="K391" s="5">
        <f>182 / 86400</f>
        <v>2.1064814814814813E-3</v>
      </c>
      <c r="L391" s="5">
        <f>100 / 86400</f>
        <v>1.1574074074074073E-3</v>
      </c>
    </row>
    <row r="392" spans="1:12" x14ac:dyDescent="0.25">
      <c r="A392" s="3">
        <v>45712.684525462959</v>
      </c>
      <c r="B392" t="s">
        <v>262</v>
      </c>
      <c r="C392" s="3">
        <v>45712.684988425928</v>
      </c>
      <c r="D392" t="s">
        <v>343</v>
      </c>
      <c r="E392" s="4">
        <v>4.7167499482631686E-2</v>
      </c>
      <c r="F392" s="4">
        <v>350528.89752043388</v>
      </c>
      <c r="G392" s="4">
        <v>350528.94468793337</v>
      </c>
      <c r="H392" s="5">
        <f t="shared" si="3"/>
        <v>0</v>
      </c>
      <c r="I392" t="s">
        <v>32</v>
      </c>
      <c r="J392" t="s">
        <v>129</v>
      </c>
      <c r="K392" s="5">
        <f>40 / 86400</f>
        <v>4.6296296296296298E-4</v>
      </c>
      <c r="L392" s="5">
        <f>100 / 86400</f>
        <v>1.1574074074074073E-3</v>
      </c>
    </row>
    <row r="393" spans="1:12" x14ac:dyDescent="0.25">
      <c r="A393" s="3">
        <v>45712.68614583333</v>
      </c>
      <c r="B393" t="s">
        <v>344</v>
      </c>
      <c r="C393" s="3">
        <v>45712.689918981487</v>
      </c>
      <c r="D393" t="s">
        <v>265</v>
      </c>
      <c r="E393" s="4">
        <v>2.5435806931853295</v>
      </c>
      <c r="F393" s="4">
        <v>350528.95078945573</v>
      </c>
      <c r="G393" s="4">
        <v>350531.49437014892</v>
      </c>
      <c r="H393" s="5">
        <f t="shared" si="3"/>
        <v>0</v>
      </c>
      <c r="I393" t="s">
        <v>44</v>
      </c>
      <c r="J393" t="s">
        <v>198</v>
      </c>
      <c r="K393" s="5">
        <f>326 / 86400</f>
        <v>3.7731481481481483E-3</v>
      </c>
      <c r="L393" s="5">
        <f>20 / 86400</f>
        <v>2.3148148148148149E-4</v>
      </c>
    </row>
    <row r="394" spans="1:12" x14ac:dyDescent="0.25">
      <c r="A394" s="3">
        <v>45712.690150462964</v>
      </c>
      <c r="B394" t="s">
        <v>345</v>
      </c>
      <c r="C394" s="3">
        <v>45712.690625000003</v>
      </c>
      <c r="D394" t="s">
        <v>345</v>
      </c>
      <c r="E394" s="4">
        <v>1.1975562930107117E-2</v>
      </c>
      <c r="F394" s="4">
        <v>350531.94611724489</v>
      </c>
      <c r="G394" s="4">
        <v>350531.95809280785</v>
      </c>
      <c r="H394" s="5">
        <f t="shared" si="3"/>
        <v>0</v>
      </c>
      <c r="I394" t="s">
        <v>99</v>
      </c>
      <c r="J394" t="s">
        <v>143</v>
      </c>
      <c r="K394" s="5">
        <f>41 / 86400</f>
        <v>4.7453703703703704E-4</v>
      </c>
      <c r="L394" s="5">
        <f>80 / 86400</f>
        <v>9.2592592592592596E-4</v>
      </c>
    </row>
    <row r="395" spans="1:12" x14ac:dyDescent="0.25">
      <c r="A395" s="3">
        <v>45712.691550925927</v>
      </c>
      <c r="B395" t="s">
        <v>346</v>
      </c>
      <c r="C395" s="3">
        <v>45712.692337962959</v>
      </c>
      <c r="D395" t="s">
        <v>347</v>
      </c>
      <c r="E395" s="4">
        <v>0.11438556432723999</v>
      </c>
      <c r="F395" s="4">
        <v>350532.17731225543</v>
      </c>
      <c r="G395" s="4">
        <v>350532.29169781978</v>
      </c>
      <c r="H395" s="5">
        <f t="shared" si="3"/>
        <v>0</v>
      </c>
      <c r="I395" t="s">
        <v>71</v>
      </c>
      <c r="J395" t="s">
        <v>32</v>
      </c>
      <c r="K395" s="5">
        <f>68 / 86400</f>
        <v>7.8703703703703705E-4</v>
      </c>
      <c r="L395" s="5">
        <f>19 / 86400</f>
        <v>2.199074074074074E-4</v>
      </c>
    </row>
    <row r="396" spans="1:12" x14ac:dyDescent="0.25">
      <c r="A396" s="3">
        <v>45712.692557870367</v>
      </c>
      <c r="B396" t="s">
        <v>347</v>
      </c>
      <c r="C396" s="3">
        <v>45712.692800925928</v>
      </c>
      <c r="D396" t="s">
        <v>347</v>
      </c>
      <c r="E396" s="4">
        <v>1.6746736764907837E-2</v>
      </c>
      <c r="F396" s="4">
        <v>350532.299176445</v>
      </c>
      <c r="G396" s="4">
        <v>350532.31592318177</v>
      </c>
      <c r="H396" s="5">
        <f t="shared" si="3"/>
        <v>0</v>
      </c>
      <c r="I396" t="s">
        <v>143</v>
      </c>
      <c r="J396" t="s">
        <v>95</v>
      </c>
      <c r="K396" s="5">
        <f>21 / 86400</f>
        <v>2.4305555555555555E-4</v>
      </c>
      <c r="L396" s="5">
        <f>19 / 86400</f>
        <v>2.199074074074074E-4</v>
      </c>
    </row>
    <row r="397" spans="1:12" x14ac:dyDescent="0.25">
      <c r="A397" s="3">
        <v>45712.693020833336</v>
      </c>
      <c r="B397" t="s">
        <v>346</v>
      </c>
      <c r="C397" s="3">
        <v>45712.693495370375</v>
      </c>
      <c r="D397" t="s">
        <v>347</v>
      </c>
      <c r="E397" s="4">
        <v>1.5607228875160218E-2</v>
      </c>
      <c r="F397" s="4">
        <v>350532.34096600942</v>
      </c>
      <c r="G397" s="4">
        <v>350532.35657323833</v>
      </c>
      <c r="H397" s="5">
        <f t="shared" si="3"/>
        <v>0</v>
      </c>
      <c r="I397" t="s">
        <v>143</v>
      </c>
      <c r="J397" t="s">
        <v>143</v>
      </c>
      <c r="K397" s="5">
        <f>41 / 86400</f>
        <v>4.7453703703703704E-4</v>
      </c>
      <c r="L397" s="5">
        <f>20 / 86400</f>
        <v>2.3148148148148149E-4</v>
      </c>
    </row>
    <row r="398" spans="1:12" x14ac:dyDescent="0.25">
      <c r="A398" s="3">
        <v>45712.693726851852</v>
      </c>
      <c r="B398" t="s">
        <v>346</v>
      </c>
      <c r="C398" s="3">
        <v>45712.694363425922</v>
      </c>
      <c r="D398" t="s">
        <v>348</v>
      </c>
      <c r="E398" s="4">
        <v>0.14991459220647813</v>
      </c>
      <c r="F398" s="4">
        <v>350532.37585066975</v>
      </c>
      <c r="G398" s="4">
        <v>350532.52576526196</v>
      </c>
      <c r="H398" s="5">
        <f t="shared" si="3"/>
        <v>0</v>
      </c>
      <c r="I398" t="s">
        <v>164</v>
      </c>
      <c r="J398" t="s">
        <v>51</v>
      </c>
      <c r="K398" s="5">
        <f>55 / 86400</f>
        <v>6.3657407407407413E-4</v>
      </c>
      <c r="L398" s="5">
        <f>20 / 86400</f>
        <v>2.3148148148148149E-4</v>
      </c>
    </row>
    <row r="399" spans="1:12" x14ac:dyDescent="0.25">
      <c r="A399" s="3">
        <v>45712.694594907407</v>
      </c>
      <c r="B399" t="s">
        <v>348</v>
      </c>
      <c r="C399" s="3">
        <v>45712.695289351846</v>
      </c>
      <c r="D399" t="s">
        <v>348</v>
      </c>
      <c r="E399" s="4">
        <v>0.39902824962139127</v>
      </c>
      <c r="F399" s="4">
        <v>350532.54128948326</v>
      </c>
      <c r="G399" s="4">
        <v>350532.94031773286</v>
      </c>
      <c r="H399" s="5">
        <f t="shared" si="3"/>
        <v>0</v>
      </c>
      <c r="I399" t="s">
        <v>202</v>
      </c>
      <c r="J399" t="s">
        <v>182</v>
      </c>
      <c r="K399" s="5">
        <f>60 / 86400</f>
        <v>6.9444444444444447E-4</v>
      </c>
      <c r="L399" s="5">
        <f>6 / 86400</f>
        <v>6.9444444444444444E-5</v>
      </c>
    </row>
    <row r="400" spans="1:12" x14ac:dyDescent="0.25">
      <c r="A400" s="3">
        <v>45712.695358796293</v>
      </c>
      <c r="B400" t="s">
        <v>348</v>
      </c>
      <c r="C400" s="3">
        <v>45712.696053240739</v>
      </c>
      <c r="D400" t="s">
        <v>349</v>
      </c>
      <c r="E400" s="4">
        <v>0.39747281253337863</v>
      </c>
      <c r="F400" s="4">
        <v>350532.94631422224</v>
      </c>
      <c r="G400" s="4">
        <v>350533.34378703474</v>
      </c>
      <c r="H400" s="5">
        <f t="shared" si="3"/>
        <v>0</v>
      </c>
      <c r="I400" t="s">
        <v>98</v>
      </c>
      <c r="J400" t="s">
        <v>182</v>
      </c>
      <c r="K400" s="5">
        <f>60 / 86400</f>
        <v>6.9444444444444447E-4</v>
      </c>
      <c r="L400" s="5">
        <f>20 / 86400</f>
        <v>2.3148148148148149E-4</v>
      </c>
    </row>
    <row r="401" spans="1:12" x14ac:dyDescent="0.25">
      <c r="A401" s="3">
        <v>45712.696284722224</v>
      </c>
      <c r="B401" t="s">
        <v>349</v>
      </c>
      <c r="C401" s="3">
        <v>45712.69866898148</v>
      </c>
      <c r="D401" t="s">
        <v>350</v>
      </c>
      <c r="E401" s="4">
        <v>1.0702622734308243</v>
      </c>
      <c r="F401" s="4">
        <v>350533.34757120907</v>
      </c>
      <c r="G401" s="4">
        <v>350534.4178334825</v>
      </c>
      <c r="H401" s="5">
        <f t="shared" si="3"/>
        <v>0</v>
      </c>
      <c r="I401" t="s">
        <v>189</v>
      </c>
      <c r="J401" t="s">
        <v>137</v>
      </c>
      <c r="K401" s="5">
        <f>206 / 86400</f>
        <v>2.3842592592592591E-3</v>
      </c>
      <c r="L401" s="5">
        <f>20 / 86400</f>
        <v>2.3148148148148149E-4</v>
      </c>
    </row>
    <row r="402" spans="1:12" x14ac:dyDescent="0.25">
      <c r="A402" s="3">
        <v>45712.698900462958</v>
      </c>
      <c r="B402" t="s">
        <v>350</v>
      </c>
      <c r="C402" s="3">
        <v>45712.699826388889</v>
      </c>
      <c r="D402" t="s">
        <v>350</v>
      </c>
      <c r="E402" s="4">
        <v>0.27261500930786131</v>
      </c>
      <c r="F402" s="4">
        <v>350534.52021682548</v>
      </c>
      <c r="G402" s="4">
        <v>350534.79283183481</v>
      </c>
      <c r="H402" s="5">
        <f t="shared" si="3"/>
        <v>0</v>
      </c>
      <c r="I402" t="s">
        <v>184</v>
      </c>
      <c r="J402" t="s">
        <v>145</v>
      </c>
      <c r="K402" s="5">
        <f>80 / 86400</f>
        <v>9.2592592592592596E-4</v>
      </c>
      <c r="L402" s="5">
        <f>38 / 86400</f>
        <v>4.3981481481481481E-4</v>
      </c>
    </row>
    <row r="403" spans="1:12" x14ac:dyDescent="0.25">
      <c r="A403" s="3">
        <v>45712.700266203705</v>
      </c>
      <c r="B403" t="s">
        <v>350</v>
      </c>
      <c r="C403" s="3">
        <v>45712.700497685189</v>
      </c>
      <c r="D403" t="s">
        <v>350</v>
      </c>
      <c r="E403" s="4">
        <v>6.7489698410034174E-2</v>
      </c>
      <c r="F403" s="4">
        <v>350534.81379455753</v>
      </c>
      <c r="G403" s="4">
        <v>350534.88128425594</v>
      </c>
      <c r="H403" s="5">
        <f t="shared" si="3"/>
        <v>0</v>
      </c>
      <c r="I403" t="s">
        <v>32</v>
      </c>
      <c r="J403" t="s">
        <v>145</v>
      </c>
      <c r="K403" s="5">
        <f>20 / 86400</f>
        <v>2.3148148148148149E-4</v>
      </c>
      <c r="L403" s="5">
        <f>80 / 86400</f>
        <v>9.2592592592592596E-4</v>
      </c>
    </row>
    <row r="404" spans="1:12" x14ac:dyDescent="0.25">
      <c r="A404" s="3">
        <v>45712.701423611114</v>
      </c>
      <c r="B404" t="s">
        <v>351</v>
      </c>
      <c r="C404" s="3">
        <v>45712.702407407407</v>
      </c>
      <c r="D404" t="s">
        <v>352</v>
      </c>
      <c r="E404" s="4">
        <v>0.57824352079629893</v>
      </c>
      <c r="F404" s="4">
        <v>350534.90704812371</v>
      </c>
      <c r="G404" s="4">
        <v>350535.48529164452</v>
      </c>
      <c r="H404" s="5">
        <f t="shared" si="3"/>
        <v>0</v>
      </c>
      <c r="I404" t="s">
        <v>173</v>
      </c>
      <c r="J404" t="s">
        <v>182</v>
      </c>
      <c r="K404" s="5">
        <f>85 / 86400</f>
        <v>9.837962962962962E-4</v>
      </c>
      <c r="L404" s="5">
        <f>40 / 86400</f>
        <v>4.6296296296296298E-4</v>
      </c>
    </row>
    <row r="405" spans="1:12" x14ac:dyDescent="0.25">
      <c r="A405" s="3">
        <v>45712.702870370369</v>
      </c>
      <c r="B405" t="s">
        <v>352</v>
      </c>
      <c r="C405" s="3">
        <v>45712.703796296293</v>
      </c>
      <c r="D405" t="s">
        <v>353</v>
      </c>
      <c r="E405" s="4">
        <v>0.49796398049592971</v>
      </c>
      <c r="F405" s="4">
        <v>350535.49228200852</v>
      </c>
      <c r="G405" s="4">
        <v>350535.990245989</v>
      </c>
      <c r="H405" s="5">
        <f t="shared" si="3"/>
        <v>0</v>
      </c>
      <c r="I405" t="s">
        <v>189</v>
      </c>
      <c r="J405" t="s">
        <v>134</v>
      </c>
      <c r="K405" s="5">
        <f>80 / 86400</f>
        <v>9.2592592592592596E-4</v>
      </c>
      <c r="L405" s="5">
        <f>7 / 86400</f>
        <v>8.1018518518518516E-5</v>
      </c>
    </row>
    <row r="406" spans="1:12" x14ac:dyDescent="0.25">
      <c r="A406" s="3">
        <v>45712.703877314816</v>
      </c>
      <c r="B406" t="s">
        <v>353</v>
      </c>
      <c r="C406" s="3">
        <v>45712.706018518518</v>
      </c>
      <c r="D406" t="s">
        <v>118</v>
      </c>
      <c r="E406" s="4">
        <v>0.80325452083349225</v>
      </c>
      <c r="F406" s="4">
        <v>350535.99310174852</v>
      </c>
      <c r="G406" s="4">
        <v>350536.79635626933</v>
      </c>
      <c r="H406" s="5">
        <f t="shared" si="3"/>
        <v>0</v>
      </c>
      <c r="I406" t="s">
        <v>218</v>
      </c>
      <c r="J406" t="s">
        <v>34</v>
      </c>
      <c r="K406" s="5">
        <f>185 / 86400</f>
        <v>2.1412037037037038E-3</v>
      </c>
      <c r="L406" s="5">
        <f>20 / 86400</f>
        <v>2.3148148148148149E-4</v>
      </c>
    </row>
    <row r="407" spans="1:12" x14ac:dyDescent="0.25">
      <c r="A407" s="3">
        <v>45712.706250000003</v>
      </c>
      <c r="B407" t="s">
        <v>354</v>
      </c>
      <c r="C407" s="3">
        <v>45712.707430555558</v>
      </c>
      <c r="D407" t="s">
        <v>355</v>
      </c>
      <c r="E407" s="4">
        <v>0.55480335384607316</v>
      </c>
      <c r="F407" s="4">
        <v>350536.84341932071</v>
      </c>
      <c r="G407" s="4">
        <v>350537.39822267456</v>
      </c>
      <c r="H407" s="5">
        <f t="shared" si="3"/>
        <v>0</v>
      </c>
      <c r="I407" t="s">
        <v>189</v>
      </c>
      <c r="J407" t="s">
        <v>112</v>
      </c>
      <c r="K407" s="5">
        <f>102 / 86400</f>
        <v>1.1805555555555556E-3</v>
      </c>
      <c r="L407" s="5">
        <f>40 / 86400</f>
        <v>4.6296296296296298E-4</v>
      </c>
    </row>
    <row r="408" spans="1:12" x14ac:dyDescent="0.25">
      <c r="A408" s="3">
        <v>45712.70789351852</v>
      </c>
      <c r="B408" t="s">
        <v>356</v>
      </c>
      <c r="C408" s="3">
        <v>45712.709282407406</v>
      </c>
      <c r="D408" t="s">
        <v>357</v>
      </c>
      <c r="E408" s="4">
        <v>1.1878380390405654</v>
      </c>
      <c r="F408" s="4">
        <v>350537.42537243594</v>
      </c>
      <c r="G408" s="4">
        <v>350538.61321047496</v>
      </c>
      <c r="H408" s="5">
        <f t="shared" si="3"/>
        <v>0</v>
      </c>
      <c r="I408" t="s">
        <v>157</v>
      </c>
      <c r="J408" t="s">
        <v>190</v>
      </c>
      <c r="K408" s="5">
        <f>120 / 86400</f>
        <v>1.3888888888888889E-3</v>
      </c>
      <c r="L408" s="5">
        <f>20 / 86400</f>
        <v>2.3148148148148149E-4</v>
      </c>
    </row>
    <row r="409" spans="1:12" x14ac:dyDescent="0.25">
      <c r="A409" s="3">
        <v>45712.709513888884</v>
      </c>
      <c r="B409" t="s">
        <v>357</v>
      </c>
      <c r="C409" s="3">
        <v>45712.709745370375</v>
      </c>
      <c r="D409" t="s">
        <v>357</v>
      </c>
      <c r="E409" s="4">
        <v>3.8489313721656801E-3</v>
      </c>
      <c r="F409" s="4">
        <v>350538.62685811939</v>
      </c>
      <c r="G409" s="4">
        <v>350538.63070705073</v>
      </c>
      <c r="H409" s="5">
        <f t="shared" si="3"/>
        <v>0</v>
      </c>
      <c r="I409" t="s">
        <v>143</v>
      </c>
      <c r="J409" t="s">
        <v>143</v>
      </c>
      <c r="K409" s="5">
        <f>20 / 86400</f>
        <v>2.3148148148148149E-4</v>
      </c>
      <c r="L409" s="5">
        <f>9 / 86400</f>
        <v>1.0416666666666667E-4</v>
      </c>
    </row>
    <row r="410" spans="1:12" x14ac:dyDescent="0.25">
      <c r="A410" s="3">
        <v>45712.709849537037</v>
      </c>
      <c r="B410" t="s">
        <v>357</v>
      </c>
      <c r="C410" s="3">
        <v>45712.712083333332</v>
      </c>
      <c r="D410" t="s">
        <v>130</v>
      </c>
      <c r="E410" s="4">
        <v>1.0222140998244285</v>
      </c>
      <c r="F410" s="4">
        <v>350538.63433306525</v>
      </c>
      <c r="G410" s="4">
        <v>350539.65654716507</v>
      </c>
      <c r="H410" s="5">
        <f t="shared" si="3"/>
        <v>0</v>
      </c>
      <c r="I410" t="s">
        <v>190</v>
      </c>
      <c r="J410" t="s">
        <v>137</v>
      </c>
      <c r="K410" s="5">
        <f>193 / 86400</f>
        <v>2.2337962962962962E-3</v>
      </c>
      <c r="L410" s="5">
        <f>40 / 86400</f>
        <v>4.6296296296296298E-4</v>
      </c>
    </row>
    <row r="411" spans="1:12" x14ac:dyDescent="0.25">
      <c r="A411" s="3">
        <v>45712.712546296301</v>
      </c>
      <c r="B411" t="s">
        <v>130</v>
      </c>
      <c r="C411" s="3">
        <v>45712.714247685188</v>
      </c>
      <c r="D411" t="s">
        <v>130</v>
      </c>
      <c r="E411" s="4">
        <v>0.4547335020303726</v>
      </c>
      <c r="F411" s="4">
        <v>350539.66546019906</v>
      </c>
      <c r="G411" s="4">
        <v>350540.12019370106</v>
      </c>
      <c r="H411" s="5">
        <f t="shared" si="3"/>
        <v>0</v>
      </c>
      <c r="I411" t="s">
        <v>190</v>
      </c>
      <c r="J411" t="s">
        <v>42</v>
      </c>
      <c r="K411" s="5">
        <f>147 / 86400</f>
        <v>1.7013888888888888E-3</v>
      </c>
      <c r="L411" s="5">
        <f>12 / 86400</f>
        <v>1.3888888888888889E-4</v>
      </c>
    </row>
    <row r="412" spans="1:12" x14ac:dyDescent="0.25">
      <c r="A412" s="3">
        <v>45712.714386574073</v>
      </c>
      <c r="B412" t="s">
        <v>130</v>
      </c>
      <c r="C412" s="3">
        <v>45712.715312500004</v>
      </c>
      <c r="D412" t="s">
        <v>130</v>
      </c>
      <c r="E412" s="4">
        <v>0.42247714751958848</v>
      </c>
      <c r="F412" s="4">
        <v>350540.12239613599</v>
      </c>
      <c r="G412" s="4">
        <v>350540.54487328348</v>
      </c>
      <c r="H412" s="5">
        <f t="shared" si="3"/>
        <v>0</v>
      </c>
      <c r="I412" t="s">
        <v>183</v>
      </c>
      <c r="J412" t="s">
        <v>137</v>
      </c>
      <c r="K412" s="5">
        <f>80 / 86400</f>
        <v>9.2592592592592596E-4</v>
      </c>
      <c r="L412" s="5">
        <f>60 / 86400</f>
        <v>6.9444444444444447E-4</v>
      </c>
    </row>
    <row r="413" spans="1:12" x14ac:dyDescent="0.25">
      <c r="A413" s="3">
        <v>45712.716006944444</v>
      </c>
      <c r="B413" t="s">
        <v>77</v>
      </c>
      <c r="C413" s="3">
        <v>45712.716238425928</v>
      </c>
      <c r="D413" t="s">
        <v>77</v>
      </c>
      <c r="E413" s="4">
        <v>9.8365284204483035E-3</v>
      </c>
      <c r="F413" s="4">
        <v>350541.17162570846</v>
      </c>
      <c r="G413" s="4">
        <v>350541.18146223685</v>
      </c>
      <c r="H413" s="5">
        <f t="shared" si="3"/>
        <v>0</v>
      </c>
      <c r="I413" t="s">
        <v>143</v>
      </c>
      <c r="J413" t="s">
        <v>150</v>
      </c>
      <c r="K413" s="5">
        <f>20 / 86400</f>
        <v>2.3148148148148149E-4</v>
      </c>
      <c r="L413" s="5">
        <f>20 / 86400</f>
        <v>2.3148148148148149E-4</v>
      </c>
    </row>
    <row r="414" spans="1:12" x14ac:dyDescent="0.25">
      <c r="A414" s="3">
        <v>45712.716469907406</v>
      </c>
      <c r="B414" t="s">
        <v>77</v>
      </c>
      <c r="C414" s="3">
        <v>45712.719849537039</v>
      </c>
      <c r="D414" t="s">
        <v>358</v>
      </c>
      <c r="E414" s="4">
        <v>0.51310781890153889</v>
      </c>
      <c r="F414" s="4">
        <v>350541.1824369728</v>
      </c>
      <c r="G414" s="4">
        <v>350541.6955447917</v>
      </c>
      <c r="H414" s="5">
        <f t="shared" si="3"/>
        <v>0</v>
      </c>
      <c r="I414" t="s">
        <v>34</v>
      </c>
      <c r="J414" t="s">
        <v>32</v>
      </c>
      <c r="K414" s="5">
        <f>292 / 86400</f>
        <v>3.3796296296296296E-3</v>
      </c>
      <c r="L414" s="5">
        <f>17 / 86400</f>
        <v>1.9675925925925926E-4</v>
      </c>
    </row>
    <row r="415" spans="1:12" x14ac:dyDescent="0.25">
      <c r="A415" s="3">
        <v>45712.720046296294</v>
      </c>
      <c r="B415" t="s">
        <v>358</v>
      </c>
      <c r="C415" s="3">
        <v>45712.722280092596</v>
      </c>
      <c r="D415" t="s">
        <v>130</v>
      </c>
      <c r="E415" s="4">
        <v>0.43842049258947374</v>
      </c>
      <c r="F415" s="4">
        <v>350541.70221152849</v>
      </c>
      <c r="G415" s="4">
        <v>350542.14063202107</v>
      </c>
      <c r="H415" s="5">
        <f t="shared" si="3"/>
        <v>0</v>
      </c>
      <c r="I415" t="s">
        <v>163</v>
      </c>
      <c r="J415" t="s">
        <v>92</v>
      </c>
      <c r="K415" s="5">
        <f>193 / 86400</f>
        <v>2.2337962962962962E-3</v>
      </c>
      <c r="L415" s="5">
        <f>2 / 86400</f>
        <v>2.3148148148148147E-5</v>
      </c>
    </row>
    <row r="416" spans="1:12" x14ac:dyDescent="0.25">
      <c r="A416" s="3">
        <v>45712.722303240742</v>
      </c>
      <c r="B416" t="s">
        <v>130</v>
      </c>
      <c r="C416" s="3">
        <v>45712.722534722227</v>
      </c>
      <c r="D416" t="s">
        <v>130</v>
      </c>
      <c r="E416" s="4">
        <v>2.0194587290287017E-2</v>
      </c>
      <c r="F416" s="4">
        <v>350542.1445030155</v>
      </c>
      <c r="G416" s="4">
        <v>350542.1646976028</v>
      </c>
      <c r="H416" s="5">
        <f t="shared" si="3"/>
        <v>0</v>
      </c>
      <c r="I416" t="s">
        <v>57</v>
      </c>
      <c r="J416" t="s">
        <v>129</v>
      </c>
      <c r="K416" s="5">
        <f>20 / 86400</f>
        <v>2.3148148148148149E-4</v>
      </c>
      <c r="L416" s="5">
        <f>20 / 86400</f>
        <v>2.3148148148148149E-4</v>
      </c>
    </row>
    <row r="417" spans="1:12" x14ac:dyDescent="0.25">
      <c r="A417" s="3">
        <v>45712.722766203704</v>
      </c>
      <c r="B417" t="s">
        <v>130</v>
      </c>
      <c r="C417" s="3">
        <v>45712.723229166666</v>
      </c>
      <c r="D417" t="s">
        <v>130</v>
      </c>
      <c r="E417" s="4">
        <v>7.5093967497348785E-2</v>
      </c>
      <c r="F417" s="4">
        <v>350542.19247075391</v>
      </c>
      <c r="G417" s="4">
        <v>350542.26756472141</v>
      </c>
      <c r="H417" s="5">
        <f t="shared" si="3"/>
        <v>0</v>
      </c>
      <c r="I417" t="s">
        <v>51</v>
      </c>
      <c r="J417" t="s">
        <v>99</v>
      </c>
      <c r="K417" s="5">
        <f>40 / 86400</f>
        <v>4.6296296296296298E-4</v>
      </c>
      <c r="L417" s="5">
        <f>100 / 86400</f>
        <v>1.1574074074074073E-3</v>
      </c>
    </row>
    <row r="418" spans="1:12" x14ac:dyDescent="0.25">
      <c r="A418" s="3">
        <v>45712.724386574075</v>
      </c>
      <c r="B418" t="s">
        <v>130</v>
      </c>
      <c r="C418" s="3">
        <v>45712.725312499999</v>
      </c>
      <c r="D418" t="s">
        <v>275</v>
      </c>
      <c r="E418" s="4">
        <v>0.20133538919687272</v>
      </c>
      <c r="F418" s="4">
        <v>350542.31224528304</v>
      </c>
      <c r="G418" s="4">
        <v>350542.51358067227</v>
      </c>
      <c r="H418" s="5">
        <f t="shared" si="3"/>
        <v>0</v>
      </c>
      <c r="I418" t="s">
        <v>99</v>
      </c>
      <c r="J418" t="s">
        <v>135</v>
      </c>
      <c r="K418" s="5">
        <f>80 / 86400</f>
        <v>9.2592592592592596E-4</v>
      </c>
      <c r="L418" s="5">
        <f>40 / 86400</f>
        <v>4.6296296296296298E-4</v>
      </c>
    </row>
    <row r="419" spans="1:12" x14ac:dyDescent="0.25">
      <c r="A419" s="3">
        <v>45712.725775462968</v>
      </c>
      <c r="B419" t="s">
        <v>275</v>
      </c>
      <c r="C419" s="3">
        <v>45712.726238425923</v>
      </c>
      <c r="D419" t="s">
        <v>84</v>
      </c>
      <c r="E419" s="4">
        <v>0.28595202636718747</v>
      </c>
      <c r="F419" s="4">
        <v>350542.53649057983</v>
      </c>
      <c r="G419" s="4">
        <v>350542.82244260621</v>
      </c>
      <c r="H419" s="5">
        <f t="shared" si="3"/>
        <v>0</v>
      </c>
      <c r="I419" t="s">
        <v>137</v>
      </c>
      <c r="J419" t="s">
        <v>164</v>
      </c>
      <c r="K419" s="5">
        <f>40 / 86400</f>
        <v>4.6296296296296298E-4</v>
      </c>
      <c r="L419" s="5">
        <f>40 / 86400</f>
        <v>4.6296296296296298E-4</v>
      </c>
    </row>
    <row r="420" spans="1:12" x14ac:dyDescent="0.25">
      <c r="A420" s="3">
        <v>45712.726701388892</v>
      </c>
      <c r="B420" t="s">
        <v>84</v>
      </c>
      <c r="C420" s="3">
        <v>45712.727164351847</v>
      </c>
      <c r="D420" t="s">
        <v>84</v>
      </c>
      <c r="E420" s="4">
        <v>0.2175320629477501</v>
      </c>
      <c r="F420" s="4">
        <v>350543.00272915338</v>
      </c>
      <c r="G420" s="4">
        <v>350543.22026121634</v>
      </c>
      <c r="H420" s="5">
        <f t="shared" si="3"/>
        <v>0</v>
      </c>
      <c r="I420" t="s">
        <v>200</v>
      </c>
      <c r="J420" t="s">
        <v>112</v>
      </c>
      <c r="K420" s="5">
        <f>40 / 86400</f>
        <v>4.6296296296296298E-4</v>
      </c>
      <c r="L420" s="5">
        <f>20 / 86400</f>
        <v>2.3148148148148149E-4</v>
      </c>
    </row>
    <row r="421" spans="1:12" x14ac:dyDescent="0.25">
      <c r="A421" s="3">
        <v>45712.727395833332</v>
      </c>
      <c r="B421" t="s">
        <v>84</v>
      </c>
      <c r="C421" s="3">
        <v>45712.730868055558</v>
      </c>
      <c r="D421" t="s">
        <v>110</v>
      </c>
      <c r="E421" s="4">
        <v>1.8858180810809135</v>
      </c>
      <c r="F421" s="4">
        <v>350543.22517330979</v>
      </c>
      <c r="G421" s="4">
        <v>350545.11099139089</v>
      </c>
      <c r="H421" s="5">
        <f t="shared" si="3"/>
        <v>0</v>
      </c>
      <c r="I421" t="s">
        <v>144</v>
      </c>
      <c r="J421" t="s">
        <v>139</v>
      </c>
      <c r="K421" s="5">
        <f>300 / 86400</f>
        <v>3.472222222222222E-3</v>
      </c>
      <c r="L421" s="5">
        <f>20 / 86400</f>
        <v>2.3148148148148149E-4</v>
      </c>
    </row>
    <row r="422" spans="1:12" x14ac:dyDescent="0.25">
      <c r="A422" s="3">
        <v>45712.731099537035</v>
      </c>
      <c r="B422" t="s">
        <v>110</v>
      </c>
      <c r="C422" s="3">
        <v>45712.732488425929</v>
      </c>
      <c r="D422" t="s">
        <v>110</v>
      </c>
      <c r="E422" s="4">
        <v>0.44569434189796447</v>
      </c>
      <c r="F422" s="4">
        <v>350545.17875625857</v>
      </c>
      <c r="G422" s="4">
        <v>350545.62445060047</v>
      </c>
      <c r="H422" s="5">
        <f t="shared" si="3"/>
        <v>0</v>
      </c>
      <c r="I422" t="s">
        <v>152</v>
      </c>
      <c r="J422" t="s">
        <v>71</v>
      </c>
      <c r="K422" s="5">
        <f>120 / 86400</f>
        <v>1.3888888888888889E-3</v>
      </c>
      <c r="L422" s="5">
        <f>40 / 86400</f>
        <v>4.6296296296296298E-4</v>
      </c>
    </row>
    <row r="423" spans="1:12" x14ac:dyDescent="0.25">
      <c r="A423" s="3">
        <v>45712.732951388884</v>
      </c>
      <c r="B423" t="s">
        <v>110</v>
      </c>
      <c r="C423" s="3">
        <v>45712.733414351853</v>
      </c>
      <c r="D423" t="s">
        <v>110</v>
      </c>
      <c r="E423" s="4">
        <v>7.9639771401882178E-2</v>
      </c>
      <c r="F423" s="4">
        <v>350545.66227757663</v>
      </c>
      <c r="G423" s="4">
        <v>350545.741917348</v>
      </c>
      <c r="H423" s="5">
        <f t="shared" si="3"/>
        <v>0</v>
      </c>
      <c r="I423" t="s">
        <v>145</v>
      </c>
      <c r="J423" t="s">
        <v>99</v>
      </c>
      <c r="K423" s="5">
        <f>40 / 86400</f>
        <v>4.6296296296296298E-4</v>
      </c>
      <c r="L423" s="5">
        <f>15 / 86400</f>
        <v>1.7361111111111112E-4</v>
      </c>
    </row>
    <row r="424" spans="1:12" x14ac:dyDescent="0.25">
      <c r="A424" s="3">
        <v>45712.733587962968</v>
      </c>
      <c r="B424" t="s">
        <v>110</v>
      </c>
      <c r="C424" s="3">
        <v>45712.733819444446</v>
      </c>
      <c r="D424" t="s">
        <v>110</v>
      </c>
      <c r="E424" s="4">
        <v>1.4676490008831025E-2</v>
      </c>
      <c r="F424" s="4">
        <v>350545.74375669094</v>
      </c>
      <c r="G424" s="4">
        <v>350545.75843318092</v>
      </c>
      <c r="H424" s="5">
        <f t="shared" si="3"/>
        <v>0</v>
      </c>
      <c r="I424" t="s">
        <v>57</v>
      </c>
      <c r="J424" t="s">
        <v>95</v>
      </c>
      <c r="K424" s="5">
        <f>20 / 86400</f>
        <v>2.3148148148148149E-4</v>
      </c>
      <c r="L424" s="5">
        <f>40 / 86400</f>
        <v>4.6296296296296298E-4</v>
      </c>
    </row>
    <row r="425" spans="1:12" x14ac:dyDescent="0.25">
      <c r="A425" s="3">
        <v>45712.734282407408</v>
      </c>
      <c r="B425" t="s">
        <v>110</v>
      </c>
      <c r="C425" s="3">
        <v>45712.737986111111</v>
      </c>
      <c r="D425" t="s">
        <v>110</v>
      </c>
      <c r="E425" s="4">
        <v>2.3769896259903907</v>
      </c>
      <c r="F425" s="4">
        <v>350545.76185469801</v>
      </c>
      <c r="G425" s="4">
        <v>350548.13884432398</v>
      </c>
      <c r="H425" s="5">
        <f t="shared" si="3"/>
        <v>0</v>
      </c>
      <c r="I425" t="s">
        <v>173</v>
      </c>
      <c r="J425" t="s">
        <v>152</v>
      </c>
      <c r="K425" s="5">
        <f>320 / 86400</f>
        <v>3.7037037037037038E-3</v>
      </c>
      <c r="L425" s="5">
        <f>20 / 86400</f>
        <v>2.3148148148148149E-4</v>
      </c>
    </row>
    <row r="426" spans="1:12" x14ac:dyDescent="0.25">
      <c r="A426" s="3">
        <v>45712.738217592589</v>
      </c>
      <c r="B426" t="s">
        <v>110</v>
      </c>
      <c r="C426" s="3">
        <v>45712.741689814815</v>
      </c>
      <c r="D426" t="s">
        <v>110</v>
      </c>
      <c r="E426" s="4">
        <v>1.1543597863316537</v>
      </c>
      <c r="F426" s="4">
        <v>350548.15074869356</v>
      </c>
      <c r="G426" s="4">
        <v>350549.30510847992</v>
      </c>
      <c r="H426" s="5">
        <f t="shared" si="3"/>
        <v>0</v>
      </c>
      <c r="I426" t="s">
        <v>50</v>
      </c>
      <c r="J426" t="s">
        <v>48</v>
      </c>
      <c r="K426" s="5">
        <f>300 / 86400</f>
        <v>3.472222222222222E-3</v>
      </c>
      <c r="L426" s="5">
        <f>6 / 86400</f>
        <v>6.9444444444444444E-5</v>
      </c>
    </row>
    <row r="427" spans="1:12" x14ac:dyDescent="0.25">
      <c r="A427" s="3">
        <v>45712.741759259261</v>
      </c>
      <c r="B427" t="s">
        <v>110</v>
      </c>
      <c r="C427" s="3">
        <v>45712.743379629625</v>
      </c>
      <c r="D427" t="s">
        <v>276</v>
      </c>
      <c r="E427" s="4">
        <v>1.0074343818426132</v>
      </c>
      <c r="F427" s="4">
        <v>350549.30947974091</v>
      </c>
      <c r="G427" s="4">
        <v>350550.31691412278</v>
      </c>
      <c r="H427" s="5">
        <f t="shared" ref="H427:H452" si="4">0 / 86400</f>
        <v>0</v>
      </c>
      <c r="I427" t="s">
        <v>157</v>
      </c>
      <c r="J427" t="s">
        <v>164</v>
      </c>
      <c r="K427" s="5">
        <f>140 / 86400</f>
        <v>1.6203703703703703E-3</v>
      </c>
      <c r="L427" s="5">
        <f>60 / 86400</f>
        <v>6.9444444444444447E-4</v>
      </c>
    </row>
    <row r="428" spans="1:12" x14ac:dyDescent="0.25">
      <c r="A428" s="3">
        <v>45712.744074074071</v>
      </c>
      <c r="B428" t="s">
        <v>276</v>
      </c>
      <c r="C428" s="3">
        <v>45712.745219907403</v>
      </c>
      <c r="D428" t="s">
        <v>278</v>
      </c>
      <c r="E428" s="4">
        <v>0.78911068040132526</v>
      </c>
      <c r="F428" s="4">
        <v>350550.33290068217</v>
      </c>
      <c r="G428" s="4">
        <v>350551.12201136257</v>
      </c>
      <c r="H428" s="5">
        <f t="shared" si="4"/>
        <v>0</v>
      </c>
      <c r="I428" t="s">
        <v>166</v>
      </c>
      <c r="J428" t="s">
        <v>31</v>
      </c>
      <c r="K428" s="5">
        <f>99 / 86400</f>
        <v>1.1458333333333333E-3</v>
      </c>
      <c r="L428" s="5">
        <f>49 / 86400</f>
        <v>5.6712962962962967E-4</v>
      </c>
    </row>
    <row r="429" spans="1:12" x14ac:dyDescent="0.25">
      <c r="A429" s="3">
        <v>45712.745787037042</v>
      </c>
      <c r="B429" t="s">
        <v>88</v>
      </c>
      <c r="C429" s="3">
        <v>45712.746018518519</v>
      </c>
      <c r="D429" t="s">
        <v>88</v>
      </c>
      <c r="E429" s="4">
        <v>6.8202765583992003E-3</v>
      </c>
      <c r="F429" s="4">
        <v>350551.14121288108</v>
      </c>
      <c r="G429" s="4">
        <v>350551.14803315763</v>
      </c>
      <c r="H429" s="5">
        <f t="shared" si="4"/>
        <v>0</v>
      </c>
      <c r="I429" t="s">
        <v>99</v>
      </c>
      <c r="J429" t="s">
        <v>143</v>
      </c>
      <c r="K429" s="5">
        <f>20 / 86400</f>
        <v>2.3148148148148149E-4</v>
      </c>
      <c r="L429" s="5">
        <f>20 / 86400</f>
        <v>2.3148148148148149E-4</v>
      </c>
    </row>
    <row r="430" spans="1:12" x14ac:dyDescent="0.25">
      <c r="A430" s="3">
        <v>45712.746249999997</v>
      </c>
      <c r="B430" t="s">
        <v>278</v>
      </c>
      <c r="C430" s="3">
        <v>45712.746481481481</v>
      </c>
      <c r="D430" t="s">
        <v>359</v>
      </c>
      <c r="E430" s="4">
        <v>1.1329216182231903E-2</v>
      </c>
      <c r="F430" s="4">
        <v>350551.1573543608</v>
      </c>
      <c r="G430" s="4">
        <v>350551.16868357698</v>
      </c>
      <c r="H430" s="5">
        <f t="shared" si="4"/>
        <v>0</v>
      </c>
      <c r="I430" t="s">
        <v>95</v>
      </c>
      <c r="J430" t="s">
        <v>150</v>
      </c>
      <c r="K430" s="5">
        <f>20 / 86400</f>
        <v>2.3148148148148149E-4</v>
      </c>
      <c r="L430" s="5">
        <f>20 / 86400</f>
        <v>2.3148148148148149E-4</v>
      </c>
    </row>
    <row r="431" spans="1:12" x14ac:dyDescent="0.25">
      <c r="A431" s="3">
        <v>45712.746712962966</v>
      </c>
      <c r="B431" t="s">
        <v>359</v>
      </c>
      <c r="C431" s="3">
        <v>45712.750046296293</v>
      </c>
      <c r="D431" t="s">
        <v>111</v>
      </c>
      <c r="E431" s="4">
        <v>2.2758953132033346</v>
      </c>
      <c r="F431" s="4">
        <v>350551.21065583901</v>
      </c>
      <c r="G431" s="4">
        <v>350553.48655115225</v>
      </c>
      <c r="H431" s="5">
        <f t="shared" si="4"/>
        <v>0</v>
      </c>
      <c r="I431" t="s">
        <v>176</v>
      </c>
      <c r="J431" t="s">
        <v>198</v>
      </c>
      <c r="K431" s="5">
        <f>288 / 86400</f>
        <v>3.3333333333333335E-3</v>
      </c>
      <c r="L431" s="5">
        <f>279 / 86400</f>
        <v>3.2291666666666666E-3</v>
      </c>
    </row>
    <row r="432" spans="1:12" x14ac:dyDescent="0.25">
      <c r="A432" s="3">
        <v>45712.753275462965</v>
      </c>
      <c r="B432" t="s">
        <v>111</v>
      </c>
      <c r="C432" s="3">
        <v>45712.753738425927</v>
      </c>
      <c r="D432" t="s">
        <v>181</v>
      </c>
      <c r="E432" s="4">
        <v>1.4365711212158204E-2</v>
      </c>
      <c r="F432" s="4">
        <v>350553.521506752</v>
      </c>
      <c r="G432" s="4">
        <v>350553.53587246325</v>
      </c>
      <c r="H432" s="5">
        <f t="shared" si="4"/>
        <v>0</v>
      </c>
      <c r="I432" t="s">
        <v>95</v>
      </c>
      <c r="J432" t="s">
        <v>143</v>
      </c>
      <c r="K432" s="5">
        <f>40 / 86400</f>
        <v>4.6296296296296298E-4</v>
      </c>
      <c r="L432" s="5">
        <f>20 / 86400</f>
        <v>2.3148148148148149E-4</v>
      </c>
    </row>
    <row r="433" spans="1:12" x14ac:dyDescent="0.25">
      <c r="A433" s="3">
        <v>45712.753969907411</v>
      </c>
      <c r="B433" t="s">
        <v>181</v>
      </c>
      <c r="C433" s="3">
        <v>45712.759398148148</v>
      </c>
      <c r="D433" t="s">
        <v>37</v>
      </c>
      <c r="E433" s="4">
        <v>2.7818455820083616</v>
      </c>
      <c r="F433" s="4">
        <v>350553.53817120322</v>
      </c>
      <c r="G433" s="4">
        <v>350556.32001678518</v>
      </c>
      <c r="H433" s="5">
        <f t="shared" si="4"/>
        <v>0</v>
      </c>
      <c r="I433" t="s">
        <v>61</v>
      </c>
      <c r="J433" t="s">
        <v>36</v>
      </c>
      <c r="K433" s="5">
        <f>469 / 86400</f>
        <v>5.4282407407407404E-3</v>
      </c>
      <c r="L433" s="5">
        <f>4 / 86400</f>
        <v>4.6296296296296294E-5</v>
      </c>
    </row>
    <row r="434" spans="1:12" x14ac:dyDescent="0.25">
      <c r="A434" s="3">
        <v>45712.75944444444</v>
      </c>
      <c r="B434" t="s">
        <v>37</v>
      </c>
      <c r="C434" s="3">
        <v>45712.75990740741</v>
      </c>
      <c r="D434" t="s">
        <v>63</v>
      </c>
      <c r="E434" s="4">
        <v>0.38092274343967436</v>
      </c>
      <c r="F434" s="4">
        <v>350556.3244399036</v>
      </c>
      <c r="G434" s="4">
        <v>350556.70536264707</v>
      </c>
      <c r="H434" s="5">
        <f t="shared" si="4"/>
        <v>0</v>
      </c>
      <c r="I434" t="s">
        <v>340</v>
      </c>
      <c r="J434" t="s">
        <v>200</v>
      </c>
      <c r="K434" s="5">
        <f>40 / 86400</f>
        <v>4.6296296296296298E-4</v>
      </c>
      <c r="L434" s="5">
        <f>20 / 86400</f>
        <v>2.3148148148148149E-4</v>
      </c>
    </row>
    <row r="435" spans="1:12" x14ac:dyDescent="0.25">
      <c r="A435" s="3">
        <v>45712.760138888887</v>
      </c>
      <c r="B435" t="s">
        <v>296</v>
      </c>
      <c r="C435" s="3">
        <v>45712.762916666667</v>
      </c>
      <c r="D435" t="s">
        <v>360</v>
      </c>
      <c r="E435" s="4">
        <v>2.0673406469225886</v>
      </c>
      <c r="F435" s="4">
        <v>350556.85737995658</v>
      </c>
      <c r="G435" s="4">
        <v>350558.92472060351</v>
      </c>
      <c r="H435" s="5">
        <f t="shared" si="4"/>
        <v>0</v>
      </c>
      <c r="I435" t="s">
        <v>160</v>
      </c>
      <c r="J435" t="s">
        <v>170</v>
      </c>
      <c r="K435" s="5">
        <f>240 / 86400</f>
        <v>2.7777777777777779E-3</v>
      </c>
      <c r="L435" s="5">
        <f>2 / 86400</f>
        <v>2.3148148148148147E-5</v>
      </c>
    </row>
    <row r="436" spans="1:12" x14ac:dyDescent="0.25">
      <c r="A436" s="3">
        <v>45712.762939814813</v>
      </c>
      <c r="B436" t="s">
        <v>361</v>
      </c>
      <c r="C436" s="3">
        <v>45712.763402777782</v>
      </c>
      <c r="D436" t="s">
        <v>362</v>
      </c>
      <c r="E436" s="4">
        <v>0.28229998147487639</v>
      </c>
      <c r="F436" s="4">
        <v>350558.92644537764</v>
      </c>
      <c r="G436" s="4">
        <v>350559.20874535909</v>
      </c>
      <c r="H436" s="5">
        <f t="shared" si="4"/>
        <v>0</v>
      </c>
      <c r="I436" t="s">
        <v>183</v>
      </c>
      <c r="J436" t="s">
        <v>202</v>
      </c>
      <c r="K436" s="5">
        <f>40 / 86400</f>
        <v>4.6296296296296298E-4</v>
      </c>
      <c r="L436" s="5">
        <f>100 / 86400</f>
        <v>1.1574074074074073E-3</v>
      </c>
    </row>
    <row r="437" spans="1:12" x14ac:dyDescent="0.25">
      <c r="A437" s="3">
        <v>45712.764560185184</v>
      </c>
      <c r="B437" t="s">
        <v>362</v>
      </c>
      <c r="C437" s="3">
        <v>45712.76563657407</v>
      </c>
      <c r="D437" t="s">
        <v>363</v>
      </c>
      <c r="E437" s="4">
        <v>0.36374169886112212</v>
      </c>
      <c r="F437" s="4">
        <v>350559.22691129497</v>
      </c>
      <c r="G437" s="4">
        <v>350559.59065299388</v>
      </c>
      <c r="H437" s="5">
        <f t="shared" si="4"/>
        <v>0</v>
      </c>
      <c r="I437" t="s">
        <v>98</v>
      </c>
      <c r="J437" t="s">
        <v>48</v>
      </c>
      <c r="K437" s="5">
        <f>93 / 86400</f>
        <v>1.0763888888888889E-3</v>
      </c>
      <c r="L437" s="5">
        <f>20 / 86400</f>
        <v>2.3148148148148149E-4</v>
      </c>
    </row>
    <row r="438" spans="1:12" x14ac:dyDescent="0.25">
      <c r="A438" s="3">
        <v>45712.765868055554</v>
      </c>
      <c r="B438" t="s">
        <v>363</v>
      </c>
      <c r="C438" s="3">
        <v>45712.766099537039</v>
      </c>
      <c r="D438" t="s">
        <v>363</v>
      </c>
      <c r="E438" s="4">
        <v>0.12661452168226242</v>
      </c>
      <c r="F438" s="4">
        <v>350559.61238475528</v>
      </c>
      <c r="G438" s="4">
        <v>350559.73899927695</v>
      </c>
      <c r="H438" s="5">
        <f t="shared" si="4"/>
        <v>0</v>
      </c>
      <c r="I438" t="s">
        <v>137</v>
      </c>
      <c r="J438" t="s">
        <v>139</v>
      </c>
      <c r="K438" s="5">
        <f>20 / 86400</f>
        <v>2.3148148148148149E-4</v>
      </c>
      <c r="L438" s="5">
        <f>20 / 86400</f>
        <v>2.3148148148148149E-4</v>
      </c>
    </row>
    <row r="439" spans="1:12" x14ac:dyDescent="0.25">
      <c r="A439" s="3">
        <v>45712.766331018516</v>
      </c>
      <c r="B439" t="s">
        <v>364</v>
      </c>
      <c r="C439" s="3">
        <v>45712.770497685182</v>
      </c>
      <c r="D439" t="s">
        <v>37</v>
      </c>
      <c r="E439" s="4">
        <v>3.5659083443284034</v>
      </c>
      <c r="F439" s="4">
        <v>350559.92279261025</v>
      </c>
      <c r="G439" s="4">
        <v>350563.48870095453</v>
      </c>
      <c r="H439" s="5">
        <f t="shared" si="4"/>
        <v>0</v>
      </c>
      <c r="I439" t="s">
        <v>35</v>
      </c>
      <c r="J439" t="s">
        <v>190</v>
      </c>
      <c r="K439" s="5">
        <f>360 / 86400</f>
        <v>4.1666666666666666E-3</v>
      </c>
      <c r="L439" s="5">
        <f>20 / 86400</f>
        <v>2.3148148148148149E-4</v>
      </c>
    </row>
    <row r="440" spans="1:12" x14ac:dyDescent="0.25">
      <c r="A440" s="3">
        <v>45712.770729166667</v>
      </c>
      <c r="B440" t="s">
        <v>365</v>
      </c>
      <c r="C440" s="3">
        <v>45712.771423611106</v>
      </c>
      <c r="D440" t="s">
        <v>63</v>
      </c>
      <c r="E440" s="4">
        <v>0.6314219681024551</v>
      </c>
      <c r="F440" s="4">
        <v>350563.56960891892</v>
      </c>
      <c r="G440" s="4">
        <v>350564.20103088702</v>
      </c>
      <c r="H440" s="5">
        <f t="shared" si="4"/>
        <v>0</v>
      </c>
      <c r="I440" t="s">
        <v>168</v>
      </c>
      <c r="J440" t="s">
        <v>131</v>
      </c>
      <c r="K440" s="5">
        <f>60 / 86400</f>
        <v>6.9444444444444447E-4</v>
      </c>
      <c r="L440" s="5">
        <f>20 / 86400</f>
        <v>2.3148148148148149E-4</v>
      </c>
    </row>
    <row r="441" spans="1:12" x14ac:dyDescent="0.25">
      <c r="A441" s="3">
        <v>45712.771655092598</v>
      </c>
      <c r="B441" t="s">
        <v>63</v>
      </c>
      <c r="C441" s="3">
        <v>45712.772581018522</v>
      </c>
      <c r="D441" t="s">
        <v>111</v>
      </c>
      <c r="E441" s="4">
        <v>0.4737802817225456</v>
      </c>
      <c r="F441" s="4">
        <v>350564.29185055551</v>
      </c>
      <c r="G441" s="4">
        <v>350564.76563083724</v>
      </c>
      <c r="H441" s="5">
        <f t="shared" si="4"/>
        <v>0</v>
      </c>
      <c r="I441" t="s">
        <v>183</v>
      </c>
      <c r="J441" t="s">
        <v>36</v>
      </c>
      <c r="K441" s="5">
        <f>80 / 86400</f>
        <v>9.2592592592592596E-4</v>
      </c>
      <c r="L441" s="5">
        <f>80 / 86400</f>
        <v>9.2592592592592596E-4</v>
      </c>
    </row>
    <row r="442" spans="1:12" x14ac:dyDescent="0.25">
      <c r="A442" s="3">
        <v>45712.773506944446</v>
      </c>
      <c r="B442" t="s">
        <v>175</v>
      </c>
      <c r="C442" s="3">
        <v>45712.773738425924</v>
      </c>
      <c r="D442" t="s">
        <v>175</v>
      </c>
      <c r="E442" s="4">
        <v>2.6314165115356444E-2</v>
      </c>
      <c r="F442" s="4">
        <v>350564.8094566103</v>
      </c>
      <c r="G442" s="4">
        <v>350564.83577077545</v>
      </c>
      <c r="H442" s="5">
        <f t="shared" si="4"/>
        <v>0</v>
      </c>
      <c r="I442" t="s">
        <v>143</v>
      </c>
      <c r="J442" t="s">
        <v>57</v>
      </c>
      <c r="K442" s="5">
        <f>20 / 86400</f>
        <v>2.3148148148148149E-4</v>
      </c>
      <c r="L442" s="5">
        <f>20 / 86400</f>
        <v>2.3148148148148149E-4</v>
      </c>
    </row>
    <row r="443" spans="1:12" x14ac:dyDescent="0.25">
      <c r="A443" s="3">
        <v>45712.773969907408</v>
      </c>
      <c r="B443" t="s">
        <v>111</v>
      </c>
      <c r="C443" s="3">
        <v>45712.776747685188</v>
      </c>
      <c r="D443" t="s">
        <v>88</v>
      </c>
      <c r="E443" s="4">
        <v>2.3599105784893037</v>
      </c>
      <c r="F443" s="4">
        <v>350564.96867888584</v>
      </c>
      <c r="G443" s="4">
        <v>350567.3285894643</v>
      </c>
      <c r="H443" s="5">
        <f t="shared" si="4"/>
        <v>0</v>
      </c>
      <c r="I443" t="s">
        <v>297</v>
      </c>
      <c r="J443" t="s">
        <v>163</v>
      </c>
      <c r="K443" s="5">
        <f>240 / 86400</f>
        <v>2.7777777777777779E-3</v>
      </c>
      <c r="L443" s="5">
        <f>20 / 86400</f>
        <v>2.3148148148148149E-4</v>
      </c>
    </row>
    <row r="444" spans="1:12" x14ac:dyDescent="0.25">
      <c r="A444" s="3">
        <v>45712.776979166665</v>
      </c>
      <c r="B444" t="s">
        <v>123</v>
      </c>
      <c r="C444" s="3">
        <v>45712.777905092589</v>
      </c>
      <c r="D444" t="s">
        <v>123</v>
      </c>
      <c r="E444" s="4">
        <v>0.48395238721370698</v>
      </c>
      <c r="F444" s="4">
        <v>350567.46983519912</v>
      </c>
      <c r="G444" s="4">
        <v>350567.9537875863</v>
      </c>
      <c r="H444" s="5">
        <f t="shared" si="4"/>
        <v>0</v>
      </c>
      <c r="I444" t="s">
        <v>50</v>
      </c>
      <c r="J444" t="s">
        <v>134</v>
      </c>
      <c r="K444" s="5">
        <f>80 / 86400</f>
        <v>9.2592592592592596E-4</v>
      </c>
      <c r="L444" s="5">
        <f>40 / 86400</f>
        <v>4.6296296296296298E-4</v>
      </c>
    </row>
    <row r="445" spans="1:12" x14ac:dyDescent="0.25">
      <c r="A445" s="3">
        <v>45712.778368055559</v>
      </c>
      <c r="B445" t="s">
        <v>123</v>
      </c>
      <c r="C445" s="3">
        <v>45712.778831018513</v>
      </c>
      <c r="D445" t="s">
        <v>123</v>
      </c>
      <c r="E445" s="4">
        <v>4.2082386195659641E-2</v>
      </c>
      <c r="F445" s="4">
        <v>350568.02840542071</v>
      </c>
      <c r="G445" s="4">
        <v>350568.07048780692</v>
      </c>
      <c r="H445" s="5">
        <f t="shared" si="4"/>
        <v>0</v>
      </c>
      <c r="I445" t="s">
        <v>99</v>
      </c>
      <c r="J445" t="s">
        <v>129</v>
      </c>
      <c r="K445" s="5">
        <f>40 / 86400</f>
        <v>4.6296296296296298E-4</v>
      </c>
      <c r="L445" s="5">
        <f>33 / 86400</f>
        <v>3.8194444444444446E-4</v>
      </c>
    </row>
    <row r="446" spans="1:12" x14ac:dyDescent="0.25">
      <c r="A446" s="3">
        <v>45712.779212962967</v>
      </c>
      <c r="B446" t="s">
        <v>123</v>
      </c>
      <c r="C446" s="3">
        <v>45712.779675925922</v>
      </c>
      <c r="D446" t="s">
        <v>123</v>
      </c>
      <c r="E446" s="4">
        <v>6.5887537360191345E-2</v>
      </c>
      <c r="F446" s="4">
        <v>350568.07894936093</v>
      </c>
      <c r="G446" s="4">
        <v>350568.14483689825</v>
      </c>
      <c r="H446" s="5">
        <f t="shared" si="4"/>
        <v>0</v>
      </c>
      <c r="I446" t="s">
        <v>92</v>
      </c>
      <c r="J446" t="s">
        <v>32</v>
      </c>
      <c r="K446" s="5">
        <f>40 / 86400</f>
        <v>4.6296296296296298E-4</v>
      </c>
      <c r="L446" s="5">
        <f>40 / 86400</f>
        <v>4.6296296296296298E-4</v>
      </c>
    </row>
    <row r="447" spans="1:12" x14ac:dyDescent="0.25">
      <c r="A447" s="3">
        <v>45712.780138888891</v>
      </c>
      <c r="B447" t="s">
        <v>123</v>
      </c>
      <c r="C447" s="3">
        <v>45712.780833333338</v>
      </c>
      <c r="D447" t="s">
        <v>123</v>
      </c>
      <c r="E447" s="4">
        <v>0.71302759814262395</v>
      </c>
      <c r="F447" s="4">
        <v>350568.15913530852</v>
      </c>
      <c r="G447" s="4">
        <v>350568.87216290663</v>
      </c>
      <c r="H447" s="5">
        <f t="shared" si="4"/>
        <v>0</v>
      </c>
      <c r="I447" t="s">
        <v>64</v>
      </c>
      <c r="J447" t="s">
        <v>189</v>
      </c>
      <c r="K447" s="5">
        <f>60 / 86400</f>
        <v>6.9444444444444447E-4</v>
      </c>
      <c r="L447" s="5">
        <f>20 / 86400</f>
        <v>2.3148148148148149E-4</v>
      </c>
    </row>
    <row r="448" spans="1:12" x14ac:dyDescent="0.25">
      <c r="A448" s="3">
        <v>45712.781064814815</v>
      </c>
      <c r="B448" t="s">
        <v>366</v>
      </c>
      <c r="C448" s="3">
        <v>45712.781759259262</v>
      </c>
      <c r="D448" t="s">
        <v>366</v>
      </c>
      <c r="E448" s="4">
        <v>3.0780292153358459E-2</v>
      </c>
      <c r="F448" s="4">
        <v>350568.90439571004</v>
      </c>
      <c r="G448" s="4">
        <v>350568.93517600221</v>
      </c>
      <c r="H448" s="5">
        <f t="shared" si="4"/>
        <v>0</v>
      </c>
      <c r="I448" t="s">
        <v>51</v>
      </c>
      <c r="J448" t="s">
        <v>150</v>
      </c>
      <c r="K448" s="5">
        <f>60 / 86400</f>
        <v>6.9444444444444447E-4</v>
      </c>
      <c r="L448" s="5">
        <f>20 / 86400</f>
        <v>2.3148148148148149E-4</v>
      </c>
    </row>
    <row r="449" spans="1:12" x14ac:dyDescent="0.25">
      <c r="A449" s="3">
        <v>45712.781990740739</v>
      </c>
      <c r="B449" t="s">
        <v>367</v>
      </c>
      <c r="C449" s="3">
        <v>45712.782222222224</v>
      </c>
      <c r="D449" t="s">
        <v>123</v>
      </c>
      <c r="E449" s="4">
        <v>6.5643729269504542E-2</v>
      </c>
      <c r="F449" s="4">
        <v>350568.99896488513</v>
      </c>
      <c r="G449" s="4">
        <v>350569.06460861437</v>
      </c>
      <c r="H449" s="5">
        <f t="shared" si="4"/>
        <v>0</v>
      </c>
      <c r="I449" t="s">
        <v>112</v>
      </c>
      <c r="J449" t="s">
        <v>145</v>
      </c>
      <c r="K449" s="5">
        <f>20 / 86400</f>
        <v>2.3148148148148149E-4</v>
      </c>
      <c r="L449" s="5">
        <f>79 / 86400</f>
        <v>9.1435185185185185E-4</v>
      </c>
    </row>
    <row r="450" spans="1:12" x14ac:dyDescent="0.25">
      <c r="A450" s="3">
        <v>45712.783136574071</v>
      </c>
      <c r="B450" t="s">
        <v>123</v>
      </c>
      <c r="C450" s="3">
        <v>45712.783738425926</v>
      </c>
      <c r="D450" t="s">
        <v>368</v>
      </c>
      <c r="E450" s="4">
        <v>6.9942581057548525E-2</v>
      </c>
      <c r="F450" s="4">
        <v>350569.11902531033</v>
      </c>
      <c r="G450" s="4">
        <v>350569.18896789139</v>
      </c>
      <c r="H450" s="5">
        <f t="shared" si="4"/>
        <v>0</v>
      </c>
      <c r="I450" t="s">
        <v>51</v>
      </c>
      <c r="J450" t="s">
        <v>57</v>
      </c>
      <c r="K450" s="5">
        <f>52 / 86400</f>
        <v>6.018518518518519E-4</v>
      </c>
      <c r="L450" s="5">
        <f>1114 / 86400</f>
        <v>1.2893518518518518E-2</v>
      </c>
    </row>
    <row r="451" spans="1:12" x14ac:dyDescent="0.25">
      <c r="A451" s="3">
        <v>45712.796631944446</v>
      </c>
      <c r="B451" t="s">
        <v>369</v>
      </c>
      <c r="C451" s="3">
        <v>45712.797858796301</v>
      </c>
      <c r="D451" t="s">
        <v>370</v>
      </c>
      <c r="E451" s="4">
        <v>0.40945807111263277</v>
      </c>
      <c r="F451" s="4">
        <v>350569.21754685446</v>
      </c>
      <c r="G451" s="4">
        <v>350569.62700492557</v>
      </c>
      <c r="H451" s="5">
        <f t="shared" si="4"/>
        <v>0</v>
      </c>
      <c r="I451" t="s">
        <v>20</v>
      </c>
      <c r="J451" t="s">
        <v>48</v>
      </c>
      <c r="K451" s="5">
        <f>106 / 86400</f>
        <v>1.2268518518518518E-3</v>
      </c>
      <c r="L451" s="5">
        <f>20 / 86400</f>
        <v>2.3148148148148149E-4</v>
      </c>
    </row>
    <row r="452" spans="1:12" x14ac:dyDescent="0.25">
      <c r="A452" s="3">
        <v>45712.798090277778</v>
      </c>
      <c r="B452" t="s">
        <v>371</v>
      </c>
      <c r="C452" s="3">
        <v>45712.79965277778</v>
      </c>
      <c r="D452" t="s">
        <v>27</v>
      </c>
      <c r="E452" s="4">
        <v>0.45294473177194594</v>
      </c>
      <c r="F452" s="4">
        <v>350569.64009698865</v>
      </c>
      <c r="G452" s="4">
        <v>350570.09304172039</v>
      </c>
      <c r="H452" s="5">
        <f t="shared" si="4"/>
        <v>0</v>
      </c>
      <c r="I452" t="s">
        <v>137</v>
      </c>
      <c r="J452" t="s">
        <v>145</v>
      </c>
      <c r="K452" s="5">
        <f>135 / 86400</f>
        <v>1.5625000000000001E-3</v>
      </c>
      <c r="L452" s="5">
        <f>17309 / 86400</f>
        <v>0.20033564814814814</v>
      </c>
    </row>
    <row r="453" spans="1:12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</row>
    <row r="454" spans="1:12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</row>
    <row r="455" spans="1:12" s="10" customFormat="1" ht="20.100000000000001" customHeight="1" x14ac:dyDescent="0.35">
      <c r="A455" s="15" t="s">
        <v>450</v>
      </c>
      <c r="B455" s="15"/>
      <c r="C455" s="15"/>
      <c r="D455" s="15"/>
      <c r="E455" s="15"/>
      <c r="F455" s="15"/>
      <c r="G455" s="15"/>
      <c r="H455" s="15"/>
      <c r="I455" s="15"/>
      <c r="J455" s="15"/>
    </row>
    <row r="456" spans="1:12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</row>
    <row r="457" spans="1:12" ht="30" x14ac:dyDescent="0.25">
      <c r="A457" s="2" t="s">
        <v>6</v>
      </c>
      <c r="B457" s="2" t="s">
        <v>7</v>
      </c>
      <c r="C457" s="2" t="s">
        <v>8</v>
      </c>
      <c r="D457" s="2" t="s">
        <v>9</v>
      </c>
      <c r="E457" s="2" t="s">
        <v>10</v>
      </c>
      <c r="F457" s="2" t="s">
        <v>11</v>
      </c>
      <c r="G457" s="2" t="s">
        <v>12</v>
      </c>
      <c r="H457" s="2" t="s">
        <v>13</v>
      </c>
      <c r="I457" s="2" t="s">
        <v>14</v>
      </c>
      <c r="J457" s="2" t="s">
        <v>15</v>
      </c>
      <c r="K457" s="2" t="s">
        <v>16</v>
      </c>
      <c r="L457" s="2" t="s">
        <v>17</v>
      </c>
    </row>
    <row r="458" spans="1:12" x14ac:dyDescent="0.25">
      <c r="A458" s="3">
        <v>45712.171539351853</v>
      </c>
      <c r="B458" t="s">
        <v>37</v>
      </c>
      <c r="C458" s="3">
        <v>45712.352847222224</v>
      </c>
      <c r="D458" t="s">
        <v>149</v>
      </c>
      <c r="E458" s="4">
        <v>82.906999999999996</v>
      </c>
      <c r="F458" s="4">
        <v>485516.04800000001</v>
      </c>
      <c r="G458" s="4">
        <v>485598.95500000002</v>
      </c>
      <c r="H458" s="5">
        <f>4318 / 86400</f>
        <v>4.9976851851851849E-2</v>
      </c>
      <c r="I458" t="s">
        <v>298</v>
      </c>
      <c r="J458" t="s">
        <v>137</v>
      </c>
      <c r="K458" s="5">
        <f>15664 / 86400</f>
        <v>0.18129629629629629</v>
      </c>
      <c r="L458" s="5">
        <f>16119 / 86400</f>
        <v>0.18656249999999999</v>
      </c>
    </row>
    <row r="459" spans="1:12" x14ac:dyDescent="0.25">
      <c r="A459" s="3">
        <v>45712.36787037037</v>
      </c>
      <c r="B459" t="s">
        <v>149</v>
      </c>
      <c r="C459" s="3">
        <v>45712.371423611112</v>
      </c>
      <c r="D459" t="s">
        <v>151</v>
      </c>
      <c r="E459" s="4">
        <v>1.34</v>
      </c>
      <c r="F459" s="4">
        <v>485598.95500000002</v>
      </c>
      <c r="G459" s="4">
        <v>485600.29499999998</v>
      </c>
      <c r="H459" s="5">
        <f>20 / 86400</f>
        <v>2.3148148148148149E-4</v>
      </c>
      <c r="I459" t="s">
        <v>218</v>
      </c>
      <c r="J459" t="s">
        <v>34</v>
      </c>
      <c r="K459" s="5">
        <f>307 / 86400</f>
        <v>3.5532407407407409E-3</v>
      </c>
      <c r="L459" s="5">
        <f>2726 / 86400</f>
        <v>3.1550925925925927E-2</v>
      </c>
    </row>
    <row r="460" spans="1:12" x14ac:dyDescent="0.25">
      <c r="A460" s="3">
        <v>45712.402974537035</v>
      </c>
      <c r="B460" t="s">
        <v>151</v>
      </c>
      <c r="C460" s="3">
        <v>45712.668634259258</v>
      </c>
      <c r="D460" t="s">
        <v>37</v>
      </c>
      <c r="E460" s="4">
        <v>113.252</v>
      </c>
      <c r="F460" s="4">
        <v>485600.29499999998</v>
      </c>
      <c r="G460" s="4">
        <v>485713.54700000002</v>
      </c>
      <c r="H460" s="5">
        <f>6414 / 86400</f>
        <v>7.4236111111111114E-2</v>
      </c>
      <c r="I460" t="s">
        <v>38</v>
      </c>
      <c r="J460" t="s">
        <v>20</v>
      </c>
      <c r="K460" s="5">
        <f>22953 / 86400</f>
        <v>0.26565972222222223</v>
      </c>
      <c r="L460" s="5">
        <f>28629 / 86400</f>
        <v>0.33135416666666667</v>
      </c>
    </row>
    <row r="461" spans="1:12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</row>
    <row r="462" spans="1:12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</row>
    <row r="463" spans="1:12" s="10" customFormat="1" ht="20.100000000000001" customHeight="1" x14ac:dyDescent="0.35">
      <c r="A463" s="15" t="s">
        <v>451</v>
      </c>
      <c r="B463" s="15"/>
      <c r="C463" s="15"/>
      <c r="D463" s="15"/>
      <c r="E463" s="15"/>
      <c r="F463" s="15"/>
      <c r="G463" s="15"/>
      <c r="H463" s="15"/>
      <c r="I463" s="15"/>
      <c r="J463" s="15"/>
    </row>
    <row r="464" spans="1:12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</row>
    <row r="465" spans="1:12" ht="30" x14ac:dyDescent="0.25">
      <c r="A465" s="2" t="s">
        <v>6</v>
      </c>
      <c r="B465" s="2" t="s">
        <v>7</v>
      </c>
      <c r="C465" s="2" t="s">
        <v>8</v>
      </c>
      <c r="D465" s="2" t="s">
        <v>9</v>
      </c>
      <c r="E465" s="2" t="s">
        <v>10</v>
      </c>
      <c r="F465" s="2" t="s">
        <v>11</v>
      </c>
      <c r="G465" s="2" t="s">
        <v>12</v>
      </c>
      <c r="H465" s="2" t="s">
        <v>13</v>
      </c>
      <c r="I465" s="2" t="s">
        <v>14</v>
      </c>
      <c r="J465" s="2" t="s">
        <v>15</v>
      </c>
      <c r="K465" s="2" t="s">
        <v>16</v>
      </c>
      <c r="L465" s="2" t="s">
        <v>17</v>
      </c>
    </row>
    <row r="466" spans="1:12" x14ac:dyDescent="0.25">
      <c r="A466" s="3">
        <v>45712.129513888889</v>
      </c>
      <c r="B466" t="s">
        <v>39</v>
      </c>
      <c r="C466" s="3">
        <v>45712.342476851853</v>
      </c>
      <c r="D466" t="s">
        <v>93</v>
      </c>
      <c r="E466" s="4">
        <v>109.05800000000001</v>
      </c>
      <c r="F466" s="4">
        <v>509970.31699999998</v>
      </c>
      <c r="G466" s="4">
        <v>510079.375</v>
      </c>
      <c r="H466" s="5">
        <f>4039 / 86400</f>
        <v>4.6747685185185184E-2</v>
      </c>
      <c r="I466" t="s">
        <v>67</v>
      </c>
      <c r="J466" t="s">
        <v>36</v>
      </c>
      <c r="K466" s="5">
        <f>18400 / 86400</f>
        <v>0.21296296296296297</v>
      </c>
      <c r="L466" s="5">
        <f>12294 / 86400</f>
        <v>0.14229166666666668</v>
      </c>
    </row>
    <row r="467" spans="1:12" x14ac:dyDescent="0.25">
      <c r="A467" s="3">
        <v>45712.355254629627</v>
      </c>
      <c r="B467" t="s">
        <v>93</v>
      </c>
      <c r="C467" s="3">
        <v>45712.359027777777</v>
      </c>
      <c r="D467" t="s">
        <v>68</v>
      </c>
      <c r="E467" s="4">
        <v>0.86699999999999999</v>
      </c>
      <c r="F467" s="4">
        <v>510079.375</v>
      </c>
      <c r="G467" s="4">
        <v>510080.24200000003</v>
      </c>
      <c r="H467" s="5">
        <f>60 / 86400</f>
        <v>6.9444444444444447E-4</v>
      </c>
      <c r="I467" t="s">
        <v>163</v>
      </c>
      <c r="J467" t="s">
        <v>51</v>
      </c>
      <c r="K467" s="5">
        <f>326 / 86400</f>
        <v>3.7731481481481483E-3</v>
      </c>
      <c r="L467" s="5">
        <f>260 / 86400</f>
        <v>3.0092592592592593E-3</v>
      </c>
    </row>
    <row r="468" spans="1:12" x14ac:dyDescent="0.25">
      <c r="A468" s="3">
        <v>45712.362037037034</v>
      </c>
      <c r="B468" t="s">
        <v>68</v>
      </c>
      <c r="C468" s="3">
        <v>45712.367777777778</v>
      </c>
      <c r="D468" t="s">
        <v>68</v>
      </c>
      <c r="E468" s="4">
        <v>0.54500000000000004</v>
      </c>
      <c r="F468" s="4">
        <v>510080.24200000003</v>
      </c>
      <c r="G468" s="4">
        <v>510080.78700000001</v>
      </c>
      <c r="H468" s="5">
        <f>239 / 86400</f>
        <v>2.7662037037037039E-3</v>
      </c>
      <c r="I468" t="s">
        <v>59</v>
      </c>
      <c r="J468" t="s">
        <v>129</v>
      </c>
      <c r="K468" s="5">
        <f>495 / 86400</f>
        <v>5.7291666666666663E-3</v>
      </c>
      <c r="L468" s="5">
        <f>11403 / 86400</f>
        <v>0.13197916666666668</v>
      </c>
    </row>
    <row r="469" spans="1:12" x14ac:dyDescent="0.25">
      <c r="A469" s="3">
        <v>45712.499756944446</v>
      </c>
      <c r="B469" t="s">
        <v>68</v>
      </c>
      <c r="C469" s="3">
        <v>45712.502013888894</v>
      </c>
      <c r="D469" t="s">
        <v>68</v>
      </c>
      <c r="E469" s="4">
        <v>1.6E-2</v>
      </c>
      <c r="F469" s="4">
        <v>510080.78700000001</v>
      </c>
      <c r="G469" s="4">
        <v>510080.80300000001</v>
      </c>
      <c r="H469" s="5">
        <f>159 / 86400</f>
        <v>1.8402777777777777E-3</v>
      </c>
      <c r="I469" t="s">
        <v>143</v>
      </c>
      <c r="J469" t="s">
        <v>24</v>
      </c>
      <c r="K469" s="5">
        <f>194 / 86400</f>
        <v>2.2453703703703702E-3</v>
      </c>
      <c r="L469" s="5">
        <f>2324 / 86400</f>
        <v>2.6898148148148147E-2</v>
      </c>
    </row>
    <row r="470" spans="1:12" x14ac:dyDescent="0.25">
      <c r="A470" s="3">
        <v>45712.528912037036</v>
      </c>
      <c r="B470" t="s">
        <v>68</v>
      </c>
      <c r="C470" s="3">
        <v>45712.53434027778</v>
      </c>
      <c r="D470" t="s">
        <v>21</v>
      </c>
      <c r="E470" s="4">
        <v>1.3540000000000001</v>
      </c>
      <c r="F470" s="4">
        <v>510080.80300000001</v>
      </c>
      <c r="G470" s="4">
        <v>510082.15700000001</v>
      </c>
      <c r="H470" s="5">
        <f>99 / 86400</f>
        <v>1.1458333333333333E-3</v>
      </c>
      <c r="I470" t="s">
        <v>170</v>
      </c>
      <c r="J470" t="s">
        <v>51</v>
      </c>
      <c r="K470" s="5">
        <f>469 / 86400</f>
        <v>5.4282407407407404E-3</v>
      </c>
      <c r="L470" s="5">
        <f>694 / 86400</f>
        <v>8.0324074074074082E-3</v>
      </c>
    </row>
    <row r="471" spans="1:12" x14ac:dyDescent="0.25">
      <c r="A471" s="3">
        <v>45712.542372685188</v>
      </c>
      <c r="B471" t="s">
        <v>21</v>
      </c>
      <c r="C471" s="3">
        <v>45712.547129629631</v>
      </c>
      <c r="D471" t="s">
        <v>138</v>
      </c>
      <c r="E471" s="4">
        <v>0.77900000000000003</v>
      </c>
      <c r="F471" s="4">
        <v>510082.15700000001</v>
      </c>
      <c r="G471" s="4">
        <v>510082.93599999999</v>
      </c>
      <c r="H471" s="5">
        <f>199 / 86400</f>
        <v>2.3032407407407407E-3</v>
      </c>
      <c r="I471" t="s">
        <v>134</v>
      </c>
      <c r="J471" t="s">
        <v>99</v>
      </c>
      <c r="K471" s="5">
        <f>411 / 86400</f>
        <v>4.7569444444444447E-3</v>
      </c>
      <c r="L471" s="5">
        <f>204 / 86400</f>
        <v>2.3611111111111111E-3</v>
      </c>
    </row>
    <row r="472" spans="1:12" x14ac:dyDescent="0.25">
      <c r="A472" s="3">
        <v>45712.549490740741</v>
      </c>
      <c r="B472" t="s">
        <v>138</v>
      </c>
      <c r="C472" s="3">
        <v>45712.663969907408</v>
      </c>
      <c r="D472" t="s">
        <v>372</v>
      </c>
      <c r="E472" s="4">
        <v>47.58</v>
      </c>
      <c r="F472" s="4">
        <v>510082.93599999999</v>
      </c>
      <c r="G472" s="4">
        <v>510130.516</v>
      </c>
      <c r="H472" s="5">
        <f>3259 / 86400</f>
        <v>3.771990740740741E-2</v>
      </c>
      <c r="I472" t="s">
        <v>33</v>
      </c>
      <c r="J472" t="s">
        <v>30</v>
      </c>
      <c r="K472" s="5">
        <f>9891 / 86400</f>
        <v>0.11447916666666667</v>
      </c>
      <c r="L472" s="5">
        <f>250 / 86400</f>
        <v>2.8935185185185184E-3</v>
      </c>
    </row>
    <row r="473" spans="1:12" x14ac:dyDescent="0.25">
      <c r="A473" s="3">
        <v>45712.666863425926</v>
      </c>
      <c r="B473" t="s">
        <v>372</v>
      </c>
      <c r="C473" s="3">
        <v>45712.667002314818</v>
      </c>
      <c r="D473" t="s">
        <v>372</v>
      </c>
      <c r="E473" s="4">
        <v>0</v>
      </c>
      <c r="F473" s="4">
        <v>510130.516</v>
      </c>
      <c r="G473" s="4">
        <v>510130.516</v>
      </c>
      <c r="H473" s="5">
        <f>0 / 86400</f>
        <v>0</v>
      </c>
      <c r="I473" t="s">
        <v>24</v>
      </c>
      <c r="J473" t="s">
        <v>24</v>
      </c>
      <c r="K473" s="5">
        <f>11 / 86400</f>
        <v>1.273148148148148E-4</v>
      </c>
      <c r="L473" s="5">
        <f>90 / 86400</f>
        <v>1.0416666666666667E-3</v>
      </c>
    </row>
    <row r="474" spans="1:12" x14ac:dyDescent="0.25">
      <c r="A474" s="3">
        <v>45712.668043981481</v>
      </c>
      <c r="B474" t="s">
        <v>372</v>
      </c>
      <c r="C474" s="3">
        <v>45712.820462962962</v>
      </c>
      <c r="D474" t="s">
        <v>68</v>
      </c>
      <c r="E474" s="4">
        <v>46.473999999999997</v>
      </c>
      <c r="F474" s="4">
        <v>510130.516</v>
      </c>
      <c r="G474" s="4">
        <v>510176.99</v>
      </c>
      <c r="H474" s="5">
        <f>5141 / 86400</f>
        <v>5.9502314814814813E-2</v>
      </c>
      <c r="I474" t="s">
        <v>268</v>
      </c>
      <c r="J474" t="s">
        <v>71</v>
      </c>
      <c r="K474" s="5">
        <f>13169 / 86400</f>
        <v>0.15241898148148147</v>
      </c>
      <c r="L474" s="5">
        <f>722 / 86400</f>
        <v>8.3564814814814821E-3</v>
      </c>
    </row>
    <row r="475" spans="1:12" x14ac:dyDescent="0.25">
      <c r="A475" s="3">
        <v>45712.828819444447</v>
      </c>
      <c r="B475" t="s">
        <v>68</v>
      </c>
      <c r="C475" s="3">
        <v>45712.843159722222</v>
      </c>
      <c r="D475" t="s">
        <v>39</v>
      </c>
      <c r="E475" s="4">
        <v>3.93</v>
      </c>
      <c r="F475" s="4">
        <v>510176.99</v>
      </c>
      <c r="G475" s="4">
        <v>510180.92</v>
      </c>
      <c r="H475" s="5">
        <f>220 / 86400</f>
        <v>2.5462962962962965E-3</v>
      </c>
      <c r="I475" t="s">
        <v>178</v>
      </c>
      <c r="J475" t="s">
        <v>42</v>
      </c>
      <c r="K475" s="5">
        <f>1239 / 86400</f>
        <v>1.4340277777777778E-2</v>
      </c>
      <c r="L475" s="5">
        <f>13550 / 86400</f>
        <v>0.15682870370370369</v>
      </c>
    </row>
    <row r="476" spans="1:12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</row>
    <row r="477" spans="1:12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</row>
    <row r="478" spans="1:12" s="10" customFormat="1" ht="20.100000000000001" customHeight="1" x14ac:dyDescent="0.35">
      <c r="A478" s="15" t="s">
        <v>452</v>
      </c>
      <c r="B478" s="15"/>
      <c r="C478" s="15"/>
      <c r="D478" s="15"/>
      <c r="E478" s="15"/>
      <c r="F478" s="15"/>
      <c r="G478" s="15"/>
      <c r="H478" s="15"/>
      <c r="I478" s="15"/>
      <c r="J478" s="15"/>
    </row>
    <row r="479" spans="1:12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</row>
    <row r="480" spans="1:12" ht="30" x14ac:dyDescent="0.25">
      <c r="A480" s="2" t="s">
        <v>6</v>
      </c>
      <c r="B480" s="2" t="s">
        <v>7</v>
      </c>
      <c r="C480" s="2" t="s">
        <v>8</v>
      </c>
      <c r="D480" s="2" t="s">
        <v>9</v>
      </c>
      <c r="E480" s="2" t="s">
        <v>10</v>
      </c>
      <c r="F480" s="2" t="s">
        <v>11</v>
      </c>
      <c r="G480" s="2" t="s">
        <v>12</v>
      </c>
      <c r="H480" s="2" t="s">
        <v>13</v>
      </c>
      <c r="I480" s="2" t="s">
        <v>14</v>
      </c>
      <c r="J480" s="2" t="s">
        <v>15</v>
      </c>
      <c r="K480" s="2" t="s">
        <v>16</v>
      </c>
      <c r="L480" s="2" t="s">
        <v>17</v>
      </c>
    </row>
    <row r="481" spans="1:12" x14ac:dyDescent="0.25">
      <c r="A481" s="3">
        <v>45712.23060185185</v>
      </c>
      <c r="B481" t="s">
        <v>40</v>
      </c>
      <c r="C481" s="3">
        <v>45712.237233796295</v>
      </c>
      <c r="D481" t="s">
        <v>40</v>
      </c>
      <c r="E481" s="4">
        <v>0</v>
      </c>
      <c r="F481" s="4">
        <v>409174.22200000001</v>
      </c>
      <c r="G481" s="4">
        <v>409174.22200000001</v>
      </c>
      <c r="H481" s="5">
        <f>559 / 86400</f>
        <v>6.4699074074074077E-3</v>
      </c>
      <c r="I481" t="s">
        <v>24</v>
      </c>
      <c r="J481" t="s">
        <v>24</v>
      </c>
      <c r="K481" s="5">
        <f>572 / 86400</f>
        <v>6.6203703703703702E-3</v>
      </c>
      <c r="L481" s="5">
        <f>28044 / 86400</f>
        <v>0.32458333333333333</v>
      </c>
    </row>
    <row r="482" spans="1:12" x14ac:dyDescent="0.25">
      <c r="A482" s="3">
        <v>45712.33121527778</v>
      </c>
      <c r="B482" t="s">
        <v>40</v>
      </c>
      <c r="C482" s="3">
        <v>45712.334386574075</v>
      </c>
      <c r="D482" t="s">
        <v>373</v>
      </c>
      <c r="E482" s="4">
        <v>0.55900000000000005</v>
      </c>
      <c r="F482" s="4">
        <v>409174.22200000001</v>
      </c>
      <c r="G482" s="4">
        <v>409174.78100000002</v>
      </c>
      <c r="H482" s="5">
        <f>99 / 86400</f>
        <v>1.1458333333333333E-3</v>
      </c>
      <c r="I482" t="s">
        <v>20</v>
      </c>
      <c r="J482" t="s">
        <v>99</v>
      </c>
      <c r="K482" s="5">
        <f>274 / 86400</f>
        <v>3.1712962962962962E-3</v>
      </c>
      <c r="L482" s="5">
        <f>160 / 86400</f>
        <v>1.8518518518518519E-3</v>
      </c>
    </row>
    <row r="483" spans="1:12" x14ac:dyDescent="0.25">
      <c r="A483" s="3">
        <v>45712.336238425924</v>
      </c>
      <c r="B483" t="s">
        <v>373</v>
      </c>
      <c r="C483" s="3">
        <v>45712.338530092587</v>
      </c>
      <c r="D483" t="s">
        <v>68</v>
      </c>
      <c r="E483" s="4">
        <v>0.71499999999999997</v>
      </c>
      <c r="F483" s="4">
        <v>409174.78100000002</v>
      </c>
      <c r="G483" s="4">
        <v>409175.49599999998</v>
      </c>
      <c r="H483" s="5">
        <f>60 / 86400</f>
        <v>6.9444444444444447E-4</v>
      </c>
      <c r="I483" t="s">
        <v>131</v>
      </c>
      <c r="J483" t="s">
        <v>71</v>
      </c>
      <c r="K483" s="5">
        <f>197 / 86400</f>
        <v>2.2800925925925927E-3</v>
      </c>
      <c r="L483" s="5">
        <f>1823 / 86400</f>
        <v>2.1099537037037038E-2</v>
      </c>
    </row>
    <row r="484" spans="1:12" x14ac:dyDescent="0.25">
      <c r="A484" s="3">
        <v>45712.359629629631</v>
      </c>
      <c r="B484" t="s">
        <v>68</v>
      </c>
      <c r="C484" s="3">
        <v>45712.360115740739</v>
      </c>
      <c r="D484" t="s">
        <v>68</v>
      </c>
      <c r="E484" s="4">
        <v>1.4E-2</v>
      </c>
      <c r="F484" s="4">
        <v>409175.49599999998</v>
      </c>
      <c r="G484" s="4">
        <v>409175.51</v>
      </c>
      <c r="H484" s="5">
        <f>20 / 86400</f>
        <v>2.3148148148148149E-4</v>
      </c>
      <c r="I484" t="s">
        <v>150</v>
      </c>
      <c r="J484" t="s">
        <v>143</v>
      </c>
      <c r="K484" s="5">
        <f>41 / 86400</f>
        <v>4.7453703703703704E-4</v>
      </c>
      <c r="L484" s="5">
        <f>2115 / 86400</f>
        <v>2.4479166666666666E-2</v>
      </c>
    </row>
    <row r="485" spans="1:12" x14ac:dyDescent="0.25">
      <c r="A485" s="3">
        <v>45712.384594907402</v>
      </c>
      <c r="B485" t="s">
        <v>68</v>
      </c>
      <c r="C485" s="3">
        <v>45712.393159722225</v>
      </c>
      <c r="D485" t="s">
        <v>151</v>
      </c>
      <c r="E485" s="4">
        <v>1.397</v>
      </c>
      <c r="F485" s="4">
        <v>409175.51</v>
      </c>
      <c r="G485" s="4">
        <v>409176.90700000001</v>
      </c>
      <c r="H485" s="5">
        <f>260 / 86400</f>
        <v>3.0092592592592593E-3</v>
      </c>
      <c r="I485" t="s">
        <v>152</v>
      </c>
      <c r="J485" t="s">
        <v>99</v>
      </c>
      <c r="K485" s="5">
        <f>740 / 86400</f>
        <v>8.564814814814815E-3</v>
      </c>
      <c r="L485" s="5">
        <f>379 / 86400</f>
        <v>4.386574074074074E-3</v>
      </c>
    </row>
    <row r="486" spans="1:12" x14ac:dyDescent="0.25">
      <c r="A486" s="3">
        <v>45712.397546296299</v>
      </c>
      <c r="B486" t="s">
        <v>151</v>
      </c>
      <c r="C486" s="3">
        <v>45712.397662037038</v>
      </c>
      <c r="D486" t="s">
        <v>151</v>
      </c>
      <c r="E486" s="4">
        <v>2E-3</v>
      </c>
      <c r="F486" s="4">
        <v>409176.90700000001</v>
      </c>
      <c r="G486" s="4">
        <v>409176.90899999999</v>
      </c>
      <c r="H486" s="5">
        <f>0 / 86400</f>
        <v>0</v>
      </c>
      <c r="I486" t="s">
        <v>24</v>
      </c>
      <c r="J486" t="s">
        <v>143</v>
      </c>
      <c r="K486" s="5">
        <f>10 / 86400</f>
        <v>1.1574074074074075E-4</v>
      </c>
      <c r="L486" s="5">
        <f>1118 / 86400</f>
        <v>1.2939814814814815E-2</v>
      </c>
    </row>
    <row r="487" spans="1:12" x14ac:dyDescent="0.25">
      <c r="A487" s="3">
        <v>45712.410601851851</v>
      </c>
      <c r="B487" t="s">
        <v>151</v>
      </c>
      <c r="C487" s="3">
        <v>45712.410821759258</v>
      </c>
      <c r="D487" t="s">
        <v>151</v>
      </c>
      <c r="E487" s="4">
        <v>1.2E-2</v>
      </c>
      <c r="F487" s="4">
        <v>409176.90899999999</v>
      </c>
      <c r="G487" s="4">
        <v>409176.92099999997</v>
      </c>
      <c r="H487" s="5">
        <f>0 / 86400</f>
        <v>0</v>
      </c>
      <c r="I487" t="s">
        <v>57</v>
      </c>
      <c r="J487" t="s">
        <v>150</v>
      </c>
      <c r="K487" s="5">
        <f>19 / 86400</f>
        <v>2.199074074074074E-4</v>
      </c>
      <c r="L487" s="5">
        <f>2913 / 86400</f>
        <v>3.3715277777777775E-2</v>
      </c>
    </row>
    <row r="488" spans="1:12" x14ac:dyDescent="0.25">
      <c r="A488" s="3">
        <v>45712.444537037038</v>
      </c>
      <c r="B488" t="s">
        <v>151</v>
      </c>
      <c r="C488" s="3">
        <v>45712.482071759259</v>
      </c>
      <c r="D488" t="s">
        <v>21</v>
      </c>
      <c r="E488" s="4">
        <v>0</v>
      </c>
      <c r="F488" s="4">
        <v>409176.92099999997</v>
      </c>
      <c r="G488" s="4">
        <v>409176.92099999997</v>
      </c>
      <c r="H488" s="5">
        <f>3239 / 86400</f>
        <v>3.7488425925925925E-2</v>
      </c>
      <c r="I488" t="s">
        <v>24</v>
      </c>
      <c r="J488" t="s">
        <v>24</v>
      </c>
      <c r="K488" s="5">
        <f>3242 / 86400</f>
        <v>3.7523148148148146E-2</v>
      </c>
      <c r="L488" s="5">
        <f>12 / 86400</f>
        <v>1.3888888888888889E-4</v>
      </c>
    </row>
    <row r="489" spans="1:12" x14ac:dyDescent="0.25">
      <c r="A489" s="3">
        <v>45712.482210648144</v>
      </c>
      <c r="B489" t="s">
        <v>21</v>
      </c>
      <c r="C489" s="3">
        <v>45712.490277777775</v>
      </c>
      <c r="D489" t="s">
        <v>293</v>
      </c>
      <c r="E489" s="4">
        <v>0.42799999999999999</v>
      </c>
      <c r="F489" s="4">
        <v>409176.92099999997</v>
      </c>
      <c r="G489" s="4">
        <v>409177.34899999999</v>
      </c>
      <c r="H489" s="5">
        <f>585 / 86400</f>
        <v>6.7708333333333336E-3</v>
      </c>
      <c r="I489" t="s">
        <v>20</v>
      </c>
      <c r="J489" t="s">
        <v>150</v>
      </c>
      <c r="K489" s="5">
        <f>697 / 86400</f>
        <v>8.067129629629629E-3</v>
      </c>
      <c r="L489" s="5">
        <f>124 / 86400</f>
        <v>1.4351851851851852E-3</v>
      </c>
    </row>
    <row r="490" spans="1:12" x14ac:dyDescent="0.25">
      <c r="A490" s="3">
        <v>45712.491712962961</v>
      </c>
      <c r="B490" t="s">
        <v>293</v>
      </c>
      <c r="C490" s="3">
        <v>45712.492766203708</v>
      </c>
      <c r="D490" t="s">
        <v>374</v>
      </c>
      <c r="E490" s="4">
        <v>0.25</v>
      </c>
      <c r="F490" s="4">
        <v>409177.34899999999</v>
      </c>
      <c r="G490" s="4">
        <v>409177.59899999999</v>
      </c>
      <c r="H490" s="5">
        <f>40 / 86400</f>
        <v>4.6296296296296298E-4</v>
      </c>
      <c r="I490" t="s">
        <v>34</v>
      </c>
      <c r="J490" t="s">
        <v>51</v>
      </c>
      <c r="K490" s="5">
        <f>90 / 86400</f>
        <v>1.0416666666666667E-3</v>
      </c>
      <c r="L490" s="5">
        <f>3004 / 86400</f>
        <v>3.4768518518518518E-2</v>
      </c>
    </row>
    <row r="491" spans="1:12" x14ac:dyDescent="0.25">
      <c r="A491" s="3">
        <v>45712.52753472222</v>
      </c>
      <c r="B491" t="s">
        <v>374</v>
      </c>
      <c r="C491" s="3">
        <v>45712.592199074075</v>
      </c>
      <c r="D491" t="s">
        <v>110</v>
      </c>
      <c r="E491" s="4">
        <v>27.786999999999999</v>
      </c>
      <c r="F491" s="4">
        <v>409177.59899999999</v>
      </c>
      <c r="G491" s="4">
        <v>409205.386</v>
      </c>
      <c r="H491" s="5">
        <f>2058 / 86400</f>
        <v>2.3819444444444445E-2</v>
      </c>
      <c r="I491" t="s">
        <v>41</v>
      </c>
      <c r="J491" t="s">
        <v>20</v>
      </c>
      <c r="K491" s="5">
        <f>5586 / 86400</f>
        <v>6.4652777777777781E-2</v>
      </c>
      <c r="L491" s="5">
        <f>2 / 86400</f>
        <v>2.3148148148148147E-5</v>
      </c>
    </row>
    <row r="492" spans="1:12" x14ac:dyDescent="0.25">
      <c r="A492" s="3">
        <v>45712.592222222222</v>
      </c>
      <c r="B492" t="s">
        <v>110</v>
      </c>
      <c r="C492" s="3">
        <v>45712.668888888889</v>
      </c>
      <c r="D492" t="s">
        <v>375</v>
      </c>
      <c r="E492" s="4">
        <v>22.689</v>
      </c>
      <c r="F492" s="4">
        <v>409205.402</v>
      </c>
      <c r="G492" s="4">
        <v>409228.09100000001</v>
      </c>
      <c r="H492" s="5">
        <f>2241 / 86400</f>
        <v>2.5937499999999999E-2</v>
      </c>
      <c r="I492" t="s">
        <v>271</v>
      </c>
      <c r="J492" t="s">
        <v>145</v>
      </c>
      <c r="K492" s="5">
        <f>6624 / 86400</f>
        <v>7.6666666666666661E-2</v>
      </c>
      <c r="L492" s="5">
        <f>3183 / 86400</f>
        <v>3.6840277777777777E-2</v>
      </c>
    </row>
    <row r="493" spans="1:12" x14ac:dyDescent="0.25">
      <c r="A493" s="3">
        <v>45712.705729166672</v>
      </c>
      <c r="B493" t="s">
        <v>375</v>
      </c>
      <c r="C493" s="3">
        <v>45712.775648148148</v>
      </c>
      <c r="D493" t="s">
        <v>130</v>
      </c>
      <c r="E493" s="4">
        <v>15.558999999999999</v>
      </c>
      <c r="F493" s="4">
        <v>409228.09100000001</v>
      </c>
      <c r="G493" s="4">
        <v>409243.65</v>
      </c>
      <c r="H493" s="5">
        <f>2738 / 86400</f>
        <v>3.1689814814814816E-2</v>
      </c>
      <c r="I493" t="s">
        <v>340</v>
      </c>
      <c r="J493" t="s">
        <v>135</v>
      </c>
      <c r="K493" s="5">
        <f>6041 / 86400</f>
        <v>6.9918981481481485E-2</v>
      </c>
      <c r="L493" s="5">
        <f>2 / 86400</f>
        <v>2.3148148148148147E-5</v>
      </c>
    </row>
    <row r="494" spans="1:12" x14ac:dyDescent="0.25">
      <c r="A494" s="3">
        <v>45712.775671296295</v>
      </c>
      <c r="B494" t="s">
        <v>130</v>
      </c>
      <c r="C494" s="3">
        <v>45712.797615740739</v>
      </c>
      <c r="D494" t="s">
        <v>84</v>
      </c>
      <c r="E494" s="4">
        <v>3.778</v>
      </c>
      <c r="F494" s="4">
        <v>409243.65</v>
      </c>
      <c r="G494" s="4">
        <v>409247.42800000001</v>
      </c>
      <c r="H494" s="5">
        <f>1044 / 86400</f>
        <v>1.2083333333333333E-2</v>
      </c>
      <c r="I494" t="s">
        <v>98</v>
      </c>
      <c r="J494" t="s">
        <v>99</v>
      </c>
      <c r="K494" s="5">
        <f>1896 / 86400</f>
        <v>2.1944444444444444E-2</v>
      </c>
      <c r="L494" s="5">
        <f>6 / 86400</f>
        <v>6.9444444444444444E-5</v>
      </c>
    </row>
    <row r="495" spans="1:12" x14ac:dyDescent="0.25">
      <c r="A495" s="3">
        <v>45712.797685185185</v>
      </c>
      <c r="B495" t="s">
        <v>84</v>
      </c>
      <c r="C495" s="3">
        <v>45712.799467592587</v>
      </c>
      <c r="D495" t="s">
        <v>84</v>
      </c>
      <c r="E495" s="4">
        <v>0.55800000000000005</v>
      </c>
      <c r="F495" s="4">
        <v>409247.43900000001</v>
      </c>
      <c r="G495" s="4">
        <v>409247.99699999997</v>
      </c>
      <c r="H495" s="5">
        <f>20 / 86400</f>
        <v>2.3148148148148149E-4</v>
      </c>
      <c r="I495" t="s">
        <v>178</v>
      </c>
      <c r="J495" t="s">
        <v>71</v>
      </c>
      <c r="K495" s="5">
        <f>154 / 86400</f>
        <v>1.7824074074074075E-3</v>
      </c>
      <c r="L495" s="5">
        <f>1 / 86400</f>
        <v>1.1574074074074073E-5</v>
      </c>
    </row>
    <row r="496" spans="1:12" x14ac:dyDescent="0.25">
      <c r="A496" s="3">
        <v>45712.799479166672</v>
      </c>
      <c r="B496" t="s">
        <v>84</v>
      </c>
      <c r="C496" s="3">
        <v>45712.799791666665</v>
      </c>
      <c r="D496" t="s">
        <v>84</v>
      </c>
      <c r="E496" s="4">
        <v>0.161</v>
      </c>
      <c r="F496" s="4">
        <v>409247.99699999997</v>
      </c>
      <c r="G496" s="4">
        <v>409248.158</v>
      </c>
      <c r="H496" s="5">
        <f>0 / 86400</f>
        <v>0</v>
      </c>
      <c r="I496" t="s">
        <v>290</v>
      </c>
      <c r="J496" t="s">
        <v>36</v>
      </c>
      <c r="K496" s="5">
        <f>27 / 86400</f>
        <v>3.1250000000000001E-4</v>
      </c>
      <c r="L496" s="5">
        <f>20 / 86400</f>
        <v>2.3148148148148149E-4</v>
      </c>
    </row>
    <row r="497" spans="1:12" x14ac:dyDescent="0.25">
      <c r="A497" s="3">
        <v>45712.800023148149</v>
      </c>
      <c r="B497" t="s">
        <v>84</v>
      </c>
      <c r="C497" s="3">
        <v>45712.821851851855</v>
      </c>
      <c r="D497" t="s">
        <v>181</v>
      </c>
      <c r="E497" s="4">
        <v>9.3109999999999999</v>
      </c>
      <c r="F497" s="4">
        <v>409248.22600000002</v>
      </c>
      <c r="G497" s="4">
        <v>409257.53700000001</v>
      </c>
      <c r="H497" s="5">
        <f>420 / 86400</f>
        <v>4.8611111111111112E-3</v>
      </c>
      <c r="I497" t="s">
        <v>340</v>
      </c>
      <c r="J497" t="s">
        <v>20</v>
      </c>
      <c r="K497" s="5">
        <f>1886 / 86400</f>
        <v>2.1828703703703704E-2</v>
      </c>
      <c r="L497" s="5">
        <f>3 / 86400</f>
        <v>3.4722222222222222E-5</v>
      </c>
    </row>
    <row r="498" spans="1:12" x14ac:dyDescent="0.25">
      <c r="A498" s="3">
        <v>45712.821886574078</v>
      </c>
      <c r="B498" t="s">
        <v>181</v>
      </c>
      <c r="C498" s="3">
        <v>45712.822233796294</v>
      </c>
      <c r="D498" t="s">
        <v>111</v>
      </c>
      <c r="E498" s="4">
        <v>0.20899999999999999</v>
      </c>
      <c r="F498" s="4">
        <v>409257.54100000003</v>
      </c>
      <c r="G498" s="4">
        <v>409257.75</v>
      </c>
      <c r="H498" s="5">
        <f>0 / 86400</f>
        <v>0</v>
      </c>
      <c r="I498" t="s">
        <v>200</v>
      </c>
      <c r="J498" t="s">
        <v>202</v>
      </c>
      <c r="K498" s="5">
        <f>30 / 86400</f>
        <v>3.4722222222222224E-4</v>
      </c>
      <c r="L498" s="5">
        <f>1 / 86400</f>
        <v>1.1574074074074073E-5</v>
      </c>
    </row>
    <row r="499" spans="1:12" x14ac:dyDescent="0.25">
      <c r="A499" s="3">
        <v>45712.822245370371</v>
      </c>
      <c r="B499" t="s">
        <v>111</v>
      </c>
      <c r="C499" s="3">
        <v>45712.830960648149</v>
      </c>
      <c r="D499" t="s">
        <v>63</v>
      </c>
      <c r="E499" s="4">
        <v>4.3220000000000001</v>
      </c>
      <c r="F499" s="4">
        <v>409257.75599999999</v>
      </c>
      <c r="G499" s="4">
        <v>409262.07799999998</v>
      </c>
      <c r="H499" s="5">
        <f>161 / 86400</f>
        <v>1.8634259259259259E-3</v>
      </c>
      <c r="I499" t="s">
        <v>188</v>
      </c>
      <c r="J499" t="s">
        <v>36</v>
      </c>
      <c r="K499" s="5">
        <f>753 / 86400</f>
        <v>8.7152777777777784E-3</v>
      </c>
      <c r="L499" s="5">
        <f>30 / 86400</f>
        <v>3.4722222222222224E-4</v>
      </c>
    </row>
    <row r="500" spans="1:12" x14ac:dyDescent="0.25">
      <c r="A500" s="3">
        <v>45712.831307870365</v>
      </c>
      <c r="B500" t="s">
        <v>376</v>
      </c>
      <c r="C500" s="3">
        <v>45712.83321759259</v>
      </c>
      <c r="D500" t="s">
        <v>377</v>
      </c>
      <c r="E500" s="4">
        <v>0.97899999999999998</v>
      </c>
      <c r="F500" s="4">
        <v>409262.11499999999</v>
      </c>
      <c r="G500" s="4">
        <v>409263.09399999998</v>
      </c>
      <c r="H500" s="5">
        <f>20 / 86400</f>
        <v>2.3148148148148149E-4</v>
      </c>
      <c r="I500" t="s">
        <v>184</v>
      </c>
      <c r="J500" t="s">
        <v>36</v>
      </c>
      <c r="K500" s="5">
        <f>165 / 86400</f>
        <v>1.9097222222222222E-3</v>
      </c>
      <c r="L500" s="5">
        <f>1 / 86400</f>
        <v>1.1574074074074073E-5</v>
      </c>
    </row>
    <row r="501" spans="1:12" x14ac:dyDescent="0.25">
      <c r="A501" s="3">
        <v>45712.833229166667</v>
      </c>
      <c r="B501" t="s">
        <v>377</v>
      </c>
      <c r="C501" s="3">
        <v>45712.83388888889</v>
      </c>
      <c r="D501" t="s">
        <v>378</v>
      </c>
      <c r="E501" s="4">
        <v>0.34699999999999998</v>
      </c>
      <c r="F501" s="4">
        <v>409263.09700000001</v>
      </c>
      <c r="G501" s="4">
        <v>409263.44400000002</v>
      </c>
      <c r="H501" s="5">
        <f t="shared" ref="H501:H513" si="5">0 / 86400</f>
        <v>0</v>
      </c>
      <c r="I501" t="s">
        <v>180</v>
      </c>
      <c r="J501" t="s">
        <v>134</v>
      </c>
      <c r="K501" s="5">
        <f>56 / 86400</f>
        <v>6.4814814814814813E-4</v>
      </c>
      <c r="L501" s="5">
        <f>22 / 86400</f>
        <v>2.5462962962962961E-4</v>
      </c>
    </row>
    <row r="502" spans="1:12" x14ac:dyDescent="0.25">
      <c r="A502" s="3">
        <v>45712.834143518514</v>
      </c>
      <c r="B502" t="s">
        <v>378</v>
      </c>
      <c r="C502" s="3">
        <v>45712.834363425922</v>
      </c>
      <c r="D502" t="s">
        <v>279</v>
      </c>
      <c r="E502" s="4">
        <v>8.6999999999999994E-2</v>
      </c>
      <c r="F502" s="4">
        <v>409263.446</v>
      </c>
      <c r="G502" s="4">
        <v>409263.533</v>
      </c>
      <c r="H502" s="5">
        <f t="shared" si="5"/>
        <v>0</v>
      </c>
      <c r="I502" t="s">
        <v>163</v>
      </c>
      <c r="J502" t="s">
        <v>34</v>
      </c>
      <c r="K502" s="5">
        <f>19 / 86400</f>
        <v>2.199074074074074E-4</v>
      </c>
      <c r="L502" s="5">
        <f>75 / 86400</f>
        <v>8.6805555555555551E-4</v>
      </c>
    </row>
    <row r="503" spans="1:12" x14ac:dyDescent="0.25">
      <c r="A503" s="3">
        <v>45712.835231481484</v>
      </c>
      <c r="B503" t="s">
        <v>279</v>
      </c>
      <c r="C503" s="3">
        <v>45712.835497685184</v>
      </c>
      <c r="D503" t="s">
        <v>279</v>
      </c>
      <c r="E503" s="4">
        <v>0.24399999999999999</v>
      </c>
      <c r="F503" s="4">
        <v>409263.55</v>
      </c>
      <c r="G503" s="4">
        <v>409263.79399999999</v>
      </c>
      <c r="H503" s="5">
        <f t="shared" si="5"/>
        <v>0</v>
      </c>
      <c r="I503" t="s">
        <v>56</v>
      </c>
      <c r="J503" t="s">
        <v>131</v>
      </c>
      <c r="K503" s="5">
        <f>23 / 86400</f>
        <v>2.6620370370370372E-4</v>
      </c>
      <c r="L503" s="5">
        <f>75 / 86400</f>
        <v>8.6805555555555551E-4</v>
      </c>
    </row>
    <row r="504" spans="1:12" x14ac:dyDescent="0.25">
      <c r="A504" s="3">
        <v>45712.836365740739</v>
      </c>
      <c r="B504" t="s">
        <v>279</v>
      </c>
      <c r="C504" s="3">
        <v>45712.836423611108</v>
      </c>
      <c r="D504" t="s">
        <v>279</v>
      </c>
      <c r="E504" s="4">
        <v>1.6E-2</v>
      </c>
      <c r="F504" s="4">
        <v>409264.12599999999</v>
      </c>
      <c r="G504" s="4">
        <v>409264.14199999999</v>
      </c>
      <c r="H504" s="5">
        <f t="shared" si="5"/>
        <v>0</v>
      </c>
      <c r="I504" t="s">
        <v>198</v>
      </c>
      <c r="J504" t="s">
        <v>145</v>
      </c>
      <c r="K504" s="5">
        <f>5 / 86400</f>
        <v>5.7870370370370373E-5</v>
      </c>
      <c r="L504" s="5">
        <f>5 / 86400</f>
        <v>5.7870370370370373E-5</v>
      </c>
    </row>
    <row r="505" spans="1:12" x14ac:dyDescent="0.25">
      <c r="A505" s="3">
        <v>45712.836481481485</v>
      </c>
      <c r="B505" t="s">
        <v>279</v>
      </c>
      <c r="C505" s="3">
        <v>45712.837222222224</v>
      </c>
      <c r="D505" t="s">
        <v>279</v>
      </c>
      <c r="E505" s="4">
        <v>0.499</v>
      </c>
      <c r="F505" s="4">
        <v>409264.14199999999</v>
      </c>
      <c r="G505" s="4">
        <v>409264.641</v>
      </c>
      <c r="H505" s="5">
        <f t="shared" si="5"/>
        <v>0</v>
      </c>
      <c r="I505" t="s">
        <v>56</v>
      </c>
      <c r="J505" t="s">
        <v>198</v>
      </c>
      <c r="K505" s="5">
        <f>64 / 86400</f>
        <v>7.407407407407407E-4</v>
      </c>
      <c r="L505" s="5">
        <f>11 / 86400</f>
        <v>1.273148148148148E-4</v>
      </c>
    </row>
    <row r="506" spans="1:12" x14ac:dyDescent="0.25">
      <c r="A506" s="3">
        <v>45712.837349537032</v>
      </c>
      <c r="B506" t="s">
        <v>280</v>
      </c>
      <c r="C506" s="3">
        <v>45712.837488425925</v>
      </c>
      <c r="D506" t="s">
        <v>379</v>
      </c>
      <c r="E506" s="4">
        <v>0.11799999999999999</v>
      </c>
      <c r="F506" s="4">
        <v>409264.70699999999</v>
      </c>
      <c r="G506" s="4">
        <v>409264.82500000001</v>
      </c>
      <c r="H506" s="5">
        <f t="shared" si="5"/>
        <v>0</v>
      </c>
      <c r="I506" t="s">
        <v>224</v>
      </c>
      <c r="J506" t="s">
        <v>163</v>
      </c>
      <c r="K506" s="5">
        <f>12 / 86400</f>
        <v>1.3888888888888889E-4</v>
      </c>
      <c r="L506" s="5">
        <f>11 / 86400</f>
        <v>1.273148148148148E-4</v>
      </c>
    </row>
    <row r="507" spans="1:12" x14ac:dyDescent="0.25">
      <c r="A507" s="3">
        <v>45712.83761574074</v>
      </c>
      <c r="B507" t="s">
        <v>379</v>
      </c>
      <c r="C507" s="3">
        <v>45712.837893518517</v>
      </c>
      <c r="D507" t="s">
        <v>280</v>
      </c>
      <c r="E507" s="4">
        <v>0.14099999999999999</v>
      </c>
      <c r="F507" s="4">
        <v>409264.83899999998</v>
      </c>
      <c r="G507" s="4">
        <v>409264.98</v>
      </c>
      <c r="H507" s="5">
        <f t="shared" si="5"/>
        <v>0</v>
      </c>
      <c r="I507" t="s">
        <v>218</v>
      </c>
      <c r="J507" t="s">
        <v>36</v>
      </c>
      <c r="K507" s="5">
        <f>24 / 86400</f>
        <v>2.7777777777777778E-4</v>
      </c>
      <c r="L507" s="5">
        <f>17 / 86400</f>
        <v>1.9675925925925926E-4</v>
      </c>
    </row>
    <row r="508" spans="1:12" x14ac:dyDescent="0.25">
      <c r="A508" s="3">
        <v>45712.838090277779</v>
      </c>
      <c r="B508" t="s">
        <v>280</v>
      </c>
      <c r="C508" s="3">
        <v>45712.838101851856</v>
      </c>
      <c r="D508" t="s">
        <v>280</v>
      </c>
      <c r="E508" s="4">
        <v>1E-3</v>
      </c>
      <c r="F508" s="4">
        <v>409264.98</v>
      </c>
      <c r="G508" s="4">
        <v>409264.98100000003</v>
      </c>
      <c r="H508" s="5">
        <f t="shared" si="5"/>
        <v>0</v>
      </c>
      <c r="I508" t="s">
        <v>24</v>
      </c>
      <c r="J508" t="s">
        <v>129</v>
      </c>
      <c r="K508" s="5">
        <f>1 / 86400</f>
        <v>1.1574074074074073E-5</v>
      </c>
      <c r="L508" s="5">
        <f>2 / 86400</f>
        <v>2.3148148148148147E-5</v>
      </c>
    </row>
    <row r="509" spans="1:12" x14ac:dyDescent="0.25">
      <c r="A509" s="3">
        <v>45712.838124999995</v>
      </c>
      <c r="B509" t="s">
        <v>280</v>
      </c>
      <c r="C509" s="3">
        <v>45712.838449074072</v>
      </c>
      <c r="D509" t="s">
        <v>280</v>
      </c>
      <c r="E509" s="4">
        <v>8.6999999999999994E-2</v>
      </c>
      <c r="F509" s="4">
        <v>409264.98100000003</v>
      </c>
      <c r="G509" s="4">
        <v>409265.06800000003</v>
      </c>
      <c r="H509" s="5">
        <f t="shared" si="5"/>
        <v>0</v>
      </c>
      <c r="I509" t="s">
        <v>94</v>
      </c>
      <c r="J509" t="s">
        <v>42</v>
      </c>
      <c r="K509" s="5">
        <f>28 / 86400</f>
        <v>3.2407407407407406E-4</v>
      </c>
      <c r="L509" s="5">
        <f>41 / 86400</f>
        <v>4.7453703703703704E-4</v>
      </c>
    </row>
    <row r="510" spans="1:12" x14ac:dyDescent="0.25">
      <c r="A510" s="3">
        <v>45712.838923611111</v>
      </c>
      <c r="B510" t="s">
        <v>380</v>
      </c>
      <c r="C510" s="3">
        <v>45712.83929398148</v>
      </c>
      <c r="D510" t="s">
        <v>381</v>
      </c>
      <c r="E510" s="4">
        <v>0.17499999999999999</v>
      </c>
      <c r="F510" s="4">
        <v>409265.24599999998</v>
      </c>
      <c r="G510" s="4">
        <v>409265.42099999997</v>
      </c>
      <c r="H510" s="5">
        <f t="shared" si="5"/>
        <v>0</v>
      </c>
      <c r="I510" t="s">
        <v>160</v>
      </c>
      <c r="J510" t="s">
        <v>112</v>
      </c>
      <c r="K510" s="5">
        <f>32 / 86400</f>
        <v>3.7037037037037035E-4</v>
      </c>
      <c r="L510" s="5">
        <f>18 / 86400</f>
        <v>2.0833333333333335E-4</v>
      </c>
    </row>
    <row r="511" spans="1:12" x14ac:dyDescent="0.25">
      <c r="A511" s="3">
        <v>45712.839502314819</v>
      </c>
      <c r="B511" t="s">
        <v>382</v>
      </c>
      <c r="C511" s="3">
        <v>45712.839560185181</v>
      </c>
      <c r="D511" t="s">
        <v>382</v>
      </c>
      <c r="E511" s="4">
        <v>1.2E-2</v>
      </c>
      <c r="F511" s="4">
        <v>409265.451</v>
      </c>
      <c r="G511" s="4">
        <v>409265.46299999999</v>
      </c>
      <c r="H511" s="5">
        <f t="shared" si="5"/>
        <v>0</v>
      </c>
      <c r="I511" t="s">
        <v>51</v>
      </c>
      <c r="J511" t="s">
        <v>135</v>
      </c>
      <c r="K511" s="5">
        <f>5 / 86400</f>
        <v>5.7870370370370373E-5</v>
      </c>
      <c r="L511" s="5">
        <f>4 / 86400</f>
        <v>4.6296296296296294E-5</v>
      </c>
    </row>
    <row r="512" spans="1:12" x14ac:dyDescent="0.25">
      <c r="A512" s="3">
        <v>45712.839606481481</v>
      </c>
      <c r="B512" t="s">
        <v>382</v>
      </c>
      <c r="C512" s="3">
        <v>45712.840104166666</v>
      </c>
      <c r="D512" t="s">
        <v>382</v>
      </c>
      <c r="E512" s="4">
        <v>0.36399999999999999</v>
      </c>
      <c r="F512" s="4">
        <v>409265.467</v>
      </c>
      <c r="G512" s="4">
        <v>409265.83100000001</v>
      </c>
      <c r="H512" s="5">
        <f t="shared" si="5"/>
        <v>0</v>
      </c>
      <c r="I512" t="s">
        <v>186</v>
      </c>
      <c r="J512" t="s">
        <v>178</v>
      </c>
      <c r="K512" s="5">
        <f>43 / 86400</f>
        <v>4.9768518518518521E-4</v>
      </c>
      <c r="L512" s="5">
        <f>20 / 86400</f>
        <v>2.3148148148148149E-4</v>
      </c>
    </row>
    <row r="513" spans="1:12" x14ac:dyDescent="0.25">
      <c r="A513" s="3">
        <v>45712.840335648143</v>
      </c>
      <c r="B513" t="s">
        <v>380</v>
      </c>
      <c r="C513" s="3">
        <v>45712.840636574074</v>
      </c>
      <c r="D513" t="s">
        <v>382</v>
      </c>
      <c r="E513" s="4">
        <v>3.9E-2</v>
      </c>
      <c r="F513" s="4">
        <v>409265.83100000001</v>
      </c>
      <c r="G513" s="4">
        <v>409265.87</v>
      </c>
      <c r="H513" s="5">
        <f t="shared" si="5"/>
        <v>0</v>
      </c>
      <c r="I513" t="s">
        <v>32</v>
      </c>
      <c r="J513" t="s">
        <v>32</v>
      </c>
      <c r="K513" s="5">
        <f>25 / 86400</f>
        <v>2.8935185185185184E-4</v>
      </c>
      <c r="L513" s="5">
        <f>2 / 86400</f>
        <v>2.3148148148148147E-5</v>
      </c>
    </row>
    <row r="514" spans="1:12" x14ac:dyDescent="0.25">
      <c r="A514" s="3">
        <v>45712.84065972222</v>
      </c>
      <c r="B514" t="s">
        <v>382</v>
      </c>
      <c r="C514" s="3">
        <v>45712.841990740737</v>
      </c>
      <c r="D514" t="s">
        <v>282</v>
      </c>
      <c r="E514" s="4">
        <v>0.69299999999999995</v>
      </c>
      <c r="F514" s="4">
        <v>409265.87</v>
      </c>
      <c r="G514" s="4">
        <v>409266.56300000002</v>
      </c>
      <c r="H514" s="5">
        <f>12 / 86400</f>
        <v>1.3888888888888889E-4</v>
      </c>
      <c r="I514" t="s">
        <v>157</v>
      </c>
      <c r="J514" t="s">
        <v>134</v>
      </c>
      <c r="K514" s="5">
        <f>115 / 86400</f>
        <v>1.3310185185185185E-3</v>
      </c>
      <c r="L514" s="5">
        <f>9 / 86400</f>
        <v>1.0416666666666667E-4</v>
      </c>
    </row>
    <row r="515" spans="1:12" x14ac:dyDescent="0.25">
      <c r="A515" s="3">
        <v>45712.842094907406</v>
      </c>
      <c r="B515" t="s">
        <v>282</v>
      </c>
      <c r="C515" s="3">
        <v>45712.842222222222</v>
      </c>
      <c r="D515" t="s">
        <v>282</v>
      </c>
      <c r="E515" s="4">
        <v>2.4E-2</v>
      </c>
      <c r="F515" s="4">
        <v>409266.57299999997</v>
      </c>
      <c r="G515" s="4">
        <v>409266.59700000001</v>
      </c>
      <c r="H515" s="5">
        <f>0 / 86400</f>
        <v>0</v>
      </c>
      <c r="I515" t="s">
        <v>139</v>
      </c>
      <c r="J515" t="s">
        <v>92</v>
      </c>
      <c r="K515" s="5">
        <f>11 / 86400</f>
        <v>1.273148148148148E-4</v>
      </c>
      <c r="L515" s="5">
        <f>5 / 86400</f>
        <v>5.7870370370370373E-5</v>
      </c>
    </row>
    <row r="516" spans="1:12" x14ac:dyDescent="0.25">
      <c r="A516" s="3">
        <v>45712.842280092591</v>
      </c>
      <c r="B516" t="s">
        <v>282</v>
      </c>
      <c r="C516" s="3">
        <v>45712.842523148152</v>
      </c>
      <c r="D516" t="s">
        <v>282</v>
      </c>
      <c r="E516" s="4">
        <v>0.13600000000000001</v>
      </c>
      <c r="F516" s="4">
        <v>409266.61300000001</v>
      </c>
      <c r="G516" s="4">
        <v>409266.74900000001</v>
      </c>
      <c r="H516" s="5">
        <f>0 / 86400</f>
        <v>0</v>
      </c>
      <c r="I516" t="s">
        <v>190</v>
      </c>
      <c r="J516" t="s">
        <v>139</v>
      </c>
      <c r="K516" s="5">
        <f>21 / 86400</f>
        <v>2.4305555555555555E-4</v>
      </c>
      <c r="L516" s="5">
        <f>5 / 86400</f>
        <v>5.7870370370370373E-5</v>
      </c>
    </row>
    <row r="517" spans="1:12" x14ac:dyDescent="0.25">
      <c r="A517" s="3">
        <v>45712.842581018514</v>
      </c>
      <c r="B517" t="s">
        <v>282</v>
      </c>
      <c r="C517" s="3">
        <v>45712.8440625</v>
      </c>
      <c r="D517" t="s">
        <v>283</v>
      </c>
      <c r="E517" s="4">
        <v>0.876</v>
      </c>
      <c r="F517" s="4">
        <v>409266.74900000001</v>
      </c>
      <c r="G517" s="4">
        <v>409267.625</v>
      </c>
      <c r="H517" s="5">
        <f>7 / 86400</f>
        <v>8.1018518518518516E-5</v>
      </c>
      <c r="I517" t="s">
        <v>160</v>
      </c>
      <c r="J517" t="s">
        <v>202</v>
      </c>
      <c r="K517" s="5">
        <f>128 / 86400</f>
        <v>1.4814814814814814E-3</v>
      </c>
      <c r="L517" s="5">
        <f>12 / 86400</f>
        <v>1.3888888888888889E-4</v>
      </c>
    </row>
    <row r="518" spans="1:12" x14ac:dyDescent="0.25">
      <c r="A518" s="3">
        <v>45712.844201388885</v>
      </c>
      <c r="B518" t="s">
        <v>283</v>
      </c>
      <c r="C518" s="3">
        <v>45712.844328703708</v>
      </c>
      <c r="D518" t="s">
        <v>283</v>
      </c>
      <c r="E518" s="4">
        <v>3.3000000000000002E-2</v>
      </c>
      <c r="F518" s="4">
        <v>409267.625</v>
      </c>
      <c r="G518" s="4">
        <v>409267.658</v>
      </c>
      <c r="H518" s="5">
        <f>0 / 86400</f>
        <v>0</v>
      </c>
      <c r="I518" t="s">
        <v>137</v>
      </c>
      <c r="J518" t="s">
        <v>42</v>
      </c>
      <c r="K518" s="5">
        <f>11 / 86400</f>
        <v>1.273148148148148E-4</v>
      </c>
      <c r="L518" s="5">
        <f>22 / 86400</f>
        <v>2.5462962962962961E-4</v>
      </c>
    </row>
    <row r="519" spans="1:12" x14ac:dyDescent="0.25">
      <c r="A519" s="3">
        <v>45712.844583333332</v>
      </c>
      <c r="B519" t="s">
        <v>283</v>
      </c>
      <c r="C519" s="3">
        <v>45712.844965277778</v>
      </c>
      <c r="D519" t="s">
        <v>383</v>
      </c>
      <c r="E519" s="4">
        <v>0.17799999999999999</v>
      </c>
      <c r="F519" s="4">
        <v>409267.66</v>
      </c>
      <c r="G519" s="4">
        <v>409267.83799999999</v>
      </c>
      <c r="H519" s="5">
        <f>0 / 86400</f>
        <v>0</v>
      </c>
      <c r="I519" t="s">
        <v>184</v>
      </c>
      <c r="J519" t="s">
        <v>137</v>
      </c>
      <c r="K519" s="5">
        <f>33 / 86400</f>
        <v>3.8194444444444446E-4</v>
      </c>
      <c r="L519" s="5">
        <f>22 / 86400</f>
        <v>2.5462962962962961E-4</v>
      </c>
    </row>
    <row r="520" spans="1:12" x14ac:dyDescent="0.25">
      <c r="A520" s="3">
        <v>45712.845219907409</v>
      </c>
      <c r="B520" t="s">
        <v>383</v>
      </c>
      <c r="C520" s="3">
        <v>45712.845694444448</v>
      </c>
      <c r="D520" t="s">
        <v>384</v>
      </c>
      <c r="E520" s="4">
        <v>0.24099999999999999</v>
      </c>
      <c r="F520" s="4">
        <v>409267.83799999999</v>
      </c>
      <c r="G520" s="4">
        <v>409268.07900000003</v>
      </c>
      <c r="H520" s="5">
        <f>0 / 86400</f>
        <v>0</v>
      </c>
      <c r="I520" t="s">
        <v>178</v>
      </c>
      <c r="J520" t="s">
        <v>36</v>
      </c>
      <c r="K520" s="5">
        <f>41 / 86400</f>
        <v>4.7453703703703704E-4</v>
      </c>
      <c r="L520" s="5">
        <f>5 / 86400</f>
        <v>5.7870370370370373E-5</v>
      </c>
    </row>
    <row r="521" spans="1:12" x14ac:dyDescent="0.25">
      <c r="A521" s="3">
        <v>45712.84575231481</v>
      </c>
      <c r="B521" t="s">
        <v>384</v>
      </c>
      <c r="C521" s="3">
        <v>45712.846134259264</v>
      </c>
      <c r="D521" t="s">
        <v>385</v>
      </c>
      <c r="E521" s="4">
        <v>4.1000000000000002E-2</v>
      </c>
      <c r="F521" s="4">
        <v>409268.07900000003</v>
      </c>
      <c r="G521" s="4">
        <v>409268.12</v>
      </c>
      <c r="H521" s="5">
        <f>8 / 86400</f>
        <v>9.2592592592592588E-5</v>
      </c>
      <c r="I521" t="s">
        <v>59</v>
      </c>
      <c r="J521" t="s">
        <v>129</v>
      </c>
      <c r="K521" s="5">
        <f>33 / 86400</f>
        <v>3.8194444444444446E-4</v>
      </c>
      <c r="L521" s="5">
        <f>1 / 86400</f>
        <v>1.1574074074074073E-5</v>
      </c>
    </row>
    <row r="522" spans="1:12" x14ac:dyDescent="0.25">
      <c r="A522" s="3">
        <v>45712.846145833333</v>
      </c>
      <c r="B522" t="s">
        <v>385</v>
      </c>
      <c r="C522" s="3">
        <v>45712.846597222218</v>
      </c>
      <c r="D522" t="s">
        <v>386</v>
      </c>
      <c r="E522" s="4">
        <v>0.216</v>
      </c>
      <c r="F522" s="4">
        <v>409268.12300000002</v>
      </c>
      <c r="G522" s="4">
        <v>409268.33899999998</v>
      </c>
      <c r="H522" s="5">
        <f t="shared" ref="H522:H528" si="6">0 / 86400</f>
        <v>0</v>
      </c>
      <c r="I522" t="s">
        <v>202</v>
      </c>
      <c r="J522" t="s">
        <v>112</v>
      </c>
      <c r="K522" s="5">
        <f>39 / 86400</f>
        <v>4.5138888888888887E-4</v>
      </c>
      <c r="L522" s="5">
        <f>2 / 86400</f>
        <v>2.3148148148148147E-5</v>
      </c>
    </row>
    <row r="523" spans="1:12" x14ac:dyDescent="0.25">
      <c r="A523" s="3">
        <v>45712.846620370372</v>
      </c>
      <c r="B523" t="s">
        <v>386</v>
      </c>
      <c r="C523" s="3">
        <v>45712.846770833334</v>
      </c>
      <c r="D523" t="s">
        <v>386</v>
      </c>
      <c r="E523" s="4">
        <v>2.5000000000000001E-2</v>
      </c>
      <c r="F523" s="4">
        <v>409268.33899999998</v>
      </c>
      <c r="G523" s="4">
        <v>409268.364</v>
      </c>
      <c r="H523" s="5">
        <f t="shared" si="6"/>
        <v>0</v>
      </c>
      <c r="I523" t="s">
        <v>51</v>
      </c>
      <c r="J523" t="s">
        <v>99</v>
      </c>
      <c r="K523" s="5">
        <f>13 / 86400</f>
        <v>1.5046296296296297E-4</v>
      </c>
      <c r="L523" s="5">
        <f>3 / 86400</f>
        <v>3.4722222222222222E-5</v>
      </c>
    </row>
    <row r="524" spans="1:12" x14ac:dyDescent="0.25">
      <c r="A524" s="3">
        <v>45712.846805555557</v>
      </c>
      <c r="B524" t="s">
        <v>386</v>
      </c>
      <c r="C524" s="3">
        <v>45712.847013888888</v>
      </c>
      <c r="D524" t="s">
        <v>386</v>
      </c>
      <c r="E524" s="4">
        <v>7.0000000000000001E-3</v>
      </c>
      <c r="F524" s="4">
        <v>409268.364</v>
      </c>
      <c r="G524" s="4">
        <v>409268.37099999998</v>
      </c>
      <c r="H524" s="5">
        <f t="shared" si="6"/>
        <v>0</v>
      </c>
      <c r="I524" t="s">
        <v>143</v>
      </c>
      <c r="J524" t="s">
        <v>143</v>
      </c>
      <c r="K524" s="5">
        <f>18 / 86400</f>
        <v>2.0833333333333335E-4</v>
      </c>
      <c r="L524" s="5">
        <f>22 / 86400</f>
        <v>2.5462962962962961E-4</v>
      </c>
    </row>
    <row r="525" spans="1:12" x14ac:dyDescent="0.25">
      <c r="A525" s="3">
        <v>45712.847268518519</v>
      </c>
      <c r="B525" t="s">
        <v>386</v>
      </c>
      <c r="C525" s="3">
        <v>45712.847453703704</v>
      </c>
      <c r="D525" t="s">
        <v>283</v>
      </c>
      <c r="E525" s="4">
        <v>7.0000000000000007E-2</v>
      </c>
      <c r="F525" s="4">
        <v>409268.37099999998</v>
      </c>
      <c r="G525" s="4">
        <v>409268.44099999999</v>
      </c>
      <c r="H525" s="5">
        <f t="shared" si="6"/>
        <v>0</v>
      </c>
      <c r="I525" t="s">
        <v>170</v>
      </c>
      <c r="J525" t="s">
        <v>30</v>
      </c>
      <c r="K525" s="5">
        <f>15 / 86400</f>
        <v>1.7361111111111112E-4</v>
      </c>
      <c r="L525" s="5">
        <f>23 / 86400</f>
        <v>2.6620370370370372E-4</v>
      </c>
    </row>
    <row r="526" spans="1:12" x14ac:dyDescent="0.25">
      <c r="A526" s="3">
        <v>45712.847719907411</v>
      </c>
      <c r="B526" t="s">
        <v>387</v>
      </c>
      <c r="C526" s="3">
        <v>45712.847916666666</v>
      </c>
      <c r="D526" t="s">
        <v>388</v>
      </c>
      <c r="E526" s="4">
        <v>5.8000000000000003E-2</v>
      </c>
      <c r="F526" s="4">
        <v>409268.44099999999</v>
      </c>
      <c r="G526" s="4">
        <v>409268.49900000001</v>
      </c>
      <c r="H526" s="5">
        <f t="shared" si="6"/>
        <v>0</v>
      </c>
      <c r="I526" t="s">
        <v>30</v>
      </c>
      <c r="J526" t="s">
        <v>145</v>
      </c>
      <c r="K526" s="5">
        <f>17 / 86400</f>
        <v>1.9675925925925926E-4</v>
      </c>
      <c r="L526" s="5">
        <f>9 / 86400</f>
        <v>1.0416666666666667E-4</v>
      </c>
    </row>
    <row r="527" spans="1:12" x14ac:dyDescent="0.25">
      <c r="A527" s="3">
        <v>45712.848020833335</v>
      </c>
      <c r="B527" t="s">
        <v>388</v>
      </c>
      <c r="C527" s="3">
        <v>45712.848159722227</v>
      </c>
      <c r="D527" t="s">
        <v>295</v>
      </c>
      <c r="E527" s="4">
        <v>5.1999999999999998E-2</v>
      </c>
      <c r="F527" s="4">
        <v>409268.49900000001</v>
      </c>
      <c r="G527" s="4">
        <v>409268.55099999998</v>
      </c>
      <c r="H527" s="5">
        <f t="shared" si="6"/>
        <v>0</v>
      </c>
      <c r="I527" t="s">
        <v>36</v>
      </c>
      <c r="J527" t="s">
        <v>34</v>
      </c>
      <c r="K527" s="5">
        <f>12 / 86400</f>
        <v>1.3888888888888889E-4</v>
      </c>
      <c r="L527" s="5">
        <f>11 / 86400</f>
        <v>1.273148148148148E-4</v>
      </c>
    </row>
    <row r="528" spans="1:12" x14ac:dyDescent="0.25">
      <c r="A528" s="3">
        <v>45712.848287037035</v>
      </c>
      <c r="B528" t="s">
        <v>388</v>
      </c>
      <c r="C528" s="3">
        <v>45712.848750000005</v>
      </c>
      <c r="D528" t="s">
        <v>283</v>
      </c>
      <c r="E528" s="4">
        <v>0.187</v>
      </c>
      <c r="F528" s="4">
        <v>409268.55200000003</v>
      </c>
      <c r="G528" s="4">
        <v>409268.739</v>
      </c>
      <c r="H528" s="5">
        <f t="shared" si="6"/>
        <v>0</v>
      </c>
      <c r="I528" t="s">
        <v>134</v>
      </c>
      <c r="J528" t="s">
        <v>30</v>
      </c>
      <c r="K528" s="5">
        <f>39 / 86400</f>
        <v>4.5138888888888887E-4</v>
      </c>
      <c r="L528" s="5">
        <f>19 / 86400</f>
        <v>2.199074074074074E-4</v>
      </c>
    </row>
    <row r="529" spans="1:12" x14ac:dyDescent="0.25">
      <c r="A529" s="3">
        <v>45712.848969907413</v>
      </c>
      <c r="B529" t="s">
        <v>283</v>
      </c>
      <c r="C529" s="3">
        <v>45712.852962962963</v>
      </c>
      <c r="D529" t="s">
        <v>284</v>
      </c>
      <c r="E529" s="4">
        <v>0.25</v>
      </c>
      <c r="F529" s="4">
        <v>409268.739</v>
      </c>
      <c r="G529" s="4">
        <v>409268.989</v>
      </c>
      <c r="H529" s="5">
        <f>140 / 86400</f>
        <v>1.6203703703703703E-3</v>
      </c>
      <c r="I529" t="s">
        <v>51</v>
      </c>
      <c r="J529" t="s">
        <v>95</v>
      </c>
      <c r="K529" s="5">
        <f>345 / 86400</f>
        <v>3.9930555555555552E-3</v>
      </c>
      <c r="L529" s="5">
        <f>2 / 86400</f>
        <v>2.3148148148148147E-5</v>
      </c>
    </row>
    <row r="530" spans="1:12" x14ac:dyDescent="0.25">
      <c r="A530" s="3">
        <v>45712.852986111116</v>
      </c>
      <c r="B530" t="s">
        <v>284</v>
      </c>
      <c r="C530" s="3">
        <v>45712.853101851855</v>
      </c>
      <c r="D530" t="s">
        <v>284</v>
      </c>
      <c r="E530" s="4">
        <v>8.9999999999999993E-3</v>
      </c>
      <c r="F530" s="4">
        <v>409268.989</v>
      </c>
      <c r="G530" s="4">
        <v>409268.99800000002</v>
      </c>
      <c r="H530" s="5">
        <f>0 / 86400</f>
        <v>0</v>
      </c>
      <c r="I530" t="s">
        <v>150</v>
      </c>
      <c r="J530" t="s">
        <v>95</v>
      </c>
      <c r="K530" s="5">
        <f>10 / 86400</f>
        <v>1.1574074074074075E-4</v>
      </c>
      <c r="L530" s="5">
        <f>41 / 86400</f>
        <v>4.7453703703703704E-4</v>
      </c>
    </row>
    <row r="531" spans="1:12" x14ac:dyDescent="0.25">
      <c r="A531" s="3">
        <v>45712.853576388894</v>
      </c>
      <c r="B531" t="s">
        <v>284</v>
      </c>
      <c r="C531" s="3">
        <v>45712.85361111111</v>
      </c>
      <c r="D531" t="s">
        <v>284</v>
      </c>
      <c r="E531" s="4">
        <v>3.0000000000000001E-3</v>
      </c>
      <c r="F531" s="4">
        <v>409268.99800000002</v>
      </c>
      <c r="G531" s="4">
        <v>409269.00099999999</v>
      </c>
      <c r="H531" s="5">
        <f>0 / 86400</f>
        <v>0</v>
      </c>
      <c r="I531" t="s">
        <v>95</v>
      </c>
      <c r="J531" t="s">
        <v>129</v>
      </c>
      <c r="K531" s="5">
        <f>3 / 86400</f>
        <v>3.4722222222222222E-5</v>
      </c>
      <c r="L531" s="5">
        <f>2 / 86400</f>
        <v>2.3148148148148147E-5</v>
      </c>
    </row>
    <row r="532" spans="1:12" x14ac:dyDescent="0.25">
      <c r="A532" s="3">
        <v>45712.853634259256</v>
      </c>
      <c r="B532" t="s">
        <v>284</v>
      </c>
      <c r="C532" s="3">
        <v>45712.853692129633</v>
      </c>
      <c r="D532" t="s">
        <v>284</v>
      </c>
      <c r="E532" s="4">
        <v>3.0000000000000001E-3</v>
      </c>
      <c r="F532" s="4">
        <v>409269.00099999999</v>
      </c>
      <c r="G532" s="4">
        <v>409269.00400000002</v>
      </c>
      <c r="H532" s="5">
        <f>0 / 86400</f>
        <v>0</v>
      </c>
      <c r="I532" t="s">
        <v>95</v>
      </c>
      <c r="J532" t="s">
        <v>150</v>
      </c>
      <c r="K532" s="5">
        <f>5 / 86400</f>
        <v>5.7870370370370373E-5</v>
      </c>
      <c r="L532" s="5">
        <f>22 / 86400</f>
        <v>2.5462962962962961E-4</v>
      </c>
    </row>
    <row r="533" spans="1:12" x14ac:dyDescent="0.25">
      <c r="A533" s="3">
        <v>45712.853946759264</v>
      </c>
      <c r="B533" t="s">
        <v>284</v>
      </c>
      <c r="C533" s="3">
        <v>45712.857881944445</v>
      </c>
      <c r="D533" t="s">
        <v>283</v>
      </c>
      <c r="E533" s="4">
        <v>0.44800000000000001</v>
      </c>
      <c r="F533" s="4">
        <v>409269.005</v>
      </c>
      <c r="G533" s="4">
        <v>409269.45299999998</v>
      </c>
      <c r="H533" s="5">
        <f>182 / 86400</f>
        <v>2.1064814814814813E-3</v>
      </c>
      <c r="I533" t="s">
        <v>134</v>
      </c>
      <c r="J533" t="s">
        <v>57</v>
      </c>
      <c r="K533" s="5">
        <f>340 / 86400</f>
        <v>3.9351851851851848E-3</v>
      </c>
      <c r="L533" s="5">
        <f>2 / 86400</f>
        <v>2.3148148148148147E-5</v>
      </c>
    </row>
    <row r="534" spans="1:12" x14ac:dyDescent="0.25">
      <c r="A534" s="3">
        <v>45712.857905092591</v>
      </c>
      <c r="B534" t="s">
        <v>283</v>
      </c>
      <c r="C534" s="3">
        <v>45712.858668981484</v>
      </c>
      <c r="D534" t="s">
        <v>389</v>
      </c>
      <c r="E534" s="4">
        <v>0.443</v>
      </c>
      <c r="F534" s="4">
        <v>409269.45299999998</v>
      </c>
      <c r="G534" s="4">
        <v>409269.89600000001</v>
      </c>
      <c r="H534" s="5">
        <f>0 / 86400</f>
        <v>0</v>
      </c>
      <c r="I534" t="s">
        <v>178</v>
      </c>
      <c r="J534" t="s">
        <v>182</v>
      </c>
      <c r="K534" s="5">
        <f>66 / 86400</f>
        <v>7.6388888888888893E-4</v>
      </c>
      <c r="L534" s="5">
        <f>2 / 86400</f>
        <v>2.3148148148148147E-5</v>
      </c>
    </row>
    <row r="535" spans="1:12" x14ac:dyDescent="0.25">
      <c r="A535" s="3">
        <v>45712.85869212963</v>
      </c>
      <c r="B535" t="s">
        <v>390</v>
      </c>
      <c r="C535" s="3">
        <v>45712.859421296293</v>
      </c>
      <c r="D535" t="s">
        <v>22</v>
      </c>
      <c r="E535" s="4">
        <v>0.34200000000000003</v>
      </c>
      <c r="F535" s="4">
        <v>409269.89899999998</v>
      </c>
      <c r="G535" s="4">
        <v>409270.24099999998</v>
      </c>
      <c r="H535" s="5">
        <f>20 / 86400</f>
        <v>2.3148148148148149E-4</v>
      </c>
      <c r="I535" t="s">
        <v>31</v>
      </c>
      <c r="J535" t="s">
        <v>112</v>
      </c>
      <c r="K535" s="5">
        <f>63 / 86400</f>
        <v>7.291666666666667E-4</v>
      </c>
      <c r="L535" s="5">
        <f>3 / 86400</f>
        <v>3.4722222222222222E-5</v>
      </c>
    </row>
    <row r="536" spans="1:12" x14ac:dyDescent="0.25">
      <c r="A536" s="3">
        <v>45712.859456018516</v>
      </c>
      <c r="B536" t="s">
        <v>22</v>
      </c>
      <c r="C536" s="3">
        <v>45712.859583333338</v>
      </c>
      <c r="D536" t="s">
        <v>22</v>
      </c>
      <c r="E536" s="4">
        <v>0.03</v>
      </c>
      <c r="F536" s="4">
        <v>409270.24099999998</v>
      </c>
      <c r="G536" s="4">
        <v>409270.27100000001</v>
      </c>
      <c r="H536" s="5">
        <f>0 / 86400</f>
        <v>0</v>
      </c>
      <c r="I536" t="s">
        <v>137</v>
      </c>
      <c r="J536" t="s">
        <v>51</v>
      </c>
      <c r="K536" s="5">
        <f>11 / 86400</f>
        <v>1.273148148148148E-4</v>
      </c>
      <c r="L536" s="5">
        <f>2 / 86400</f>
        <v>2.3148148148148147E-5</v>
      </c>
    </row>
    <row r="537" spans="1:12" x14ac:dyDescent="0.25">
      <c r="A537" s="3">
        <v>45712.859606481477</v>
      </c>
      <c r="B537" t="s">
        <v>22</v>
      </c>
      <c r="C537" s="3">
        <v>45712.860243055555</v>
      </c>
      <c r="D537" t="s">
        <v>22</v>
      </c>
      <c r="E537" s="4">
        <v>0.36399999999999999</v>
      </c>
      <c r="F537" s="4">
        <v>409270.27100000001</v>
      </c>
      <c r="G537" s="4">
        <v>409270.63500000001</v>
      </c>
      <c r="H537" s="5">
        <f>0 / 86400</f>
        <v>0</v>
      </c>
      <c r="I537" t="s">
        <v>170</v>
      </c>
      <c r="J537" t="s">
        <v>182</v>
      </c>
      <c r="K537" s="5">
        <f>55 / 86400</f>
        <v>6.3657407407407413E-4</v>
      </c>
      <c r="L537" s="5">
        <f>5 / 86400</f>
        <v>5.7870370370370373E-5</v>
      </c>
    </row>
    <row r="538" spans="1:12" x14ac:dyDescent="0.25">
      <c r="A538" s="3">
        <v>45712.860300925924</v>
      </c>
      <c r="B538" t="s">
        <v>22</v>
      </c>
      <c r="C538" s="3">
        <v>45712.860682870371</v>
      </c>
      <c r="D538" t="s">
        <v>22</v>
      </c>
      <c r="E538" s="4">
        <v>0.221</v>
      </c>
      <c r="F538" s="4">
        <v>409270.63500000001</v>
      </c>
      <c r="G538" s="4">
        <v>409270.85600000003</v>
      </c>
      <c r="H538" s="5">
        <f>0 / 86400</f>
        <v>0</v>
      </c>
      <c r="I538" t="s">
        <v>184</v>
      </c>
      <c r="J538" t="s">
        <v>202</v>
      </c>
      <c r="K538" s="5">
        <f>32 / 86400</f>
        <v>3.7037037037037035E-4</v>
      </c>
      <c r="L538" s="5">
        <f>7 / 86400</f>
        <v>8.1018518518518516E-5</v>
      </c>
    </row>
    <row r="539" spans="1:12" x14ac:dyDescent="0.25">
      <c r="A539" s="3">
        <v>45712.860763888893</v>
      </c>
      <c r="B539" t="s">
        <v>22</v>
      </c>
      <c r="C539" s="3">
        <v>45712.867372685185</v>
      </c>
      <c r="D539" t="s">
        <v>68</v>
      </c>
      <c r="E539" s="4">
        <v>3.012</v>
      </c>
      <c r="F539" s="4">
        <v>409270.85600000003</v>
      </c>
      <c r="G539" s="4">
        <v>409273.86800000002</v>
      </c>
      <c r="H539" s="5">
        <f>79 / 86400</f>
        <v>9.1435185185185185E-4</v>
      </c>
      <c r="I539" t="s">
        <v>186</v>
      </c>
      <c r="J539" t="s">
        <v>137</v>
      </c>
      <c r="K539" s="5">
        <f>571 / 86400</f>
        <v>6.6087962962962966E-3</v>
      </c>
      <c r="L539" s="5">
        <f>151 / 86400</f>
        <v>1.7476851851851852E-3</v>
      </c>
    </row>
    <row r="540" spans="1:12" x14ac:dyDescent="0.25">
      <c r="A540" s="3">
        <v>45712.869120370371</v>
      </c>
      <c r="B540" t="s">
        <v>68</v>
      </c>
      <c r="C540" s="3">
        <v>45712.881122685183</v>
      </c>
      <c r="D540" t="s">
        <v>373</v>
      </c>
      <c r="E540" s="4">
        <v>0.79300000000000004</v>
      </c>
      <c r="F540" s="4">
        <v>409273.86800000002</v>
      </c>
      <c r="G540" s="4">
        <v>409274.66100000002</v>
      </c>
      <c r="H540" s="5">
        <f>879 / 86400</f>
        <v>1.0173611111111111E-2</v>
      </c>
      <c r="I540" t="s">
        <v>200</v>
      </c>
      <c r="J540" t="s">
        <v>95</v>
      </c>
      <c r="K540" s="5">
        <f>1037 / 86400</f>
        <v>1.2002314814814815E-2</v>
      </c>
      <c r="L540" s="5">
        <f>4 / 86400</f>
        <v>4.6296296296296294E-5</v>
      </c>
    </row>
    <row r="541" spans="1:12" x14ac:dyDescent="0.25">
      <c r="A541" s="3">
        <v>45712.881168981483</v>
      </c>
      <c r="B541" t="s">
        <v>373</v>
      </c>
      <c r="C541" s="3">
        <v>45712.893437499995</v>
      </c>
      <c r="D541" t="s">
        <v>40</v>
      </c>
      <c r="E541" s="4">
        <v>0.66900000000000004</v>
      </c>
      <c r="F541" s="4">
        <v>409274.66100000002</v>
      </c>
      <c r="G541" s="4">
        <v>409275.33</v>
      </c>
      <c r="H541" s="5">
        <f>829 / 86400</f>
        <v>9.5949074074074079E-3</v>
      </c>
      <c r="I541" t="s">
        <v>137</v>
      </c>
      <c r="J541" t="s">
        <v>150</v>
      </c>
      <c r="K541" s="5">
        <f>1060 / 86400</f>
        <v>1.2268518518518519E-2</v>
      </c>
      <c r="L541" s="5">
        <f>9206 / 86400</f>
        <v>0.10655092592592592</v>
      </c>
    </row>
    <row r="542" spans="1:12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</row>
    <row r="543" spans="1:12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</row>
    <row r="544" spans="1:12" s="10" customFormat="1" ht="20.100000000000001" customHeight="1" x14ac:dyDescent="0.35">
      <c r="A544" s="15" t="s">
        <v>453</v>
      </c>
      <c r="B544" s="15"/>
      <c r="C544" s="15"/>
      <c r="D544" s="15"/>
      <c r="E544" s="15"/>
      <c r="F544" s="15"/>
      <c r="G544" s="15"/>
      <c r="H544" s="15"/>
      <c r="I544" s="15"/>
      <c r="J544" s="15"/>
    </row>
    <row r="545" spans="1:12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</row>
    <row r="546" spans="1:12" ht="30" x14ac:dyDescent="0.25">
      <c r="A546" s="2" t="s">
        <v>6</v>
      </c>
      <c r="B546" s="2" t="s">
        <v>7</v>
      </c>
      <c r="C546" s="2" t="s">
        <v>8</v>
      </c>
      <c r="D546" s="2" t="s">
        <v>9</v>
      </c>
      <c r="E546" s="2" t="s">
        <v>10</v>
      </c>
      <c r="F546" s="2" t="s">
        <v>11</v>
      </c>
      <c r="G546" s="2" t="s">
        <v>12</v>
      </c>
      <c r="H546" s="2" t="s">
        <v>13</v>
      </c>
      <c r="I546" s="2" t="s">
        <v>14</v>
      </c>
      <c r="J546" s="2" t="s">
        <v>15</v>
      </c>
      <c r="K546" s="2" t="s">
        <v>16</v>
      </c>
      <c r="L546" s="2" t="s">
        <v>17</v>
      </c>
    </row>
    <row r="547" spans="1:12" x14ac:dyDescent="0.25">
      <c r="A547" s="3">
        <v>45712.217685185184</v>
      </c>
      <c r="B547" t="s">
        <v>43</v>
      </c>
      <c r="C547" s="3">
        <v>45712.475763888884</v>
      </c>
      <c r="D547" t="s">
        <v>149</v>
      </c>
      <c r="E547" s="4">
        <v>101.83499999999999</v>
      </c>
      <c r="F547" s="4">
        <v>438905.68599999999</v>
      </c>
      <c r="G547" s="4">
        <v>439007.52100000001</v>
      </c>
      <c r="H547" s="5">
        <f>7139 / 86400</f>
        <v>8.262731481481482E-2</v>
      </c>
      <c r="I547" t="s">
        <v>44</v>
      </c>
      <c r="J547" t="s">
        <v>34</v>
      </c>
      <c r="K547" s="5">
        <f>22297 / 86400</f>
        <v>0.25806712962962963</v>
      </c>
      <c r="L547" s="5">
        <f>20737 / 86400</f>
        <v>0.24001157407407409</v>
      </c>
    </row>
    <row r="548" spans="1:12" x14ac:dyDescent="0.25">
      <c r="A548" s="3">
        <v>45712.498090277775</v>
      </c>
      <c r="B548" t="s">
        <v>149</v>
      </c>
      <c r="C548" s="3">
        <v>45712.505416666667</v>
      </c>
      <c r="D548" t="s">
        <v>151</v>
      </c>
      <c r="E548" s="4">
        <v>1.3320000000000001</v>
      </c>
      <c r="F548" s="4">
        <v>439007.52100000001</v>
      </c>
      <c r="G548" s="4">
        <v>439008.853</v>
      </c>
      <c r="H548" s="5">
        <f>279 / 86400</f>
        <v>3.2291666666666666E-3</v>
      </c>
      <c r="I548" t="s">
        <v>31</v>
      </c>
      <c r="J548" t="s">
        <v>92</v>
      </c>
      <c r="K548" s="5">
        <f>633 / 86400</f>
        <v>7.3263888888888892E-3</v>
      </c>
      <c r="L548" s="5">
        <f>1732 / 86400</f>
        <v>2.0046296296296295E-2</v>
      </c>
    </row>
    <row r="549" spans="1:12" x14ac:dyDescent="0.25">
      <c r="A549" s="3">
        <v>45712.525462962964</v>
      </c>
      <c r="B549" t="s">
        <v>151</v>
      </c>
      <c r="C549" s="3">
        <v>45712.630254629628</v>
      </c>
      <c r="D549" t="s">
        <v>213</v>
      </c>
      <c r="E549" s="4">
        <v>43.542999999999999</v>
      </c>
      <c r="F549" s="4">
        <v>439008.853</v>
      </c>
      <c r="G549" s="4">
        <v>439052.39600000001</v>
      </c>
      <c r="H549" s="5">
        <f>2940 / 86400</f>
        <v>3.4027777777777775E-2</v>
      </c>
      <c r="I549" t="s">
        <v>44</v>
      </c>
      <c r="J549" t="s">
        <v>30</v>
      </c>
      <c r="K549" s="5">
        <f>9054 / 86400</f>
        <v>0.10479166666666667</v>
      </c>
      <c r="L549" s="5">
        <f>1 / 86400</f>
        <v>1.1574074074074073E-5</v>
      </c>
    </row>
    <row r="550" spans="1:12" x14ac:dyDescent="0.25">
      <c r="A550" s="3">
        <v>45712.630266203705</v>
      </c>
      <c r="B550" t="s">
        <v>213</v>
      </c>
      <c r="C550" s="3">
        <v>45712.768009259264</v>
      </c>
      <c r="D550" t="s">
        <v>391</v>
      </c>
      <c r="E550" s="4">
        <v>47.436999999999998</v>
      </c>
      <c r="F550" s="4">
        <v>439052.39600000001</v>
      </c>
      <c r="G550" s="4">
        <v>439099.83299999998</v>
      </c>
      <c r="H550" s="5">
        <f>4124 / 86400</f>
        <v>4.7731481481481479E-2</v>
      </c>
      <c r="I550" t="s">
        <v>176</v>
      </c>
      <c r="J550" t="s">
        <v>48</v>
      </c>
      <c r="K550" s="5">
        <f>11901 / 86400</f>
        <v>0.13774305555555555</v>
      </c>
      <c r="L550" s="5">
        <f>167 / 86400</f>
        <v>1.9328703703703704E-3</v>
      </c>
    </row>
    <row r="551" spans="1:12" x14ac:dyDescent="0.25">
      <c r="A551" s="3">
        <v>45712.769942129627</v>
      </c>
      <c r="B551" t="s">
        <v>391</v>
      </c>
      <c r="C551" s="3">
        <v>45712.782164351855</v>
      </c>
      <c r="D551" t="s">
        <v>68</v>
      </c>
      <c r="E551" s="4">
        <v>4.1189999999999998</v>
      </c>
      <c r="F551" s="4">
        <v>439099.83299999998</v>
      </c>
      <c r="G551" s="4">
        <v>439103.95199999999</v>
      </c>
      <c r="H551" s="5">
        <f>260 / 86400</f>
        <v>3.0092592592592593E-3</v>
      </c>
      <c r="I551" t="s">
        <v>290</v>
      </c>
      <c r="J551" t="s">
        <v>48</v>
      </c>
      <c r="K551" s="5">
        <f>1056 / 86400</f>
        <v>1.2222222222222223E-2</v>
      </c>
      <c r="L551" s="5">
        <f>759 / 86400</f>
        <v>8.7847222222222215E-3</v>
      </c>
    </row>
    <row r="552" spans="1:12" x14ac:dyDescent="0.25">
      <c r="A552" s="3">
        <v>45712.790949074071</v>
      </c>
      <c r="B552" t="s">
        <v>68</v>
      </c>
      <c r="C552" s="3">
        <v>45712.795694444445</v>
      </c>
      <c r="D552" t="s">
        <v>43</v>
      </c>
      <c r="E552" s="4">
        <v>0.96599999999999997</v>
      </c>
      <c r="F552" s="4">
        <v>439103.95199999999</v>
      </c>
      <c r="G552" s="4">
        <v>439104.91800000001</v>
      </c>
      <c r="H552" s="5">
        <f>139 / 86400</f>
        <v>1.6087962962962963E-3</v>
      </c>
      <c r="I552" t="s">
        <v>184</v>
      </c>
      <c r="J552" t="s">
        <v>92</v>
      </c>
      <c r="K552" s="5">
        <f>410 / 86400</f>
        <v>4.7453703703703703E-3</v>
      </c>
      <c r="L552" s="5">
        <f>17651 / 86400</f>
        <v>0.20429398148148148</v>
      </c>
    </row>
    <row r="553" spans="1:12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</row>
    <row r="554" spans="1:12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</row>
    <row r="555" spans="1:12" s="10" customFormat="1" ht="20.100000000000001" customHeight="1" x14ac:dyDescent="0.35">
      <c r="A555" s="15" t="s">
        <v>454</v>
      </c>
      <c r="B555" s="15"/>
      <c r="C555" s="15"/>
      <c r="D555" s="15"/>
      <c r="E555" s="15"/>
      <c r="F555" s="15"/>
      <c r="G555" s="15"/>
      <c r="H555" s="15"/>
      <c r="I555" s="15"/>
      <c r="J555" s="15"/>
    </row>
    <row r="556" spans="1:12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</row>
    <row r="557" spans="1:12" ht="30" x14ac:dyDescent="0.25">
      <c r="A557" s="2" t="s">
        <v>6</v>
      </c>
      <c r="B557" s="2" t="s">
        <v>7</v>
      </c>
      <c r="C557" s="2" t="s">
        <v>8</v>
      </c>
      <c r="D557" s="2" t="s">
        <v>9</v>
      </c>
      <c r="E557" s="2" t="s">
        <v>10</v>
      </c>
      <c r="F557" s="2" t="s">
        <v>11</v>
      </c>
      <c r="G557" s="2" t="s">
        <v>12</v>
      </c>
      <c r="H557" s="2" t="s">
        <v>13</v>
      </c>
      <c r="I557" s="2" t="s">
        <v>14</v>
      </c>
      <c r="J557" s="2" t="s">
        <v>15</v>
      </c>
      <c r="K557" s="2" t="s">
        <v>16</v>
      </c>
      <c r="L557" s="2" t="s">
        <v>17</v>
      </c>
    </row>
    <row r="558" spans="1:12" x14ac:dyDescent="0.25">
      <c r="A558" s="3">
        <v>45712.220787037033</v>
      </c>
      <c r="B558" t="s">
        <v>39</v>
      </c>
      <c r="C558" s="3">
        <v>45712.221273148149</v>
      </c>
      <c r="D558" t="s">
        <v>39</v>
      </c>
      <c r="E558" s="4">
        <v>0</v>
      </c>
      <c r="F558" s="4">
        <v>56461.275999999998</v>
      </c>
      <c r="G558" s="4">
        <v>56461.275999999998</v>
      </c>
      <c r="H558" s="5">
        <f>39 / 86400</f>
        <v>4.5138888888888887E-4</v>
      </c>
      <c r="I558" t="s">
        <v>24</v>
      </c>
      <c r="J558" t="s">
        <v>24</v>
      </c>
      <c r="K558" s="5">
        <f>42 / 86400</f>
        <v>4.861111111111111E-4</v>
      </c>
      <c r="L558" s="5">
        <f>19140 / 86400</f>
        <v>0.22152777777777777</v>
      </c>
    </row>
    <row r="559" spans="1:12" x14ac:dyDescent="0.25">
      <c r="A559" s="3">
        <v>45712.222013888888</v>
      </c>
      <c r="B559" t="s">
        <v>39</v>
      </c>
      <c r="C559" s="3">
        <v>45712.226840277777</v>
      </c>
      <c r="D559" t="s">
        <v>392</v>
      </c>
      <c r="E559" s="4">
        <v>1.54</v>
      </c>
      <c r="F559" s="4">
        <v>56461.275999999998</v>
      </c>
      <c r="G559" s="4">
        <v>56462.815999999999</v>
      </c>
      <c r="H559" s="5">
        <f>20 / 86400</f>
        <v>2.3148148148148149E-4</v>
      </c>
      <c r="I559" t="s">
        <v>202</v>
      </c>
      <c r="J559" t="s">
        <v>71</v>
      </c>
      <c r="K559" s="5">
        <f>417 / 86400</f>
        <v>4.8263888888888887E-3</v>
      </c>
      <c r="L559" s="5">
        <f>225 / 86400</f>
        <v>2.6041666666666665E-3</v>
      </c>
    </row>
    <row r="560" spans="1:12" x14ac:dyDescent="0.25">
      <c r="A560" s="3">
        <v>45712.229444444441</v>
      </c>
      <c r="B560" t="s">
        <v>392</v>
      </c>
      <c r="C560" s="3">
        <v>45712.336192129631</v>
      </c>
      <c r="D560" t="s">
        <v>162</v>
      </c>
      <c r="E560" s="4">
        <v>48.198</v>
      </c>
      <c r="F560" s="4">
        <v>56462.815999999999</v>
      </c>
      <c r="G560" s="4">
        <v>56511.014000000003</v>
      </c>
      <c r="H560" s="5">
        <f>2779 / 86400</f>
        <v>3.2164351851851854E-2</v>
      </c>
      <c r="I560" t="s">
        <v>46</v>
      </c>
      <c r="J560" t="s">
        <v>137</v>
      </c>
      <c r="K560" s="5">
        <f>9222 / 86400</f>
        <v>0.10673611111111111</v>
      </c>
      <c r="L560" s="5">
        <f>1743 / 86400</f>
        <v>2.0173611111111111E-2</v>
      </c>
    </row>
    <row r="561" spans="1:12" x14ac:dyDescent="0.25">
      <c r="A561" s="3">
        <v>45712.356365740736</v>
      </c>
      <c r="B561" t="s">
        <v>162</v>
      </c>
      <c r="C561" s="3">
        <v>45712.490740740745</v>
      </c>
      <c r="D561" t="s">
        <v>68</v>
      </c>
      <c r="E561" s="4">
        <v>52.936</v>
      </c>
      <c r="F561" s="4">
        <v>56511.014000000003</v>
      </c>
      <c r="G561" s="4">
        <v>56563.95</v>
      </c>
      <c r="H561" s="5">
        <f>3640 / 86400</f>
        <v>4.2129629629629628E-2</v>
      </c>
      <c r="I561" t="s">
        <v>41</v>
      </c>
      <c r="J561" t="s">
        <v>34</v>
      </c>
      <c r="K561" s="5">
        <f>11609 / 86400</f>
        <v>0.13436342592592593</v>
      </c>
      <c r="L561" s="5">
        <f>899 / 86400</f>
        <v>1.0405092592592593E-2</v>
      </c>
    </row>
    <row r="562" spans="1:12" x14ac:dyDescent="0.25">
      <c r="A562" s="3">
        <v>45712.501145833332</v>
      </c>
      <c r="B562" t="s">
        <v>68</v>
      </c>
      <c r="C562" s="3">
        <v>45712.502789351856</v>
      </c>
      <c r="D562" t="s">
        <v>68</v>
      </c>
      <c r="E562" s="4">
        <v>2.5000000000000001E-2</v>
      </c>
      <c r="F562" s="4">
        <v>56563.95</v>
      </c>
      <c r="G562" s="4">
        <v>56563.974999999999</v>
      </c>
      <c r="H562" s="5">
        <f>80 / 86400</f>
        <v>9.2592592592592596E-4</v>
      </c>
      <c r="I562" t="s">
        <v>150</v>
      </c>
      <c r="J562" t="s">
        <v>143</v>
      </c>
      <c r="K562" s="5">
        <f>141 / 86400</f>
        <v>1.6319444444444445E-3</v>
      </c>
      <c r="L562" s="5">
        <f>404 / 86400</f>
        <v>4.6759259259259263E-3</v>
      </c>
    </row>
    <row r="563" spans="1:12" x14ac:dyDescent="0.25">
      <c r="A563" s="3">
        <v>45712.507465277777</v>
      </c>
      <c r="B563" t="s">
        <v>68</v>
      </c>
      <c r="C563" s="3">
        <v>45712.508622685185</v>
      </c>
      <c r="D563" t="s">
        <v>68</v>
      </c>
      <c r="E563" s="4">
        <v>0.14399999999999999</v>
      </c>
      <c r="F563" s="4">
        <v>56563.974999999999</v>
      </c>
      <c r="G563" s="4">
        <v>56564.118999999999</v>
      </c>
      <c r="H563" s="5">
        <f>20 / 86400</f>
        <v>2.3148148148148149E-4</v>
      </c>
      <c r="I563" t="s">
        <v>135</v>
      </c>
      <c r="J563" t="s">
        <v>57</v>
      </c>
      <c r="K563" s="5">
        <f>100 / 86400</f>
        <v>1.1574074074074073E-3</v>
      </c>
      <c r="L563" s="5">
        <f>2256 / 86400</f>
        <v>2.6111111111111113E-2</v>
      </c>
    </row>
    <row r="564" spans="1:12" x14ac:dyDescent="0.25">
      <c r="A564" s="3">
        <v>45712.534733796296</v>
      </c>
      <c r="B564" t="s">
        <v>68</v>
      </c>
      <c r="C564" s="3">
        <v>45712.535798611112</v>
      </c>
      <c r="D564" t="s">
        <v>91</v>
      </c>
      <c r="E564" s="4">
        <v>3.5000000000000003E-2</v>
      </c>
      <c r="F564" s="4">
        <v>56564.118999999999</v>
      </c>
      <c r="G564" s="4">
        <v>56564.154000000002</v>
      </c>
      <c r="H564" s="5">
        <f>19 / 86400</f>
        <v>2.199074074074074E-4</v>
      </c>
      <c r="I564" t="s">
        <v>57</v>
      </c>
      <c r="J564" t="s">
        <v>143</v>
      </c>
      <c r="K564" s="5">
        <f>92 / 86400</f>
        <v>1.0648148148148149E-3</v>
      </c>
      <c r="L564" s="5">
        <f>3279 / 86400</f>
        <v>3.7951388888888889E-2</v>
      </c>
    </row>
    <row r="565" spans="1:12" x14ac:dyDescent="0.25">
      <c r="A565" s="3">
        <v>45712.573749999996</v>
      </c>
      <c r="B565" t="s">
        <v>91</v>
      </c>
      <c r="C565" s="3">
        <v>45712.579363425924</v>
      </c>
      <c r="D565" t="s">
        <v>151</v>
      </c>
      <c r="E565" s="4">
        <v>1.2949999999999999</v>
      </c>
      <c r="F565" s="4">
        <v>56564.154000000002</v>
      </c>
      <c r="G565" s="4">
        <v>56565.449000000001</v>
      </c>
      <c r="H565" s="5">
        <f>159 / 86400</f>
        <v>1.8402777777777777E-3</v>
      </c>
      <c r="I565" t="s">
        <v>198</v>
      </c>
      <c r="J565" t="s">
        <v>51</v>
      </c>
      <c r="K565" s="5">
        <f>485 / 86400</f>
        <v>5.6134259259259262E-3</v>
      </c>
      <c r="L565" s="5">
        <f>1290 / 86400</f>
        <v>1.4930555555555556E-2</v>
      </c>
    </row>
    <row r="566" spans="1:12" x14ac:dyDescent="0.25">
      <c r="A566" s="3">
        <v>45712.594293981485</v>
      </c>
      <c r="B566" t="s">
        <v>21</v>
      </c>
      <c r="C566" s="3">
        <v>45712.595775462964</v>
      </c>
      <c r="D566" t="s">
        <v>21</v>
      </c>
      <c r="E566" s="4">
        <v>1.9E-2</v>
      </c>
      <c r="F566" s="4">
        <v>56565.449000000001</v>
      </c>
      <c r="G566" s="4">
        <v>56565.468000000001</v>
      </c>
      <c r="H566" s="5">
        <f>99 / 86400</f>
        <v>1.1458333333333333E-3</v>
      </c>
      <c r="I566" t="s">
        <v>57</v>
      </c>
      <c r="J566" t="s">
        <v>143</v>
      </c>
      <c r="K566" s="5">
        <f>128 / 86400</f>
        <v>1.4814814814814814E-3</v>
      </c>
      <c r="L566" s="5">
        <f>218 / 86400</f>
        <v>2.5231481481481481E-3</v>
      </c>
    </row>
    <row r="567" spans="1:12" x14ac:dyDescent="0.25">
      <c r="A567" s="3">
        <v>45712.598298611112</v>
      </c>
      <c r="B567" t="s">
        <v>21</v>
      </c>
      <c r="C567" s="3">
        <v>45712.603043981479</v>
      </c>
      <c r="D567" t="s">
        <v>393</v>
      </c>
      <c r="E567" s="4">
        <v>1.577</v>
      </c>
      <c r="F567" s="4">
        <v>56565.468000000001</v>
      </c>
      <c r="G567" s="4">
        <v>56567.044999999998</v>
      </c>
      <c r="H567" s="5">
        <f>80 / 86400</f>
        <v>9.2592592592592596E-4</v>
      </c>
      <c r="I567" t="s">
        <v>152</v>
      </c>
      <c r="J567" t="s">
        <v>48</v>
      </c>
      <c r="K567" s="5">
        <f>410 / 86400</f>
        <v>4.7453703703703703E-3</v>
      </c>
      <c r="L567" s="5">
        <f>109 / 86400</f>
        <v>1.261574074074074E-3</v>
      </c>
    </row>
    <row r="568" spans="1:12" x14ac:dyDescent="0.25">
      <c r="A568" s="3">
        <v>45712.604305555556</v>
      </c>
      <c r="B568" t="s">
        <v>393</v>
      </c>
      <c r="C568" s="3">
        <v>45712.689722222218</v>
      </c>
      <c r="D568" t="s">
        <v>207</v>
      </c>
      <c r="E568" s="4">
        <v>36.139000000000003</v>
      </c>
      <c r="F568" s="4">
        <v>56567.044999999998</v>
      </c>
      <c r="G568" s="4">
        <v>56603.184000000001</v>
      </c>
      <c r="H568" s="5">
        <f>2640 / 86400</f>
        <v>3.0555555555555555E-2</v>
      </c>
      <c r="I568" t="s">
        <v>23</v>
      </c>
      <c r="J568" t="s">
        <v>20</v>
      </c>
      <c r="K568" s="5">
        <f>7379 / 86400</f>
        <v>8.5405092592592588E-2</v>
      </c>
      <c r="L568" s="5">
        <f>104 / 86400</f>
        <v>1.2037037037037038E-3</v>
      </c>
    </row>
    <row r="569" spans="1:12" x14ac:dyDescent="0.25">
      <c r="A569" s="3">
        <v>45712.690925925926</v>
      </c>
      <c r="B569" t="s">
        <v>207</v>
      </c>
      <c r="C569" s="3">
        <v>45712.7340162037</v>
      </c>
      <c r="D569" t="s">
        <v>148</v>
      </c>
      <c r="E569" s="4">
        <v>10.55</v>
      </c>
      <c r="F569" s="4">
        <v>56603.184000000001</v>
      </c>
      <c r="G569" s="4">
        <v>56613.733999999997</v>
      </c>
      <c r="H569" s="5">
        <f>1680 / 86400</f>
        <v>1.9444444444444445E-2</v>
      </c>
      <c r="I569" t="s">
        <v>176</v>
      </c>
      <c r="J569" t="s">
        <v>51</v>
      </c>
      <c r="K569" s="5">
        <f>3723 / 86400</f>
        <v>4.3090277777777776E-2</v>
      </c>
      <c r="L569" s="5">
        <f>54 / 86400</f>
        <v>6.2500000000000001E-4</v>
      </c>
    </row>
    <row r="570" spans="1:12" x14ac:dyDescent="0.25">
      <c r="A570" s="3">
        <v>45712.7346412037</v>
      </c>
      <c r="B570" t="s">
        <v>148</v>
      </c>
      <c r="C570" s="3">
        <v>45712.876215277778</v>
      </c>
      <c r="D570" t="s">
        <v>105</v>
      </c>
      <c r="E570" s="4">
        <v>47.107999999999997</v>
      </c>
      <c r="F570" s="4">
        <v>56613.733999999997</v>
      </c>
      <c r="G570" s="4">
        <v>56660.841999999997</v>
      </c>
      <c r="H570" s="5">
        <f>4480 / 86400</f>
        <v>5.185185185185185E-2</v>
      </c>
      <c r="I570" t="s">
        <v>271</v>
      </c>
      <c r="J570" t="s">
        <v>48</v>
      </c>
      <c r="K570" s="5">
        <f>12232 / 86400</f>
        <v>0.14157407407407407</v>
      </c>
      <c r="L570" s="5">
        <f>740 / 86400</f>
        <v>8.564814814814815E-3</v>
      </c>
    </row>
    <row r="571" spans="1:12" x14ac:dyDescent="0.25">
      <c r="A571" s="3">
        <v>45712.884780092594</v>
      </c>
      <c r="B571" t="s">
        <v>105</v>
      </c>
      <c r="C571" s="3">
        <v>45712.88663194445</v>
      </c>
      <c r="D571" t="s">
        <v>45</v>
      </c>
      <c r="E571" s="4">
        <v>0.29099999999999998</v>
      </c>
      <c r="F571" s="4">
        <v>56660.841999999997</v>
      </c>
      <c r="G571" s="4">
        <v>56661.133000000002</v>
      </c>
      <c r="H571" s="5">
        <f>40 / 86400</f>
        <v>4.6296296296296298E-4</v>
      </c>
      <c r="I571" t="s">
        <v>145</v>
      </c>
      <c r="J571" t="s">
        <v>99</v>
      </c>
      <c r="K571" s="5">
        <f>160 / 86400</f>
        <v>1.8518518518518519E-3</v>
      </c>
      <c r="L571" s="5">
        <f>7493 / 86400</f>
        <v>8.6724537037037031E-2</v>
      </c>
    </row>
    <row r="572" spans="1:12" x14ac:dyDescent="0.25">
      <c r="A572" s="3">
        <v>45712.973356481481</v>
      </c>
      <c r="B572" t="s">
        <v>45</v>
      </c>
      <c r="C572" s="3">
        <v>45712.973796296297</v>
      </c>
      <c r="D572" t="s">
        <v>45</v>
      </c>
      <c r="E572" s="4">
        <v>1.6E-2</v>
      </c>
      <c r="F572" s="4">
        <v>56661.133000000002</v>
      </c>
      <c r="G572" s="4">
        <v>56661.148999999998</v>
      </c>
      <c r="H572" s="5">
        <f>19 / 86400</f>
        <v>2.199074074074074E-4</v>
      </c>
      <c r="I572" t="s">
        <v>24</v>
      </c>
      <c r="J572" t="s">
        <v>150</v>
      </c>
      <c r="K572" s="5">
        <f>37 / 86400</f>
        <v>4.2824074074074075E-4</v>
      </c>
      <c r="L572" s="5">
        <f>2263 / 86400</f>
        <v>2.6192129629629631E-2</v>
      </c>
    </row>
    <row r="573" spans="1:12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</row>
    <row r="574" spans="1:12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</row>
    <row r="575" spans="1:12" s="10" customFormat="1" ht="20.100000000000001" customHeight="1" x14ac:dyDescent="0.35">
      <c r="A575" s="15" t="s">
        <v>455</v>
      </c>
      <c r="B575" s="15"/>
      <c r="C575" s="15"/>
      <c r="D575" s="15"/>
      <c r="E575" s="15"/>
      <c r="F575" s="15"/>
      <c r="G575" s="15"/>
      <c r="H575" s="15"/>
      <c r="I575" s="15"/>
      <c r="J575" s="15"/>
    </row>
    <row r="576" spans="1:12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</row>
    <row r="577" spans="1:12" ht="30" x14ac:dyDescent="0.25">
      <c r="A577" s="2" t="s">
        <v>6</v>
      </c>
      <c r="B577" s="2" t="s">
        <v>7</v>
      </c>
      <c r="C577" s="2" t="s">
        <v>8</v>
      </c>
      <c r="D577" s="2" t="s">
        <v>9</v>
      </c>
      <c r="E577" s="2" t="s">
        <v>10</v>
      </c>
      <c r="F577" s="2" t="s">
        <v>11</v>
      </c>
      <c r="G577" s="2" t="s">
        <v>12</v>
      </c>
      <c r="H577" s="2" t="s">
        <v>13</v>
      </c>
      <c r="I577" s="2" t="s">
        <v>14</v>
      </c>
      <c r="J577" s="2" t="s">
        <v>15</v>
      </c>
      <c r="K577" s="2" t="s">
        <v>16</v>
      </c>
      <c r="L577" s="2" t="s">
        <v>17</v>
      </c>
    </row>
    <row r="578" spans="1:12" x14ac:dyDescent="0.25">
      <c r="A578" s="3">
        <v>45712.234571759254</v>
      </c>
      <c r="B578" t="s">
        <v>47</v>
      </c>
      <c r="C578" s="3">
        <v>45712.235405092593</v>
      </c>
      <c r="D578" t="s">
        <v>47</v>
      </c>
      <c r="E578" s="4">
        <v>1.0000000596046448E-3</v>
      </c>
      <c r="F578" s="4">
        <v>527066.62</v>
      </c>
      <c r="G578" s="4">
        <v>527066.62100000004</v>
      </c>
      <c r="H578" s="5">
        <f>59 / 86400</f>
        <v>6.8287037037037036E-4</v>
      </c>
      <c r="I578" t="s">
        <v>24</v>
      </c>
      <c r="J578" t="s">
        <v>24</v>
      </c>
      <c r="K578" s="5">
        <f>72 / 86400</f>
        <v>8.3333333333333339E-4</v>
      </c>
      <c r="L578" s="5">
        <f>20646 / 86400</f>
        <v>0.23895833333333333</v>
      </c>
    </row>
    <row r="579" spans="1:12" x14ac:dyDescent="0.25">
      <c r="A579" s="3">
        <v>45712.239791666667</v>
      </c>
      <c r="B579" t="s">
        <v>47</v>
      </c>
      <c r="C579" s="3">
        <v>45712.247025462959</v>
      </c>
      <c r="D579" t="s">
        <v>63</v>
      </c>
      <c r="E579" s="4">
        <v>1.5149999999999999</v>
      </c>
      <c r="F579" s="4">
        <v>527066.62100000004</v>
      </c>
      <c r="G579" s="4">
        <v>527068.13600000006</v>
      </c>
      <c r="H579" s="5">
        <f>159 / 86400</f>
        <v>1.8402777777777777E-3</v>
      </c>
      <c r="I579" t="s">
        <v>164</v>
      </c>
      <c r="J579" t="s">
        <v>135</v>
      </c>
      <c r="K579" s="5">
        <f>624 / 86400</f>
        <v>7.2222222222222219E-3</v>
      </c>
      <c r="L579" s="5">
        <f>1901 / 86400</f>
        <v>2.2002314814814815E-2</v>
      </c>
    </row>
    <row r="580" spans="1:12" x14ac:dyDescent="0.25">
      <c r="A580" s="3">
        <v>45712.269027777773</v>
      </c>
      <c r="B580" t="s">
        <v>63</v>
      </c>
      <c r="C580" s="3">
        <v>45712.497511574074</v>
      </c>
      <c r="D580" t="s">
        <v>81</v>
      </c>
      <c r="E580" s="4">
        <v>82.266999999999996</v>
      </c>
      <c r="F580" s="4">
        <v>527068.13600000006</v>
      </c>
      <c r="G580" s="4">
        <v>527150.40300000005</v>
      </c>
      <c r="H580" s="5">
        <f>6325 / 86400</f>
        <v>7.3206018518518517E-2</v>
      </c>
      <c r="I580" t="s">
        <v>87</v>
      </c>
      <c r="J580" t="s">
        <v>59</v>
      </c>
      <c r="K580" s="5">
        <f>19740 / 86400</f>
        <v>0.22847222222222222</v>
      </c>
      <c r="L580" s="5">
        <f>2014 / 86400</f>
        <v>2.3310185185185184E-2</v>
      </c>
    </row>
    <row r="581" spans="1:12" x14ac:dyDescent="0.25">
      <c r="A581" s="3">
        <v>45712.520821759259</v>
      </c>
      <c r="B581" t="s">
        <v>81</v>
      </c>
      <c r="C581" s="3">
        <v>45712.526030092587</v>
      </c>
      <c r="D581" t="s">
        <v>68</v>
      </c>
      <c r="E581" s="4">
        <v>1.3260000000000001</v>
      </c>
      <c r="F581" s="4">
        <v>527150.40300000005</v>
      </c>
      <c r="G581" s="4">
        <v>527151.72900000005</v>
      </c>
      <c r="H581" s="5">
        <f>99 / 86400</f>
        <v>1.1458333333333333E-3</v>
      </c>
      <c r="I581" t="s">
        <v>186</v>
      </c>
      <c r="J581" t="s">
        <v>42</v>
      </c>
      <c r="K581" s="5">
        <f>449 / 86400</f>
        <v>5.1967592592592595E-3</v>
      </c>
      <c r="L581" s="5">
        <f>506 / 86400</f>
        <v>5.8564814814814816E-3</v>
      </c>
    </row>
    <row r="582" spans="1:12" x14ac:dyDescent="0.25">
      <c r="A582" s="3">
        <v>45712.53188657407</v>
      </c>
      <c r="B582" t="s">
        <v>68</v>
      </c>
      <c r="C582" s="3">
        <v>45712.534108796295</v>
      </c>
      <c r="D582" t="s">
        <v>149</v>
      </c>
      <c r="E582" s="4">
        <v>0.11299999988079071</v>
      </c>
      <c r="F582" s="4">
        <v>527151.72900000005</v>
      </c>
      <c r="G582" s="4">
        <v>527151.84199999995</v>
      </c>
      <c r="H582" s="5">
        <f>139 / 86400</f>
        <v>1.6087962962962963E-3</v>
      </c>
      <c r="I582" t="s">
        <v>145</v>
      </c>
      <c r="J582" t="s">
        <v>150</v>
      </c>
      <c r="K582" s="5">
        <f>191 / 86400</f>
        <v>2.2106481481481482E-3</v>
      </c>
      <c r="L582" s="5">
        <f>367 / 86400</f>
        <v>4.2476851851851851E-3</v>
      </c>
    </row>
    <row r="583" spans="1:12" x14ac:dyDescent="0.25">
      <c r="A583" s="3">
        <v>45712.538356481484</v>
      </c>
      <c r="B583" t="s">
        <v>149</v>
      </c>
      <c r="C583" s="3">
        <v>45712.540138888886</v>
      </c>
      <c r="D583" t="s">
        <v>140</v>
      </c>
      <c r="E583" s="4">
        <v>0.46800000011920928</v>
      </c>
      <c r="F583" s="4">
        <v>527151.84199999995</v>
      </c>
      <c r="G583" s="4">
        <v>527152.31000000006</v>
      </c>
      <c r="H583" s="5">
        <f>20 / 86400</f>
        <v>2.3148148148148149E-4</v>
      </c>
      <c r="I583" t="s">
        <v>200</v>
      </c>
      <c r="J583" t="s">
        <v>42</v>
      </c>
      <c r="K583" s="5">
        <f>153 / 86400</f>
        <v>1.7708333333333332E-3</v>
      </c>
      <c r="L583" s="5">
        <f>32 / 86400</f>
        <v>3.7037037037037035E-4</v>
      </c>
    </row>
    <row r="584" spans="1:12" x14ac:dyDescent="0.25">
      <c r="A584" s="3">
        <v>45712.540509259255</v>
      </c>
      <c r="B584" t="s">
        <v>138</v>
      </c>
      <c r="C584" s="3">
        <v>45712.540613425925</v>
      </c>
      <c r="D584" t="s">
        <v>138</v>
      </c>
      <c r="E584" s="4">
        <v>1.2E-2</v>
      </c>
      <c r="F584" s="4">
        <v>527152.31000000006</v>
      </c>
      <c r="G584" s="4">
        <v>527152.32200000004</v>
      </c>
      <c r="H584" s="5">
        <f>0 / 86400</f>
        <v>0</v>
      </c>
      <c r="I584" t="s">
        <v>24</v>
      </c>
      <c r="J584" t="s">
        <v>57</v>
      </c>
      <c r="K584" s="5">
        <f>9 / 86400</f>
        <v>1.0416666666666667E-4</v>
      </c>
      <c r="L584" s="5">
        <f>208 / 86400</f>
        <v>2.4074074074074076E-3</v>
      </c>
    </row>
    <row r="585" spans="1:12" x14ac:dyDescent="0.25">
      <c r="A585" s="3">
        <v>45712.543020833335</v>
      </c>
      <c r="B585" t="s">
        <v>138</v>
      </c>
      <c r="C585" s="3">
        <v>45712.543252314819</v>
      </c>
      <c r="D585" t="s">
        <v>140</v>
      </c>
      <c r="E585" s="4">
        <v>5.9999999403953551E-3</v>
      </c>
      <c r="F585" s="4">
        <v>527152.32200000004</v>
      </c>
      <c r="G585" s="4">
        <v>527152.32799999998</v>
      </c>
      <c r="H585" s="5">
        <f>19 / 86400</f>
        <v>2.199074074074074E-4</v>
      </c>
      <c r="I585" t="s">
        <v>24</v>
      </c>
      <c r="J585" t="s">
        <v>143</v>
      </c>
      <c r="K585" s="5">
        <f>20 / 86400</f>
        <v>2.3148148148148149E-4</v>
      </c>
      <c r="L585" s="5">
        <f>286 / 86400</f>
        <v>3.3101851851851851E-3</v>
      </c>
    </row>
    <row r="586" spans="1:12" x14ac:dyDescent="0.25">
      <c r="A586" s="3">
        <v>45712.5465625</v>
      </c>
      <c r="B586" t="s">
        <v>138</v>
      </c>
      <c r="C586" s="3">
        <v>45712.673888888894</v>
      </c>
      <c r="D586" t="s">
        <v>394</v>
      </c>
      <c r="E586" s="4">
        <v>50.27</v>
      </c>
      <c r="F586" s="4">
        <v>527152.32799999998</v>
      </c>
      <c r="G586" s="4">
        <v>527202.598</v>
      </c>
      <c r="H586" s="5">
        <f>3599 / 86400</f>
        <v>4.1655092592592591E-2</v>
      </c>
      <c r="I586" t="s">
        <v>33</v>
      </c>
      <c r="J586" t="s">
        <v>34</v>
      </c>
      <c r="K586" s="5">
        <f>11001 / 86400</f>
        <v>0.12732638888888889</v>
      </c>
      <c r="L586" s="5">
        <f>1076 / 86400</f>
        <v>1.2453703703703703E-2</v>
      </c>
    </row>
    <row r="587" spans="1:12" x14ac:dyDescent="0.25">
      <c r="A587" s="3">
        <v>45712.686342592591</v>
      </c>
      <c r="B587" t="s">
        <v>394</v>
      </c>
      <c r="C587" s="3">
        <v>45712.687754629631</v>
      </c>
      <c r="D587" t="s">
        <v>326</v>
      </c>
      <c r="E587" s="4">
        <v>0.10199999994039535</v>
      </c>
      <c r="F587" s="4">
        <v>527202.598</v>
      </c>
      <c r="G587" s="4">
        <v>527202.69999999995</v>
      </c>
      <c r="H587" s="5">
        <f>80 / 86400</f>
        <v>9.2592592592592596E-4</v>
      </c>
      <c r="I587" t="s">
        <v>99</v>
      </c>
      <c r="J587" t="s">
        <v>95</v>
      </c>
      <c r="K587" s="5">
        <f>122 / 86400</f>
        <v>1.4120370370370369E-3</v>
      </c>
      <c r="L587" s="5">
        <f>761 / 86400</f>
        <v>8.8078703703703704E-3</v>
      </c>
    </row>
    <row r="588" spans="1:12" x14ac:dyDescent="0.25">
      <c r="A588" s="3">
        <v>45712.696562500001</v>
      </c>
      <c r="B588" t="s">
        <v>326</v>
      </c>
      <c r="C588" s="3">
        <v>45712.696597222224</v>
      </c>
      <c r="D588" t="s">
        <v>326</v>
      </c>
      <c r="E588" s="4">
        <v>0</v>
      </c>
      <c r="F588" s="4">
        <v>527202.69999999995</v>
      </c>
      <c r="G588" s="4">
        <v>527202.69999999995</v>
      </c>
      <c r="H588" s="5">
        <f>0 / 86400</f>
        <v>0</v>
      </c>
      <c r="I588" t="s">
        <v>24</v>
      </c>
      <c r="J588" t="s">
        <v>24</v>
      </c>
      <c r="K588" s="5">
        <f>3 / 86400</f>
        <v>3.4722222222222222E-5</v>
      </c>
      <c r="L588" s="5">
        <f>15 / 86400</f>
        <v>1.7361111111111112E-4</v>
      </c>
    </row>
    <row r="589" spans="1:12" x14ac:dyDescent="0.25">
      <c r="A589" s="3">
        <v>45712.696770833332</v>
      </c>
      <c r="B589" t="s">
        <v>326</v>
      </c>
      <c r="C589" s="3">
        <v>45712.698530092588</v>
      </c>
      <c r="D589" t="s">
        <v>394</v>
      </c>
      <c r="E589" s="4">
        <v>0.26600000005960467</v>
      </c>
      <c r="F589" s="4">
        <v>527202.69999999995</v>
      </c>
      <c r="G589" s="4">
        <v>527202.96600000001</v>
      </c>
      <c r="H589" s="5">
        <f>41 / 86400</f>
        <v>4.7453703703703704E-4</v>
      </c>
      <c r="I589" t="s">
        <v>71</v>
      </c>
      <c r="J589" t="s">
        <v>32</v>
      </c>
      <c r="K589" s="5">
        <f>152 / 86400</f>
        <v>1.7592592592592592E-3</v>
      </c>
      <c r="L589" s="5">
        <f>550 / 86400</f>
        <v>6.3657407407407404E-3</v>
      </c>
    </row>
    <row r="590" spans="1:12" x14ac:dyDescent="0.25">
      <c r="A590" s="3">
        <v>45712.704895833333</v>
      </c>
      <c r="B590" t="s">
        <v>394</v>
      </c>
      <c r="C590" s="3">
        <v>45712.816793981481</v>
      </c>
      <c r="D590" t="s">
        <v>395</v>
      </c>
      <c r="E590" s="4">
        <v>32.160000000059604</v>
      </c>
      <c r="F590" s="4">
        <v>527202.96600000001</v>
      </c>
      <c r="G590" s="4">
        <v>527235.12600000005</v>
      </c>
      <c r="H590" s="5">
        <f>3679 / 86400</f>
        <v>4.2581018518518518E-2</v>
      </c>
      <c r="I590" t="s">
        <v>176</v>
      </c>
      <c r="J590" t="s">
        <v>145</v>
      </c>
      <c r="K590" s="5">
        <f>9668 / 86400</f>
        <v>0.11189814814814815</v>
      </c>
      <c r="L590" s="5">
        <f>1081 / 86400</f>
        <v>1.2511574074074074E-2</v>
      </c>
    </row>
    <row r="591" spans="1:12" x14ac:dyDescent="0.25">
      <c r="A591" s="3">
        <v>45712.829305555555</v>
      </c>
      <c r="B591" t="s">
        <v>395</v>
      </c>
      <c r="C591" s="3">
        <v>45712.837766203702</v>
      </c>
      <c r="D591" t="s">
        <v>47</v>
      </c>
      <c r="E591" s="4">
        <v>2.1419999999999999</v>
      </c>
      <c r="F591" s="4">
        <v>527235.12600000005</v>
      </c>
      <c r="G591" s="4">
        <v>527237.26800000004</v>
      </c>
      <c r="H591" s="5">
        <f>280 / 86400</f>
        <v>3.2407407407407406E-3</v>
      </c>
      <c r="I591" t="s">
        <v>186</v>
      </c>
      <c r="J591" t="s">
        <v>42</v>
      </c>
      <c r="K591" s="5">
        <f>730 / 86400</f>
        <v>8.4490740740740741E-3</v>
      </c>
      <c r="L591" s="5">
        <f>14016 / 86400</f>
        <v>0.16222222222222221</v>
      </c>
    </row>
    <row r="592" spans="1:12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</row>
    <row r="593" spans="1:12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</row>
    <row r="594" spans="1:12" s="10" customFormat="1" ht="20.100000000000001" customHeight="1" x14ac:dyDescent="0.35">
      <c r="A594" s="15" t="s">
        <v>456</v>
      </c>
      <c r="B594" s="15"/>
      <c r="C594" s="15"/>
      <c r="D594" s="15"/>
      <c r="E594" s="15"/>
      <c r="F594" s="15"/>
      <c r="G594" s="15"/>
      <c r="H594" s="15"/>
      <c r="I594" s="15"/>
      <c r="J594" s="15"/>
    </row>
    <row r="595" spans="1:12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</row>
    <row r="596" spans="1:12" ht="30" x14ac:dyDescent="0.25">
      <c r="A596" s="2" t="s">
        <v>6</v>
      </c>
      <c r="B596" s="2" t="s">
        <v>7</v>
      </c>
      <c r="C596" s="2" t="s">
        <v>8</v>
      </c>
      <c r="D596" s="2" t="s">
        <v>9</v>
      </c>
      <c r="E596" s="2" t="s">
        <v>10</v>
      </c>
      <c r="F596" s="2" t="s">
        <v>11</v>
      </c>
      <c r="G596" s="2" t="s">
        <v>12</v>
      </c>
      <c r="H596" s="2" t="s">
        <v>13</v>
      </c>
      <c r="I596" s="2" t="s">
        <v>14</v>
      </c>
      <c r="J596" s="2" t="s">
        <v>15</v>
      </c>
      <c r="K596" s="2" t="s">
        <v>16</v>
      </c>
      <c r="L596" s="2" t="s">
        <v>17</v>
      </c>
    </row>
    <row r="597" spans="1:12" x14ac:dyDescent="0.25">
      <c r="A597" s="3">
        <v>45712.690613425926</v>
      </c>
      <c r="B597" t="s">
        <v>49</v>
      </c>
      <c r="C597" s="3">
        <v>45712.701631944445</v>
      </c>
      <c r="D597" t="s">
        <v>396</v>
      </c>
      <c r="E597" s="4">
        <v>4.1479999999999997</v>
      </c>
      <c r="F597" s="4">
        <v>346632.64600000001</v>
      </c>
      <c r="G597" s="4">
        <v>346636.79399999999</v>
      </c>
      <c r="H597" s="5">
        <f>139 / 86400</f>
        <v>1.6087962962962963E-3</v>
      </c>
      <c r="I597" t="s">
        <v>98</v>
      </c>
      <c r="J597" t="s">
        <v>34</v>
      </c>
      <c r="K597" s="5">
        <f>952 / 86400</f>
        <v>1.1018518518518518E-2</v>
      </c>
      <c r="L597" s="5">
        <f>61144 / 86400</f>
        <v>0.70768518518518519</v>
      </c>
    </row>
    <row r="598" spans="1:12" x14ac:dyDescent="0.25">
      <c r="A598" s="3">
        <v>45712.718703703707</v>
      </c>
      <c r="B598" t="s">
        <v>396</v>
      </c>
      <c r="C598" s="3">
        <v>45712.720856481479</v>
      </c>
      <c r="D598" t="s">
        <v>18</v>
      </c>
      <c r="E598" s="4">
        <v>0.19</v>
      </c>
      <c r="F598" s="4">
        <v>346636.79399999999</v>
      </c>
      <c r="G598" s="4">
        <v>346636.984</v>
      </c>
      <c r="H598" s="5">
        <f>59 / 86400</f>
        <v>6.8287037037037036E-4</v>
      </c>
      <c r="I598" t="s">
        <v>48</v>
      </c>
      <c r="J598" t="s">
        <v>129</v>
      </c>
      <c r="K598" s="5">
        <f>185 / 86400</f>
        <v>2.1412037037037038E-3</v>
      </c>
      <c r="L598" s="5">
        <f>87 / 86400</f>
        <v>1.0069444444444444E-3</v>
      </c>
    </row>
    <row r="599" spans="1:12" x14ac:dyDescent="0.25">
      <c r="A599" s="3">
        <v>45712.721863425926</v>
      </c>
      <c r="B599" t="s">
        <v>18</v>
      </c>
      <c r="C599" s="3">
        <v>45712.731087962966</v>
      </c>
      <c r="D599" t="s">
        <v>397</v>
      </c>
      <c r="E599" s="4">
        <v>1.95</v>
      </c>
      <c r="F599" s="4">
        <v>346636.984</v>
      </c>
      <c r="G599" s="4">
        <v>346638.93400000001</v>
      </c>
      <c r="H599" s="5">
        <f>480 / 86400</f>
        <v>5.5555555555555558E-3</v>
      </c>
      <c r="I599" t="s">
        <v>186</v>
      </c>
      <c r="J599" t="s">
        <v>135</v>
      </c>
      <c r="K599" s="5">
        <f>796 / 86400</f>
        <v>9.2129629629629627E-3</v>
      </c>
      <c r="L599" s="5">
        <f>2324 / 86400</f>
        <v>2.6898148148148147E-2</v>
      </c>
    </row>
    <row r="600" spans="1:12" x14ac:dyDescent="0.25">
      <c r="A600" s="3">
        <v>45712.757986111115</v>
      </c>
      <c r="B600" t="s">
        <v>397</v>
      </c>
      <c r="C600" s="3">
        <v>45712.760995370365</v>
      </c>
      <c r="D600" t="s">
        <v>398</v>
      </c>
      <c r="E600" s="4">
        <v>0.98699999999999999</v>
      </c>
      <c r="F600" s="4">
        <v>346638.93400000001</v>
      </c>
      <c r="G600" s="4">
        <v>346639.92099999997</v>
      </c>
      <c r="H600" s="5">
        <f>120 / 86400</f>
        <v>1.3888888888888889E-3</v>
      </c>
      <c r="I600" t="s">
        <v>50</v>
      </c>
      <c r="J600" t="s">
        <v>48</v>
      </c>
      <c r="K600" s="5">
        <f>260 / 86400</f>
        <v>3.0092592592592593E-3</v>
      </c>
      <c r="L600" s="5">
        <f>42 / 86400</f>
        <v>4.861111111111111E-4</v>
      </c>
    </row>
    <row r="601" spans="1:12" x14ac:dyDescent="0.25">
      <c r="A601" s="3">
        <v>45712.761481481481</v>
      </c>
      <c r="B601" t="s">
        <v>398</v>
      </c>
      <c r="C601" s="3">
        <v>45712.762974537036</v>
      </c>
      <c r="D601" t="s">
        <v>18</v>
      </c>
      <c r="E601" s="4">
        <v>0.40100000000000002</v>
      </c>
      <c r="F601" s="4">
        <v>346639.92099999997</v>
      </c>
      <c r="G601" s="4">
        <v>346640.32199999999</v>
      </c>
      <c r="H601" s="5">
        <f>0 / 86400</f>
        <v>0</v>
      </c>
      <c r="I601" t="s">
        <v>134</v>
      </c>
      <c r="J601" t="s">
        <v>42</v>
      </c>
      <c r="K601" s="5">
        <f>128 / 86400</f>
        <v>1.4814814814814814E-3</v>
      </c>
      <c r="L601" s="5">
        <f>123 / 86400</f>
        <v>1.4236111111111112E-3</v>
      </c>
    </row>
    <row r="602" spans="1:12" x14ac:dyDescent="0.25">
      <c r="A602" s="3">
        <v>45712.764398148152</v>
      </c>
      <c r="B602" t="s">
        <v>18</v>
      </c>
      <c r="C602" s="3">
        <v>45712.765833333338</v>
      </c>
      <c r="D602" t="s">
        <v>18</v>
      </c>
      <c r="E602" s="4">
        <v>0.32800000000000001</v>
      </c>
      <c r="F602" s="4">
        <v>346640.32199999999</v>
      </c>
      <c r="G602" s="4">
        <v>346640.65</v>
      </c>
      <c r="H602" s="5">
        <f>40 / 86400</f>
        <v>4.6296296296296298E-4</v>
      </c>
      <c r="I602" t="s">
        <v>134</v>
      </c>
      <c r="J602" t="s">
        <v>51</v>
      </c>
      <c r="K602" s="5">
        <f>123 / 86400</f>
        <v>1.4236111111111112E-3</v>
      </c>
      <c r="L602" s="5">
        <f>640 / 86400</f>
        <v>7.4074074074074077E-3</v>
      </c>
    </row>
    <row r="603" spans="1:12" x14ac:dyDescent="0.25">
      <c r="A603" s="3">
        <v>45712.773240740746</v>
      </c>
      <c r="B603" t="s">
        <v>136</v>
      </c>
      <c r="C603" s="3">
        <v>45712.774606481486</v>
      </c>
      <c r="D603" t="s">
        <v>396</v>
      </c>
      <c r="E603" s="4">
        <v>9.7000000000000003E-2</v>
      </c>
      <c r="F603" s="4">
        <v>346640.65</v>
      </c>
      <c r="G603" s="4">
        <v>346640.74699999997</v>
      </c>
      <c r="H603" s="5">
        <f>40 / 86400</f>
        <v>4.6296296296296298E-4</v>
      </c>
      <c r="I603" t="s">
        <v>92</v>
      </c>
      <c r="J603" t="s">
        <v>95</v>
      </c>
      <c r="K603" s="5">
        <f>117 / 86400</f>
        <v>1.3541666666666667E-3</v>
      </c>
      <c r="L603" s="5">
        <f>5247 / 86400</f>
        <v>6.0729166666666667E-2</v>
      </c>
    </row>
    <row r="604" spans="1:12" x14ac:dyDescent="0.25">
      <c r="A604" s="3">
        <v>45712.835335648153</v>
      </c>
      <c r="B604" t="s">
        <v>396</v>
      </c>
      <c r="C604" s="3">
        <v>45712.855011574073</v>
      </c>
      <c r="D604" t="s">
        <v>399</v>
      </c>
      <c r="E604" s="4">
        <v>4.1310000000000002</v>
      </c>
      <c r="F604" s="4">
        <v>346640.74699999997</v>
      </c>
      <c r="G604" s="4">
        <v>346644.87800000003</v>
      </c>
      <c r="H604" s="5">
        <f>779 / 86400</f>
        <v>9.0162037037037034E-3</v>
      </c>
      <c r="I604" t="s">
        <v>56</v>
      </c>
      <c r="J604" t="s">
        <v>135</v>
      </c>
      <c r="K604" s="5">
        <f>1699 / 86400</f>
        <v>1.9664351851851853E-2</v>
      </c>
      <c r="L604" s="5">
        <f>110 / 86400</f>
        <v>1.2731481481481483E-3</v>
      </c>
    </row>
    <row r="605" spans="1:12" x14ac:dyDescent="0.25">
      <c r="A605" s="3">
        <v>45712.85628472222</v>
      </c>
      <c r="B605" t="s">
        <v>399</v>
      </c>
      <c r="C605" s="3">
        <v>45712.858912037038</v>
      </c>
      <c r="D605" t="s">
        <v>49</v>
      </c>
      <c r="E605" s="4">
        <v>2.5999999999999999E-2</v>
      </c>
      <c r="F605" s="4">
        <v>346644.87800000003</v>
      </c>
      <c r="G605" s="4">
        <v>346644.90399999998</v>
      </c>
      <c r="H605" s="5">
        <f>100 / 86400</f>
        <v>1.1574074074074073E-3</v>
      </c>
      <c r="I605" t="s">
        <v>95</v>
      </c>
      <c r="J605" t="s">
        <v>24</v>
      </c>
      <c r="K605" s="5">
        <f>227 / 86400</f>
        <v>2.627314814814815E-3</v>
      </c>
      <c r="L605" s="5">
        <f>12189 / 86400</f>
        <v>0.14107638888888888</v>
      </c>
    </row>
    <row r="606" spans="1:12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</row>
    <row r="607" spans="1:12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</row>
    <row r="608" spans="1:12" s="10" customFormat="1" ht="20.100000000000001" customHeight="1" x14ac:dyDescent="0.35">
      <c r="A608" s="15" t="s">
        <v>457</v>
      </c>
      <c r="B608" s="15"/>
      <c r="C608" s="15"/>
      <c r="D608" s="15"/>
      <c r="E608" s="15"/>
      <c r="F608" s="15"/>
      <c r="G608" s="15"/>
      <c r="H608" s="15"/>
      <c r="I608" s="15"/>
      <c r="J608" s="15"/>
    </row>
    <row r="609" spans="1:12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</row>
    <row r="610" spans="1:12" ht="30" x14ac:dyDescent="0.25">
      <c r="A610" s="2" t="s">
        <v>6</v>
      </c>
      <c r="B610" s="2" t="s">
        <v>7</v>
      </c>
      <c r="C610" s="2" t="s">
        <v>8</v>
      </c>
      <c r="D610" s="2" t="s">
        <v>9</v>
      </c>
      <c r="E610" s="2" t="s">
        <v>10</v>
      </c>
      <c r="F610" s="2" t="s">
        <v>11</v>
      </c>
      <c r="G610" s="2" t="s">
        <v>12</v>
      </c>
      <c r="H610" s="2" t="s">
        <v>13</v>
      </c>
      <c r="I610" s="2" t="s">
        <v>14</v>
      </c>
      <c r="J610" s="2" t="s">
        <v>15</v>
      </c>
      <c r="K610" s="2" t="s">
        <v>16</v>
      </c>
      <c r="L610" s="2" t="s">
        <v>17</v>
      </c>
    </row>
    <row r="611" spans="1:12" x14ac:dyDescent="0.25">
      <c r="A611" s="3">
        <v>45712.247858796298</v>
      </c>
      <c r="B611" t="s">
        <v>52</v>
      </c>
      <c r="C611" s="3">
        <v>45712.251215277778</v>
      </c>
      <c r="D611" t="s">
        <v>136</v>
      </c>
      <c r="E611" s="4">
        <v>0.34200000000000003</v>
      </c>
      <c r="F611" s="4">
        <v>427146.17200000002</v>
      </c>
      <c r="G611" s="4">
        <v>427146.51400000002</v>
      </c>
      <c r="H611" s="5">
        <f>220 / 86400</f>
        <v>2.5462962962962965E-3</v>
      </c>
      <c r="I611" t="s">
        <v>20</v>
      </c>
      <c r="J611" t="s">
        <v>129</v>
      </c>
      <c r="K611" s="5">
        <f>289 / 86400</f>
        <v>3.3449074074074076E-3</v>
      </c>
      <c r="L611" s="5">
        <f>21633 / 86400</f>
        <v>0.25038194444444445</v>
      </c>
    </row>
    <row r="612" spans="1:12" x14ac:dyDescent="0.25">
      <c r="A612" s="3">
        <v>45712.253738425927</v>
      </c>
      <c r="B612" t="s">
        <v>136</v>
      </c>
      <c r="C612" s="3">
        <v>45712.332928240736</v>
      </c>
      <c r="D612" t="s">
        <v>68</v>
      </c>
      <c r="E612" s="4">
        <v>45.715000000000003</v>
      </c>
      <c r="F612" s="4">
        <v>427146.51400000002</v>
      </c>
      <c r="G612" s="4">
        <v>427192.22899999999</v>
      </c>
      <c r="H612" s="5">
        <f>1300 / 86400</f>
        <v>1.5046296296296295E-2</v>
      </c>
      <c r="I612" t="s">
        <v>176</v>
      </c>
      <c r="J612" t="s">
        <v>182</v>
      </c>
      <c r="K612" s="5">
        <f>6842 / 86400</f>
        <v>7.918981481481481E-2</v>
      </c>
      <c r="L612" s="5">
        <f>1154 / 86400</f>
        <v>1.3356481481481481E-2</v>
      </c>
    </row>
    <row r="613" spans="1:12" x14ac:dyDescent="0.25">
      <c r="A613" s="3">
        <v>45712.346284722225</v>
      </c>
      <c r="B613" t="s">
        <v>68</v>
      </c>
      <c r="C613" s="3">
        <v>45712.349826388891</v>
      </c>
      <c r="D613" t="s">
        <v>21</v>
      </c>
      <c r="E613" s="4">
        <v>1.3080000000000001</v>
      </c>
      <c r="F613" s="4">
        <v>427192.22899999999</v>
      </c>
      <c r="G613" s="4">
        <v>427193.53700000001</v>
      </c>
      <c r="H613" s="5">
        <f>59 / 86400</f>
        <v>6.8287037037037036E-4</v>
      </c>
      <c r="I613" t="s">
        <v>198</v>
      </c>
      <c r="J613" t="s">
        <v>59</v>
      </c>
      <c r="K613" s="5">
        <f>306 / 86400</f>
        <v>3.5416666666666665E-3</v>
      </c>
      <c r="L613" s="5">
        <f>2380 / 86400</f>
        <v>2.7546296296296298E-2</v>
      </c>
    </row>
    <row r="614" spans="1:12" x14ac:dyDescent="0.25">
      <c r="A614" s="3">
        <v>45712.377372685187</v>
      </c>
      <c r="B614" t="s">
        <v>21</v>
      </c>
      <c r="C614" s="3">
        <v>45712.493437500001</v>
      </c>
      <c r="D614" t="s">
        <v>162</v>
      </c>
      <c r="E614" s="4">
        <v>51.408999999999999</v>
      </c>
      <c r="F614" s="4">
        <v>427193.53700000001</v>
      </c>
      <c r="G614" s="4">
        <v>427244.946</v>
      </c>
      <c r="H614" s="5">
        <f>2820 / 86400</f>
        <v>3.2638888888888891E-2</v>
      </c>
      <c r="I614" t="s">
        <v>53</v>
      </c>
      <c r="J614" t="s">
        <v>20</v>
      </c>
      <c r="K614" s="5">
        <f>10027 / 86400</f>
        <v>0.11605324074074073</v>
      </c>
      <c r="L614" s="5">
        <f>582 / 86400</f>
        <v>6.7361111111111111E-3</v>
      </c>
    </row>
    <row r="615" spans="1:12" x14ac:dyDescent="0.25">
      <c r="A615" s="3">
        <v>45712.500173611115</v>
      </c>
      <c r="B615" t="s">
        <v>162</v>
      </c>
      <c r="C615" s="3">
        <v>45712.626122685186</v>
      </c>
      <c r="D615" t="s">
        <v>149</v>
      </c>
      <c r="E615" s="4">
        <v>50.662999999999997</v>
      </c>
      <c r="F615" s="4">
        <v>427244.946</v>
      </c>
      <c r="G615" s="4">
        <v>427295.609</v>
      </c>
      <c r="H615" s="5">
        <f>3340 / 86400</f>
        <v>3.8657407407407404E-2</v>
      </c>
      <c r="I615" t="s">
        <v>268</v>
      </c>
      <c r="J615" t="s">
        <v>30</v>
      </c>
      <c r="K615" s="5">
        <f>10882 / 86400</f>
        <v>0.12594907407407407</v>
      </c>
      <c r="L615" s="5">
        <f>29 / 86400</f>
        <v>3.3564814814814812E-4</v>
      </c>
    </row>
    <row r="616" spans="1:12" x14ac:dyDescent="0.25">
      <c r="A616" s="3">
        <v>45712.626458333332</v>
      </c>
      <c r="B616" t="s">
        <v>149</v>
      </c>
      <c r="C616" s="3">
        <v>45712.62699074074</v>
      </c>
      <c r="D616" t="s">
        <v>149</v>
      </c>
      <c r="E616" s="4">
        <v>0</v>
      </c>
      <c r="F616" s="4">
        <v>427295.609</v>
      </c>
      <c r="G616" s="4">
        <v>427295.609</v>
      </c>
      <c r="H616" s="5">
        <f>39 / 86400</f>
        <v>4.5138888888888887E-4</v>
      </c>
      <c r="I616" t="s">
        <v>24</v>
      </c>
      <c r="J616" t="s">
        <v>24</v>
      </c>
      <c r="K616" s="5">
        <f>45 / 86400</f>
        <v>5.2083333333333333E-4</v>
      </c>
      <c r="L616" s="5">
        <f>6 / 86400</f>
        <v>6.9444444444444444E-5</v>
      </c>
    </row>
    <row r="617" spans="1:12" x14ac:dyDescent="0.25">
      <c r="A617" s="3">
        <v>45712.627060185187</v>
      </c>
      <c r="B617" t="s">
        <v>149</v>
      </c>
      <c r="C617" s="3">
        <v>45712.627233796295</v>
      </c>
      <c r="D617" t="s">
        <v>149</v>
      </c>
      <c r="E617" s="4">
        <v>0</v>
      </c>
      <c r="F617" s="4">
        <v>427295.609</v>
      </c>
      <c r="G617" s="4">
        <v>427295.609</v>
      </c>
      <c r="H617" s="5">
        <f>8 / 86400</f>
        <v>9.2592592592592588E-5</v>
      </c>
      <c r="I617" t="s">
        <v>24</v>
      </c>
      <c r="J617" t="s">
        <v>24</v>
      </c>
      <c r="K617" s="5">
        <f>15 / 86400</f>
        <v>1.7361111111111112E-4</v>
      </c>
      <c r="L617" s="5">
        <f>2100 / 86400</f>
        <v>2.4305555555555556E-2</v>
      </c>
    </row>
    <row r="618" spans="1:12" x14ac:dyDescent="0.25">
      <c r="A618" s="3">
        <v>45712.651539351849</v>
      </c>
      <c r="B618" t="s">
        <v>149</v>
      </c>
      <c r="C618" s="3">
        <v>45712.654710648145</v>
      </c>
      <c r="D618" t="s">
        <v>125</v>
      </c>
      <c r="E618" s="4">
        <v>0.91800000000000004</v>
      </c>
      <c r="F618" s="4">
        <v>427295.609</v>
      </c>
      <c r="G618" s="4">
        <v>427296.527</v>
      </c>
      <c r="H618" s="5">
        <f>0 / 86400</f>
        <v>0</v>
      </c>
      <c r="I618" t="s">
        <v>31</v>
      </c>
      <c r="J618" t="s">
        <v>145</v>
      </c>
      <c r="K618" s="5">
        <f>274 / 86400</f>
        <v>3.1712962962962962E-3</v>
      </c>
      <c r="L618" s="5">
        <f>367 / 86400</f>
        <v>4.2476851851851851E-3</v>
      </c>
    </row>
    <row r="619" spans="1:12" x14ac:dyDescent="0.25">
      <c r="A619" s="3">
        <v>45712.658958333333</v>
      </c>
      <c r="B619" t="s">
        <v>125</v>
      </c>
      <c r="C619" s="3">
        <v>45712.659502314811</v>
      </c>
      <c r="D619" t="s">
        <v>125</v>
      </c>
      <c r="E619" s="4">
        <v>2E-3</v>
      </c>
      <c r="F619" s="4">
        <v>427296.527</v>
      </c>
      <c r="G619" s="4">
        <v>427296.52899999998</v>
      </c>
      <c r="H619" s="5">
        <f>39 / 86400</f>
        <v>4.5138888888888887E-4</v>
      </c>
      <c r="I619" t="s">
        <v>24</v>
      </c>
      <c r="J619" t="s">
        <v>24</v>
      </c>
      <c r="K619" s="5">
        <f>47 / 86400</f>
        <v>5.4398148148148144E-4</v>
      </c>
      <c r="L619" s="5">
        <f>85 / 86400</f>
        <v>9.837962962962962E-4</v>
      </c>
    </row>
    <row r="620" spans="1:12" x14ac:dyDescent="0.25">
      <c r="A620" s="3">
        <v>45712.660486111112</v>
      </c>
      <c r="B620" t="s">
        <v>125</v>
      </c>
      <c r="C620" s="3">
        <v>45712.663344907407</v>
      </c>
      <c r="D620" t="s">
        <v>68</v>
      </c>
      <c r="E620" s="4">
        <v>0.92200000000000004</v>
      </c>
      <c r="F620" s="4">
        <v>427296.52899999998</v>
      </c>
      <c r="G620" s="4">
        <v>427297.451</v>
      </c>
      <c r="H620" s="5">
        <f>59 / 86400</f>
        <v>6.8287037037037036E-4</v>
      </c>
      <c r="I620" t="s">
        <v>163</v>
      </c>
      <c r="J620" t="s">
        <v>71</v>
      </c>
      <c r="K620" s="5">
        <f>247 / 86400</f>
        <v>2.8587962962962963E-3</v>
      </c>
      <c r="L620" s="5">
        <f>397 / 86400</f>
        <v>4.5949074074074078E-3</v>
      </c>
    </row>
    <row r="621" spans="1:12" x14ac:dyDescent="0.25">
      <c r="A621" s="3">
        <v>45712.667939814812</v>
      </c>
      <c r="B621" t="s">
        <v>68</v>
      </c>
      <c r="C621" s="3">
        <v>45712.668090277773</v>
      </c>
      <c r="D621" t="s">
        <v>68</v>
      </c>
      <c r="E621" s="4">
        <v>0</v>
      </c>
      <c r="F621" s="4">
        <v>427297.451</v>
      </c>
      <c r="G621" s="4">
        <v>427297.451</v>
      </c>
      <c r="H621" s="5">
        <f>0 / 86400</f>
        <v>0</v>
      </c>
      <c r="I621" t="s">
        <v>24</v>
      </c>
      <c r="J621" t="s">
        <v>24</v>
      </c>
      <c r="K621" s="5">
        <f>13 / 86400</f>
        <v>1.5046296296296297E-4</v>
      </c>
      <c r="L621" s="5">
        <f>20 / 86400</f>
        <v>2.3148148148148149E-4</v>
      </c>
    </row>
    <row r="622" spans="1:12" x14ac:dyDescent="0.25">
      <c r="A622" s="3">
        <v>45712.668321759258</v>
      </c>
      <c r="B622" t="s">
        <v>68</v>
      </c>
      <c r="C622" s="3">
        <v>45712.669606481482</v>
      </c>
      <c r="D622" t="s">
        <v>114</v>
      </c>
      <c r="E622" s="4">
        <v>0.214</v>
      </c>
      <c r="F622" s="4">
        <v>427297.451</v>
      </c>
      <c r="G622" s="4">
        <v>427297.66499999998</v>
      </c>
      <c r="H622" s="5">
        <f>20 / 86400</f>
        <v>2.3148148148148149E-4</v>
      </c>
      <c r="I622" t="s">
        <v>34</v>
      </c>
      <c r="J622" t="s">
        <v>99</v>
      </c>
      <c r="K622" s="5">
        <f>111 / 86400</f>
        <v>1.2847222222222223E-3</v>
      </c>
      <c r="L622" s="5">
        <f>1575 / 86400</f>
        <v>1.8229166666666668E-2</v>
      </c>
    </row>
    <row r="623" spans="1:12" x14ac:dyDescent="0.25">
      <c r="A623" s="3">
        <v>45712.687835648147</v>
      </c>
      <c r="B623" t="s">
        <v>114</v>
      </c>
      <c r="C623" s="3">
        <v>45712.804062499999</v>
      </c>
      <c r="D623" t="s">
        <v>400</v>
      </c>
      <c r="E623" s="4">
        <v>36.749000000000002</v>
      </c>
      <c r="F623" s="4">
        <v>427297.66499999998</v>
      </c>
      <c r="G623" s="4">
        <v>427334.41399999999</v>
      </c>
      <c r="H623" s="5">
        <f>4460 / 86400</f>
        <v>5.1620370370370372E-2</v>
      </c>
      <c r="I623" t="s">
        <v>271</v>
      </c>
      <c r="J623" t="s">
        <v>71</v>
      </c>
      <c r="K623" s="5">
        <f>10041 / 86400</f>
        <v>0.11621527777777778</v>
      </c>
      <c r="L623" s="5">
        <f>217 / 86400</f>
        <v>2.5115740740740741E-3</v>
      </c>
    </row>
    <row r="624" spans="1:12" x14ac:dyDescent="0.25">
      <c r="A624" s="3">
        <v>45712.806574074071</v>
      </c>
      <c r="B624" t="s">
        <v>400</v>
      </c>
      <c r="C624" s="3">
        <v>45712.812407407408</v>
      </c>
      <c r="D624" t="s">
        <v>52</v>
      </c>
      <c r="E624" s="4">
        <v>0.39800000000000002</v>
      </c>
      <c r="F624" s="4">
        <v>427334.41399999999</v>
      </c>
      <c r="G624" s="4">
        <v>427334.81199999998</v>
      </c>
      <c r="H624" s="5">
        <f>318 / 86400</f>
        <v>3.6805555555555554E-3</v>
      </c>
      <c r="I624" t="s">
        <v>48</v>
      </c>
      <c r="J624" t="s">
        <v>95</v>
      </c>
      <c r="K624" s="5">
        <f>504 / 86400</f>
        <v>5.8333333333333336E-3</v>
      </c>
      <c r="L624" s="5">
        <f>5726 / 86400</f>
        <v>6.627314814814815E-2</v>
      </c>
    </row>
    <row r="625" spans="1:12" x14ac:dyDescent="0.25">
      <c r="A625" s="3">
        <v>45712.878680555557</v>
      </c>
      <c r="B625" t="s">
        <v>52</v>
      </c>
      <c r="C625" s="3">
        <v>45712.879270833335</v>
      </c>
      <c r="D625" t="s">
        <v>52</v>
      </c>
      <c r="E625" s="4">
        <v>3.0000000000000001E-3</v>
      </c>
      <c r="F625" s="4">
        <v>427334.81199999998</v>
      </c>
      <c r="G625" s="4">
        <v>427334.815</v>
      </c>
      <c r="H625" s="5">
        <f>39 / 86400</f>
        <v>4.5138888888888887E-4</v>
      </c>
      <c r="I625" t="s">
        <v>24</v>
      </c>
      <c r="J625" t="s">
        <v>24</v>
      </c>
      <c r="K625" s="5">
        <f>51 / 86400</f>
        <v>5.9027777777777778E-4</v>
      </c>
      <c r="L625" s="5">
        <f>94 / 86400</f>
        <v>1.0879629629629629E-3</v>
      </c>
    </row>
    <row r="626" spans="1:12" x14ac:dyDescent="0.25">
      <c r="A626" s="3">
        <v>45712.880358796298</v>
      </c>
      <c r="B626" t="s">
        <v>52</v>
      </c>
      <c r="C626" s="3">
        <v>45712.880671296298</v>
      </c>
      <c r="D626" t="s">
        <v>52</v>
      </c>
      <c r="E626" s="4">
        <v>1.6E-2</v>
      </c>
      <c r="F626" s="4">
        <v>427334.815</v>
      </c>
      <c r="G626" s="4">
        <v>427334.83100000001</v>
      </c>
      <c r="H626" s="5">
        <f>19 / 86400</f>
        <v>2.199074074074074E-4</v>
      </c>
      <c r="I626" t="s">
        <v>24</v>
      </c>
      <c r="J626" t="s">
        <v>150</v>
      </c>
      <c r="K626" s="5">
        <f>27 / 86400</f>
        <v>3.1250000000000001E-4</v>
      </c>
      <c r="L626" s="5">
        <f>196 / 86400</f>
        <v>2.2685185185185187E-3</v>
      </c>
    </row>
    <row r="627" spans="1:12" x14ac:dyDescent="0.25">
      <c r="A627" s="3">
        <v>45712.882939814815</v>
      </c>
      <c r="B627" t="s">
        <v>52</v>
      </c>
      <c r="C627" s="3">
        <v>45712.884432870371</v>
      </c>
      <c r="D627" t="s">
        <v>52</v>
      </c>
      <c r="E627" s="4">
        <v>8.9999999999999993E-3</v>
      </c>
      <c r="F627" s="4">
        <v>427334.83100000001</v>
      </c>
      <c r="G627" s="4">
        <v>427334.84</v>
      </c>
      <c r="H627" s="5">
        <f>99 / 86400</f>
        <v>1.1458333333333333E-3</v>
      </c>
      <c r="I627" t="s">
        <v>143</v>
      </c>
      <c r="J627" t="s">
        <v>24</v>
      </c>
      <c r="K627" s="5">
        <f>129 / 86400</f>
        <v>1.4930555555555556E-3</v>
      </c>
      <c r="L627" s="5">
        <f>242 / 86400</f>
        <v>2.8009259259259259E-3</v>
      </c>
    </row>
    <row r="628" spans="1:12" x14ac:dyDescent="0.25">
      <c r="A628" s="3">
        <v>45712.887233796297</v>
      </c>
      <c r="B628" t="s">
        <v>52</v>
      </c>
      <c r="C628" s="3">
        <v>45712.887511574074</v>
      </c>
      <c r="D628" t="s">
        <v>52</v>
      </c>
      <c r="E628" s="4">
        <v>0</v>
      </c>
      <c r="F628" s="4">
        <v>427334.84</v>
      </c>
      <c r="G628" s="4">
        <v>427334.84</v>
      </c>
      <c r="H628" s="5">
        <f>19 / 86400</f>
        <v>2.199074074074074E-4</v>
      </c>
      <c r="I628" t="s">
        <v>24</v>
      </c>
      <c r="J628" t="s">
        <v>24</v>
      </c>
      <c r="K628" s="5">
        <f>23 / 86400</f>
        <v>2.6620370370370372E-4</v>
      </c>
      <c r="L628" s="5">
        <f>9718 / 86400</f>
        <v>0.11247685185185186</v>
      </c>
    </row>
    <row r="629" spans="1:12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</row>
    <row r="630" spans="1:12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</row>
    <row r="631" spans="1:12" s="10" customFormat="1" ht="20.100000000000001" customHeight="1" x14ac:dyDescent="0.35">
      <c r="A631" s="15" t="s">
        <v>458</v>
      </c>
      <c r="B631" s="15"/>
      <c r="C631" s="15"/>
      <c r="D631" s="15"/>
      <c r="E631" s="15"/>
      <c r="F631" s="15"/>
      <c r="G631" s="15"/>
      <c r="H631" s="15"/>
      <c r="I631" s="15"/>
      <c r="J631" s="15"/>
    </row>
    <row r="632" spans="1:12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</row>
    <row r="633" spans="1:12" ht="30" x14ac:dyDescent="0.25">
      <c r="A633" s="2" t="s">
        <v>6</v>
      </c>
      <c r="B633" s="2" t="s">
        <v>7</v>
      </c>
      <c r="C633" s="2" t="s">
        <v>8</v>
      </c>
      <c r="D633" s="2" t="s">
        <v>9</v>
      </c>
      <c r="E633" s="2" t="s">
        <v>10</v>
      </c>
      <c r="F633" s="2" t="s">
        <v>11</v>
      </c>
      <c r="G633" s="2" t="s">
        <v>12</v>
      </c>
      <c r="H633" s="2" t="s">
        <v>13</v>
      </c>
      <c r="I633" s="2" t="s">
        <v>14</v>
      </c>
      <c r="J633" s="2" t="s">
        <v>15</v>
      </c>
      <c r="K633" s="2" t="s">
        <v>16</v>
      </c>
      <c r="L633" s="2" t="s">
        <v>17</v>
      </c>
    </row>
    <row r="634" spans="1:12" x14ac:dyDescent="0.25">
      <c r="A634" s="3">
        <v>45712.232685185183</v>
      </c>
      <c r="B634" t="s">
        <v>27</v>
      </c>
      <c r="C634" s="3">
        <v>45712.320381944446</v>
      </c>
      <c r="D634" t="s">
        <v>401</v>
      </c>
      <c r="E634" s="4">
        <v>28.632000000000001</v>
      </c>
      <c r="F634" s="4">
        <v>14487.718999999999</v>
      </c>
      <c r="G634" s="4">
        <v>14516.351000000001</v>
      </c>
      <c r="H634" s="5">
        <f>2999 / 86400</f>
        <v>3.471064814814815E-2</v>
      </c>
      <c r="I634" t="s">
        <v>122</v>
      </c>
      <c r="J634" t="s">
        <v>48</v>
      </c>
      <c r="K634" s="5">
        <f>7577 / 86400</f>
        <v>8.7696759259259266E-2</v>
      </c>
      <c r="L634" s="5">
        <f>20177 / 86400</f>
        <v>0.23353009259259258</v>
      </c>
    </row>
    <row r="635" spans="1:12" x14ac:dyDescent="0.25">
      <c r="A635" s="3">
        <v>45712.321226851855</v>
      </c>
      <c r="B635" t="s">
        <v>401</v>
      </c>
      <c r="C635" s="3">
        <v>45712.434618055559</v>
      </c>
      <c r="D635" t="s">
        <v>68</v>
      </c>
      <c r="E635" s="4">
        <v>49.564999999999998</v>
      </c>
      <c r="F635" s="4">
        <v>14516.351000000001</v>
      </c>
      <c r="G635" s="4">
        <v>14565.915999999999</v>
      </c>
      <c r="H635" s="5">
        <f>3480 / 86400</f>
        <v>4.027777777777778E-2</v>
      </c>
      <c r="I635" t="s">
        <v>61</v>
      </c>
      <c r="J635" t="s">
        <v>20</v>
      </c>
      <c r="K635" s="5">
        <f>9797 / 86400</f>
        <v>0.1133912037037037</v>
      </c>
      <c r="L635" s="5">
        <f>202 / 86400</f>
        <v>2.3379629629629631E-3</v>
      </c>
    </row>
    <row r="636" spans="1:12" x14ac:dyDescent="0.25">
      <c r="A636" s="3">
        <v>45712.436956018515</v>
      </c>
      <c r="B636" t="s">
        <v>68</v>
      </c>
      <c r="C636" s="3">
        <v>45712.438472222224</v>
      </c>
      <c r="D636" t="s">
        <v>291</v>
      </c>
      <c r="E636" s="4">
        <v>0.68500000000000005</v>
      </c>
      <c r="F636" s="4">
        <v>14565.915999999999</v>
      </c>
      <c r="G636" s="4">
        <v>14566.601000000001</v>
      </c>
      <c r="H636" s="5">
        <f>4 / 86400</f>
        <v>4.6296296296296294E-5</v>
      </c>
      <c r="I636" t="s">
        <v>94</v>
      </c>
      <c r="J636" t="s">
        <v>137</v>
      </c>
      <c r="K636" s="5">
        <f>131 / 86400</f>
        <v>1.5162037037037036E-3</v>
      </c>
      <c r="L636" s="5">
        <f>45 / 86400</f>
        <v>5.2083333333333333E-4</v>
      </c>
    </row>
    <row r="637" spans="1:12" x14ac:dyDescent="0.25">
      <c r="A637" s="3">
        <v>45712.438993055555</v>
      </c>
      <c r="B637" t="s">
        <v>291</v>
      </c>
      <c r="C637" s="3">
        <v>45712.439317129625</v>
      </c>
      <c r="D637" t="s">
        <v>291</v>
      </c>
      <c r="E637" s="4">
        <v>1.0999999999999999E-2</v>
      </c>
      <c r="F637" s="4">
        <v>14566.601000000001</v>
      </c>
      <c r="G637" s="4">
        <v>14566.611999999999</v>
      </c>
      <c r="H637" s="5">
        <f>0 / 86400</f>
        <v>0</v>
      </c>
      <c r="I637" t="s">
        <v>57</v>
      </c>
      <c r="J637" t="s">
        <v>143</v>
      </c>
      <c r="K637" s="5">
        <f>28 / 86400</f>
        <v>3.2407407407407406E-4</v>
      </c>
      <c r="L637" s="5">
        <f>1259 / 86400</f>
        <v>1.457175925925926E-2</v>
      </c>
    </row>
    <row r="638" spans="1:12" x14ac:dyDescent="0.25">
      <c r="A638" s="3">
        <v>45712.453888888893</v>
      </c>
      <c r="B638" t="s">
        <v>291</v>
      </c>
      <c r="C638" s="3">
        <v>45712.458333333328</v>
      </c>
      <c r="D638" t="s">
        <v>21</v>
      </c>
      <c r="E638" s="4">
        <v>1.0009999999999999</v>
      </c>
      <c r="F638" s="4">
        <v>14566.611999999999</v>
      </c>
      <c r="G638" s="4">
        <v>14567.612999999999</v>
      </c>
      <c r="H638" s="5">
        <f>116 / 86400</f>
        <v>1.3425925925925925E-3</v>
      </c>
      <c r="I638" t="s">
        <v>218</v>
      </c>
      <c r="J638" t="s">
        <v>135</v>
      </c>
      <c r="K638" s="5">
        <f>383 / 86400</f>
        <v>4.43287037037037E-3</v>
      </c>
      <c r="L638" s="5">
        <f>1712 / 86400</f>
        <v>1.9814814814814816E-2</v>
      </c>
    </row>
    <row r="639" spans="1:12" x14ac:dyDescent="0.25">
      <c r="A639" s="3">
        <v>45712.478148148148</v>
      </c>
      <c r="B639" t="s">
        <v>21</v>
      </c>
      <c r="C639" s="3">
        <v>45712.622719907406</v>
      </c>
      <c r="D639" t="s">
        <v>402</v>
      </c>
      <c r="E639" s="4">
        <v>55.207000000000001</v>
      </c>
      <c r="F639" s="4">
        <v>14567.612999999999</v>
      </c>
      <c r="G639" s="4">
        <v>14622.82</v>
      </c>
      <c r="H639" s="5">
        <f>5155 / 86400</f>
        <v>5.966435185185185E-2</v>
      </c>
      <c r="I639" t="s">
        <v>54</v>
      </c>
      <c r="J639" t="s">
        <v>34</v>
      </c>
      <c r="K639" s="5">
        <f>12490 / 86400</f>
        <v>0.14456018518518518</v>
      </c>
      <c r="L639" s="5">
        <f>41 / 86400</f>
        <v>4.7453703703703704E-4</v>
      </c>
    </row>
    <row r="640" spans="1:12" x14ac:dyDescent="0.25">
      <c r="A640" s="3">
        <v>45712.623194444444</v>
      </c>
      <c r="B640" t="s">
        <v>403</v>
      </c>
      <c r="C640" s="3">
        <v>45712.640833333338</v>
      </c>
      <c r="D640" t="s">
        <v>404</v>
      </c>
      <c r="E640" s="4">
        <v>3.2480000000000002</v>
      </c>
      <c r="F640" s="4">
        <v>14622.82</v>
      </c>
      <c r="G640" s="4">
        <v>14626.067999999999</v>
      </c>
      <c r="H640" s="5">
        <f>919 / 86400</f>
        <v>1.0636574074074074E-2</v>
      </c>
      <c r="I640" t="s">
        <v>180</v>
      </c>
      <c r="J640" t="s">
        <v>92</v>
      </c>
      <c r="K640" s="5">
        <f>1524 / 86400</f>
        <v>1.7638888888888888E-2</v>
      </c>
      <c r="L640" s="5">
        <f>1427 / 86400</f>
        <v>1.6516203703703703E-2</v>
      </c>
    </row>
    <row r="641" spans="1:12" x14ac:dyDescent="0.25">
      <c r="A641" s="3">
        <v>45712.657349537039</v>
      </c>
      <c r="B641" t="s">
        <v>404</v>
      </c>
      <c r="C641" s="3">
        <v>45712.756238425922</v>
      </c>
      <c r="D641" t="s">
        <v>405</v>
      </c>
      <c r="E641" s="4">
        <v>32.915999999999997</v>
      </c>
      <c r="F641" s="4">
        <v>14626.067999999999</v>
      </c>
      <c r="G641" s="4">
        <v>14658.984</v>
      </c>
      <c r="H641" s="5">
        <f>3742 / 86400</f>
        <v>4.3310185185185188E-2</v>
      </c>
      <c r="I641" t="s">
        <v>168</v>
      </c>
      <c r="J641" t="s">
        <v>48</v>
      </c>
      <c r="K641" s="5">
        <f>8544 / 86400</f>
        <v>9.8888888888888887E-2</v>
      </c>
      <c r="L641" s="5">
        <f>185 / 86400</f>
        <v>2.1412037037037038E-3</v>
      </c>
    </row>
    <row r="642" spans="1:12" x14ac:dyDescent="0.25">
      <c r="A642" s="3">
        <v>45712.758379629631</v>
      </c>
      <c r="B642" t="s">
        <v>405</v>
      </c>
      <c r="C642" s="3">
        <v>45712.782557870371</v>
      </c>
      <c r="D642" t="s">
        <v>406</v>
      </c>
      <c r="E642" s="4">
        <v>12.791</v>
      </c>
      <c r="F642" s="4">
        <v>14658.984</v>
      </c>
      <c r="G642" s="4">
        <v>14671.775</v>
      </c>
      <c r="H642" s="5">
        <f>381 / 86400</f>
        <v>4.409722222222222E-3</v>
      </c>
      <c r="I642" t="s">
        <v>298</v>
      </c>
      <c r="J642" t="s">
        <v>134</v>
      </c>
      <c r="K642" s="5">
        <f>2089 / 86400</f>
        <v>2.417824074074074E-2</v>
      </c>
      <c r="L642" s="5">
        <f>727 / 86400</f>
        <v>8.4143518518518517E-3</v>
      </c>
    </row>
    <row r="643" spans="1:12" x14ac:dyDescent="0.25">
      <c r="A643" s="3">
        <v>45712.790972222225</v>
      </c>
      <c r="B643" t="s">
        <v>406</v>
      </c>
      <c r="C643" s="3">
        <v>45712.793715277774</v>
      </c>
      <c r="D643" t="s">
        <v>27</v>
      </c>
      <c r="E643" s="4">
        <v>0.41</v>
      </c>
      <c r="F643" s="4">
        <v>14671.775</v>
      </c>
      <c r="G643" s="4">
        <v>14672.184999999999</v>
      </c>
      <c r="H643" s="5">
        <f>100 / 86400</f>
        <v>1.1574074074074073E-3</v>
      </c>
      <c r="I643" t="s">
        <v>134</v>
      </c>
      <c r="J643" t="s">
        <v>32</v>
      </c>
      <c r="K643" s="5">
        <f>236 / 86400</f>
        <v>2.7314814814814814E-3</v>
      </c>
      <c r="L643" s="5">
        <f>17822 / 86400</f>
        <v>0.20627314814814815</v>
      </c>
    </row>
    <row r="644" spans="1:12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</row>
    <row r="645" spans="1:12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</row>
    <row r="646" spans="1:12" s="10" customFormat="1" ht="20.100000000000001" customHeight="1" x14ac:dyDescent="0.35">
      <c r="A646" s="15" t="s">
        <v>459</v>
      </c>
      <c r="B646" s="15"/>
      <c r="C646" s="15"/>
      <c r="D646" s="15"/>
      <c r="E646" s="15"/>
      <c r="F646" s="15"/>
      <c r="G646" s="15"/>
      <c r="H646" s="15"/>
      <c r="I646" s="15"/>
      <c r="J646" s="15"/>
    </row>
    <row r="647" spans="1:12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</row>
    <row r="648" spans="1:12" ht="30" x14ac:dyDescent="0.25">
      <c r="A648" s="2" t="s">
        <v>6</v>
      </c>
      <c r="B648" s="2" t="s">
        <v>7</v>
      </c>
      <c r="C648" s="2" t="s">
        <v>8</v>
      </c>
      <c r="D648" s="2" t="s">
        <v>9</v>
      </c>
      <c r="E648" s="2" t="s">
        <v>10</v>
      </c>
      <c r="F648" s="2" t="s">
        <v>11</v>
      </c>
      <c r="G648" s="2" t="s">
        <v>12</v>
      </c>
      <c r="H648" s="2" t="s">
        <v>13</v>
      </c>
      <c r="I648" s="2" t="s">
        <v>14</v>
      </c>
      <c r="J648" s="2" t="s">
        <v>15</v>
      </c>
      <c r="K648" s="2" t="s">
        <v>16</v>
      </c>
      <c r="L648" s="2" t="s">
        <v>17</v>
      </c>
    </row>
    <row r="649" spans="1:12" x14ac:dyDescent="0.25">
      <c r="A649" s="3">
        <v>45712.238425925927</v>
      </c>
      <c r="B649" t="s">
        <v>55</v>
      </c>
      <c r="C649" s="3">
        <v>45712.473391203705</v>
      </c>
      <c r="D649" t="s">
        <v>68</v>
      </c>
      <c r="E649" s="4">
        <v>93.923000000000002</v>
      </c>
      <c r="F649" s="4">
        <v>139784.726</v>
      </c>
      <c r="G649" s="4">
        <v>139878.649</v>
      </c>
      <c r="H649" s="5">
        <f>6196 / 86400</f>
        <v>7.1712962962962964E-2</v>
      </c>
      <c r="I649" t="s">
        <v>46</v>
      </c>
      <c r="J649" t="s">
        <v>30</v>
      </c>
      <c r="K649" s="5">
        <f>20300 / 86400</f>
        <v>0.23495370370370369</v>
      </c>
      <c r="L649" s="5">
        <f>20886 / 86400</f>
        <v>0.24173611111111112</v>
      </c>
    </row>
    <row r="650" spans="1:12" x14ac:dyDescent="0.25">
      <c r="A650" s="3">
        <v>45712.476701388892</v>
      </c>
      <c r="B650" t="s">
        <v>68</v>
      </c>
      <c r="C650" s="3">
        <v>45712.481203703705</v>
      </c>
      <c r="D650" t="s">
        <v>81</v>
      </c>
      <c r="E650" s="4">
        <v>0.96099999999999997</v>
      </c>
      <c r="F650" s="4">
        <v>139878.649</v>
      </c>
      <c r="G650" s="4">
        <v>139879.60999999999</v>
      </c>
      <c r="H650" s="5">
        <f>179 / 86400</f>
        <v>2.0717592592592593E-3</v>
      </c>
      <c r="I650" t="s">
        <v>290</v>
      </c>
      <c r="J650" t="s">
        <v>135</v>
      </c>
      <c r="K650" s="5">
        <f>388 / 86400</f>
        <v>4.4907407407407405E-3</v>
      </c>
      <c r="L650" s="5">
        <f>2702 / 86400</f>
        <v>3.1273148148148147E-2</v>
      </c>
    </row>
    <row r="651" spans="1:12" x14ac:dyDescent="0.25">
      <c r="A651" s="3">
        <v>45712.512476851851</v>
      </c>
      <c r="B651" t="s">
        <v>81</v>
      </c>
      <c r="C651" s="3">
        <v>45712.517881944441</v>
      </c>
      <c r="D651" t="s">
        <v>21</v>
      </c>
      <c r="E651" s="4">
        <v>0.78800000000000003</v>
      </c>
      <c r="F651" s="4">
        <v>139879.60999999999</v>
      </c>
      <c r="G651" s="4">
        <v>139880.39799999999</v>
      </c>
      <c r="H651" s="5">
        <f>159 / 86400</f>
        <v>1.8402777777777777E-3</v>
      </c>
      <c r="I651" t="s">
        <v>30</v>
      </c>
      <c r="J651" t="s">
        <v>32</v>
      </c>
      <c r="K651" s="5">
        <f>467 / 86400</f>
        <v>5.4050925925925924E-3</v>
      </c>
      <c r="L651" s="5">
        <f>2154 / 86400</f>
        <v>2.4930555555555556E-2</v>
      </c>
    </row>
    <row r="652" spans="1:12" x14ac:dyDescent="0.25">
      <c r="A652" s="3">
        <v>45712.542812500003</v>
      </c>
      <c r="B652" t="s">
        <v>21</v>
      </c>
      <c r="C652" s="3">
        <v>45712.855706018519</v>
      </c>
      <c r="D652" t="s">
        <v>407</v>
      </c>
      <c r="E652" s="4">
        <v>119.905</v>
      </c>
      <c r="F652" s="4">
        <v>139880.39799999999</v>
      </c>
      <c r="G652" s="4">
        <v>140000.30300000001</v>
      </c>
      <c r="H652" s="5">
        <f>9237 / 86400</f>
        <v>0.10690972222222223</v>
      </c>
      <c r="I652" t="s">
        <v>80</v>
      </c>
      <c r="J652" t="s">
        <v>34</v>
      </c>
      <c r="K652" s="5">
        <f>27033 / 86400</f>
        <v>0.31288194444444445</v>
      </c>
      <c r="L652" s="5">
        <f>483 / 86400</f>
        <v>5.5902777777777773E-3</v>
      </c>
    </row>
    <row r="653" spans="1:12" x14ac:dyDescent="0.25">
      <c r="A653" s="3">
        <v>45712.861296296294</v>
      </c>
      <c r="B653" t="s">
        <v>407</v>
      </c>
      <c r="C653" s="3">
        <v>45712.874872685185</v>
      </c>
      <c r="D653" t="s">
        <v>55</v>
      </c>
      <c r="E653" s="4">
        <v>3.4169999999999998</v>
      </c>
      <c r="F653" s="4">
        <v>140000.30300000001</v>
      </c>
      <c r="G653" s="4">
        <v>140003.72</v>
      </c>
      <c r="H653" s="5">
        <f>440 / 86400</f>
        <v>5.092592592592593E-3</v>
      </c>
      <c r="I653" t="s">
        <v>144</v>
      </c>
      <c r="J653" t="s">
        <v>51</v>
      </c>
      <c r="K653" s="5">
        <f>1173 / 86400</f>
        <v>1.357638888888889E-2</v>
      </c>
      <c r="L653" s="5">
        <f>10810 / 86400</f>
        <v>0.12511574074074075</v>
      </c>
    </row>
    <row r="654" spans="1:12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</row>
    <row r="655" spans="1:12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</row>
    <row r="656" spans="1:12" s="10" customFormat="1" ht="20.100000000000001" customHeight="1" x14ac:dyDescent="0.35">
      <c r="A656" s="15" t="s">
        <v>460</v>
      </c>
      <c r="B656" s="15"/>
      <c r="C656" s="15"/>
      <c r="D656" s="15"/>
      <c r="E656" s="15"/>
      <c r="F656" s="15"/>
      <c r="G656" s="15"/>
      <c r="H656" s="15"/>
      <c r="I656" s="15"/>
      <c r="J656" s="15"/>
    </row>
    <row r="657" spans="1:12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</row>
    <row r="658" spans="1:12" ht="30" x14ac:dyDescent="0.25">
      <c r="A658" s="2" t="s">
        <v>6</v>
      </c>
      <c r="B658" s="2" t="s">
        <v>7</v>
      </c>
      <c r="C658" s="2" t="s">
        <v>8</v>
      </c>
      <c r="D658" s="2" t="s">
        <v>9</v>
      </c>
      <c r="E658" s="2" t="s">
        <v>10</v>
      </c>
      <c r="F658" s="2" t="s">
        <v>11</v>
      </c>
      <c r="G658" s="2" t="s">
        <v>12</v>
      </c>
      <c r="H658" s="2" t="s">
        <v>13</v>
      </c>
      <c r="I658" s="2" t="s">
        <v>14</v>
      </c>
      <c r="J658" s="2" t="s">
        <v>15</v>
      </c>
      <c r="K658" s="2" t="s">
        <v>16</v>
      </c>
      <c r="L658" s="2" t="s">
        <v>17</v>
      </c>
    </row>
    <row r="659" spans="1:12" x14ac:dyDescent="0.25">
      <c r="A659" s="3">
        <v>45712.233252314814</v>
      </c>
      <c r="B659" t="s">
        <v>27</v>
      </c>
      <c r="C659" s="3">
        <v>45712.237222222218</v>
      </c>
      <c r="D659" t="s">
        <v>27</v>
      </c>
      <c r="E659" s="4">
        <v>0</v>
      </c>
      <c r="F659" s="4">
        <v>6954.0990000000002</v>
      </c>
      <c r="G659" s="4">
        <v>6954.0990000000002</v>
      </c>
      <c r="H659" s="5">
        <f>339 / 86400</f>
        <v>3.9236111111111112E-3</v>
      </c>
      <c r="I659" t="s">
        <v>24</v>
      </c>
      <c r="J659" t="s">
        <v>24</v>
      </c>
      <c r="K659" s="5">
        <f>342 / 86400</f>
        <v>3.9583333333333337E-3</v>
      </c>
      <c r="L659" s="5">
        <f>20959 / 86400</f>
        <v>0.24258101851851852</v>
      </c>
    </row>
    <row r="660" spans="1:12" x14ac:dyDescent="0.25">
      <c r="A660" s="3">
        <v>45712.246550925927</v>
      </c>
      <c r="B660" t="s">
        <v>27</v>
      </c>
      <c r="C660" s="3">
        <v>45712.251701388886</v>
      </c>
      <c r="D660" t="s">
        <v>27</v>
      </c>
      <c r="E660" s="4">
        <v>1.2999999999999999E-2</v>
      </c>
      <c r="F660" s="4">
        <v>6954.0990000000002</v>
      </c>
      <c r="G660" s="4">
        <v>6954.1120000000001</v>
      </c>
      <c r="H660" s="5">
        <f>399 / 86400</f>
        <v>4.6180555555555558E-3</v>
      </c>
      <c r="I660" t="s">
        <v>57</v>
      </c>
      <c r="J660" t="s">
        <v>24</v>
      </c>
      <c r="K660" s="5">
        <f>444 / 86400</f>
        <v>5.138888888888889E-3</v>
      </c>
      <c r="L660" s="5">
        <f>1751 / 86400</f>
        <v>2.0266203703703703E-2</v>
      </c>
    </row>
    <row r="661" spans="1:12" x14ac:dyDescent="0.25">
      <c r="A661" s="3">
        <v>45712.271967592591</v>
      </c>
      <c r="B661" t="s">
        <v>27</v>
      </c>
      <c r="C661" s="3">
        <v>45712.273981481485</v>
      </c>
      <c r="D661" t="s">
        <v>27</v>
      </c>
      <c r="E661" s="4">
        <v>1.4E-2</v>
      </c>
      <c r="F661" s="4">
        <v>6954.1120000000001</v>
      </c>
      <c r="G661" s="4">
        <v>6954.1260000000002</v>
      </c>
      <c r="H661" s="5">
        <f>140 / 86400</f>
        <v>1.6203703703703703E-3</v>
      </c>
      <c r="I661" t="s">
        <v>95</v>
      </c>
      <c r="J661" t="s">
        <v>24</v>
      </c>
      <c r="K661" s="5">
        <f>174 / 86400</f>
        <v>2.0138888888888888E-3</v>
      </c>
      <c r="L661" s="5">
        <f>682 / 86400</f>
        <v>7.8935185185185185E-3</v>
      </c>
    </row>
    <row r="662" spans="1:12" x14ac:dyDescent="0.25">
      <c r="A662" s="3">
        <v>45712.281875000001</v>
      </c>
      <c r="B662" t="s">
        <v>27</v>
      </c>
      <c r="C662" s="3">
        <v>45712.282627314809</v>
      </c>
      <c r="D662" t="s">
        <v>27</v>
      </c>
      <c r="E662" s="4">
        <v>3.3000000000000002E-2</v>
      </c>
      <c r="F662" s="4">
        <v>6954.1260000000002</v>
      </c>
      <c r="G662" s="4">
        <v>6954.1589999999997</v>
      </c>
      <c r="H662" s="5">
        <f>0 / 86400</f>
        <v>0</v>
      </c>
      <c r="I662" t="s">
        <v>32</v>
      </c>
      <c r="J662" t="s">
        <v>150</v>
      </c>
      <c r="K662" s="5">
        <f>64 / 86400</f>
        <v>7.407407407407407E-4</v>
      </c>
      <c r="L662" s="5">
        <f>600 / 86400</f>
        <v>6.9444444444444441E-3</v>
      </c>
    </row>
    <row r="663" spans="1:12" x14ac:dyDescent="0.25">
      <c r="A663" s="3">
        <v>45712.289571759262</v>
      </c>
      <c r="B663" t="s">
        <v>27</v>
      </c>
      <c r="C663" s="3">
        <v>45712.290081018524</v>
      </c>
      <c r="D663" t="s">
        <v>27</v>
      </c>
      <c r="E663" s="4">
        <v>0</v>
      </c>
      <c r="F663" s="4">
        <v>6954.1589999999997</v>
      </c>
      <c r="G663" s="4">
        <v>6954.1589999999997</v>
      </c>
      <c r="H663" s="5">
        <f>39 / 86400</f>
        <v>4.5138888888888887E-4</v>
      </c>
      <c r="I663" t="s">
        <v>24</v>
      </c>
      <c r="J663" t="s">
        <v>24</v>
      </c>
      <c r="K663" s="5">
        <f>44 / 86400</f>
        <v>5.0925925925925921E-4</v>
      </c>
      <c r="L663" s="5">
        <f>5572 / 86400</f>
        <v>6.4490740740740737E-2</v>
      </c>
    </row>
    <row r="664" spans="1:12" x14ac:dyDescent="0.25">
      <c r="A664" s="3">
        <v>45712.354571759264</v>
      </c>
      <c r="B664" t="s">
        <v>27</v>
      </c>
      <c r="C664" s="3">
        <v>45712.356851851851</v>
      </c>
      <c r="D664" t="s">
        <v>27</v>
      </c>
      <c r="E664" s="4">
        <v>8.0000000000000002E-3</v>
      </c>
      <c r="F664" s="4">
        <v>6954.1589999999997</v>
      </c>
      <c r="G664" s="4">
        <v>6954.1670000000004</v>
      </c>
      <c r="H664" s="5">
        <f>159 / 86400</f>
        <v>1.8402777777777777E-3</v>
      </c>
      <c r="I664" t="s">
        <v>57</v>
      </c>
      <c r="J664" t="s">
        <v>24</v>
      </c>
      <c r="K664" s="5">
        <f>197 / 86400</f>
        <v>2.2800925925925927E-3</v>
      </c>
      <c r="L664" s="5">
        <f>91 / 86400</f>
        <v>1.0532407407407407E-3</v>
      </c>
    </row>
    <row r="665" spans="1:12" x14ac:dyDescent="0.25">
      <c r="A665" s="3">
        <v>45712.357905092591</v>
      </c>
      <c r="B665" t="s">
        <v>27</v>
      </c>
      <c r="C665" s="3">
        <v>45712.366736111115</v>
      </c>
      <c r="D665" t="s">
        <v>408</v>
      </c>
      <c r="E665" s="4">
        <v>2.718</v>
      </c>
      <c r="F665" s="4">
        <v>6954.1670000000004</v>
      </c>
      <c r="G665" s="4">
        <v>6956.8850000000002</v>
      </c>
      <c r="H665" s="5">
        <f>230 / 86400</f>
        <v>2.662037037037037E-3</v>
      </c>
      <c r="I665" t="s">
        <v>56</v>
      </c>
      <c r="J665" t="s">
        <v>71</v>
      </c>
      <c r="K665" s="5">
        <f>763 / 86400</f>
        <v>8.8310185185185193E-3</v>
      </c>
      <c r="L665" s="5">
        <f>98 / 86400</f>
        <v>1.1342592592592593E-3</v>
      </c>
    </row>
    <row r="666" spans="1:12" x14ac:dyDescent="0.25">
      <c r="A666" s="3">
        <v>45712.36787037037</v>
      </c>
      <c r="B666" t="s">
        <v>408</v>
      </c>
      <c r="C666" s="3">
        <v>45712.368298611109</v>
      </c>
      <c r="D666" t="s">
        <v>408</v>
      </c>
      <c r="E666" s="4">
        <v>7.0000000000000001E-3</v>
      </c>
      <c r="F666" s="4">
        <v>6956.8850000000002</v>
      </c>
      <c r="G666" s="4">
        <v>6956.8919999999998</v>
      </c>
      <c r="H666" s="5">
        <f>0 / 86400</f>
        <v>0</v>
      </c>
      <c r="I666" t="s">
        <v>95</v>
      </c>
      <c r="J666" t="s">
        <v>143</v>
      </c>
      <c r="K666" s="5">
        <f>37 / 86400</f>
        <v>4.2824074074074075E-4</v>
      </c>
      <c r="L666" s="5">
        <f>447 / 86400</f>
        <v>5.1736111111111115E-3</v>
      </c>
    </row>
    <row r="667" spans="1:12" x14ac:dyDescent="0.25">
      <c r="A667" s="3">
        <v>45712.373472222222</v>
      </c>
      <c r="B667" t="s">
        <v>408</v>
      </c>
      <c r="C667" s="3">
        <v>45712.377268518518</v>
      </c>
      <c r="D667" t="s">
        <v>408</v>
      </c>
      <c r="E667" s="4">
        <v>0.35799999999999998</v>
      </c>
      <c r="F667" s="4">
        <v>6956.8919999999998</v>
      </c>
      <c r="G667" s="4">
        <v>6957.25</v>
      </c>
      <c r="H667" s="5">
        <f>159 / 86400</f>
        <v>1.8402777777777777E-3</v>
      </c>
      <c r="I667" t="s">
        <v>42</v>
      </c>
      <c r="J667" t="s">
        <v>129</v>
      </c>
      <c r="K667" s="5">
        <f>328 / 86400</f>
        <v>3.7962962962962963E-3</v>
      </c>
      <c r="L667" s="5">
        <f>37374 / 86400</f>
        <v>0.43256944444444445</v>
      </c>
    </row>
    <row r="668" spans="1:12" x14ac:dyDescent="0.25">
      <c r="A668" s="3">
        <v>45712.809837962966</v>
      </c>
      <c r="B668" t="s">
        <v>408</v>
      </c>
      <c r="C668" s="3">
        <v>45712.810601851852</v>
      </c>
      <c r="D668" t="s">
        <v>408</v>
      </c>
      <c r="E668" s="4">
        <v>0</v>
      </c>
      <c r="F668" s="4">
        <v>6957.25</v>
      </c>
      <c r="G668" s="4">
        <v>6957.25</v>
      </c>
      <c r="H668" s="5">
        <f>59 / 86400</f>
        <v>6.8287037037037036E-4</v>
      </c>
      <c r="I668" t="s">
        <v>24</v>
      </c>
      <c r="J668" t="s">
        <v>24</v>
      </c>
      <c r="K668" s="5">
        <f>65 / 86400</f>
        <v>7.5231481481481482E-4</v>
      </c>
      <c r="L668" s="5">
        <f>3 / 86400</f>
        <v>3.4722222222222222E-5</v>
      </c>
    </row>
    <row r="669" spans="1:12" x14ac:dyDescent="0.25">
      <c r="A669" s="3">
        <v>45712.810636574075</v>
      </c>
      <c r="B669" t="s">
        <v>408</v>
      </c>
      <c r="C669" s="3">
        <v>45712.812037037038</v>
      </c>
      <c r="D669" t="s">
        <v>408</v>
      </c>
      <c r="E669" s="4">
        <v>1E-3</v>
      </c>
      <c r="F669" s="4">
        <v>6957.25</v>
      </c>
      <c r="G669" s="4">
        <v>6957.2510000000002</v>
      </c>
      <c r="H669" s="5">
        <f>111 / 86400</f>
        <v>1.2847222222222223E-3</v>
      </c>
      <c r="I669" t="s">
        <v>24</v>
      </c>
      <c r="J669" t="s">
        <v>24</v>
      </c>
      <c r="K669" s="5">
        <f>121 / 86400</f>
        <v>1.4004629629629629E-3</v>
      </c>
      <c r="L669" s="5">
        <f>1014 / 86400</f>
        <v>1.173611111111111E-2</v>
      </c>
    </row>
    <row r="670" spans="1:12" x14ac:dyDescent="0.25">
      <c r="A670" s="3">
        <v>45712.823773148149</v>
      </c>
      <c r="B670" t="s">
        <v>408</v>
      </c>
      <c r="C670" s="3">
        <v>45712.840486111112</v>
      </c>
      <c r="D670" t="s">
        <v>27</v>
      </c>
      <c r="E670" s="4">
        <v>2.36</v>
      </c>
      <c r="F670" s="4">
        <v>6957.2510000000002</v>
      </c>
      <c r="G670" s="4">
        <v>6959.6109999999999</v>
      </c>
      <c r="H670" s="5">
        <f>959 / 86400</f>
        <v>1.1099537037037036E-2</v>
      </c>
      <c r="I670" t="s">
        <v>189</v>
      </c>
      <c r="J670" t="s">
        <v>32</v>
      </c>
      <c r="K670" s="5">
        <f>1443 / 86400</f>
        <v>1.6701388888888891E-2</v>
      </c>
      <c r="L670" s="5">
        <f>258 / 86400</f>
        <v>2.9861111111111113E-3</v>
      </c>
    </row>
    <row r="671" spans="1:12" x14ac:dyDescent="0.25">
      <c r="A671" s="3">
        <v>45712.843472222223</v>
      </c>
      <c r="B671" t="s">
        <v>27</v>
      </c>
      <c r="C671" s="3">
        <v>45712.844189814816</v>
      </c>
      <c r="D671" t="s">
        <v>27</v>
      </c>
      <c r="E671" s="4">
        <v>0.10100000000000001</v>
      </c>
      <c r="F671" s="4">
        <v>6959.6109999999999</v>
      </c>
      <c r="G671" s="4">
        <v>6959.7120000000004</v>
      </c>
      <c r="H671" s="5">
        <f>0 / 86400</f>
        <v>0</v>
      </c>
      <c r="I671" t="s">
        <v>51</v>
      </c>
      <c r="J671" t="s">
        <v>32</v>
      </c>
      <c r="K671" s="5">
        <f>62 / 86400</f>
        <v>7.1759259259259259E-4</v>
      </c>
      <c r="L671" s="5">
        <f>62 / 86400</f>
        <v>7.1759259259259259E-4</v>
      </c>
    </row>
    <row r="672" spans="1:12" x14ac:dyDescent="0.25">
      <c r="A672" s="3">
        <v>45712.844907407409</v>
      </c>
      <c r="B672" t="s">
        <v>27</v>
      </c>
      <c r="C672" s="3">
        <v>45712.845856481479</v>
      </c>
      <c r="D672" t="s">
        <v>27</v>
      </c>
      <c r="E672" s="4">
        <v>1.2999999999999999E-2</v>
      </c>
      <c r="F672" s="4">
        <v>6959.7120000000004</v>
      </c>
      <c r="G672" s="4">
        <v>6959.7250000000004</v>
      </c>
      <c r="H672" s="5">
        <f>79 / 86400</f>
        <v>9.1435185185185185E-4</v>
      </c>
      <c r="I672" t="s">
        <v>24</v>
      </c>
      <c r="J672" t="s">
        <v>143</v>
      </c>
      <c r="K672" s="5">
        <f>82 / 86400</f>
        <v>9.4907407407407408E-4</v>
      </c>
      <c r="L672" s="5">
        <f>13317 / 86400</f>
        <v>0.15413194444444445</v>
      </c>
    </row>
    <row r="673" spans="1:12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</row>
    <row r="674" spans="1:12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</row>
    <row r="675" spans="1:12" s="10" customFormat="1" ht="20.100000000000001" customHeight="1" x14ac:dyDescent="0.35">
      <c r="A675" s="15" t="s">
        <v>461</v>
      </c>
      <c r="B675" s="15"/>
      <c r="C675" s="15"/>
      <c r="D675" s="15"/>
      <c r="E675" s="15"/>
      <c r="F675" s="15"/>
      <c r="G675" s="15"/>
      <c r="H675" s="15"/>
      <c r="I675" s="15"/>
      <c r="J675" s="15"/>
    </row>
    <row r="676" spans="1:12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</row>
    <row r="677" spans="1:12" ht="30" x14ac:dyDescent="0.25">
      <c r="A677" s="2" t="s">
        <v>6</v>
      </c>
      <c r="B677" s="2" t="s">
        <v>7</v>
      </c>
      <c r="C677" s="2" t="s">
        <v>8</v>
      </c>
      <c r="D677" s="2" t="s">
        <v>9</v>
      </c>
      <c r="E677" s="2" t="s">
        <v>10</v>
      </c>
      <c r="F677" s="2" t="s">
        <v>11</v>
      </c>
      <c r="G677" s="2" t="s">
        <v>12</v>
      </c>
      <c r="H677" s="2" t="s">
        <v>13</v>
      </c>
      <c r="I677" s="2" t="s">
        <v>14</v>
      </c>
      <c r="J677" s="2" t="s">
        <v>15</v>
      </c>
      <c r="K677" s="2" t="s">
        <v>16</v>
      </c>
      <c r="L677" s="2" t="s">
        <v>17</v>
      </c>
    </row>
    <row r="678" spans="1:12" x14ac:dyDescent="0.25">
      <c r="A678" s="3">
        <v>45712.210717592592</v>
      </c>
      <c r="B678" t="s">
        <v>37</v>
      </c>
      <c r="C678" s="3">
        <v>45712.403298611112</v>
      </c>
      <c r="D678" t="s">
        <v>125</v>
      </c>
      <c r="E678" s="4">
        <v>81.325000000000003</v>
      </c>
      <c r="F678" s="4">
        <v>388572.90500000003</v>
      </c>
      <c r="G678" s="4">
        <v>388654.23</v>
      </c>
      <c r="H678" s="5">
        <f>4798 / 86400</f>
        <v>5.5532407407407405E-2</v>
      </c>
      <c r="I678" t="s">
        <v>298</v>
      </c>
      <c r="J678" t="s">
        <v>20</v>
      </c>
      <c r="K678" s="5">
        <f>16638 / 86400</f>
        <v>0.19256944444444443</v>
      </c>
      <c r="L678" s="5">
        <f>20050 / 86400</f>
        <v>0.23206018518518517</v>
      </c>
    </row>
    <row r="679" spans="1:12" x14ac:dyDescent="0.25">
      <c r="A679" s="3">
        <v>45712.424641203703</v>
      </c>
      <c r="B679" t="s">
        <v>125</v>
      </c>
      <c r="C679" s="3">
        <v>45712.425405092596</v>
      </c>
      <c r="D679" t="s">
        <v>125</v>
      </c>
      <c r="E679" s="4">
        <v>0.104</v>
      </c>
      <c r="F679" s="4">
        <v>388654.23</v>
      </c>
      <c r="G679" s="4">
        <v>388654.33399999997</v>
      </c>
      <c r="H679" s="5">
        <f>0 / 86400</f>
        <v>0</v>
      </c>
      <c r="I679" t="s">
        <v>145</v>
      </c>
      <c r="J679" t="s">
        <v>32</v>
      </c>
      <c r="K679" s="5">
        <f>66 / 86400</f>
        <v>7.6388888888888893E-4</v>
      </c>
      <c r="L679" s="5">
        <f>887 / 86400</f>
        <v>1.0266203703703704E-2</v>
      </c>
    </row>
    <row r="680" spans="1:12" x14ac:dyDescent="0.25">
      <c r="A680" s="3">
        <v>45712.435671296298</v>
      </c>
      <c r="B680" t="s">
        <v>125</v>
      </c>
      <c r="C680" s="3">
        <v>45712.439872685187</v>
      </c>
      <c r="D680" t="s">
        <v>151</v>
      </c>
      <c r="E680" s="4">
        <v>1.222</v>
      </c>
      <c r="F680" s="4">
        <v>388654.33399999997</v>
      </c>
      <c r="G680" s="4">
        <v>388655.55599999998</v>
      </c>
      <c r="H680" s="5">
        <f>20 / 86400</f>
        <v>2.3148148148148149E-4</v>
      </c>
      <c r="I680" t="s">
        <v>202</v>
      </c>
      <c r="J680" t="s">
        <v>145</v>
      </c>
      <c r="K680" s="5">
        <f>363 / 86400</f>
        <v>4.2013888888888891E-3</v>
      </c>
      <c r="L680" s="5">
        <f>3323 / 86400</f>
        <v>3.8460648148148147E-2</v>
      </c>
    </row>
    <row r="681" spans="1:12" x14ac:dyDescent="0.25">
      <c r="A681" s="3">
        <v>45712.478333333333</v>
      </c>
      <c r="B681" t="s">
        <v>151</v>
      </c>
      <c r="C681" s="3">
        <v>45712.589259259257</v>
      </c>
      <c r="D681" t="s">
        <v>228</v>
      </c>
      <c r="E681" s="4">
        <v>48.430999999999997</v>
      </c>
      <c r="F681" s="4">
        <v>388655.55599999998</v>
      </c>
      <c r="G681" s="4">
        <v>388703.98700000002</v>
      </c>
      <c r="H681" s="5">
        <f>2699 / 86400</f>
        <v>3.1238425925925926E-2</v>
      </c>
      <c r="I681" t="s">
        <v>53</v>
      </c>
      <c r="J681" t="s">
        <v>20</v>
      </c>
      <c r="K681" s="5">
        <f>9583 / 86400</f>
        <v>0.11091435185185185</v>
      </c>
      <c r="L681" s="5">
        <f>536 / 86400</f>
        <v>6.2037037037037035E-3</v>
      </c>
    </row>
    <row r="682" spans="1:12" x14ac:dyDescent="0.25">
      <c r="A682" s="3">
        <v>45712.595462962963</v>
      </c>
      <c r="B682" t="s">
        <v>409</v>
      </c>
      <c r="C682" s="3">
        <v>45712.67569444445</v>
      </c>
      <c r="D682" t="s">
        <v>37</v>
      </c>
      <c r="E682" s="4">
        <v>29.655000000000001</v>
      </c>
      <c r="F682" s="4">
        <v>388703.98700000002</v>
      </c>
      <c r="G682" s="4">
        <v>388733.64199999999</v>
      </c>
      <c r="H682" s="5">
        <f>2439 / 86400</f>
        <v>2.8229166666666666E-2</v>
      </c>
      <c r="I682" t="s">
        <v>271</v>
      </c>
      <c r="J682" t="s">
        <v>59</v>
      </c>
      <c r="K682" s="5">
        <f>6931 / 86400</f>
        <v>8.0219907407407406E-2</v>
      </c>
      <c r="L682" s="5">
        <f>562 / 86400</f>
        <v>6.5046296296296293E-3</v>
      </c>
    </row>
    <row r="683" spans="1:12" x14ac:dyDescent="0.25">
      <c r="A683" s="3">
        <v>45712.682199074072</v>
      </c>
      <c r="B683" t="s">
        <v>37</v>
      </c>
      <c r="C683" s="3">
        <v>45712.691435185188</v>
      </c>
      <c r="D683" t="s">
        <v>37</v>
      </c>
      <c r="E683" s="4">
        <v>1.3540000000000001</v>
      </c>
      <c r="F683" s="4">
        <v>388733.64199999999</v>
      </c>
      <c r="G683" s="4">
        <v>388734.99599999998</v>
      </c>
      <c r="H683" s="5">
        <f>480 / 86400</f>
        <v>5.5555555555555558E-3</v>
      </c>
      <c r="I683" t="s">
        <v>184</v>
      </c>
      <c r="J683" t="s">
        <v>32</v>
      </c>
      <c r="K683" s="5">
        <f>798 / 86400</f>
        <v>9.2361111111111116E-3</v>
      </c>
      <c r="L683" s="5">
        <f>26659 / 86400</f>
        <v>0.30855324074074075</v>
      </c>
    </row>
    <row r="684" spans="1:12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</row>
    <row r="685" spans="1:12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</row>
    <row r="686" spans="1:12" s="10" customFormat="1" ht="20.100000000000001" customHeight="1" x14ac:dyDescent="0.35">
      <c r="A686" s="15" t="s">
        <v>462</v>
      </c>
      <c r="B686" s="15"/>
      <c r="C686" s="15"/>
      <c r="D686" s="15"/>
      <c r="E686" s="15"/>
      <c r="F686" s="15"/>
      <c r="G686" s="15"/>
      <c r="H686" s="15"/>
      <c r="I686" s="15"/>
      <c r="J686" s="15"/>
    </row>
    <row r="687" spans="1:12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</row>
    <row r="688" spans="1:12" ht="30" x14ac:dyDescent="0.25">
      <c r="A688" s="2" t="s">
        <v>6</v>
      </c>
      <c r="B688" s="2" t="s">
        <v>7</v>
      </c>
      <c r="C688" s="2" t="s">
        <v>8</v>
      </c>
      <c r="D688" s="2" t="s">
        <v>9</v>
      </c>
      <c r="E688" s="2" t="s">
        <v>10</v>
      </c>
      <c r="F688" s="2" t="s">
        <v>11</v>
      </c>
      <c r="G688" s="2" t="s">
        <v>12</v>
      </c>
      <c r="H688" s="2" t="s">
        <v>13</v>
      </c>
      <c r="I688" s="2" t="s">
        <v>14</v>
      </c>
      <c r="J688" s="2" t="s">
        <v>15</v>
      </c>
      <c r="K688" s="2" t="s">
        <v>16</v>
      </c>
      <c r="L688" s="2" t="s">
        <v>17</v>
      </c>
    </row>
    <row r="689" spans="1:12" x14ac:dyDescent="0.25">
      <c r="A689" s="3">
        <v>45712.239907407406</v>
      </c>
      <c r="B689" t="s">
        <v>37</v>
      </c>
      <c r="C689" s="3">
        <v>45712.479317129633</v>
      </c>
      <c r="D689" t="s">
        <v>91</v>
      </c>
      <c r="E689" s="4">
        <v>89.956999999999994</v>
      </c>
      <c r="F689" s="4">
        <v>392325.772</v>
      </c>
      <c r="G689" s="4">
        <v>392415.72899999999</v>
      </c>
      <c r="H689" s="5">
        <f>7095 / 86400</f>
        <v>8.2118055555555555E-2</v>
      </c>
      <c r="I689" t="s">
        <v>53</v>
      </c>
      <c r="J689" t="s">
        <v>34</v>
      </c>
      <c r="K689" s="5">
        <f>20684 / 86400</f>
        <v>0.23939814814814814</v>
      </c>
      <c r="L689" s="5">
        <f>22696 / 86400</f>
        <v>0.26268518518518519</v>
      </c>
    </row>
    <row r="690" spans="1:12" x14ac:dyDescent="0.25">
      <c r="A690" s="3">
        <v>45712.50209490741</v>
      </c>
      <c r="B690" t="s">
        <v>91</v>
      </c>
      <c r="C690" s="3">
        <v>45712.503807870366</v>
      </c>
      <c r="D690" t="s">
        <v>91</v>
      </c>
      <c r="E690" s="4">
        <v>1.9E-2</v>
      </c>
      <c r="F690" s="4">
        <v>392415.72899999999</v>
      </c>
      <c r="G690" s="4">
        <v>392415.74800000002</v>
      </c>
      <c r="H690" s="5">
        <f>99 / 86400</f>
        <v>1.1458333333333333E-3</v>
      </c>
      <c r="I690" t="s">
        <v>129</v>
      </c>
      <c r="J690" t="s">
        <v>24</v>
      </c>
      <c r="K690" s="5">
        <f>148 / 86400</f>
        <v>1.712962962962963E-3</v>
      </c>
      <c r="L690" s="5">
        <f>2033 / 86400</f>
        <v>2.3530092592592592E-2</v>
      </c>
    </row>
    <row r="691" spans="1:12" x14ac:dyDescent="0.25">
      <c r="A691" s="3">
        <v>45712.527337962965</v>
      </c>
      <c r="B691" t="s">
        <v>91</v>
      </c>
      <c r="C691" s="3">
        <v>45712.528182870374</v>
      </c>
      <c r="D691" t="s">
        <v>410</v>
      </c>
      <c r="E691" s="4">
        <v>1.7999999999999999E-2</v>
      </c>
      <c r="F691" s="4">
        <v>392415.74800000002</v>
      </c>
      <c r="G691" s="4">
        <v>392415.766</v>
      </c>
      <c r="H691" s="5">
        <f>19 / 86400</f>
        <v>2.199074074074074E-4</v>
      </c>
      <c r="I691" t="s">
        <v>95</v>
      </c>
      <c r="J691" t="s">
        <v>143</v>
      </c>
      <c r="K691" s="5">
        <f>73 / 86400</f>
        <v>8.4490740740740739E-4</v>
      </c>
      <c r="L691" s="5">
        <f>424 / 86400</f>
        <v>4.9074074074074072E-3</v>
      </c>
    </row>
    <row r="692" spans="1:12" x14ac:dyDescent="0.25">
      <c r="A692" s="3">
        <v>45712.533090277779</v>
      </c>
      <c r="B692" t="s">
        <v>410</v>
      </c>
      <c r="C692" s="3">
        <v>45712.533113425925</v>
      </c>
      <c r="D692" t="s">
        <v>410</v>
      </c>
      <c r="E692" s="4">
        <v>0</v>
      </c>
      <c r="F692" s="4">
        <v>392415.766</v>
      </c>
      <c r="G692" s="4">
        <v>392415.766</v>
      </c>
      <c r="H692" s="5">
        <f>0 / 86400</f>
        <v>0</v>
      </c>
      <c r="I692" t="s">
        <v>24</v>
      </c>
      <c r="J692" t="s">
        <v>24</v>
      </c>
      <c r="K692" s="5">
        <f>2 / 86400</f>
        <v>2.3148148148148147E-5</v>
      </c>
      <c r="L692" s="5">
        <f>274 / 86400</f>
        <v>3.1712962962962962E-3</v>
      </c>
    </row>
    <row r="693" spans="1:12" x14ac:dyDescent="0.25">
      <c r="A693" s="3">
        <v>45712.53628472222</v>
      </c>
      <c r="B693" t="s">
        <v>410</v>
      </c>
      <c r="C693" s="3">
        <v>45712.537662037037</v>
      </c>
      <c r="D693" t="s">
        <v>68</v>
      </c>
      <c r="E693" s="4">
        <v>0.27</v>
      </c>
      <c r="F693" s="4">
        <v>392415.766</v>
      </c>
      <c r="G693" s="4">
        <v>392416.03600000002</v>
      </c>
      <c r="H693" s="5">
        <f>79 / 86400</f>
        <v>9.1435185185185185E-4</v>
      </c>
      <c r="I693" t="s">
        <v>48</v>
      </c>
      <c r="J693" t="s">
        <v>92</v>
      </c>
      <c r="K693" s="5">
        <f>119 / 86400</f>
        <v>1.3773148148148147E-3</v>
      </c>
      <c r="L693" s="5">
        <f>672 / 86400</f>
        <v>7.7777777777777776E-3</v>
      </c>
    </row>
    <row r="694" spans="1:12" x14ac:dyDescent="0.25">
      <c r="A694" s="3">
        <v>45712.545439814814</v>
      </c>
      <c r="B694" t="s">
        <v>68</v>
      </c>
      <c r="C694" s="3">
        <v>45712.54923611111</v>
      </c>
      <c r="D694" t="s">
        <v>21</v>
      </c>
      <c r="E694" s="4">
        <v>1.294</v>
      </c>
      <c r="F694" s="4">
        <v>392416.03600000002</v>
      </c>
      <c r="G694" s="4">
        <v>392417.33</v>
      </c>
      <c r="H694" s="5">
        <f>0 / 86400</f>
        <v>0</v>
      </c>
      <c r="I694" t="s">
        <v>218</v>
      </c>
      <c r="J694" t="s">
        <v>48</v>
      </c>
      <c r="K694" s="5">
        <f>328 / 86400</f>
        <v>3.7962962962962963E-3</v>
      </c>
      <c r="L694" s="5">
        <f>776 / 86400</f>
        <v>8.9814814814814809E-3</v>
      </c>
    </row>
    <row r="695" spans="1:12" x14ac:dyDescent="0.25">
      <c r="A695" s="3">
        <v>45712.558217592596</v>
      </c>
      <c r="B695" t="s">
        <v>21</v>
      </c>
      <c r="C695" s="3">
        <v>45712.817893518513</v>
      </c>
      <c r="D695" t="s">
        <v>405</v>
      </c>
      <c r="E695" s="4">
        <v>87.462999999999994</v>
      </c>
      <c r="F695" s="4">
        <v>392417.33</v>
      </c>
      <c r="G695" s="4">
        <v>392504.79300000001</v>
      </c>
      <c r="H695" s="5">
        <f>8440 / 86400</f>
        <v>9.768518518518518E-2</v>
      </c>
      <c r="I695" t="s">
        <v>58</v>
      </c>
      <c r="J695" t="s">
        <v>48</v>
      </c>
      <c r="K695" s="5">
        <f>22435 / 86400</f>
        <v>0.25966435185185183</v>
      </c>
      <c r="L695" s="5">
        <f>611 / 86400</f>
        <v>7.0717592592592594E-3</v>
      </c>
    </row>
    <row r="696" spans="1:12" x14ac:dyDescent="0.25">
      <c r="A696" s="3">
        <v>45712.824965277774</v>
      </c>
      <c r="B696" t="s">
        <v>405</v>
      </c>
      <c r="C696" s="3">
        <v>45712.834733796291</v>
      </c>
      <c r="D696" t="s">
        <v>37</v>
      </c>
      <c r="E696" s="4">
        <v>6.2320000000000002</v>
      </c>
      <c r="F696" s="4">
        <v>392504.79300000001</v>
      </c>
      <c r="G696" s="4">
        <v>392511.02500000002</v>
      </c>
      <c r="H696" s="5">
        <f>120 / 86400</f>
        <v>1.3888888888888889E-3</v>
      </c>
      <c r="I696" t="s">
        <v>168</v>
      </c>
      <c r="J696" t="s">
        <v>152</v>
      </c>
      <c r="K696" s="5">
        <f>844 / 86400</f>
        <v>9.7685185185185184E-3</v>
      </c>
      <c r="L696" s="5">
        <f>14278 / 86400</f>
        <v>0.16525462962962964</v>
      </c>
    </row>
    <row r="697" spans="1:12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</row>
    <row r="698" spans="1:12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</row>
    <row r="699" spans="1:12" s="10" customFormat="1" ht="20.100000000000001" customHeight="1" x14ac:dyDescent="0.35">
      <c r="A699" s="15" t="s">
        <v>463</v>
      </c>
      <c r="B699" s="15"/>
      <c r="C699" s="15"/>
      <c r="D699" s="15"/>
      <c r="E699" s="15"/>
      <c r="F699" s="15"/>
      <c r="G699" s="15"/>
      <c r="H699" s="15"/>
      <c r="I699" s="15"/>
      <c r="J699" s="15"/>
    </row>
    <row r="700" spans="1:12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</row>
    <row r="701" spans="1:12" ht="30" x14ac:dyDescent="0.25">
      <c r="A701" s="2" t="s">
        <v>6</v>
      </c>
      <c r="B701" s="2" t="s">
        <v>7</v>
      </c>
      <c r="C701" s="2" t="s">
        <v>8</v>
      </c>
      <c r="D701" s="2" t="s">
        <v>9</v>
      </c>
      <c r="E701" s="2" t="s">
        <v>10</v>
      </c>
      <c r="F701" s="2" t="s">
        <v>11</v>
      </c>
      <c r="G701" s="2" t="s">
        <v>12</v>
      </c>
      <c r="H701" s="2" t="s">
        <v>13</v>
      </c>
      <c r="I701" s="2" t="s">
        <v>14</v>
      </c>
      <c r="J701" s="2" t="s">
        <v>15</v>
      </c>
      <c r="K701" s="2" t="s">
        <v>16</v>
      </c>
      <c r="L701" s="2" t="s">
        <v>17</v>
      </c>
    </row>
    <row r="702" spans="1:12" x14ac:dyDescent="0.25">
      <c r="A702" s="3">
        <v>45712.147013888884</v>
      </c>
      <c r="B702" t="s">
        <v>60</v>
      </c>
      <c r="C702" s="3">
        <v>45712.31251157407</v>
      </c>
      <c r="D702" t="s">
        <v>151</v>
      </c>
      <c r="E702" s="4">
        <v>81.852999999999994</v>
      </c>
      <c r="F702" s="4">
        <v>525667.26599999995</v>
      </c>
      <c r="G702" s="4">
        <v>525749.11899999995</v>
      </c>
      <c r="H702" s="5">
        <f>2858 / 86400</f>
        <v>3.30787037037037E-2</v>
      </c>
      <c r="I702" t="s">
        <v>298</v>
      </c>
      <c r="J702" t="s">
        <v>36</v>
      </c>
      <c r="K702" s="5">
        <f>14299 / 86400</f>
        <v>0.16549768518518518</v>
      </c>
      <c r="L702" s="5">
        <f>13785 / 86400</f>
        <v>0.1595486111111111</v>
      </c>
    </row>
    <row r="703" spans="1:12" x14ac:dyDescent="0.25">
      <c r="A703" s="3">
        <v>45712.325046296297</v>
      </c>
      <c r="B703" t="s">
        <v>151</v>
      </c>
      <c r="C703" s="3">
        <v>45712.559317129635</v>
      </c>
      <c r="D703" t="s">
        <v>68</v>
      </c>
      <c r="E703" s="4">
        <v>95.093000000119204</v>
      </c>
      <c r="F703" s="4">
        <v>525749.11899999995</v>
      </c>
      <c r="G703" s="4">
        <v>525844.21200000006</v>
      </c>
      <c r="H703" s="5">
        <f>6220 / 86400</f>
        <v>7.1990740740740744E-2</v>
      </c>
      <c r="I703" t="s">
        <v>61</v>
      </c>
      <c r="J703" t="s">
        <v>30</v>
      </c>
      <c r="K703" s="5">
        <f>20240 / 86400</f>
        <v>0.23425925925925925</v>
      </c>
      <c r="L703" s="5">
        <f>2578 / 86400</f>
        <v>2.9837962962962962E-2</v>
      </c>
    </row>
    <row r="704" spans="1:12" x14ac:dyDescent="0.25">
      <c r="A704" s="3">
        <v>45712.589155092588</v>
      </c>
      <c r="B704" t="s">
        <v>68</v>
      </c>
      <c r="C704" s="3">
        <v>45712.592129629629</v>
      </c>
      <c r="D704" t="s">
        <v>68</v>
      </c>
      <c r="E704" s="4">
        <v>8.5999999880790712E-2</v>
      </c>
      <c r="F704" s="4">
        <v>525844.21200000006</v>
      </c>
      <c r="G704" s="4">
        <v>525844.29799999995</v>
      </c>
      <c r="H704" s="5">
        <f>159 / 86400</f>
        <v>1.8402777777777777E-3</v>
      </c>
      <c r="I704" t="s">
        <v>92</v>
      </c>
      <c r="J704" t="s">
        <v>143</v>
      </c>
      <c r="K704" s="5">
        <f>256 / 86400</f>
        <v>2.9629629629629628E-3</v>
      </c>
      <c r="L704" s="5">
        <f>752 / 86400</f>
        <v>8.7037037037037031E-3</v>
      </c>
    </row>
    <row r="705" spans="1:12" x14ac:dyDescent="0.25">
      <c r="A705" s="3">
        <v>45712.60083333333</v>
      </c>
      <c r="B705" t="s">
        <v>68</v>
      </c>
      <c r="C705" s="3">
        <v>45712.604398148149</v>
      </c>
      <c r="D705" t="s">
        <v>411</v>
      </c>
      <c r="E705" s="4">
        <v>0.26900000011920927</v>
      </c>
      <c r="F705" s="4">
        <v>525844.29799999995</v>
      </c>
      <c r="G705" s="4">
        <v>525844.56700000004</v>
      </c>
      <c r="H705" s="5">
        <f>160 / 86400</f>
        <v>1.8518518518518519E-3</v>
      </c>
      <c r="I705" t="s">
        <v>145</v>
      </c>
      <c r="J705" t="s">
        <v>95</v>
      </c>
      <c r="K705" s="5">
        <f>307 / 86400</f>
        <v>3.5532407407407409E-3</v>
      </c>
      <c r="L705" s="5">
        <f>3109 / 86400</f>
        <v>3.5983796296296298E-2</v>
      </c>
    </row>
    <row r="706" spans="1:12" x14ac:dyDescent="0.25">
      <c r="A706" s="3">
        <v>45712.640381944446</v>
      </c>
      <c r="B706" t="s">
        <v>411</v>
      </c>
      <c r="C706" s="3">
        <v>45712.822337962964</v>
      </c>
      <c r="D706" t="s">
        <v>412</v>
      </c>
      <c r="E706" s="4">
        <v>72.926999999880792</v>
      </c>
      <c r="F706" s="4">
        <v>525844.56700000004</v>
      </c>
      <c r="G706" s="4">
        <v>525917.49399999995</v>
      </c>
      <c r="H706" s="5">
        <f>5740 / 86400</f>
        <v>6.643518518518518E-2</v>
      </c>
      <c r="I706" t="s">
        <v>122</v>
      </c>
      <c r="J706" t="s">
        <v>30</v>
      </c>
      <c r="K706" s="5">
        <f>15721 / 86400</f>
        <v>0.18195601851851853</v>
      </c>
      <c r="L706" s="5">
        <f>473 / 86400</f>
        <v>5.4745370370370373E-3</v>
      </c>
    </row>
    <row r="707" spans="1:12" x14ac:dyDescent="0.25">
      <c r="A707" s="3">
        <v>45712.8278125</v>
      </c>
      <c r="B707" t="s">
        <v>412</v>
      </c>
      <c r="C707" s="3">
        <v>45712.830324074079</v>
      </c>
      <c r="D707" t="s">
        <v>60</v>
      </c>
      <c r="E707" s="4">
        <v>0.39900000011920927</v>
      </c>
      <c r="F707" s="4">
        <v>525917.49399999995</v>
      </c>
      <c r="G707" s="4">
        <v>525917.89300000004</v>
      </c>
      <c r="H707" s="5">
        <f>60 / 86400</f>
        <v>6.9444444444444447E-4</v>
      </c>
      <c r="I707" t="s">
        <v>36</v>
      </c>
      <c r="J707" t="s">
        <v>99</v>
      </c>
      <c r="K707" s="5">
        <f>217 / 86400</f>
        <v>2.5115740740740741E-3</v>
      </c>
      <c r="L707" s="5">
        <f>14659 / 86400</f>
        <v>0.16966435185185186</v>
      </c>
    </row>
    <row r="708" spans="1:12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</row>
    <row r="709" spans="1:12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</row>
    <row r="710" spans="1:12" s="10" customFormat="1" ht="20.100000000000001" customHeight="1" x14ac:dyDescent="0.35">
      <c r="A710" s="15" t="s">
        <v>464</v>
      </c>
      <c r="B710" s="15"/>
      <c r="C710" s="15"/>
      <c r="D710" s="15"/>
      <c r="E710" s="15"/>
      <c r="F710" s="15"/>
      <c r="G710" s="15"/>
      <c r="H710" s="15"/>
      <c r="I710" s="15"/>
      <c r="J710" s="15"/>
    </row>
    <row r="711" spans="1:12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</row>
    <row r="712" spans="1:12" ht="30" x14ac:dyDescent="0.25">
      <c r="A712" s="2" t="s">
        <v>6</v>
      </c>
      <c r="B712" s="2" t="s">
        <v>7</v>
      </c>
      <c r="C712" s="2" t="s">
        <v>8</v>
      </c>
      <c r="D712" s="2" t="s">
        <v>9</v>
      </c>
      <c r="E712" s="2" t="s">
        <v>10</v>
      </c>
      <c r="F712" s="2" t="s">
        <v>11</v>
      </c>
      <c r="G712" s="2" t="s">
        <v>12</v>
      </c>
      <c r="H712" s="2" t="s">
        <v>13</v>
      </c>
      <c r="I712" s="2" t="s">
        <v>14</v>
      </c>
      <c r="J712" s="2" t="s">
        <v>15</v>
      </c>
      <c r="K712" s="2" t="s">
        <v>16</v>
      </c>
      <c r="L712" s="2" t="s">
        <v>17</v>
      </c>
    </row>
    <row r="713" spans="1:12" x14ac:dyDescent="0.25">
      <c r="A713" s="3">
        <v>45712.380775462967</v>
      </c>
      <c r="B713" t="s">
        <v>62</v>
      </c>
      <c r="C713" s="3">
        <v>45712.439305555556</v>
      </c>
      <c r="D713" t="s">
        <v>68</v>
      </c>
      <c r="E713" s="4">
        <v>26.771999999999998</v>
      </c>
      <c r="F713" s="4">
        <v>413296.83299999998</v>
      </c>
      <c r="G713" s="4">
        <v>413323.60499999998</v>
      </c>
      <c r="H713" s="5">
        <f>1199 / 86400</f>
        <v>1.3877314814814815E-2</v>
      </c>
      <c r="I713" t="s">
        <v>173</v>
      </c>
      <c r="J713" t="s">
        <v>137</v>
      </c>
      <c r="K713" s="5">
        <f>5056 / 86400</f>
        <v>5.8518518518518518E-2</v>
      </c>
      <c r="L713" s="5">
        <f>33052 / 86400</f>
        <v>0.38254629629629627</v>
      </c>
    </row>
    <row r="714" spans="1:12" x14ac:dyDescent="0.25">
      <c r="A714" s="3">
        <v>45712.441076388888</v>
      </c>
      <c r="B714" t="s">
        <v>68</v>
      </c>
      <c r="C714" s="3">
        <v>45712.442835648151</v>
      </c>
      <c r="D714" t="s">
        <v>114</v>
      </c>
      <c r="E714" s="4">
        <v>0.187</v>
      </c>
      <c r="F714" s="4">
        <v>413323.60499999998</v>
      </c>
      <c r="G714" s="4">
        <v>413323.79200000002</v>
      </c>
      <c r="H714" s="5">
        <f>39 / 86400</f>
        <v>4.5138888888888887E-4</v>
      </c>
      <c r="I714" t="s">
        <v>51</v>
      </c>
      <c r="J714" t="s">
        <v>129</v>
      </c>
      <c r="K714" s="5">
        <f>152 / 86400</f>
        <v>1.7592592592592592E-3</v>
      </c>
      <c r="L714" s="5">
        <f>670 / 86400</f>
        <v>7.7546296296296295E-3</v>
      </c>
    </row>
    <row r="715" spans="1:12" x14ac:dyDescent="0.25">
      <c r="A715" s="3">
        <v>45712.450590277775</v>
      </c>
      <c r="B715" t="s">
        <v>114</v>
      </c>
      <c r="C715" s="3">
        <v>45712.453923611116</v>
      </c>
      <c r="D715" t="s">
        <v>291</v>
      </c>
      <c r="E715" s="4">
        <v>0.49</v>
      </c>
      <c r="F715" s="4">
        <v>413323.79200000002</v>
      </c>
      <c r="G715" s="4">
        <v>413324.28200000001</v>
      </c>
      <c r="H715" s="5">
        <f>119 / 86400</f>
        <v>1.3773148148148147E-3</v>
      </c>
      <c r="I715" t="s">
        <v>152</v>
      </c>
      <c r="J715" t="s">
        <v>32</v>
      </c>
      <c r="K715" s="5">
        <f>288 / 86400</f>
        <v>3.3333333333333335E-3</v>
      </c>
      <c r="L715" s="5">
        <f>2534 / 86400</f>
        <v>2.9328703703703704E-2</v>
      </c>
    </row>
    <row r="716" spans="1:12" x14ac:dyDescent="0.25">
      <c r="A716" s="3">
        <v>45712.483252314814</v>
      </c>
      <c r="B716" t="s">
        <v>291</v>
      </c>
      <c r="C716" s="3">
        <v>45712.48646990741</v>
      </c>
      <c r="D716" t="s">
        <v>91</v>
      </c>
      <c r="E716" s="4">
        <v>0.76</v>
      </c>
      <c r="F716" s="4">
        <v>413324.28200000001</v>
      </c>
      <c r="G716" s="4">
        <v>413325.04200000002</v>
      </c>
      <c r="H716" s="5">
        <f>60 / 86400</f>
        <v>6.9444444444444447E-4</v>
      </c>
      <c r="I716" t="s">
        <v>31</v>
      </c>
      <c r="J716" t="s">
        <v>51</v>
      </c>
      <c r="K716" s="5">
        <f>277 / 86400</f>
        <v>3.2060185185185186E-3</v>
      </c>
      <c r="L716" s="5">
        <f>189 / 86400</f>
        <v>2.1875000000000002E-3</v>
      </c>
    </row>
    <row r="717" spans="1:12" x14ac:dyDescent="0.25">
      <c r="A717" s="3">
        <v>45712.488657407404</v>
      </c>
      <c r="B717" t="s">
        <v>91</v>
      </c>
      <c r="C717" s="3">
        <v>45712.495300925926</v>
      </c>
      <c r="D717" t="s">
        <v>413</v>
      </c>
      <c r="E717" s="4">
        <v>1.825</v>
      </c>
      <c r="F717" s="4">
        <v>413325.04200000002</v>
      </c>
      <c r="G717" s="4">
        <v>413326.86700000003</v>
      </c>
      <c r="H717" s="5">
        <f>80 / 86400</f>
        <v>9.2592592592592596E-4</v>
      </c>
      <c r="I717" t="s">
        <v>182</v>
      </c>
      <c r="J717" t="s">
        <v>42</v>
      </c>
      <c r="K717" s="5">
        <f>574 / 86400</f>
        <v>6.6435185185185182E-3</v>
      </c>
      <c r="L717" s="5">
        <f>2062 / 86400</f>
        <v>2.3865740740740739E-2</v>
      </c>
    </row>
    <row r="718" spans="1:12" x14ac:dyDescent="0.25">
      <c r="A718" s="3">
        <v>45712.519166666665</v>
      </c>
      <c r="B718" t="s">
        <v>413</v>
      </c>
      <c r="C718" s="3">
        <v>45712.526192129633</v>
      </c>
      <c r="D718" t="s">
        <v>68</v>
      </c>
      <c r="E718" s="4">
        <v>1.994</v>
      </c>
      <c r="F718" s="4">
        <v>413326.86700000003</v>
      </c>
      <c r="G718" s="4">
        <v>413328.86099999998</v>
      </c>
      <c r="H718" s="5">
        <f>159 / 86400</f>
        <v>1.8402777777777777E-3</v>
      </c>
      <c r="I718" t="s">
        <v>164</v>
      </c>
      <c r="J718" t="s">
        <v>145</v>
      </c>
      <c r="K718" s="5">
        <f>606 / 86400</f>
        <v>7.013888888888889E-3</v>
      </c>
      <c r="L718" s="5">
        <f>729 / 86400</f>
        <v>8.4375000000000006E-3</v>
      </c>
    </row>
    <row r="719" spans="1:12" x14ac:dyDescent="0.25">
      <c r="A719" s="3">
        <v>45712.534629629634</v>
      </c>
      <c r="B719" t="s">
        <v>68</v>
      </c>
      <c r="C719" s="3">
        <v>45712.99998842593</v>
      </c>
      <c r="D719" t="s">
        <v>63</v>
      </c>
      <c r="E719" s="4">
        <v>176.721</v>
      </c>
      <c r="F719" s="4">
        <v>413328.86099999998</v>
      </c>
      <c r="G719" s="4">
        <v>413505.58199999999</v>
      </c>
      <c r="H719" s="5">
        <f>12707 / 86400</f>
        <v>0.14707175925925925</v>
      </c>
      <c r="I719" t="s">
        <v>64</v>
      </c>
      <c r="J719" t="s">
        <v>34</v>
      </c>
      <c r="K719" s="5">
        <f>40207 / 86400</f>
        <v>0.46535879629629628</v>
      </c>
      <c r="L719" s="5">
        <f>0 / 86400</f>
        <v>0</v>
      </c>
    </row>
    <row r="720" spans="1:12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</row>
    <row r="721" spans="1:12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</row>
    <row r="722" spans="1:12" s="10" customFormat="1" ht="20.100000000000001" customHeight="1" x14ac:dyDescent="0.35">
      <c r="A722" s="15" t="s">
        <v>465</v>
      </c>
      <c r="B722" s="15"/>
      <c r="C722" s="15"/>
      <c r="D722" s="15"/>
      <c r="E722" s="15"/>
      <c r="F722" s="15"/>
      <c r="G722" s="15"/>
      <c r="H722" s="15"/>
      <c r="I722" s="15"/>
      <c r="J722" s="15"/>
    </row>
    <row r="723" spans="1:12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</row>
    <row r="724" spans="1:12" ht="30" x14ac:dyDescent="0.25">
      <c r="A724" s="2" t="s">
        <v>6</v>
      </c>
      <c r="B724" s="2" t="s">
        <v>7</v>
      </c>
      <c r="C724" s="2" t="s">
        <v>8</v>
      </c>
      <c r="D724" s="2" t="s">
        <v>9</v>
      </c>
      <c r="E724" s="2" t="s">
        <v>10</v>
      </c>
      <c r="F724" s="2" t="s">
        <v>11</v>
      </c>
      <c r="G724" s="2" t="s">
        <v>12</v>
      </c>
      <c r="H724" s="2" t="s">
        <v>13</v>
      </c>
      <c r="I724" s="2" t="s">
        <v>14</v>
      </c>
      <c r="J724" s="2" t="s">
        <v>15</v>
      </c>
      <c r="K724" s="2" t="s">
        <v>16</v>
      </c>
      <c r="L724" s="2" t="s">
        <v>17</v>
      </c>
    </row>
    <row r="725" spans="1:12" x14ac:dyDescent="0.25">
      <c r="A725" s="3">
        <v>45712.239212962959</v>
      </c>
      <c r="B725" t="s">
        <v>65</v>
      </c>
      <c r="C725" s="3">
        <v>45712.246770833328</v>
      </c>
      <c r="D725" t="s">
        <v>138</v>
      </c>
      <c r="E725" s="4">
        <v>1.014</v>
      </c>
      <c r="F725" s="4">
        <v>404553.17700000003</v>
      </c>
      <c r="G725" s="4">
        <v>404554.19099999999</v>
      </c>
      <c r="H725" s="5">
        <f>398 / 86400</f>
        <v>4.6064814814814814E-3</v>
      </c>
      <c r="I725" t="s">
        <v>281</v>
      </c>
      <c r="J725" t="s">
        <v>32</v>
      </c>
      <c r="K725" s="5">
        <f>652 / 86400</f>
        <v>7.5462962962962966E-3</v>
      </c>
      <c r="L725" s="5">
        <f>20754 / 86400</f>
        <v>0.24020833333333333</v>
      </c>
    </row>
    <row r="726" spans="1:12" x14ac:dyDescent="0.25">
      <c r="A726" s="3">
        <v>45712.247766203705</v>
      </c>
      <c r="B726" t="s">
        <v>138</v>
      </c>
      <c r="C726" s="3">
        <v>45712.363726851851</v>
      </c>
      <c r="D726" t="s">
        <v>236</v>
      </c>
      <c r="E726" s="4">
        <v>50.183</v>
      </c>
      <c r="F726" s="4">
        <v>404554.19099999999</v>
      </c>
      <c r="G726" s="4">
        <v>404604.37400000001</v>
      </c>
      <c r="H726" s="5">
        <f>3118 / 86400</f>
        <v>3.6087962962962961E-2</v>
      </c>
      <c r="I726" t="s">
        <v>67</v>
      </c>
      <c r="J726" t="s">
        <v>20</v>
      </c>
      <c r="K726" s="5">
        <f>10018 / 86400</f>
        <v>0.11594907407407408</v>
      </c>
      <c r="L726" s="5">
        <f>182 / 86400</f>
        <v>2.1064814814814813E-3</v>
      </c>
    </row>
    <row r="727" spans="1:12" x14ac:dyDescent="0.25">
      <c r="A727" s="3">
        <v>45712.36583333333</v>
      </c>
      <c r="B727" t="s">
        <v>236</v>
      </c>
      <c r="C727" s="3">
        <v>45712.365879629629</v>
      </c>
      <c r="D727" t="s">
        <v>236</v>
      </c>
      <c r="E727" s="4">
        <v>0</v>
      </c>
      <c r="F727" s="4">
        <v>404604.37400000001</v>
      </c>
      <c r="G727" s="4">
        <v>404604.37400000001</v>
      </c>
      <c r="H727" s="5">
        <f>0 / 86400</f>
        <v>0</v>
      </c>
      <c r="I727" t="s">
        <v>24</v>
      </c>
      <c r="J727" t="s">
        <v>24</v>
      </c>
      <c r="K727" s="5">
        <f>4 / 86400</f>
        <v>4.6296296296296294E-5</v>
      </c>
      <c r="L727" s="5">
        <f>1 / 86400</f>
        <v>1.1574074074074073E-5</v>
      </c>
    </row>
    <row r="728" spans="1:12" x14ac:dyDescent="0.25">
      <c r="A728" s="3">
        <v>45712.365891203706</v>
      </c>
      <c r="B728" t="s">
        <v>236</v>
      </c>
      <c r="C728" s="3">
        <v>45712.365914351853</v>
      </c>
      <c r="D728" t="s">
        <v>236</v>
      </c>
      <c r="E728" s="4">
        <v>0</v>
      </c>
      <c r="F728" s="4">
        <v>404604.37400000001</v>
      </c>
      <c r="G728" s="4">
        <v>404604.37400000001</v>
      </c>
      <c r="H728" s="5">
        <f>0 / 86400</f>
        <v>0</v>
      </c>
      <c r="I728" t="s">
        <v>24</v>
      </c>
      <c r="J728" t="s">
        <v>24</v>
      </c>
      <c r="K728" s="5">
        <f>2 / 86400</f>
        <v>2.3148148148148147E-5</v>
      </c>
      <c r="L728" s="5">
        <f>13 / 86400</f>
        <v>1.5046296296296297E-4</v>
      </c>
    </row>
    <row r="729" spans="1:12" x14ac:dyDescent="0.25">
      <c r="A729" s="3">
        <v>45712.366064814814</v>
      </c>
      <c r="B729" t="s">
        <v>236</v>
      </c>
      <c r="C729" s="3">
        <v>45712.366122685184</v>
      </c>
      <c r="D729" t="s">
        <v>236</v>
      </c>
      <c r="E729" s="4">
        <v>0</v>
      </c>
      <c r="F729" s="4">
        <v>404604.37400000001</v>
      </c>
      <c r="G729" s="4">
        <v>404604.37400000001</v>
      </c>
      <c r="H729" s="5">
        <f>0 / 86400</f>
        <v>0</v>
      </c>
      <c r="I729" t="s">
        <v>24</v>
      </c>
      <c r="J729" t="s">
        <v>24</v>
      </c>
      <c r="K729" s="5">
        <f>5 / 86400</f>
        <v>5.7870370370370373E-5</v>
      </c>
      <c r="L729" s="5">
        <f>1 / 86400</f>
        <v>1.1574074074074073E-5</v>
      </c>
    </row>
    <row r="730" spans="1:12" x14ac:dyDescent="0.25">
      <c r="A730" s="3">
        <v>45712.36613425926</v>
      </c>
      <c r="B730" t="s">
        <v>236</v>
      </c>
      <c r="C730" s="3">
        <v>45712.366238425922</v>
      </c>
      <c r="D730" t="s">
        <v>236</v>
      </c>
      <c r="E730" s="4">
        <v>0</v>
      </c>
      <c r="F730" s="4">
        <v>404604.37400000001</v>
      </c>
      <c r="G730" s="4">
        <v>404604.37400000001</v>
      </c>
      <c r="H730" s="5">
        <f>0 / 86400</f>
        <v>0</v>
      </c>
      <c r="I730" t="s">
        <v>24</v>
      </c>
      <c r="J730" t="s">
        <v>24</v>
      </c>
      <c r="K730" s="5">
        <f>9 / 86400</f>
        <v>1.0416666666666667E-4</v>
      </c>
      <c r="L730" s="5">
        <f>43 / 86400</f>
        <v>4.9768518518518521E-4</v>
      </c>
    </row>
    <row r="731" spans="1:12" x14ac:dyDescent="0.25">
      <c r="A731" s="3">
        <v>45712.366736111115</v>
      </c>
      <c r="B731" t="s">
        <v>236</v>
      </c>
      <c r="C731" s="3">
        <v>45712.508148148147</v>
      </c>
      <c r="D731" t="s">
        <v>21</v>
      </c>
      <c r="E731" s="4">
        <v>53.768000000000001</v>
      </c>
      <c r="F731" s="4">
        <v>404604.37400000001</v>
      </c>
      <c r="G731" s="4">
        <v>404658.14199999999</v>
      </c>
      <c r="H731" s="5">
        <f>3500 / 86400</f>
        <v>4.0509259259259259E-2</v>
      </c>
      <c r="I731" t="s">
        <v>23</v>
      </c>
      <c r="J731" t="s">
        <v>34</v>
      </c>
      <c r="K731" s="5">
        <f>12218 / 86400</f>
        <v>0.14141203703703703</v>
      </c>
      <c r="L731" s="5">
        <f>2069 / 86400</f>
        <v>2.3946759259259258E-2</v>
      </c>
    </row>
    <row r="732" spans="1:12" x14ac:dyDescent="0.25">
      <c r="A732" s="3">
        <v>45712.532094907408</v>
      </c>
      <c r="B732" t="s">
        <v>21</v>
      </c>
      <c r="C732" s="3">
        <v>45712.532777777778</v>
      </c>
      <c r="D732" t="s">
        <v>151</v>
      </c>
      <c r="E732" s="4">
        <v>3.4000000000000002E-2</v>
      </c>
      <c r="F732" s="4">
        <v>404658.14199999999</v>
      </c>
      <c r="G732" s="4">
        <v>404658.17599999998</v>
      </c>
      <c r="H732" s="5">
        <f>39 / 86400</f>
        <v>4.5138888888888887E-4</v>
      </c>
      <c r="I732" t="s">
        <v>135</v>
      </c>
      <c r="J732" t="s">
        <v>150</v>
      </c>
      <c r="K732" s="5">
        <f>58 / 86400</f>
        <v>6.7129629629629625E-4</v>
      </c>
      <c r="L732" s="5">
        <f>7 / 86400</f>
        <v>8.1018518518518516E-5</v>
      </c>
    </row>
    <row r="733" spans="1:12" x14ac:dyDescent="0.25">
      <c r="A733" s="3">
        <v>45712.532858796301</v>
      </c>
      <c r="B733" t="s">
        <v>151</v>
      </c>
      <c r="C733" s="3">
        <v>45712.669861111106</v>
      </c>
      <c r="D733" t="s">
        <v>228</v>
      </c>
      <c r="E733" s="4">
        <v>47.98</v>
      </c>
      <c r="F733" s="4">
        <v>404658.17599999998</v>
      </c>
      <c r="G733" s="4">
        <v>404706.15600000002</v>
      </c>
      <c r="H733" s="5">
        <f>4690 / 86400</f>
        <v>5.4282407407407404E-2</v>
      </c>
      <c r="I733" t="s">
        <v>133</v>
      </c>
      <c r="J733" t="s">
        <v>59</v>
      </c>
      <c r="K733" s="5">
        <f>11837 / 86400</f>
        <v>0.13700231481481481</v>
      </c>
      <c r="L733" s="5">
        <f>142 / 86400</f>
        <v>1.6435185185185185E-3</v>
      </c>
    </row>
    <row r="734" spans="1:12" x14ac:dyDescent="0.25">
      <c r="A734" s="3">
        <v>45712.67150462963</v>
      </c>
      <c r="B734" t="s">
        <v>409</v>
      </c>
      <c r="C734" s="3">
        <v>45712.814027777778</v>
      </c>
      <c r="D734" t="s">
        <v>68</v>
      </c>
      <c r="E734" s="4">
        <v>47.930999999999997</v>
      </c>
      <c r="F734" s="4">
        <v>404706.15600000002</v>
      </c>
      <c r="G734" s="4">
        <v>404754.087</v>
      </c>
      <c r="H734" s="5">
        <f>4119 / 86400</f>
        <v>4.7673611111111111E-2</v>
      </c>
      <c r="I734" t="s">
        <v>266</v>
      </c>
      <c r="J734" t="s">
        <v>48</v>
      </c>
      <c r="K734" s="5">
        <f>12314 / 86400</f>
        <v>0.14252314814814815</v>
      </c>
      <c r="L734" s="5">
        <f>536 / 86400</f>
        <v>6.2037037037037035E-3</v>
      </c>
    </row>
    <row r="735" spans="1:12" x14ac:dyDescent="0.25">
      <c r="A735" s="3">
        <v>45712.820231481484</v>
      </c>
      <c r="B735" t="s">
        <v>68</v>
      </c>
      <c r="C735" s="3">
        <v>45712.822453703702</v>
      </c>
      <c r="D735" t="s">
        <v>393</v>
      </c>
      <c r="E735" s="4">
        <v>0.27700000000000002</v>
      </c>
      <c r="F735" s="4">
        <v>404754.087</v>
      </c>
      <c r="G735" s="4">
        <v>404754.364</v>
      </c>
      <c r="H735" s="5">
        <f>80 / 86400</f>
        <v>9.2592592592592596E-4</v>
      </c>
      <c r="I735" t="s">
        <v>30</v>
      </c>
      <c r="J735" t="s">
        <v>57</v>
      </c>
      <c r="K735" s="5">
        <f>191 / 86400</f>
        <v>2.2106481481481482E-3</v>
      </c>
      <c r="L735" s="5">
        <f>275 / 86400</f>
        <v>3.1828703703703702E-3</v>
      </c>
    </row>
    <row r="736" spans="1:12" x14ac:dyDescent="0.25">
      <c r="A736" s="3">
        <v>45712.825636574074</v>
      </c>
      <c r="B736" t="s">
        <v>393</v>
      </c>
      <c r="C736" s="3">
        <v>45712.828599537039</v>
      </c>
      <c r="D736" t="s">
        <v>66</v>
      </c>
      <c r="E736" s="4">
        <v>0.46100000000000002</v>
      </c>
      <c r="F736" s="4">
        <v>404754.364</v>
      </c>
      <c r="G736" s="4">
        <v>404754.82500000001</v>
      </c>
      <c r="H736" s="5">
        <f>100 / 86400</f>
        <v>1.1574074074074073E-3</v>
      </c>
      <c r="I736" t="s">
        <v>134</v>
      </c>
      <c r="J736" t="s">
        <v>99</v>
      </c>
      <c r="K736" s="5">
        <f>255 / 86400</f>
        <v>2.9513888888888888E-3</v>
      </c>
      <c r="L736" s="5">
        <f>14808 / 86400</f>
        <v>0.1713888888888889</v>
      </c>
    </row>
    <row r="737" spans="1:12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</row>
    <row r="738" spans="1:12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</row>
    <row r="739" spans="1:12" s="10" customFormat="1" ht="20.100000000000001" customHeight="1" x14ac:dyDescent="0.35">
      <c r="A739" s="15" t="s">
        <v>466</v>
      </c>
      <c r="B739" s="15"/>
      <c r="C739" s="15"/>
      <c r="D739" s="15"/>
      <c r="E739" s="15"/>
      <c r="F739" s="15"/>
      <c r="G739" s="15"/>
      <c r="H739" s="15"/>
      <c r="I739" s="15"/>
      <c r="J739" s="15"/>
    </row>
    <row r="740" spans="1:12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</row>
    <row r="741" spans="1:12" ht="30" x14ac:dyDescent="0.25">
      <c r="A741" s="2" t="s">
        <v>6</v>
      </c>
      <c r="B741" s="2" t="s">
        <v>7</v>
      </c>
      <c r="C741" s="2" t="s">
        <v>8</v>
      </c>
      <c r="D741" s="2" t="s">
        <v>9</v>
      </c>
      <c r="E741" s="2" t="s">
        <v>10</v>
      </c>
      <c r="F741" s="2" t="s">
        <v>11</v>
      </c>
      <c r="G741" s="2" t="s">
        <v>12</v>
      </c>
      <c r="H741" s="2" t="s">
        <v>13</v>
      </c>
      <c r="I741" s="2" t="s">
        <v>14</v>
      </c>
      <c r="J741" s="2" t="s">
        <v>15</v>
      </c>
      <c r="K741" s="2" t="s">
        <v>16</v>
      </c>
      <c r="L741" s="2" t="s">
        <v>17</v>
      </c>
    </row>
    <row r="742" spans="1:12" x14ac:dyDescent="0.25">
      <c r="A742" s="3">
        <v>45712.635787037041</v>
      </c>
      <c r="B742" t="s">
        <v>68</v>
      </c>
      <c r="C742" s="3">
        <v>45712.635787037041</v>
      </c>
      <c r="D742" t="s">
        <v>68</v>
      </c>
      <c r="E742" s="4">
        <v>0</v>
      </c>
      <c r="F742" s="4">
        <v>408464.58799999999</v>
      </c>
      <c r="G742" s="4">
        <v>408464.58799999999</v>
      </c>
      <c r="H742" s="5">
        <f>0 / 86400</f>
        <v>0</v>
      </c>
      <c r="I742" t="s">
        <v>24</v>
      </c>
      <c r="J742" t="s">
        <v>24</v>
      </c>
      <c r="K742" s="5">
        <f>0 / 86400</f>
        <v>0</v>
      </c>
      <c r="L742" s="5">
        <f>55035 / 86400</f>
        <v>0.63697916666666665</v>
      </c>
    </row>
    <row r="743" spans="1:12" x14ac:dyDescent="0.25">
      <c r="A743" s="3">
        <v>45712.636979166666</v>
      </c>
      <c r="B743" t="s">
        <v>68</v>
      </c>
      <c r="C743" s="3">
        <v>45712.639178240745</v>
      </c>
      <c r="D743" t="s">
        <v>374</v>
      </c>
      <c r="E743" s="4">
        <v>0.63</v>
      </c>
      <c r="F743" s="4">
        <v>408464.58799999999</v>
      </c>
      <c r="G743" s="4">
        <v>408465.21799999999</v>
      </c>
      <c r="H743" s="5">
        <f>40 / 86400</f>
        <v>4.6296296296296298E-4</v>
      </c>
      <c r="I743" t="s">
        <v>184</v>
      </c>
      <c r="J743" t="s">
        <v>145</v>
      </c>
      <c r="K743" s="5">
        <f>190 / 86400</f>
        <v>2.1990740740740742E-3</v>
      </c>
      <c r="L743" s="5">
        <f>2101 / 86400</f>
        <v>2.431712962962963E-2</v>
      </c>
    </row>
    <row r="744" spans="1:12" x14ac:dyDescent="0.25">
      <c r="A744" s="3">
        <v>45712.663495370369</v>
      </c>
      <c r="B744" t="s">
        <v>374</v>
      </c>
      <c r="C744" s="3">
        <v>45712.66511574074</v>
      </c>
      <c r="D744" t="s">
        <v>138</v>
      </c>
      <c r="E744" s="4">
        <v>0.19400000000000001</v>
      </c>
      <c r="F744" s="4">
        <v>408465.21799999999</v>
      </c>
      <c r="G744" s="4">
        <v>408465.41200000001</v>
      </c>
      <c r="H744" s="5">
        <f>40 / 86400</f>
        <v>4.6296296296296298E-4</v>
      </c>
      <c r="I744" t="s">
        <v>59</v>
      </c>
      <c r="J744" t="s">
        <v>57</v>
      </c>
      <c r="K744" s="5">
        <f>139 / 86400</f>
        <v>1.6087962962962963E-3</v>
      </c>
      <c r="L744" s="5">
        <f>123 / 86400</f>
        <v>1.4236111111111112E-3</v>
      </c>
    </row>
    <row r="745" spans="1:12" x14ac:dyDescent="0.25">
      <c r="A745" s="3">
        <v>45712.666539351849</v>
      </c>
      <c r="B745" t="s">
        <v>138</v>
      </c>
      <c r="C745" s="3">
        <v>45712.666678240741</v>
      </c>
      <c r="D745" t="s">
        <v>140</v>
      </c>
      <c r="E745" s="4">
        <v>0</v>
      </c>
      <c r="F745" s="4">
        <v>408465.41200000001</v>
      </c>
      <c r="G745" s="4">
        <v>408465.41200000001</v>
      </c>
      <c r="H745" s="5">
        <f>0 / 86400</f>
        <v>0</v>
      </c>
      <c r="I745" t="s">
        <v>24</v>
      </c>
      <c r="J745" t="s">
        <v>24</v>
      </c>
      <c r="K745" s="5">
        <f>11 / 86400</f>
        <v>1.273148148148148E-4</v>
      </c>
      <c r="L745" s="5">
        <f>425 / 86400</f>
        <v>4.9189814814814816E-3</v>
      </c>
    </row>
    <row r="746" spans="1:12" x14ac:dyDescent="0.25">
      <c r="A746" s="3">
        <v>45712.671597222223</v>
      </c>
      <c r="B746" t="s">
        <v>140</v>
      </c>
      <c r="C746" s="3">
        <v>45712.671747685185</v>
      </c>
      <c r="D746" t="s">
        <v>138</v>
      </c>
      <c r="E746" s="4">
        <v>0.01</v>
      </c>
      <c r="F746" s="4">
        <v>408465.41200000001</v>
      </c>
      <c r="G746" s="4">
        <v>408465.42200000002</v>
      </c>
      <c r="H746" s="5">
        <f>0 / 86400</f>
        <v>0</v>
      </c>
      <c r="I746" t="s">
        <v>24</v>
      </c>
      <c r="J746" t="s">
        <v>95</v>
      </c>
      <c r="K746" s="5">
        <f>13 / 86400</f>
        <v>1.5046296296296297E-4</v>
      </c>
      <c r="L746" s="5">
        <f>476 / 86400</f>
        <v>5.5092592592592589E-3</v>
      </c>
    </row>
    <row r="747" spans="1:12" x14ac:dyDescent="0.25">
      <c r="A747" s="3">
        <v>45712.677256944444</v>
      </c>
      <c r="B747" t="s">
        <v>138</v>
      </c>
      <c r="C747" s="3">
        <v>45712.677395833336</v>
      </c>
      <c r="D747" t="s">
        <v>138</v>
      </c>
      <c r="E747" s="4">
        <v>4.0000000000000001E-3</v>
      </c>
      <c r="F747" s="4">
        <v>408465.42200000002</v>
      </c>
      <c r="G747" s="4">
        <v>408465.42599999998</v>
      </c>
      <c r="H747" s="5">
        <f>0 / 86400</f>
        <v>0</v>
      </c>
      <c r="I747" t="s">
        <v>24</v>
      </c>
      <c r="J747" t="s">
        <v>143</v>
      </c>
      <c r="K747" s="5">
        <f>11 / 86400</f>
        <v>1.273148148148148E-4</v>
      </c>
      <c r="L747" s="5">
        <f>387 / 86400</f>
        <v>4.4791666666666669E-3</v>
      </c>
    </row>
    <row r="748" spans="1:12" x14ac:dyDescent="0.25">
      <c r="A748" s="3">
        <v>45712.681874999995</v>
      </c>
      <c r="B748" t="s">
        <v>138</v>
      </c>
      <c r="C748" s="3">
        <v>45712.784525462965</v>
      </c>
      <c r="D748" t="s">
        <v>414</v>
      </c>
      <c r="E748" s="4">
        <v>34.046999999999997</v>
      </c>
      <c r="F748" s="4">
        <v>408465.42599999998</v>
      </c>
      <c r="G748" s="4">
        <v>408499.473</v>
      </c>
      <c r="H748" s="5">
        <f>4259 / 86400</f>
        <v>4.929398148148148E-2</v>
      </c>
      <c r="I748" t="s">
        <v>70</v>
      </c>
      <c r="J748" t="s">
        <v>48</v>
      </c>
      <c r="K748" s="5">
        <f>8868 / 86400</f>
        <v>0.10263888888888889</v>
      </c>
      <c r="L748" s="5">
        <f>375 / 86400</f>
        <v>4.340277777777778E-3</v>
      </c>
    </row>
    <row r="749" spans="1:12" x14ac:dyDescent="0.25">
      <c r="A749" s="3">
        <v>45712.788865740746</v>
      </c>
      <c r="B749" t="s">
        <v>414</v>
      </c>
      <c r="C749" s="3">
        <v>45712.793182870373</v>
      </c>
      <c r="D749" t="s">
        <v>69</v>
      </c>
      <c r="E749" s="4">
        <v>1.079</v>
      </c>
      <c r="F749" s="4">
        <v>408499.473</v>
      </c>
      <c r="G749" s="4">
        <v>408500.55200000003</v>
      </c>
      <c r="H749" s="5">
        <f>0 / 86400</f>
        <v>0</v>
      </c>
      <c r="I749" t="s">
        <v>139</v>
      </c>
      <c r="J749" t="s">
        <v>51</v>
      </c>
      <c r="K749" s="5">
        <f>372 / 86400</f>
        <v>4.3055555555555555E-3</v>
      </c>
      <c r="L749" s="5">
        <f>234 / 86400</f>
        <v>2.7083333333333334E-3</v>
      </c>
    </row>
    <row r="750" spans="1:12" x14ac:dyDescent="0.25">
      <c r="A750" s="3">
        <v>45712.795891203699</v>
      </c>
      <c r="B750" t="s">
        <v>69</v>
      </c>
      <c r="C750" s="3">
        <v>45712.79650462963</v>
      </c>
      <c r="D750" t="s">
        <v>69</v>
      </c>
      <c r="E750" s="4">
        <v>6.0000000000000001E-3</v>
      </c>
      <c r="F750" s="4">
        <v>408500.55200000003</v>
      </c>
      <c r="G750" s="4">
        <v>408500.55800000002</v>
      </c>
      <c r="H750" s="5">
        <f>0 / 86400</f>
        <v>0</v>
      </c>
      <c r="I750" t="s">
        <v>143</v>
      </c>
      <c r="J750" t="s">
        <v>24</v>
      </c>
      <c r="K750" s="5">
        <f>52 / 86400</f>
        <v>6.018518518518519E-4</v>
      </c>
      <c r="L750" s="5">
        <f>17581 / 86400</f>
        <v>0.20348379629629629</v>
      </c>
    </row>
    <row r="751" spans="1:12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</row>
    <row r="752" spans="1:12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</row>
    <row r="753" spans="1:12" s="10" customFormat="1" ht="20.100000000000001" customHeight="1" x14ac:dyDescent="0.35">
      <c r="A753" s="15" t="s">
        <v>467</v>
      </c>
      <c r="B753" s="15"/>
      <c r="C753" s="15"/>
      <c r="D753" s="15"/>
      <c r="E753" s="15"/>
      <c r="F753" s="15"/>
      <c r="G753" s="15"/>
      <c r="H753" s="15"/>
      <c r="I753" s="15"/>
      <c r="J753" s="15"/>
    </row>
    <row r="754" spans="1:12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</row>
    <row r="755" spans="1:12" ht="30" x14ac:dyDescent="0.25">
      <c r="A755" s="2" t="s">
        <v>6</v>
      </c>
      <c r="B755" s="2" t="s">
        <v>7</v>
      </c>
      <c r="C755" s="2" t="s">
        <v>8</v>
      </c>
      <c r="D755" s="2" t="s">
        <v>9</v>
      </c>
      <c r="E755" s="2" t="s">
        <v>10</v>
      </c>
      <c r="F755" s="2" t="s">
        <v>11</v>
      </c>
      <c r="G755" s="2" t="s">
        <v>12</v>
      </c>
      <c r="H755" s="2" t="s">
        <v>13</v>
      </c>
      <c r="I755" s="2" t="s">
        <v>14</v>
      </c>
      <c r="J755" s="2" t="s">
        <v>15</v>
      </c>
      <c r="K755" s="2" t="s">
        <v>16</v>
      </c>
      <c r="L755" s="2" t="s">
        <v>17</v>
      </c>
    </row>
    <row r="756" spans="1:12" x14ac:dyDescent="0.25">
      <c r="A756" s="3">
        <v>45712.290474537032</v>
      </c>
      <c r="B756" t="s">
        <v>72</v>
      </c>
      <c r="C756" s="3">
        <v>45712.403020833328</v>
      </c>
      <c r="D756" t="s">
        <v>21</v>
      </c>
      <c r="E756" s="4">
        <v>46.746000000000002</v>
      </c>
      <c r="F756" s="4">
        <v>348947.68800000002</v>
      </c>
      <c r="G756" s="4">
        <v>348994.43400000001</v>
      </c>
      <c r="H756" s="5">
        <f>3038 / 86400</f>
        <v>3.516203703703704E-2</v>
      </c>
      <c r="I756" t="s">
        <v>44</v>
      </c>
      <c r="J756" t="s">
        <v>30</v>
      </c>
      <c r="K756" s="5">
        <f>9723 / 86400</f>
        <v>0.11253472222222222</v>
      </c>
      <c r="L756" s="5">
        <f>25110 / 86400</f>
        <v>0.29062500000000002</v>
      </c>
    </row>
    <row r="757" spans="1:12" x14ac:dyDescent="0.25">
      <c r="A757" s="3">
        <v>45712.403171296297</v>
      </c>
      <c r="B757" t="s">
        <v>21</v>
      </c>
      <c r="C757" s="3">
        <v>45712.403541666667</v>
      </c>
      <c r="D757" t="s">
        <v>21</v>
      </c>
      <c r="E757" s="4">
        <v>0</v>
      </c>
      <c r="F757" s="4">
        <v>348994.43400000001</v>
      </c>
      <c r="G757" s="4">
        <v>348994.43400000001</v>
      </c>
      <c r="H757" s="5">
        <f>19 / 86400</f>
        <v>2.199074074074074E-4</v>
      </c>
      <c r="I757" t="s">
        <v>24</v>
      </c>
      <c r="J757" t="s">
        <v>24</v>
      </c>
      <c r="K757" s="5">
        <f>31 / 86400</f>
        <v>3.5879629629629629E-4</v>
      </c>
      <c r="L757" s="5">
        <f>54 / 86400</f>
        <v>6.2500000000000001E-4</v>
      </c>
    </row>
    <row r="758" spans="1:12" x14ac:dyDescent="0.25">
      <c r="A758" s="3">
        <v>45712.404166666667</v>
      </c>
      <c r="B758" t="s">
        <v>21</v>
      </c>
      <c r="C758" s="3">
        <v>45712.404710648145</v>
      </c>
      <c r="D758" t="s">
        <v>21</v>
      </c>
      <c r="E758" s="4">
        <v>0</v>
      </c>
      <c r="F758" s="4">
        <v>348994.43400000001</v>
      </c>
      <c r="G758" s="4">
        <v>348994.43400000001</v>
      </c>
      <c r="H758" s="5">
        <f>39 / 86400</f>
        <v>4.5138888888888887E-4</v>
      </c>
      <c r="I758" t="s">
        <v>24</v>
      </c>
      <c r="J758" t="s">
        <v>24</v>
      </c>
      <c r="K758" s="5">
        <f>47 / 86400</f>
        <v>5.4398148148148144E-4</v>
      </c>
      <c r="L758" s="5">
        <f>841 / 86400</f>
        <v>9.7337962962962959E-3</v>
      </c>
    </row>
    <row r="759" spans="1:12" x14ac:dyDescent="0.25">
      <c r="A759" s="3">
        <v>45712.414444444439</v>
      </c>
      <c r="B759" t="s">
        <v>21</v>
      </c>
      <c r="C759" s="3">
        <v>45712.41474537037</v>
      </c>
      <c r="D759" t="s">
        <v>21</v>
      </c>
      <c r="E759" s="4">
        <v>0</v>
      </c>
      <c r="F759" s="4">
        <v>348994.43400000001</v>
      </c>
      <c r="G759" s="4">
        <v>348994.43400000001</v>
      </c>
      <c r="H759" s="5">
        <f>20 / 86400</f>
        <v>2.3148148148148149E-4</v>
      </c>
      <c r="I759" t="s">
        <v>24</v>
      </c>
      <c r="J759" t="s">
        <v>24</v>
      </c>
      <c r="K759" s="5">
        <f>26 / 86400</f>
        <v>3.0092592592592595E-4</v>
      </c>
      <c r="L759" s="5">
        <f>4878 / 86400</f>
        <v>5.6458333333333333E-2</v>
      </c>
    </row>
    <row r="760" spans="1:12" x14ac:dyDescent="0.25">
      <c r="A760" s="3">
        <v>45712.471203703702</v>
      </c>
      <c r="B760" t="s">
        <v>21</v>
      </c>
      <c r="C760" s="3">
        <v>45712.719884259262</v>
      </c>
      <c r="D760" t="s">
        <v>72</v>
      </c>
      <c r="E760" s="4">
        <v>79.433000000000007</v>
      </c>
      <c r="F760" s="4">
        <v>348994.43400000001</v>
      </c>
      <c r="G760" s="4">
        <v>349073.86700000003</v>
      </c>
      <c r="H760" s="5">
        <f>8641 / 86400</f>
        <v>0.10001157407407407</v>
      </c>
      <c r="I760" t="s">
        <v>35</v>
      </c>
      <c r="J760" t="s">
        <v>71</v>
      </c>
      <c r="K760" s="5">
        <f>21485 / 86400</f>
        <v>0.24866898148148148</v>
      </c>
      <c r="L760" s="5">
        <f>24201 / 86400</f>
        <v>0.28010416666666665</v>
      </c>
    </row>
    <row r="761" spans="1:12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</row>
    <row r="762" spans="1:12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</row>
    <row r="763" spans="1:12" s="10" customFormat="1" ht="20.100000000000001" customHeight="1" x14ac:dyDescent="0.35">
      <c r="A763" s="15" t="s">
        <v>468</v>
      </c>
      <c r="B763" s="15"/>
      <c r="C763" s="15"/>
      <c r="D763" s="15"/>
      <c r="E763" s="15"/>
      <c r="F763" s="15"/>
      <c r="G763" s="15"/>
      <c r="H763" s="15"/>
      <c r="I763" s="15"/>
      <c r="J763" s="15"/>
    </row>
    <row r="764" spans="1:12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</row>
    <row r="765" spans="1:12" ht="30" x14ac:dyDescent="0.25">
      <c r="A765" s="2" t="s">
        <v>6</v>
      </c>
      <c r="B765" s="2" t="s">
        <v>7</v>
      </c>
      <c r="C765" s="2" t="s">
        <v>8</v>
      </c>
      <c r="D765" s="2" t="s">
        <v>9</v>
      </c>
      <c r="E765" s="2" t="s">
        <v>10</v>
      </c>
      <c r="F765" s="2" t="s">
        <v>11</v>
      </c>
      <c r="G765" s="2" t="s">
        <v>12</v>
      </c>
      <c r="H765" s="2" t="s">
        <v>13</v>
      </c>
      <c r="I765" s="2" t="s">
        <v>14</v>
      </c>
      <c r="J765" s="2" t="s">
        <v>15</v>
      </c>
      <c r="K765" s="2" t="s">
        <v>16</v>
      </c>
      <c r="L765" s="2" t="s">
        <v>17</v>
      </c>
    </row>
    <row r="766" spans="1:12" x14ac:dyDescent="0.25">
      <c r="A766" s="3">
        <v>45712.162997685184</v>
      </c>
      <c r="B766" t="s">
        <v>73</v>
      </c>
      <c r="C766" s="3">
        <v>45712.361238425925</v>
      </c>
      <c r="D766" t="s">
        <v>151</v>
      </c>
      <c r="E766" s="4">
        <v>89.614999999999995</v>
      </c>
      <c r="F766" s="4">
        <v>42848.311999999998</v>
      </c>
      <c r="G766" s="4">
        <v>42937.927000000003</v>
      </c>
      <c r="H766" s="5">
        <f>5420 / 86400</f>
        <v>6.2731481481481485E-2</v>
      </c>
      <c r="I766" t="s">
        <v>75</v>
      </c>
      <c r="J766" t="s">
        <v>137</v>
      </c>
      <c r="K766" s="5">
        <f>17127 / 86400</f>
        <v>0.19822916666666668</v>
      </c>
      <c r="L766" s="5">
        <f>17184 / 86400</f>
        <v>0.19888888888888889</v>
      </c>
    </row>
    <row r="767" spans="1:12" x14ac:dyDescent="0.25">
      <c r="A767" s="3">
        <v>45712.397129629629</v>
      </c>
      <c r="B767" t="s">
        <v>151</v>
      </c>
      <c r="C767" s="3">
        <v>45712.403738425928</v>
      </c>
      <c r="D767" t="s">
        <v>149</v>
      </c>
      <c r="E767" s="4">
        <v>1.1140000000000001</v>
      </c>
      <c r="F767" s="4">
        <v>42937.927000000003</v>
      </c>
      <c r="G767" s="4">
        <v>42939.040999999997</v>
      </c>
      <c r="H767" s="5">
        <f>299 / 86400</f>
        <v>3.460648148148148E-3</v>
      </c>
      <c r="I767" t="s">
        <v>36</v>
      </c>
      <c r="J767" t="s">
        <v>99</v>
      </c>
      <c r="K767" s="5">
        <f>571 / 86400</f>
        <v>6.6087962962962966E-3</v>
      </c>
      <c r="L767" s="5">
        <f>207 / 86400</f>
        <v>2.3958333333333331E-3</v>
      </c>
    </row>
    <row r="768" spans="1:12" x14ac:dyDescent="0.25">
      <c r="A768" s="3">
        <v>45712.406134259261</v>
      </c>
      <c r="B768" t="s">
        <v>149</v>
      </c>
      <c r="C768" s="3">
        <v>45712.630798611106</v>
      </c>
      <c r="D768" t="s">
        <v>68</v>
      </c>
      <c r="E768" s="4">
        <v>98.805999999999997</v>
      </c>
      <c r="F768" s="4">
        <v>42939.040999999997</v>
      </c>
      <c r="G768" s="4">
        <v>43037.847000000002</v>
      </c>
      <c r="H768" s="5">
        <f>5678 / 86400</f>
        <v>6.5717592592592591E-2</v>
      </c>
      <c r="I768" t="s">
        <v>87</v>
      </c>
      <c r="J768" t="s">
        <v>20</v>
      </c>
      <c r="K768" s="5">
        <f>19411 / 86400</f>
        <v>0.22466435185185185</v>
      </c>
      <c r="L768" s="5">
        <f>452 / 86400</f>
        <v>5.2314814814814811E-3</v>
      </c>
    </row>
    <row r="769" spans="1:12" x14ac:dyDescent="0.25">
      <c r="A769" s="3">
        <v>45712.636030092588</v>
      </c>
      <c r="B769" t="s">
        <v>68</v>
      </c>
      <c r="C769" s="3">
        <v>45712.659421296295</v>
      </c>
      <c r="D769" t="s">
        <v>405</v>
      </c>
      <c r="E769" s="4">
        <v>13.289</v>
      </c>
      <c r="F769" s="4">
        <v>43037.847000000002</v>
      </c>
      <c r="G769" s="4">
        <v>43051.135999999999</v>
      </c>
      <c r="H769" s="5">
        <f>360 / 86400</f>
        <v>4.1666666666666666E-3</v>
      </c>
      <c r="I769" t="s">
        <v>266</v>
      </c>
      <c r="J769" t="s">
        <v>182</v>
      </c>
      <c r="K769" s="5">
        <f>2021 / 86400</f>
        <v>2.3391203703703702E-2</v>
      </c>
      <c r="L769" s="5">
        <f>6655 / 86400</f>
        <v>7.7025462962962962E-2</v>
      </c>
    </row>
    <row r="770" spans="1:12" x14ac:dyDescent="0.25">
      <c r="A770" s="3">
        <v>45712.736446759256</v>
      </c>
      <c r="B770" t="s">
        <v>405</v>
      </c>
      <c r="C770" s="3">
        <v>45712.99998842593</v>
      </c>
      <c r="D770" t="s">
        <v>74</v>
      </c>
      <c r="E770" s="4">
        <v>115.098</v>
      </c>
      <c r="F770" s="4">
        <v>43051.135999999999</v>
      </c>
      <c r="G770" s="4">
        <v>43166.233999999997</v>
      </c>
      <c r="H770" s="5">
        <f>7318 / 86400</f>
        <v>8.4699074074074079E-2</v>
      </c>
      <c r="I770" t="s">
        <v>122</v>
      </c>
      <c r="J770" t="s">
        <v>20</v>
      </c>
      <c r="K770" s="5">
        <f>22770 / 86400</f>
        <v>0.26354166666666667</v>
      </c>
      <c r="L770" s="5">
        <f>0 / 86400</f>
        <v>0</v>
      </c>
    </row>
    <row r="771" spans="1:12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</row>
    <row r="772" spans="1:12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</row>
    <row r="773" spans="1:12" s="10" customFormat="1" ht="20.100000000000001" customHeight="1" x14ac:dyDescent="0.35">
      <c r="A773" s="15" t="s">
        <v>469</v>
      </c>
      <c r="B773" s="15"/>
      <c r="C773" s="15"/>
      <c r="D773" s="15"/>
      <c r="E773" s="15"/>
      <c r="F773" s="15"/>
      <c r="G773" s="15"/>
      <c r="H773" s="15"/>
      <c r="I773" s="15"/>
      <c r="J773" s="15"/>
    </row>
    <row r="774" spans="1:12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</row>
    <row r="775" spans="1:12" ht="30" x14ac:dyDescent="0.25">
      <c r="A775" s="2" t="s">
        <v>6</v>
      </c>
      <c r="B775" s="2" t="s">
        <v>7</v>
      </c>
      <c r="C775" s="2" t="s">
        <v>8</v>
      </c>
      <c r="D775" s="2" t="s">
        <v>9</v>
      </c>
      <c r="E775" s="2" t="s">
        <v>10</v>
      </c>
      <c r="F775" s="2" t="s">
        <v>11</v>
      </c>
      <c r="G775" s="2" t="s">
        <v>12</v>
      </c>
      <c r="H775" s="2" t="s">
        <v>13</v>
      </c>
      <c r="I775" s="2" t="s">
        <v>14</v>
      </c>
      <c r="J775" s="2" t="s">
        <v>15</v>
      </c>
      <c r="K775" s="2" t="s">
        <v>16</v>
      </c>
      <c r="L775" s="2" t="s">
        <v>17</v>
      </c>
    </row>
    <row r="776" spans="1:12" x14ac:dyDescent="0.25">
      <c r="A776" s="3">
        <v>45712.172314814816</v>
      </c>
      <c r="B776" t="s">
        <v>37</v>
      </c>
      <c r="C776" s="3">
        <v>45712.178472222222</v>
      </c>
      <c r="D776" t="s">
        <v>37</v>
      </c>
      <c r="E776" s="4">
        <v>0</v>
      </c>
      <c r="F776" s="4">
        <v>49007.396999999997</v>
      </c>
      <c r="G776" s="4">
        <v>49007.396999999997</v>
      </c>
      <c r="H776" s="5">
        <f>519 / 86400</f>
        <v>6.0069444444444441E-3</v>
      </c>
      <c r="I776" t="s">
        <v>24</v>
      </c>
      <c r="J776" t="s">
        <v>24</v>
      </c>
      <c r="K776" s="5">
        <f>531 / 86400</f>
        <v>6.145833333333333E-3</v>
      </c>
      <c r="L776" s="5">
        <f>16280 / 86400</f>
        <v>0.18842592592592591</v>
      </c>
    </row>
    <row r="777" spans="1:12" x14ac:dyDescent="0.25">
      <c r="A777" s="3">
        <v>45712.19458333333</v>
      </c>
      <c r="B777" t="s">
        <v>37</v>
      </c>
      <c r="C777" s="3">
        <v>45712.360856481479</v>
      </c>
      <c r="D777" t="s">
        <v>93</v>
      </c>
      <c r="E777" s="4">
        <v>82.828000000000003</v>
      </c>
      <c r="F777" s="4">
        <v>49007.396999999997</v>
      </c>
      <c r="G777" s="4">
        <v>49090.224999999999</v>
      </c>
      <c r="H777" s="5">
        <f>3579 / 86400</f>
        <v>4.1423611111111112E-2</v>
      </c>
      <c r="I777" t="s">
        <v>104</v>
      </c>
      <c r="J777" t="s">
        <v>36</v>
      </c>
      <c r="K777" s="5">
        <f>14366 / 86400</f>
        <v>0.16627314814814814</v>
      </c>
      <c r="L777" s="5">
        <f>1428 / 86400</f>
        <v>1.6527777777777777E-2</v>
      </c>
    </row>
    <row r="778" spans="1:12" x14ac:dyDescent="0.25">
      <c r="A778" s="3">
        <v>45712.377384259264</v>
      </c>
      <c r="B778" t="s">
        <v>93</v>
      </c>
      <c r="C778" s="3">
        <v>45712.383888888886</v>
      </c>
      <c r="D778" t="s">
        <v>68</v>
      </c>
      <c r="E778" s="4">
        <v>1.4159999999999999</v>
      </c>
      <c r="F778" s="4">
        <v>49090.224999999999</v>
      </c>
      <c r="G778" s="4">
        <v>49091.641000000003</v>
      </c>
      <c r="H778" s="5">
        <f>260 / 86400</f>
        <v>3.0092592592592593E-3</v>
      </c>
      <c r="I778" t="s">
        <v>281</v>
      </c>
      <c r="J778" t="s">
        <v>135</v>
      </c>
      <c r="K778" s="5">
        <f>562 / 86400</f>
        <v>6.5046296296296293E-3</v>
      </c>
      <c r="L778" s="5">
        <f>3095 / 86400</f>
        <v>3.5821759259259262E-2</v>
      </c>
    </row>
    <row r="779" spans="1:12" x14ac:dyDescent="0.25">
      <c r="A779" s="3">
        <v>45712.419710648144</v>
      </c>
      <c r="B779" t="s">
        <v>68</v>
      </c>
      <c r="C779" s="3">
        <v>45712.42150462963</v>
      </c>
      <c r="D779" t="s">
        <v>68</v>
      </c>
      <c r="E779" s="4">
        <v>3.4000000000000002E-2</v>
      </c>
      <c r="F779" s="4">
        <v>49091.641000000003</v>
      </c>
      <c r="G779" s="4">
        <v>49091.675000000003</v>
      </c>
      <c r="H779" s="5">
        <f>99 / 86400</f>
        <v>1.1458333333333333E-3</v>
      </c>
      <c r="I779" t="s">
        <v>57</v>
      </c>
      <c r="J779" t="s">
        <v>143</v>
      </c>
      <c r="K779" s="5">
        <f>155 / 86400</f>
        <v>1.7939814814814815E-3</v>
      </c>
      <c r="L779" s="5">
        <f>223 / 86400</f>
        <v>2.5810185185185185E-3</v>
      </c>
    </row>
    <row r="780" spans="1:12" x14ac:dyDescent="0.25">
      <c r="A780" s="3">
        <v>45712.424085648148</v>
      </c>
      <c r="B780" t="s">
        <v>68</v>
      </c>
      <c r="C780" s="3">
        <v>45712.425127314811</v>
      </c>
      <c r="D780" t="s">
        <v>68</v>
      </c>
      <c r="E780" s="4">
        <v>9.8000000000000004E-2</v>
      </c>
      <c r="F780" s="4">
        <v>49091.675000000003</v>
      </c>
      <c r="G780" s="4">
        <v>49091.773000000001</v>
      </c>
      <c r="H780" s="5">
        <f>21 / 86400</f>
        <v>2.4305555555555555E-4</v>
      </c>
      <c r="I780" t="s">
        <v>92</v>
      </c>
      <c r="J780" t="s">
        <v>129</v>
      </c>
      <c r="K780" s="5">
        <f>90 / 86400</f>
        <v>1.0416666666666667E-3</v>
      </c>
      <c r="L780" s="5">
        <f>547 / 86400</f>
        <v>6.3310185185185188E-3</v>
      </c>
    </row>
    <row r="781" spans="1:12" x14ac:dyDescent="0.25">
      <c r="A781" s="3">
        <v>45712.431458333333</v>
      </c>
      <c r="B781" t="s">
        <v>68</v>
      </c>
      <c r="C781" s="3">
        <v>45712.434432870374</v>
      </c>
      <c r="D781" t="s">
        <v>125</v>
      </c>
      <c r="E781" s="4">
        <v>0.79600000000000004</v>
      </c>
      <c r="F781" s="4">
        <v>49091.773000000001</v>
      </c>
      <c r="G781" s="4">
        <v>49092.569000000003</v>
      </c>
      <c r="H781" s="5">
        <f>99 / 86400</f>
        <v>1.1458333333333333E-3</v>
      </c>
      <c r="I781" t="s">
        <v>186</v>
      </c>
      <c r="J781" t="s">
        <v>42</v>
      </c>
      <c r="K781" s="5">
        <f>256 / 86400</f>
        <v>2.9629629629629628E-3</v>
      </c>
      <c r="L781" s="5">
        <f>1392 / 86400</f>
        <v>1.6111111111111111E-2</v>
      </c>
    </row>
    <row r="782" spans="1:12" x14ac:dyDescent="0.25">
      <c r="A782" s="3">
        <v>45712.450543981482</v>
      </c>
      <c r="B782" t="s">
        <v>125</v>
      </c>
      <c r="C782" s="3">
        <v>45712.453078703707</v>
      </c>
      <c r="D782" t="s">
        <v>93</v>
      </c>
      <c r="E782" s="4">
        <v>0.38200000000000001</v>
      </c>
      <c r="F782" s="4">
        <v>49092.569000000003</v>
      </c>
      <c r="G782" s="4">
        <v>49092.951000000001</v>
      </c>
      <c r="H782" s="5">
        <f>59 / 86400</f>
        <v>6.8287037037037036E-4</v>
      </c>
      <c r="I782" t="s">
        <v>48</v>
      </c>
      <c r="J782" t="s">
        <v>32</v>
      </c>
      <c r="K782" s="5">
        <f>218 / 86400</f>
        <v>2.5231481481481481E-3</v>
      </c>
      <c r="L782" s="5">
        <f>1461 / 86400</f>
        <v>1.6909722222222222E-2</v>
      </c>
    </row>
    <row r="783" spans="1:12" x14ac:dyDescent="0.25">
      <c r="A783" s="3">
        <v>45712.469988425924</v>
      </c>
      <c r="B783" t="s">
        <v>93</v>
      </c>
      <c r="C783" s="3">
        <v>45712.472314814819</v>
      </c>
      <c r="D783" t="s">
        <v>93</v>
      </c>
      <c r="E783" s="4">
        <v>1.0999999999999999E-2</v>
      </c>
      <c r="F783" s="4">
        <v>49092.951000000001</v>
      </c>
      <c r="G783" s="4">
        <v>49092.962</v>
      </c>
      <c r="H783" s="5">
        <f>199 / 86400</f>
        <v>2.3032407407407407E-3</v>
      </c>
      <c r="I783" t="s">
        <v>24</v>
      </c>
      <c r="J783" t="s">
        <v>24</v>
      </c>
      <c r="K783" s="5">
        <f>201 / 86400</f>
        <v>2.3263888888888887E-3</v>
      </c>
      <c r="L783" s="5">
        <f>645 / 86400</f>
        <v>7.4652777777777781E-3</v>
      </c>
    </row>
    <row r="784" spans="1:12" x14ac:dyDescent="0.25">
      <c r="A784" s="3">
        <v>45712.479780092588</v>
      </c>
      <c r="B784" t="s">
        <v>93</v>
      </c>
      <c r="C784" s="3">
        <v>45712.48918981482</v>
      </c>
      <c r="D784" t="s">
        <v>102</v>
      </c>
      <c r="E784" s="4">
        <v>1.5760000000000001</v>
      </c>
      <c r="F784" s="4">
        <v>49092.962</v>
      </c>
      <c r="G784" s="4">
        <v>49094.538</v>
      </c>
      <c r="H784" s="5">
        <f>341 / 86400</f>
        <v>3.9467592592592592E-3</v>
      </c>
      <c r="I784" t="s">
        <v>98</v>
      </c>
      <c r="J784" t="s">
        <v>99</v>
      </c>
      <c r="K784" s="5">
        <f>813 / 86400</f>
        <v>9.4097222222222221E-3</v>
      </c>
      <c r="L784" s="5">
        <f>123 / 86400</f>
        <v>1.4236111111111112E-3</v>
      </c>
    </row>
    <row r="785" spans="1:12" x14ac:dyDescent="0.25">
      <c r="A785" s="3">
        <v>45712.490613425922</v>
      </c>
      <c r="B785" t="s">
        <v>102</v>
      </c>
      <c r="C785" s="3">
        <v>45712.492222222223</v>
      </c>
      <c r="D785" t="s">
        <v>102</v>
      </c>
      <c r="E785" s="4">
        <v>1.7999999999999999E-2</v>
      </c>
      <c r="F785" s="4">
        <v>49094.538</v>
      </c>
      <c r="G785" s="4">
        <v>49094.555999999997</v>
      </c>
      <c r="H785" s="5">
        <f>100 / 86400</f>
        <v>1.1574074074074073E-3</v>
      </c>
      <c r="I785" t="s">
        <v>57</v>
      </c>
      <c r="J785" t="s">
        <v>24</v>
      </c>
      <c r="K785" s="5">
        <f>138 / 86400</f>
        <v>1.5972222222222223E-3</v>
      </c>
      <c r="L785" s="5">
        <f>71 / 86400</f>
        <v>8.2175925925925927E-4</v>
      </c>
    </row>
    <row r="786" spans="1:12" x14ac:dyDescent="0.25">
      <c r="A786" s="3">
        <v>45712.493043981478</v>
      </c>
      <c r="B786" t="s">
        <v>102</v>
      </c>
      <c r="C786" s="3">
        <v>45712.496504629627</v>
      </c>
      <c r="D786" t="s">
        <v>68</v>
      </c>
      <c r="E786" s="4">
        <v>0.65800000000000003</v>
      </c>
      <c r="F786" s="4">
        <v>49094.555999999997</v>
      </c>
      <c r="G786" s="4">
        <v>49095.214</v>
      </c>
      <c r="H786" s="5">
        <f>60 / 86400</f>
        <v>6.9444444444444447E-4</v>
      </c>
      <c r="I786" t="s">
        <v>31</v>
      </c>
      <c r="J786" t="s">
        <v>92</v>
      </c>
      <c r="K786" s="5">
        <f>299 / 86400</f>
        <v>3.460648148148148E-3</v>
      </c>
      <c r="L786" s="5">
        <f>3477 / 86400</f>
        <v>4.0243055555555553E-2</v>
      </c>
    </row>
    <row r="787" spans="1:12" x14ac:dyDescent="0.25">
      <c r="A787" s="3">
        <v>45712.536747685182</v>
      </c>
      <c r="B787" t="s">
        <v>68</v>
      </c>
      <c r="C787" s="3">
        <v>45712.54184027778</v>
      </c>
      <c r="D787" t="s">
        <v>149</v>
      </c>
      <c r="E787" s="4">
        <v>0.23400000000000001</v>
      </c>
      <c r="F787" s="4">
        <v>49095.214</v>
      </c>
      <c r="G787" s="4">
        <v>49095.447999999997</v>
      </c>
      <c r="H787" s="5">
        <f>279 / 86400</f>
        <v>3.2291666666666666E-3</v>
      </c>
      <c r="I787" t="s">
        <v>145</v>
      </c>
      <c r="J787" t="s">
        <v>150</v>
      </c>
      <c r="K787" s="5">
        <f>440 / 86400</f>
        <v>5.092592592592593E-3</v>
      </c>
      <c r="L787" s="5">
        <f>8 / 86400</f>
        <v>9.2592592592592588E-5</v>
      </c>
    </row>
    <row r="788" spans="1:12" x14ac:dyDescent="0.25">
      <c r="A788" s="3">
        <v>45712.541932870372</v>
      </c>
      <c r="B788" t="s">
        <v>149</v>
      </c>
      <c r="C788" s="3">
        <v>45712.542002314818</v>
      </c>
      <c r="D788" t="s">
        <v>149</v>
      </c>
      <c r="E788" s="4">
        <v>0</v>
      </c>
      <c r="F788" s="4">
        <v>49095.447999999997</v>
      </c>
      <c r="G788" s="4">
        <v>49095.447999999997</v>
      </c>
      <c r="H788" s="5">
        <f>0 / 86400</f>
        <v>0</v>
      </c>
      <c r="I788" t="s">
        <v>24</v>
      </c>
      <c r="J788" t="s">
        <v>24</v>
      </c>
      <c r="K788" s="5">
        <f>6 / 86400</f>
        <v>6.9444444444444444E-5</v>
      </c>
      <c r="L788" s="5">
        <f>302 / 86400</f>
        <v>3.4953703703703705E-3</v>
      </c>
    </row>
    <row r="789" spans="1:12" x14ac:dyDescent="0.25">
      <c r="A789" s="3">
        <v>45712.545497685191</v>
      </c>
      <c r="B789" t="s">
        <v>149</v>
      </c>
      <c r="C789" s="3">
        <v>45712.546041666668</v>
      </c>
      <c r="D789" t="s">
        <v>149</v>
      </c>
      <c r="E789" s="4">
        <v>0</v>
      </c>
      <c r="F789" s="4">
        <v>49095.447999999997</v>
      </c>
      <c r="G789" s="4">
        <v>49095.447999999997</v>
      </c>
      <c r="H789" s="5">
        <f>39 / 86400</f>
        <v>4.5138888888888887E-4</v>
      </c>
      <c r="I789" t="s">
        <v>24</v>
      </c>
      <c r="J789" t="s">
        <v>24</v>
      </c>
      <c r="K789" s="5">
        <f>47 / 86400</f>
        <v>5.4398148148148144E-4</v>
      </c>
      <c r="L789" s="5">
        <f>342 / 86400</f>
        <v>3.9583333333333337E-3</v>
      </c>
    </row>
    <row r="790" spans="1:12" x14ac:dyDescent="0.25">
      <c r="A790" s="3">
        <v>45712.55</v>
      </c>
      <c r="B790" t="s">
        <v>149</v>
      </c>
      <c r="C790" s="3">
        <v>45712.602604166663</v>
      </c>
      <c r="D790" t="s">
        <v>174</v>
      </c>
      <c r="E790" s="4">
        <v>23.933</v>
      </c>
      <c r="F790" s="4">
        <v>49095.447999999997</v>
      </c>
      <c r="G790" s="4">
        <v>49119.381000000001</v>
      </c>
      <c r="H790" s="5">
        <f>1559 / 86400</f>
        <v>1.804398148148148E-2</v>
      </c>
      <c r="I790" t="s">
        <v>61</v>
      </c>
      <c r="J790" t="s">
        <v>137</v>
      </c>
      <c r="K790" s="5">
        <f>4545 / 86400</f>
        <v>5.2604166666666667E-2</v>
      </c>
      <c r="L790" s="5">
        <f>332 / 86400</f>
        <v>3.8425925925925928E-3</v>
      </c>
    </row>
    <row r="791" spans="1:12" x14ac:dyDescent="0.25">
      <c r="A791" s="3">
        <v>45712.606446759259</v>
      </c>
      <c r="B791" t="s">
        <v>90</v>
      </c>
      <c r="C791" s="3">
        <v>45712.610173611116</v>
      </c>
      <c r="D791" t="s">
        <v>37</v>
      </c>
      <c r="E791" s="4">
        <v>2.4119999999999999</v>
      </c>
      <c r="F791" s="4">
        <v>49119.381000000001</v>
      </c>
      <c r="G791" s="4">
        <v>49121.792999999998</v>
      </c>
      <c r="H791" s="5">
        <f>40 / 86400</f>
        <v>4.6296296296296298E-4</v>
      </c>
      <c r="I791" t="s">
        <v>297</v>
      </c>
      <c r="J791" t="s">
        <v>152</v>
      </c>
      <c r="K791" s="5">
        <f>321 / 86400</f>
        <v>3.7152777777777778E-3</v>
      </c>
      <c r="L791" s="5">
        <f>1242 / 86400</f>
        <v>1.4375000000000001E-2</v>
      </c>
    </row>
    <row r="792" spans="1:12" x14ac:dyDescent="0.25">
      <c r="A792" s="3">
        <v>45712.624548611115</v>
      </c>
      <c r="B792" t="s">
        <v>37</v>
      </c>
      <c r="C792" s="3">
        <v>45712.625439814816</v>
      </c>
      <c r="D792" t="s">
        <v>63</v>
      </c>
      <c r="E792" s="4">
        <v>7.8E-2</v>
      </c>
      <c r="F792" s="4">
        <v>49121.792999999998</v>
      </c>
      <c r="G792" s="4">
        <v>49121.870999999999</v>
      </c>
      <c r="H792" s="5">
        <f>39 / 86400</f>
        <v>4.5138888888888887E-4</v>
      </c>
      <c r="I792" t="s">
        <v>51</v>
      </c>
      <c r="J792" t="s">
        <v>129</v>
      </c>
      <c r="K792" s="5">
        <f>77 / 86400</f>
        <v>8.9120370370370373E-4</v>
      </c>
      <c r="L792" s="5">
        <f>201 / 86400</f>
        <v>2.3263888888888887E-3</v>
      </c>
    </row>
    <row r="793" spans="1:12" x14ac:dyDescent="0.25">
      <c r="A793" s="3">
        <v>45712.627766203703</v>
      </c>
      <c r="B793" t="s">
        <v>63</v>
      </c>
      <c r="C793" s="3">
        <v>45712.835613425923</v>
      </c>
      <c r="D793" t="s">
        <v>116</v>
      </c>
      <c r="E793" s="4">
        <v>73.3</v>
      </c>
      <c r="F793" s="4">
        <v>49121.870999999999</v>
      </c>
      <c r="G793" s="4">
        <v>49195.171000000002</v>
      </c>
      <c r="H793" s="5">
        <f>7201 / 86400</f>
        <v>8.3344907407407409E-2</v>
      </c>
      <c r="I793" t="s">
        <v>67</v>
      </c>
      <c r="J793" t="s">
        <v>59</v>
      </c>
      <c r="K793" s="5">
        <f>17958 / 86400</f>
        <v>0.20784722222222221</v>
      </c>
      <c r="L793" s="5">
        <f>58 / 86400</f>
        <v>6.7129629629629625E-4</v>
      </c>
    </row>
    <row r="794" spans="1:12" x14ac:dyDescent="0.25">
      <c r="A794" s="3">
        <v>45712.836284722223</v>
      </c>
      <c r="B794" t="s">
        <v>116</v>
      </c>
      <c r="C794" s="3">
        <v>45712.837824074071</v>
      </c>
      <c r="D794" t="s">
        <v>116</v>
      </c>
      <c r="E794" s="4">
        <v>4.1000000000000002E-2</v>
      </c>
      <c r="F794" s="4">
        <v>49195.171000000002</v>
      </c>
      <c r="G794" s="4">
        <v>49195.212</v>
      </c>
      <c r="H794" s="5">
        <f>79 / 86400</f>
        <v>9.1435185185185185E-4</v>
      </c>
      <c r="I794" t="s">
        <v>129</v>
      </c>
      <c r="J794" t="s">
        <v>143</v>
      </c>
      <c r="K794" s="5">
        <f>132 / 86400</f>
        <v>1.5277777777777779E-3</v>
      </c>
      <c r="L794" s="5">
        <f>17 / 86400</f>
        <v>1.9675925925925926E-4</v>
      </c>
    </row>
    <row r="795" spans="1:12" x14ac:dyDescent="0.25">
      <c r="A795" s="3">
        <v>45712.838020833333</v>
      </c>
      <c r="B795" t="s">
        <v>116</v>
      </c>
      <c r="C795" s="3">
        <v>45712.990474537037</v>
      </c>
      <c r="D795" t="s">
        <v>37</v>
      </c>
      <c r="E795" s="4">
        <v>76.7</v>
      </c>
      <c r="F795" s="4">
        <v>49195.212</v>
      </c>
      <c r="G795" s="4">
        <v>49271.911999999997</v>
      </c>
      <c r="H795" s="5">
        <f>4158 / 86400</f>
        <v>4.8125000000000001E-2</v>
      </c>
      <c r="I795" t="s">
        <v>19</v>
      </c>
      <c r="J795" t="s">
        <v>36</v>
      </c>
      <c r="K795" s="5">
        <f>13172 / 86400</f>
        <v>0.1524537037037037</v>
      </c>
      <c r="L795" s="5">
        <f>676 / 86400</f>
        <v>7.8240740740740736E-3</v>
      </c>
    </row>
    <row r="796" spans="1:12" x14ac:dyDescent="0.25">
      <c r="A796" s="3">
        <v>45712.998298611114</v>
      </c>
      <c r="B796" t="s">
        <v>37</v>
      </c>
      <c r="C796" s="3">
        <v>45712.998680555553</v>
      </c>
      <c r="D796" t="s">
        <v>415</v>
      </c>
      <c r="E796" s="4">
        <v>8.4000000000000005E-2</v>
      </c>
      <c r="F796" s="4">
        <v>49271.911999999997</v>
      </c>
      <c r="G796" s="4">
        <v>49271.995999999999</v>
      </c>
      <c r="H796" s="5">
        <f>0 / 86400</f>
        <v>0</v>
      </c>
      <c r="I796" t="s">
        <v>59</v>
      </c>
      <c r="J796" t="s">
        <v>135</v>
      </c>
      <c r="K796" s="5">
        <f>33 / 86400</f>
        <v>3.8194444444444446E-4</v>
      </c>
      <c r="L796" s="5">
        <f>55 / 86400</f>
        <v>6.3657407407407413E-4</v>
      </c>
    </row>
    <row r="797" spans="1:12" x14ac:dyDescent="0.25">
      <c r="A797" s="3">
        <v>45712.99931712963</v>
      </c>
      <c r="B797" t="s">
        <v>415</v>
      </c>
      <c r="C797" s="3">
        <v>45712.99998842593</v>
      </c>
      <c r="D797" t="s">
        <v>63</v>
      </c>
      <c r="E797" s="4">
        <v>0.17399999999999999</v>
      </c>
      <c r="F797" s="4">
        <v>49271.995999999999</v>
      </c>
      <c r="G797" s="4">
        <v>49272.17</v>
      </c>
      <c r="H797" s="5">
        <f>0 / 86400</f>
        <v>0</v>
      </c>
      <c r="I797" t="s">
        <v>94</v>
      </c>
      <c r="J797" t="s">
        <v>42</v>
      </c>
      <c r="K797" s="5">
        <f>58 / 86400</f>
        <v>6.7129629629629625E-4</v>
      </c>
      <c r="L797" s="5">
        <f>0 / 86400</f>
        <v>0</v>
      </c>
    </row>
    <row r="798" spans="1:12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</row>
    <row r="799" spans="1:12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</row>
    <row r="800" spans="1:12" s="10" customFormat="1" ht="20.100000000000001" customHeight="1" x14ac:dyDescent="0.35">
      <c r="A800" s="15" t="s">
        <v>470</v>
      </c>
      <c r="B800" s="15"/>
      <c r="C800" s="15"/>
      <c r="D800" s="15"/>
      <c r="E800" s="15"/>
      <c r="F800" s="15"/>
      <c r="G800" s="15"/>
      <c r="H800" s="15"/>
      <c r="I800" s="15"/>
      <c r="J800" s="15"/>
    </row>
    <row r="801" spans="1:12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</row>
    <row r="802" spans="1:12" ht="30" x14ac:dyDescent="0.25">
      <c r="A802" s="2" t="s">
        <v>6</v>
      </c>
      <c r="B802" s="2" t="s">
        <v>7</v>
      </c>
      <c r="C802" s="2" t="s">
        <v>8</v>
      </c>
      <c r="D802" s="2" t="s">
        <v>9</v>
      </c>
      <c r="E802" s="2" t="s">
        <v>10</v>
      </c>
      <c r="F802" s="2" t="s">
        <v>11</v>
      </c>
      <c r="G802" s="2" t="s">
        <v>12</v>
      </c>
      <c r="H802" s="2" t="s">
        <v>13</v>
      </c>
      <c r="I802" s="2" t="s">
        <v>14</v>
      </c>
      <c r="J802" s="2" t="s">
        <v>15</v>
      </c>
      <c r="K802" s="2" t="s">
        <v>16</v>
      </c>
      <c r="L802" s="2" t="s">
        <v>17</v>
      </c>
    </row>
    <row r="803" spans="1:12" x14ac:dyDescent="0.25">
      <c r="A803" s="3">
        <v>45712.002523148149</v>
      </c>
      <c r="B803" t="s">
        <v>76</v>
      </c>
      <c r="C803" s="3">
        <v>45712.002685185187</v>
      </c>
      <c r="D803" t="s">
        <v>76</v>
      </c>
      <c r="E803" s="4">
        <v>3.0000000000000001E-3</v>
      </c>
      <c r="F803" s="4">
        <v>530820.701</v>
      </c>
      <c r="G803" s="4">
        <v>530820.70400000003</v>
      </c>
      <c r="H803" s="5">
        <f>0 / 86400</f>
        <v>0</v>
      </c>
      <c r="I803" t="s">
        <v>24</v>
      </c>
      <c r="J803" t="s">
        <v>143</v>
      </c>
      <c r="K803" s="5">
        <f>14 / 86400</f>
        <v>1.6203703703703703E-4</v>
      </c>
      <c r="L803" s="5">
        <f>464 / 86400</f>
        <v>5.37037037037037E-3</v>
      </c>
    </row>
    <row r="804" spans="1:12" x14ac:dyDescent="0.25">
      <c r="A804" s="3">
        <v>45712.005532407406</v>
      </c>
      <c r="B804" t="s">
        <v>76</v>
      </c>
      <c r="C804" s="3">
        <v>45712.005648148144</v>
      </c>
      <c r="D804" t="s">
        <v>76</v>
      </c>
      <c r="E804" s="4">
        <v>2E-3</v>
      </c>
      <c r="F804" s="4">
        <v>530820.70400000003</v>
      </c>
      <c r="G804" s="4">
        <v>530820.70600000001</v>
      </c>
      <c r="H804" s="5">
        <f>0 / 86400</f>
        <v>0</v>
      </c>
      <c r="I804" t="s">
        <v>24</v>
      </c>
      <c r="J804" t="s">
        <v>143</v>
      </c>
      <c r="K804" s="5">
        <f>9 / 86400</f>
        <v>1.0416666666666667E-4</v>
      </c>
      <c r="L804" s="5">
        <f>833 / 86400</f>
        <v>9.6412037037037039E-3</v>
      </c>
    </row>
    <row r="805" spans="1:12" x14ac:dyDescent="0.25">
      <c r="A805" s="3">
        <v>45712.015289351853</v>
      </c>
      <c r="B805" t="s">
        <v>76</v>
      </c>
      <c r="C805" s="3">
        <v>45712.015381944446</v>
      </c>
      <c r="D805" t="s">
        <v>76</v>
      </c>
      <c r="E805" s="4">
        <v>0</v>
      </c>
      <c r="F805" s="4">
        <v>530820.70600000001</v>
      </c>
      <c r="G805" s="4">
        <v>530820.70600000001</v>
      </c>
      <c r="H805" s="5">
        <f>0 / 86400</f>
        <v>0</v>
      </c>
      <c r="I805" t="s">
        <v>24</v>
      </c>
      <c r="J805" t="s">
        <v>24</v>
      </c>
      <c r="K805" s="5">
        <f>7 / 86400</f>
        <v>8.1018518518518516E-5</v>
      </c>
      <c r="L805" s="5">
        <f>1190 / 86400</f>
        <v>1.3773148148148149E-2</v>
      </c>
    </row>
    <row r="806" spans="1:12" x14ac:dyDescent="0.25">
      <c r="A806" s="3">
        <v>45712.02915509259</v>
      </c>
      <c r="B806" t="s">
        <v>76</v>
      </c>
      <c r="C806" s="3">
        <v>45712.029699074075</v>
      </c>
      <c r="D806" t="s">
        <v>76</v>
      </c>
      <c r="E806" s="4">
        <v>0</v>
      </c>
      <c r="F806" s="4">
        <v>530820.70600000001</v>
      </c>
      <c r="G806" s="4">
        <v>530820.70600000001</v>
      </c>
      <c r="H806" s="5">
        <f>39 / 86400</f>
        <v>4.5138888888888887E-4</v>
      </c>
      <c r="I806" t="s">
        <v>24</v>
      </c>
      <c r="J806" t="s">
        <v>24</v>
      </c>
      <c r="K806" s="5">
        <f>46 / 86400</f>
        <v>5.3240740740740744E-4</v>
      </c>
      <c r="L806" s="5">
        <f>633 / 86400</f>
        <v>7.3263888888888892E-3</v>
      </c>
    </row>
    <row r="807" spans="1:12" x14ac:dyDescent="0.25">
      <c r="A807" s="3">
        <v>45712.037025462967</v>
      </c>
      <c r="B807" t="s">
        <v>76</v>
      </c>
      <c r="C807" s="3">
        <v>45712.115810185191</v>
      </c>
      <c r="D807" t="s">
        <v>37</v>
      </c>
      <c r="E807" s="4">
        <v>30.196000000000002</v>
      </c>
      <c r="F807" s="4">
        <v>530820.70600000001</v>
      </c>
      <c r="G807" s="4">
        <v>530850.902</v>
      </c>
      <c r="H807" s="5">
        <f>2419 / 86400</f>
        <v>2.7997685185185184E-2</v>
      </c>
      <c r="I807" t="s">
        <v>35</v>
      </c>
      <c r="J807" t="s">
        <v>34</v>
      </c>
      <c r="K807" s="5">
        <f>6806 / 86400</f>
        <v>7.8773148148148148E-2</v>
      </c>
      <c r="L807" s="5">
        <f>1036 / 86400</f>
        <v>1.1990740740740741E-2</v>
      </c>
    </row>
    <row r="808" spans="1:12" x14ac:dyDescent="0.25">
      <c r="A808" s="3">
        <v>45712.127800925926</v>
      </c>
      <c r="B808" t="s">
        <v>37</v>
      </c>
      <c r="C808" s="3">
        <v>45712.12877314815</v>
      </c>
      <c r="D808" t="s">
        <v>415</v>
      </c>
      <c r="E808" s="4">
        <v>0.10900000005960464</v>
      </c>
      <c r="F808" s="4">
        <v>530850.902</v>
      </c>
      <c r="G808" s="4">
        <v>530851.01100000006</v>
      </c>
      <c r="H808" s="5">
        <f>0 / 86400</f>
        <v>0</v>
      </c>
      <c r="I808" t="s">
        <v>99</v>
      </c>
      <c r="J808" t="s">
        <v>57</v>
      </c>
      <c r="K808" s="5">
        <f>84 / 86400</f>
        <v>9.7222222222222219E-4</v>
      </c>
      <c r="L808" s="5">
        <f>2321 / 86400</f>
        <v>2.6863425925925926E-2</v>
      </c>
    </row>
    <row r="809" spans="1:12" x14ac:dyDescent="0.25">
      <c r="A809" s="3">
        <v>45712.155636574069</v>
      </c>
      <c r="B809" t="s">
        <v>415</v>
      </c>
      <c r="C809" s="3">
        <v>45712.159583333334</v>
      </c>
      <c r="D809" t="s">
        <v>395</v>
      </c>
      <c r="E809" s="4">
        <v>2.1999999999999999E-2</v>
      </c>
      <c r="F809" s="4">
        <v>530851.01100000006</v>
      </c>
      <c r="G809" s="4">
        <v>530851.03300000005</v>
      </c>
      <c r="H809" s="5">
        <f>301 / 86400</f>
        <v>3.4837962962962965E-3</v>
      </c>
      <c r="I809" t="s">
        <v>57</v>
      </c>
      <c r="J809" t="s">
        <v>24</v>
      </c>
      <c r="K809" s="5">
        <f>341 / 86400</f>
        <v>3.9467592592592592E-3</v>
      </c>
      <c r="L809" s="5">
        <f>356 / 86400</f>
        <v>4.1203703703703706E-3</v>
      </c>
    </row>
    <row r="810" spans="1:12" x14ac:dyDescent="0.25">
      <c r="A810" s="3">
        <v>45712.1637037037</v>
      </c>
      <c r="B810" t="s">
        <v>395</v>
      </c>
      <c r="C810" s="3">
        <v>45712.16673611111</v>
      </c>
      <c r="D810" t="s">
        <v>395</v>
      </c>
      <c r="E810" s="4">
        <v>0.877</v>
      </c>
      <c r="F810" s="4">
        <v>530851.03300000005</v>
      </c>
      <c r="G810" s="4">
        <v>530851.91</v>
      </c>
      <c r="H810" s="5">
        <f>20 / 86400</f>
        <v>2.3148148148148149E-4</v>
      </c>
      <c r="I810" t="s">
        <v>139</v>
      </c>
      <c r="J810" t="s">
        <v>145</v>
      </c>
      <c r="K810" s="5">
        <f>261 / 86400</f>
        <v>3.0208333333333333E-3</v>
      </c>
      <c r="L810" s="5">
        <f>1487 / 86400</f>
        <v>1.7210648148148149E-2</v>
      </c>
    </row>
    <row r="811" spans="1:12" x14ac:dyDescent="0.25">
      <c r="A811" s="3">
        <v>45712.183946759258</v>
      </c>
      <c r="B811" t="s">
        <v>395</v>
      </c>
      <c r="C811" s="3">
        <v>45712.35</v>
      </c>
      <c r="D811" t="s">
        <v>125</v>
      </c>
      <c r="E811" s="4">
        <v>84.714999999940389</v>
      </c>
      <c r="F811" s="4">
        <v>530851.91</v>
      </c>
      <c r="G811" s="4">
        <v>530936.625</v>
      </c>
      <c r="H811" s="5">
        <f>3418 / 86400</f>
        <v>3.9560185185185184E-2</v>
      </c>
      <c r="I811" t="s">
        <v>122</v>
      </c>
      <c r="J811" t="s">
        <v>36</v>
      </c>
      <c r="K811" s="5">
        <f>14346 / 86400</f>
        <v>0.16604166666666667</v>
      </c>
      <c r="L811" s="5">
        <f>1590 / 86400</f>
        <v>1.8402777777777778E-2</v>
      </c>
    </row>
    <row r="812" spans="1:12" x14ac:dyDescent="0.25">
      <c r="A812" s="3">
        <v>45712.368402777778</v>
      </c>
      <c r="B812" t="s">
        <v>125</v>
      </c>
      <c r="C812" s="3">
        <v>45712.369166666671</v>
      </c>
      <c r="D812" t="s">
        <v>125</v>
      </c>
      <c r="E812" s="4">
        <v>9.6999999940395348E-2</v>
      </c>
      <c r="F812" s="4">
        <v>530936.625</v>
      </c>
      <c r="G812" s="4">
        <v>530936.72199999995</v>
      </c>
      <c r="H812" s="5">
        <f>20 / 86400</f>
        <v>2.3148148148148149E-4</v>
      </c>
      <c r="I812" t="s">
        <v>99</v>
      </c>
      <c r="J812" t="s">
        <v>57</v>
      </c>
      <c r="K812" s="5">
        <f>65 / 86400</f>
        <v>7.5231481481481482E-4</v>
      </c>
      <c r="L812" s="5">
        <f>928 / 86400</f>
        <v>1.074074074074074E-2</v>
      </c>
    </row>
    <row r="813" spans="1:12" x14ac:dyDescent="0.25">
      <c r="A813" s="3">
        <v>45712.379907407405</v>
      </c>
      <c r="B813" t="s">
        <v>125</v>
      </c>
      <c r="C813" s="3">
        <v>45712.384409722217</v>
      </c>
      <c r="D813" t="s">
        <v>21</v>
      </c>
      <c r="E813" s="4">
        <v>1.272</v>
      </c>
      <c r="F813" s="4">
        <v>530936.72199999995</v>
      </c>
      <c r="G813" s="4">
        <v>530937.99399999995</v>
      </c>
      <c r="H813" s="5">
        <f>40 / 86400</f>
        <v>4.6296296296296298E-4</v>
      </c>
      <c r="I813" t="s">
        <v>139</v>
      </c>
      <c r="J813" t="s">
        <v>145</v>
      </c>
      <c r="K813" s="5">
        <f>389 / 86400</f>
        <v>4.5023148148148149E-3</v>
      </c>
      <c r="L813" s="5">
        <f>640 / 86400</f>
        <v>7.4074074074074077E-3</v>
      </c>
    </row>
    <row r="814" spans="1:12" x14ac:dyDescent="0.25">
      <c r="A814" s="3">
        <v>45712.391817129625</v>
      </c>
      <c r="B814" t="s">
        <v>21</v>
      </c>
      <c r="C814" s="3">
        <v>45712.509270833332</v>
      </c>
      <c r="D814" t="s">
        <v>236</v>
      </c>
      <c r="E814" s="4">
        <v>50.909000000119207</v>
      </c>
      <c r="F814" s="4">
        <v>530937.99399999995</v>
      </c>
      <c r="G814" s="4">
        <v>530988.90300000005</v>
      </c>
      <c r="H814" s="5">
        <f>3061 / 86400</f>
        <v>3.5428240740740739E-2</v>
      </c>
      <c r="I814" t="s">
        <v>86</v>
      </c>
      <c r="J814" t="s">
        <v>20</v>
      </c>
      <c r="K814" s="5">
        <f>10147 / 86400</f>
        <v>0.11744212962962963</v>
      </c>
      <c r="L814" s="5">
        <f>91 / 86400</f>
        <v>1.0532407407407407E-3</v>
      </c>
    </row>
    <row r="815" spans="1:12" x14ac:dyDescent="0.25">
      <c r="A815" s="3">
        <v>45712.510324074072</v>
      </c>
      <c r="B815" t="s">
        <v>236</v>
      </c>
      <c r="C815" s="3">
        <v>45712.629340277781</v>
      </c>
      <c r="D815" t="s">
        <v>68</v>
      </c>
      <c r="E815" s="4">
        <v>49.524999999880791</v>
      </c>
      <c r="F815" s="4">
        <v>530988.90300000005</v>
      </c>
      <c r="G815" s="4">
        <v>531038.42799999996</v>
      </c>
      <c r="H815" s="5">
        <f>3259 / 86400</f>
        <v>3.771990740740741E-2</v>
      </c>
      <c r="I815" t="s">
        <v>298</v>
      </c>
      <c r="J815" t="s">
        <v>30</v>
      </c>
      <c r="K815" s="5">
        <f>10282 / 86400</f>
        <v>0.11900462962962963</v>
      </c>
      <c r="L815" s="5">
        <f>262 / 86400</f>
        <v>3.0324074074074073E-3</v>
      </c>
    </row>
    <row r="816" spans="1:12" x14ac:dyDescent="0.25">
      <c r="A816" s="3">
        <v>45712.632372685184</v>
      </c>
      <c r="B816" t="s">
        <v>68</v>
      </c>
      <c r="C816" s="3">
        <v>45712.63899305556</v>
      </c>
      <c r="D816" t="s">
        <v>68</v>
      </c>
      <c r="E816" s="4">
        <v>0.28100000011920928</v>
      </c>
      <c r="F816" s="4">
        <v>531038.42799999996</v>
      </c>
      <c r="G816" s="4">
        <v>531038.70900000003</v>
      </c>
      <c r="H816" s="5">
        <f>380 / 86400</f>
        <v>4.3981481481481484E-3</v>
      </c>
      <c r="I816" t="s">
        <v>30</v>
      </c>
      <c r="J816" t="s">
        <v>150</v>
      </c>
      <c r="K816" s="5">
        <f>572 / 86400</f>
        <v>6.6203703703703702E-3</v>
      </c>
      <c r="L816" s="5">
        <f>1398 / 86400</f>
        <v>1.6180555555555556E-2</v>
      </c>
    </row>
    <row r="817" spans="1:12" x14ac:dyDescent="0.25">
      <c r="A817" s="3">
        <v>45712.655173611114</v>
      </c>
      <c r="B817" t="s">
        <v>68</v>
      </c>
      <c r="C817" s="3">
        <v>45712.656446759254</v>
      </c>
      <c r="D817" t="s">
        <v>149</v>
      </c>
      <c r="E817" s="4">
        <v>7.9999998807907102E-3</v>
      </c>
      <c r="F817" s="4">
        <v>531038.70900000003</v>
      </c>
      <c r="G817" s="4">
        <v>531038.71699999995</v>
      </c>
      <c r="H817" s="5">
        <f>79 / 86400</f>
        <v>9.1435185185185185E-4</v>
      </c>
      <c r="I817" t="s">
        <v>51</v>
      </c>
      <c r="J817" t="s">
        <v>24</v>
      </c>
      <c r="K817" s="5">
        <f>110 / 86400</f>
        <v>1.2731481481481483E-3</v>
      </c>
      <c r="L817" s="5">
        <f>892 / 86400</f>
        <v>1.0324074074074074E-2</v>
      </c>
    </row>
    <row r="818" spans="1:12" x14ac:dyDescent="0.25">
      <c r="A818" s="3">
        <v>45712.666770833333</v>
      </c>
      <c r="B818" t="s">
        <v>68</v>
      </c>
      <c r="C818" s="3">
        <v>45712.673854166671</v>
      </c>
      <c r="D818" t="s">
        <v>125</v>
      </c>
      <c r="E818" s="4">
        <v>1.1560000000596047</v>
      </c>
      <c r="F818" s="4">
        <v>531038.71699999995</v>
      </c>
      <c r="G818" s="4">
        <v>531039.87300000002</v>
      </c>
      <c r="H818" s="5">
        <f>280 / 86400</f>
        <v>3.2407407407407406E-3</v>
      </c>
      <c r="I818" t="s">
        <v>131</v>
      </c>
      <c r="J818" t="s">
        <v>99</v>
      </c>
      <c r="K818" s="5">
        <f>612 / 86400</f>
        <v>7.083333333333333E-3</v>
      </c>
      <c r="L818" s="5">
        <f>676 / 86400</f>
        <v>7.8240740740740736E-3</v>
      </c>
    </row>
    <row r="819" spans="1:12" x14ac:dyDescent="0.25">
      <c r="A819" s="3">
        <v>45712.68167824074</v>
      </c>
      <c r="B819" t="s">
        <v>125</v>
      </c>
      <c r="C819" s="3">
        <v>45712.681817129633</v>
      </c>
      <c r="D819" t="s">
        <v>125</v>
      </c>
      <c r="E819" s="4">
        <v>7.0000000000000001E-3</v>
      </c>
      <c r="F819" s="4">
        <v>531039.87300000002</v>
      </c>
      <c r="G819" s="4">
        <v>531039.88</v>
      </c>
      <c r="H819" s="5">
        <f>0 / 86400</f>
        <v>0</v>
      </c>
      <c r="I819" t="s">
        <v>143</v>
      </c>
      <c r="J819" t="s">
        <v>150</v>
      </c>
      <c r="K819" s="5">
        <f>11 / 86400</f>
        <v>1.273148148148148E-4</v>
      </c>
      <c r="L819" s="5">
        <f>599 / 86400</f>
        <v>6.9328703703703705E-3</v>
      </c>
    </row>
    <row r="820" spans="1:12" x14ac:dyDescent="0.25">
      <c r="A820" s="3">
        <v>45712.688750000001</v>
      </c>
      <c r="B820" t="s">
        <v>125</v>
      </c>
      <c r="C820" s="3">
        <v>45712.689328703702</v>
      </c>
      <c r="D820" t="s">
        <v>125</v>
      </c>
      <c r="E820" s="4">
        <v>2.8000000059604645E-2</v>
      </c>
      <c r="F820" s="4">
        <v>531039.88</v>
      </c>
      <c r="G820" s="4">
        <v>531039.90800000005</v>
      </c>
      <c r="H820" s="5">
        <f>0 / 86400</f>
        <v>0</v>
      </c>
      <c r="I820" t="s">
        <v>57</v>
      </c>
      <c r="J820" t="s">
        <v>150</v>
      </c>
      <c r="K820" s="5">
        <f>50 / 86400</f>
        <v>5.7870370370370367E-4</v>
      </c>
      <c r="L820" s="5">
        <f>2301 / 86400</f>
        <v>2.6631944444444444E-2</v>
      </c>
    </row>
    <row r="821" spans="1:12" x14ac:dyDescent="0.25">
      <c r="A821" s="3">
        <v>45712.715960648144</v>
      </c>
      <c r="B821" t="s">
        <v>125</v>
      </c>
      <c r="C821" s="3">
        <v>45712.717881944445</v>
      </c>
      <c r="D821" t="s">
        <v>125</v>
      </c>
      <c r="E821" s="4">
        <v>0.25599999994039535</v>
      </c>
      <c r="F821" s="4">
        <v>531039.90800000005</v>
      </c>
      <c r="G821" s="4">
        <v>531040.16399999999</v>
      </c>
      <c r="H821" s="5">
        <f>39 / 86400</f>
        <v>4.5138888888888887E-4</v>
      </c>
      <c r="I821" t="s">
        <v>42</v>
      </c>
      <c r="J821" t="s">
        <v>32</v>
      </c>
      <c r="K821" s="5">
        <f>166 / 86400</f>
        <v>1.9212962962962964E-3</v>
      </c>
      <c r="L821" s="5">
        <f>6 / 86400</f>
        <v>6.9444444444444444E-5</v>
      </c>
    </row>
    <row r="822" spans="1:12" x14ac:dyDescent="0.25">
      <c r="A822" s="3">
        <v>45712.717951388884</v>
      </c>
      <c r="B822" t="s">
        <v>125</v>
      </c>
      <c r="C822" s="3">
        <v>45712.719004629631</v>
      </c>
      <c r="D822" t="s">
        <v>125</v>
      </c>
      <c r="E822" s="4">
        <v>0.23400000005960464</v>
      </c>
      <c r="F822" s="4">
        <v>531040.16399999999</v>
      </c>
      <c r="G822" s="4">
        <v>531040.39800000004</v>
      </c>
      <c r="H822" s="5">
        <f>20 / 86400</f>
        <v>2.3148148148148149E-4</v>
      </c>
      <c r="I822" t="s">
        <v>48</v>
      </c>
      <c r="J822" t="s">
        <v>135</v>
      </c>
      <c r="K822" s="5">
        <f>91 / 86400</f>
        <v>1.0532407407407407E-3</v>
      </c>
      <c r="L822" s="5">
        <f>1513 / 86400</f>
        <v>1.7511574074074075E-2</v>
      </c>
    </row>
    <row r="823" spans="1:12" x14ac:dyDescent="0.25">
      <c r="A823" s="3">
        <v>45712.736516203702</v>
      </c>
      <c r="B823" t="s">
        <v>125</v>
      </c>
      <c r="C823" s="3">
        <v>45712.815393518518</v>
      </c>
      <c r="D823" t="s">
        <v>416</v>
      </c>
      <c r="E823" s="4">
        <v>35.835999999999999</v>
      </c>
      <c r="F823" s="4">
        <v>531040.39800000004</v>
      </c>
      <c r="G823" s="4">
        <v>531076.23400000005</v>
      </c>
      <c r="H823" s="5">
        <f>1979 / 86400</f>
        <v>2.2905092592592591E-2</v>
      </c>
      <c r="I823" t="s">
        <v>46</v>
      </c>
      <c r="J823" t="s">
        <v>137</v>
      </c>
      <c r="K823" s="5">
        <f>6815 / 86400</f>
        <v>7.8877314814814817E-2</v>
      </c>
      <c r="L823" s="5">
        <f>231 / 86400</f>
        <v>2.673611111111111E-3</v>
      </c>
    </row>
    <row r="824" spans="1:12" x14ac:dyDescent="0.25">
      <c r="A824" s="3">
        <v>45712.818067129629</v>
      </c>
      <c r="B824" t="s">
        <v>416</v>
      </c>
      <c r="C824" s="3">
        <v>45712.893599537041</v>
      </c>
      <c r="D824" t="s">
        <v>116</v>
      </c>
      <c r="E824" s="4">
        <v>31.274000000000001</v>
      </c>
      <c r="F824" s="4">
        <v>531076.23400000005</v>
      </c>
      <c r="G824" s="4">
        <v>531107.50800000003</v>
      </c>
      <c r="H824" s="5">
        <f>2558 / 86400</f>
        <v>2.960648148148148E-2</v>
      </c>
      <c r="I824" t="s">
        <v>104</v>
      </c>
      <c r="J824" t="s">
        <v>30</v>
      </c>
      <c r="K824" s="5">
        <f>6526 / 86400</f>
        <v>7.5532407407407409E-2</v>
      </c>
      <c r="L824" s="5">
        <f>389 / 86400</f>
        <v>4.5023148148148149E-3</v>
      </c>
    </row>
    <row r="825" spans="1:12" x14ac:dyDescent="0.25">
      <c r="A825" s="3">
        <v>45712.898101851853</v>
      </c>
      <c r="B825" t="s">
        <v>116</v>
      </c>
      <c r="C825" s="3">
        <v>45712.898298611108</v>
      </c>
      <c r="D825" t="s">
        <v>417</v>
      </c>
      <c r="E825" s="4">
        <v>3.0000000000000001E-3</v>
      </c>
      <c r="F825" s="4">
        <v>531107.50800000003</v>
      </c>
      <c r="G825" s="4">
        <v>531107.51100000006</v>
      </c>
      <c r="H825" s="5">
        <f>0 / 86400</f>
        <v>0</v>
      </c>
      <c r="I825" t="s">
        <v>143</v>
      </c>
      <c r="J825" t="s">
        <v>143</v>
      </c>
      <c r="K825" s="5">
        <f>16 / 86400</f>
        <v>1.8518518518518518E-4</v>
      </c>
      <c r="L825" s="5">
        <f>1069 / 86400</f>
        <v>1.2372685185185184E-2</v>
      </c>
    </row>
    <row r="826" spans="1:12" x14ac:dyDescent="0.25">
      <c r="A826" s="3">
        <v>45712.910671296297</v>
      </c>
      <c r="B826" t="s">
        <v>417</v>
      </c>
      <c r="C826" s="3">
        <v>45712.970868055556</v>
      </c>
      <c r="D826" t="s">
        <v>346</v>
      </c>
      <c r="E826" s="4">
        <v>35.783999999999999</v>
      </c>
      <c r="F826" s="4">
        <v>531107.51100000006</v>
      </c>
      <c r="G826" s="4">
        <v>531143.29500000004</v>
      </c>
      <c r="H826" s="5">
        <f>1720 / 86400</f>
        <v>1.9907407407407408E-2</v>
      </c>
      <c r="I826" t="s">
        <v>78</v>
      </c>
      <c r="J826" t="s">
        <v>202</v>
      </c>
      <c r="K826" s="5">
        <f>5200 / 86400</f>
        <v>6.0185185185185182E-2</v>
      </c>
      <c r="L826" s="5">
        <f>286 / 86400</f>
        <v>3.3101851851851851E-3</v>
      </c>
    </row>
    <row r="827" spans="1:12" x14ac:dyDescent="0.25">
      <c r="A827" s="3">
        <v>45712.974178240736</v>
      </c>
      <c r="B827" t="s">
        <v>418</v>
      </c>
      <c r="C827" s="3">
        <v>45712.99998842593</v>
      </c>
      <c r="D827" t="s">
        <v>77</v>
      </c>
      <c r="E827" s="4">
        <v>8.2299999999403948</v>
      </c>
      <c r="F827" s="4">
        <v>531143.29500000004</v>
      </c>
      <c r="G827" s="4">
        <v>531151.52500000002</v>
      </c>
      <c r="H827" s="5">
        <f>1259 / 86400</f>
        <v>1.457175925925926E-2</v>
      </c>
      <c r="I827" t="s">
        <v>75</v>
      </c>
      <c r="J827" t="s">
        <v>71</v>
      </c>
      <c r="K827" s="5">
        <f>2230 / 86400</f>
        <v>2.5810185185185186E-2</v>
      </c>
      <c r="L827" s="5">
        <f>0 / 86400</f>
        <v>0</v>
      </c>
    </row>
    <row r="828" spans="1:12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</row>
    <row r="829" spans="1:12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</row>
    <row r="830" spans="1:12" s="10" customFormat="1" ht="20.100000000000001" customHeight="1" x14ac:dyDescent="0.35">
      <c r="A830" s="15" t="s">
        <v>471</v>
      </c>
      <c r="B830" s="15"/>
      <c r="C830" s="15"/>
      <c r="D830" s="15"/>
      <c r="E830" s="15"/>
      <c r="F830" s="15"/>
      <c r="G830" s="15"/>
      <c r="H830" s="15"/>
      <c r="I830" s="15"/>
      <c r="J830" s="15"/>
    </row>
    <row r="831" spans="1:12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</row>
    <row r="832" spans="1:12" ht="30" x14ac:dyDescent="0.25">
      <c r="A832" s="2" t="s">
        <v>6</v>
      </c>
      <c r="B832" s="2" t="s">
        <v>7</v>
      </c>
      <c r="C832" s="2" t="s">
        <v>8</v>
      </c>
      <c r="D832" s="2" t="s">
        <v>9</v>
      </c>
      <c r="E832" s="2" t="s">
        <v>10</v>
      </c>
      <c r="F832" s="2" t="s">
        <v>11</v>
      </c>
      <c r="G832" s="2" t="s">
        <v>12</v>
      </c>
      <c r="H832" s="2" t="s">
        <v>13</v>
      </c>
      <c r="I832" s="2" t="s">
        <v>14</v>
      </c>
      <c r="J832" s="2" t="s">
        <v>15</v>
      </c>
      <c r="K832" s="2" t="s">
        <v>16</v>
      </c>
      <c r="L832" s="2" t="s">
        <v>17</v>
      </c>
    </row>
    <row r="833" spans="1:12" x14ac:dyDescent="0.25">
      <c r="A833" s="3">
        <v>45712.207662037035</v>
      </c>
      <c r="B833" t="s">
        <v>27</v>
      </c>
      <c r="C833" s="3">
        <v>45712.209131944444</v>
      </c>
      <c r="D833" t="s">
        <v>27</v>
      </c>
      <c r="E833" s="4">
        <v>2.1000000000000001E-2</v>
      </c>
      <c r="F833" s="4">
        <v>569964.39199999999</v>
      </c>
      <c r="G833" s="4">
        <v>569964.41299999994</v>
      </c>
      <c r="H833" s="5">
        <f>79 / 86400</f>
        <v>9.1435185185185185E-4</v>
      </c>
      <c r="I833" t="s">
        <v>92</v>
      </c>
      <c r="J833" t="s">
        <v>143</v>
      </c>
      <c r="K833" s="5">
        <f>127 / 86400</f>
        <v>1.4699074074074074E-3</v>
      </c>
      <c r="L833" s="5">
        <f>17961 / 86400</f>
        <v>0.20788194444444444</v>
      </c>
    </row>
    <row r="834" spans="1:12" x14ac:dyDescent="0.25">
      <c r="A834" s="3">
        <v>45712.209351851852</v>
      </c>
      <c r="B834" t="s">
        <v>27</v>
      </c>
      <c r="C834" s="3">
        <v>45712.211597222224</v>
      </c>
      <c r="D834" t="s">
        <v>167</v>
      </c>
      <c r="E834" s="4">
        <v>0.51500000000000001</v>
      </c>
      <c r="F834" s="4">
        <v>569964.41299999994</v>
      </c>
      <c r="G834" s="4">
        <v>569964.92799999996</v>
      </c>
      <c r="H834" s="5">
        <f>60 / 86400</f>
        <v>6.9444444444444447E-4</v>
      </c>
      <c r="I834" t="s">
        <v>112</v>
      </c>
      <c r="J834" t="s">
        <v>51</v>
      </c>
      <c r="K834" s="5">
        <f>194 / 86400</f>
        <v>2.2453703703703702E-3</v>
      </c>
      <c r="L834" s="5">
        <f>64 / 86400</f>
        <v>7.407407407407407E-4</v>
      </c>
    </row>
    <row r="835" spans="1:12" x14ac:dyDescent="0.25">
      <c r="A835" s="3">
        <v>45712.212337962963</v>
      </c>
      <c r="B835" t="s">
        <v>167</v>
      </c>
      <c r="C835" s="3">
        <v>45712.314814814818</v>
      </c>
      <c r="D835" t="s">
        <v>236</v>
      </c>
      <c r="E835" s="4">
        <v>45.323999999999998</v>
      </c>
      <c r="F835" s="4">
        <v>569964.92799999996</v>
      </c>
      <c r="G835" s="4">
        <v>570010.25199999998</v>
      </c>
      <c r="H835" s="5">
        <f>2699 / 86400</f>
        <v>3.1238425925925926E-2</v>
      </c>
      <c r="I835" t="s">
        <v>64</v>
      </c>
      <c r="J835" t="s">
        <v>20</v>
      </c>
      <c r="K835" s="5">
        <f>8854 / 86400</f>
        <v>0.10247685185185185</v>
      </c>
      <c r="L835" s="5">
        <f>62 / 86400</f>
        <v>7.1759259259259259E-4</v>
      </c>
    </row>
    <row r="836" spans="1:12" x14ac:dyDescent="0.25">
      <c r="A836" s="3">
        <v>45712.315532407403</v>
      </c>
      <c r="B836" t="s">
        <v>236</v>
      </c>
      <c r="C836" s="3">
        <v>45712.440185185187</v>
      </c>
      <c r="D836" t="s">
        <v>68</v>
      </c>
      <c r="E836" s="4">
        <v>49.192999999999998</v>
      </c>
      <c r="F836" s="4">
        <v>570010.25199999998</v>
      </c>
      <c r="G836" s="4">
        <v>570059.44499999995</v>
      </c>
      <c r="H836" s="5">
        <f>3260 / 86400</f>
        <v>3.7731481481481484E-2</v>
      </c>
      <c r="I836" t="s">
        <v>176</v>
      </c>
      <c r="J836" t="s">
        <v>34</v>
      </c>
      <c r="K836" s="5">
        <f>10770 / 86400</f>
        <v>0.12465277777777778</v>
      </c>
      <c r="L836" s="5">
        <f>472 / 86400</f>
        <v>5.4629629629629629E-3</v>
      </c>
    </row>
    <row r="837" spans="1:12" x14ac:dyDescent="0.25">
      <c r="A837" s="3">
        <v>45712.445648148147</v>
      </c>
      <c r="B837" t="s">
        <v>68</v>
      </c>
      <c r="C837" s="3">
        <v>45712.448715277773</v>
      </c>
      <c r="D837" t="s">
        <v>125</v>
      </c>
      <c r="E837" s="4">
        <v>0.94799999999999995</v>
      </c>
      <c r="F837" s="4">
        <v>570059.44499999995</v>
      </c>
      <c r="G837" s="4">
        <v>570060.39300000004</v>
      </c>
      <c r="H837" s="5">
        <f>20 / 86400</f>
        <v>2.3148148148148149E-4</v>
      </c>
      <c r="I837" t="s">
        <v>152</v>
      </c>
      <c r="J837" t="s">
        <v>71</v>
      </c>
      <c r="K837" s="5">
        <f>265 / 86400</f>
        <v>3.0671296296296297E-3</v>
      </c>
      <c r="L837" s="5">
        <f>155 / 86400</f>
        <v>1.7939814814814815E-3</v>
      </c>
    </row>
    <row r="838" spans="1:12" x14ac:dyDescent="0.25">
      <c r="A838" s="3">
        <v>45712.450509259259</v>
      </c>
      <c r="B838" t="s">
        <v>125</v>
      </c>
      <c r="C838" s="3">
        <v>45712.450902777782</v>
      </c>
      <c r="D838" t="s">
        <v>125</v>
      </c>
      <c r="E838" s="4">
        <v>0.02</v>
      </c>
      <c r="F838" s="4">
        <v>570060.39300000004</v>
      </c>
      <c r="G838" s="4">
        <v>570060.41299999994</v>
      </c>
      <c r="H838" s="5">
        <f>0 / 86400</f>
        <v>0</v>
      </c>
      <c r="I838" t="s">
        <v>32</v>
      </c>
      <c r="J838" t="s">
        <v>150</v>
      </c>
      <c r="K838" s="5">
        <f>33 / 86400</f>
        <v>3.8194444444444446E-4</v>
      </c>
      <c r="L838" s="5">
        <f>2677 / 86400</f>
        <v>3.0983796296296297E-2</v>
      </c>
    </row>
    <row r="839" spans="1:12" x14ac:dyDescent="0.25">
      <c r="A839" s="3">
        <v>45712.481886574074</v>
      </c>
      <c r="B839" t="s">
        <v>125</v>
      </c>
      <c r="C839" s="3">
        <v>45712.604189814811</v>
      </c>
      <c r="D839" t="s">
        <v>324</v>
      </c>
      <c r="E839" s="4">
        <v>49.863999999999997</v>
      </c>
      <c r="F839" s="4">
        <v>570060.41299999994</v>
      </c>
      <c r="G839" s="4">
        <v>570110.277</v>
      </c>
      <c r="H839" s="5">
        <f>3478 / 86400</f>
        <v>4.0254629629629626E-2</v>
      </c>
      <c r="I839" t="s">
        <v>38</v>
      </c>
      <c r="J839" t="s">
        <v>30</v>
      </c>
      <c r="K839" s="5">
        <f>10566 / 86400</f>
        <v>0.12229166666666667</v>
      </c>
      <c r="L839" s="5">
        <f>611 / 86400</f>
        <v>7.0717592592592594E-3</v>
      </c>
    </row>
    <row r="840" spans="1:12" x14ac:dyDescent="0.25">
      <c r="A840" s="3">
        <v>45712.611261574071</v>
      </c>
      <c r="B840" t="s">
        <v>324</v>
      </c>
      <c r="C840" s="3">
        <v>45712.614120370374</v>
      </c>
      <c r="D840" t="s">
        <v>375</v>
      </c>
      <c r="E840" s="4">
        <v>0.35299999999999998</v>
      </c>
      <c r="F840" s="4">
        <v>570110.277</v>
      </c>
      <c r="G840" s="4">
        <v>570110.63</v>
      </c>
      <c r="H840" s="5">
        <f>139 / 86400</f>
        <v>1.6087962962962963E-3</v>
      </c>
      <c r="I840" t="s">
        <v>59</v>
      </c>
      <c r="J840" t="s">
        <v>57</v>
      </c>
      <c r="K840" s="5">
        <f>247 / 86400</f>
        <v>2.8587962962962963E-3</v>
      </c>
      <c r="L840" s="5">
        <f>2335 / 86400</f>
        <v>2.7025462962962963E-2</v>
      </c>
    </row>
    <row r="841" spans="1:12" x14ac:dyDescent="0.25">
      <c r="A841" s="3">
        <v>45712.641145833331</v>
      </c>
      <c r="B841" t="s">
        <v>375</v>
      </c>
      <c r="C841" s="3">
        <v>45712.777442129634</v>
      </c>
      <c r="D841" t="s">
        <v>37</v>
      </c>
      <c r="E841" s="4">
        <v>39.802</v>
      </c>
      <c r="F841" s="4">
        <v>570110.63</v>
      </c>
      <c r="G841" s="4">
        <v>570150.43200000003</v>
      </c>
      <c r="H841" s="5">
        <f>4878 / 86400</f>
        <v>5.6458333333333333E-2</v>
      </c>
      <c r="I841" t="s">
        <v>266</v>
      </c>
      <c r="J841" t="s">
        <v>145</v>
      </c>
      <c r="K841" s="5">
        <f>11776 / 86400</f>
        <v>0.1362962962962963</v>
      </c>
      <c r="L841" s="5">
        <f>366 / 86400</f>
        <v>4.2361111111111115E-3</v>
      </c>
    </row>
    <row r="842" spans="1:12" x14ac:dyDescent="0.25">
      <c r="A842" s="3">
        <v>45712.781678240739</v>
      </c>
      <c r="B842" t="s">
        <v>395</v>
      </c>
      <c r="C842" s="3">
        <v>45712.784456018519</v>
      </c>
      <c r="D842" t="s">
        <v>37</v>
      </c>
      <c r="E842" s="4">
        <v>1.427</v>
      </c>
      <c r="F842" s="4">
        <v>570150.43200000003</v>
      </c>
      <c r="G842" s="4">
        <v>570151.85900000005</v>
      </c>
      <c r="H842" s="5">
        <f>20 / 86400</f>
        <v>2.3148148148148149E-4</v>
      </c>
      <c r="I842" t="s">
        <v>159</v>
      </c>
      <c r="J842" t="s">
        <v>36</v>
      </c>
      <c r="K842" s="5">
        <f>240 / 86400</f>
        <v>2.7777777777777779E-3</v>
      </c>
      <c r="L842" s="5">
        <f>18622 / 86400</f>
        <v>0.21553240740740739</v>
      </c>
    </row>
    <row r="843" spans="1:12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</row>
    <row r="844" spans="1:12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</row>
    <row r="845" spans="1:12" s="10" customFormat="1" ht="20.100000000000001" customHeight="1" x14ac:dyDescent="0.35">
      <c r="A845" s="15" t="s">
        <v>472</v>
      </c>
      <c r="B845" s="15"/>
      <c r="C845" s="15"/>
      <c r="D845" s="15"/>
      <c r="E845" s="15"/>
      <c r="F845" s="15"/>
      <c r="G845" s="15"/>
      <c r="H845" s="15"/>
      <c r="I845" s="15"/>
      <c r="J845" s="15"/>
    </row>
    <row r="846" spans="1:12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</row>
    <row r="847" spans="1:12" ht="30" x14ac:dyDescent="0.25">
      <c r="A847" s="2" t="s">
        <v>6</v>
      </c>
      <c r="B847" s="2" t="s">
        <v>7</v>
      </c>
      <c r="C847" s="2" t="s">
        <v>8</v>
      </c>
      <c r="D847" s="2" t="s">
        <v>9</v>
      </c>
      <c r="E847" s="2" t="s">
        <v>10</v>
      </c>
      <c r="F847" s="2" t="s">
        <v>11</v>
      </c>
      <c r="G847" s="2" t="s">
        <v>12</v>
      </c>
      <c r="H847" s="2" t="s">
        <v>13</v>
      </c>
      <c r="I847" s="2" t="s">
        <v>14</v>
      </c>
      <c r="J847" s="2" t="s">
        <v>15</v>
      </c>
      <c r="K847" s="2" t="s">
        <v>16</v>
      </c>
      <c r="L847" s="2" t="s">
        <v>17</v>
      </c>
    </row>
    <row r="848" spans="1:12" x14ac:dyDescent="0.25">
      <c r="A848" s="3">
        <v>45712.254479166666</v>
      </c>
      <c r="B848" t="s">
        <v>79</v>
      </c>
      <c r="C848" s="3">
        <v>45712.325277777782</v>
      </c>
      <c r="D848" t="s">
        <v>132</v>
      </c>
      <c r="E848" s="4">
        <v>37.295000000000002</v>
      </c>
      <c r="F848" s="4">
        <v>436634.08199999999</v>
      </c>
      <c r="G848" s="4">
        <v>436671.37699999998</v>
      </c>
      <c r="H848" s="5">
        <f>1260 / 86400</f>
        <v>1.4583333333333334E-2</v>
      </c>
      <c r="I848" t="s">
        <v>122</v>
      </c>
      <c r="J848" t="s">
        <v>134</v>
      </c>
      <c r="K848" s="5">
        <f>6117 / 86400</f>
        <v>7.0798611111111118E-2</v>
      </c>
      <c r="L848" s="5">
        <f>22172 / 86400</f>
        <v>0.25662037037037039</v>
      </c>
    </row>
    <row r="849" spans="1:12" x14ac:dyDescent="0.25">
      <c r="A849" s="3">
        <v>45712.327418981484</v>
      </c>
      <c r="B849" t="s">
        <v>132</v>
      </c>
      <c r="C849" s="3">
        <v>45712.328993055555</v>
      </c>
      <c r="D849" t="s">
        <v>21</v>
      </c>
      <c r="E849" s="4">
        <v>0.42899999999999999</v>
      </c>
      <c r="F849" s="4">
        <v>436671.37699999998</v>
      </c>
      <c r="G849" s="4">
        <v>436671.80599999998</v>
      </c>
      <c r="H849" s="5">
        <f>0 / 86400</f>
        <v>0</v>
      </c>
      <c r="I849" t="s">
        <v>202</v>
      </c>
      <c r="J849" t="s">
        <v>42</v>
      </c>
      <c r="K849" s="5">
        <f>136 / 86400</f>
        <v>1.5740740740740741E-3</v>
      </c>
      <c r="L849" s="5">
        <f>4218 / 86400</f>
        <v>4.8819444444444443E-2</v>
      </c>
    </row>
    <row r="850" spans="1:12" x14ac:dyDescent="0.25">
      <c r="A850" s="3">
        <v>45712.377812499995</v>
      </c>
      <c r="B850" t="s">
        <v>21</v>
      </c>
      <c r="C850" s="3">
        <v>45712.623518518521</v>
      </c>
      <c r="D850" t="s">
        <v>68</v>
      </c>
      <c r="E850" s="4">
        <v>101.752</v>
      </c>
      <c r="F850" s="4">
        <v>436671.80599999998</v>
      </c>
      <c r="G850" s="4">
        <v>436773.55800000002</v>
      </c>
      <c r="H850" s="5">
        <f>6083 / 86400</f>
        <v>7.0405092592592589E-2</v>
      </c>
      <c r="I850" t="s">
        <v>80</v>
      </c>
      <c r="J850" t="s">
        <v>30</v>
      </c>
      <c r="K850" s="5">
        <f>21229 / 86400</f>
        <v>0.24570601851851853</v>
      </c>
      <c r="L850" s="5">
        <f>3983 / 86400</f>
        <v>4.6099537037037036E-2</v>
      </c>
    </row>
    <row r="851" spans="1:12" x14ac:dyDescent="0.25">
      <c r="A851" s="3">
        <v>45712.669618055559</v>
      </c>
      <c r="B851" t="s">
        <v>68</v>
      </c>
      <c r="C851" s="3">
        <v>45712.670208333337</v>
      </c>
      <c r="D851" t="s">
        <v>68</v>
      </c>
      <c r="E851" s="4">
        <v>3.1E-2</v>
      </c>
      <c r="F851" s="4">
        <v>436773.55800000002</v>
      </c>
      <c r="G851" s="4">
        <v>436773.58899999998</v>
      </c>
      <c r="H851" s="5">
        <f>0 / 86400</f>
        <v>0</v>
      </c>
      <c r="I851" t="s">
        <v>99</v>
      </c>
      <c r="J851" t="s">
        <v>150</v>
      </c>
      <c r="K851" s="5">
        <f>51 / 86400</f>
        <v>5.9027777777777778E-4</v>
      </c>
      <c r="L851" s="5">
        <f>886 / 86400</f>
        <v>1.0254629629629629E-2</v>
      </c>
    </row>
    <row r="852" spans="1:12" x14ac:dyDescent="0.25">
      <c r="A852" s="3">
        <v>45712.680462962962</v>
      </c>
      <c r="B852" t="s">
        <v>68</v>
      </c>
      <c r="C852" s="3">
        <v>45712.681203703702</v>
      </c>
      <c r="D852" t="s">
        <v>68</v>
      </c>
      <c r="E852" s="4">
        <v>3.2000000000000001E-2</v>
      </c>
      <c r="F852" s="4">
        <v>436773.58899999998</v>
      </c>
      <c r="G852" s="4">
        <v>436773.62099999998</v>
      </c>
      <c r="H852" s="5">
        <f>0 / 86400</f>
        <v>0</v>
      </c>
      <c r="I852" t="s">
        <v>92</v>
      </c>
      <c r="J852" t="s">
        <v>150</v>
      </c>
      <c r="K852" s="5">
        <f>64 / 86400</f>
        <v>7.407407407407407E-4</v>
      </c>
      <c r="L852" s="5">
        <f>581 / 86400</f>
        <v>6.7245370370370367E-3</v>
      </c>
    </row>
    <row r="853" spans="1:12" x14ac:dyDescent="0.25">
      <c r="A853" s="3">
        <v>45712.687928240739</v>
      </c>
      <c r="B853" t="s">
        <v>68</v>
      </c>
      <c r="C853" s="3">
        <v>45712.688912037032</v>
      </c>
      <c r="D853" t="s">
        <v>68</v>
      </c>
      <c r="E853" s="4">
        <v>0.18</v>
      </c>
      <c r="F853" s="4">
        <v>436773.62099999998</v>
      </c>
      <c r="G853" s="4">
        <v>436773.80099999998</v>
      </c>
      <c r="H853" s="5">
        <f>0 / 86400</f>
        <v>0</v>
      </c>
      <c r="I853" t="s">
        <v>48</v>
      </c>
      <c r="J853" t="s">
        <v>92</v>
      </c>
      <c r="K853" s="5">
        <f>84 / 86400</f>
        <v>9.7222222222222219E-4</v>
      </c>
      <c r="L853" s="5">
        <f>1568 / 86400</f>
        <v>1.8148148148148149E-2</v>
      </c>
    </row>
    <row r="854" spans="1:12" x14ac:dyDescent="0.25">
      <c r="A854" s="3">
        <v>45712.707060185188</v>
      </c>
      <c r="B854" t="s">
        <v>68</v>
      </c>
      <c r="C854" s="3">
        <v>45712.912974537037</v>
      </c>
      <c r="D854" t="s">
        <v>149</v>
      </c>
      <c r="E854" s="4">
        <v>80.296999999999997</v>
      </c>
      <c r="F854" s="4">
        <v>436773.80099999998</v>
      </c>
      <c r="G854" s="4">
        <v>436854.098</v>
      </c>
      <c r="H854" s="5">
        <f>5618 / 86400</f>
        <v>6.5023148148148149E-2</v>
      </c>
      <c r="I854" t="s">
        <v>53</v>
      </c>
      <c r="J854" t="s">
        <v>34</v>
      </c>
      <c r="K854" s="5">
        <f>17790 / 86400</f>
        <v>0.20590277777777777</v>
      </c>
      <c r="L854" s="5">
        <f>1297 / 86400</f>
        <v>1.5011574074074075E-2</v>
      </c>
    </row>
    <row r="855" spans="1:12" x14ac:dyDescent="0.25">
      <c r="A855" s="3">
        <v>45712.927986111114</v>
      </c>
      <c r="B855" t="s">
        <v>149</v>
      </c>
      <c r="C855" s="3">
        <v>45712.92895833333</v>
      </c>
      <c r="D855" t="s">
        <v>114</v>
      </c>
      <c r="E855" s="4">
        <v>5.7000000000000002E-2</v>
      </c>
      <c r="F855" s="4">
        <v>436854.098</v>
      </c>
      <c r="G855" s="4">
        <v>436854.15500000003</v>
      </c>
      <c r="H855" s="5">
        <f>60 / 86400</f>
        <v>6.9444444444444447E-4</v>
      </c>
      <c r="I855" t="s">
        <v>71</v>
      </c>
      <c r="J855" t="s">
        <v>150</v>
      </c>
      <c r="K855" s="5">
        <f>83 / 86400</f>
        <v>9.6064814814814819E-4</v>
      </c>
      <c r="L855" s="5">
        <f>416 / 86400</f>
        <v>4.8148148148148152E-3</v>
      </c>
    </row>
    <row r="856" spans="1:12" x14ac:dyDescent="0.25">
      <c r="A856" s="3">
        <v>45712.93377314815</v>
      </c>
      <c r="B856" t="s">
        <v>114</v>
      </c>
      <c r="C856" s="3">
        <v>45712.935914351852</v>
      </c>
      <c r="D856" t="s">
        <v>68</v>
      </c>
      <c r="E856" s="4">
        <v>0.27900000000000003</v>
      </c>
      <c r="F856" s="4">
        <v>436854.15500000003</v>
      </c>
      <c r="G856" s="4">
        <v>436854.43400000001</v>
      </c>
      <c r="H856" s="5">
        <f>20 / 86400</f>
        <v>2.3148148148148149E-4</v>
      </c>
      <c r="I856" t="s">
        <v>71</v>
      </c>
      <c r="J856" t="s">
        <v>57</v>
      </c>
      <c r="K856" s="5">
        <f>185 / 86400</f>
        <v>2.1412037037037038E-3</v>
      </c>
      <c r="L856" s="5">
        <f>248 / 86400</f>
        <v>2.8703703703703703E-3</v>
      </c>
    </row>
    <row r="857" spans="1:12" x14ac:dyDescent="0.25">
      <c r="A857" s="3">
        <v>45712.938784722224</v>
      </c>
      <c r="B857" t="s">
        <v>68</v>
      </c>
      <c r="C857" s="3">
        <v>45712.943344907406</v>
      </c>
      <c r="D857" t="s">
        <v>68</v>
      </c>
      <c r="E857" s="4">
        <v>0</v>
      </c>
      <c r="F857" s="4">
        <v>436854.43400000001</v>
      </c>
      <c r="G857" s="4">
        <v>436854.43400000001</v>
      </c>
      <c r="H857" s="5">
        <f>375 / 86400</f>
        <v>4.340277777777778E-3</v>
      </c>
      <c r="I857" t="s">
        <v>24</v>
      </c>
      <c r="J857" t="s">
        <v>24</v>
      </c>
      <c r="K857" s="5">
        <f>394 / 86400</f>
        <v>4.5601851851851853E-3</v>
      </c>
      <c r="L857" s="5">
        <f>4894 / 86400</f>
        <v>5.6643518518518517E-2</v>
      </c>
    </row>
    <row r="858" spans="1:12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</row>
    <row r="859" spans="1:12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</row>
    <row r="860" spans="1:12" s="10" customFormat="1" ht="20.100000000000001" customHeight="1" x14ac:dyDescent="0.35">
      <c r="A860" s="15" t="s">
        <v>473</v>
      </c>
      <c r="B860" s="15"/>
      <c r="C860" s="15"/>
      <c r="D860" s="15"/>
      <c r="E860" s="15"/>
      <c r="F860" s="15"/>
      <c r="G860" s="15"/>
      <c r="H860" s="15"/>
      <c r="I860" s="15"/>
      <c r="J860" s="15"/>
    </row>
    <row r="861" spans="1:12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</row>
    <row r="862" spans="1:12" ht="30" x14ac:dyDescent="0.25">
      <c r="A862" s="2" t="s">
        <v>6</v>
      </c>
      <c r="B862" s="2" t="s">
        <v>7</v>
      </c>
      <c r="C862" s="2" t="s">
        <v>8</v>
      </c>
      <c r="D862" s="2" t="s">
        <v>9</v>
      </c>
      <c r="E862" s="2" t="s">
        <v>10</v>
      </c>
      <c r="F862" s="2" t="s">
        <v>11</v>
      </c>
      <c r="G862" s="2" t="s">
        <v>12</v>
      </c>
      <c r="H862" s="2" t="s">
        <v>13</v>
      </c>
      <c r="I862" s="2" t="s">
        <v>14</v>
      </c>
      <c r="J862" s="2" t="s">
        <v>15</v>
      </c>
      <c r="K862" s="2" t="s">
        <v>16</v>
      </c>
      <c r="L862" s="2" t="s">
        <v>17</v>
      </c>
    </row>
    <row r="863" spans="1:12" x14ac:dyDescent="0.25">
      <c r="A863" s="3">
        <v>45712.237858796296</v>
      </c>
      <c r="B863" t="s">
        <v>81</v>
      </c>
      <c r="C863" s="3">
        <v>45712.292199074072</v>
      </c>
      <c r="D863" t="s">
        <v>130</v>
      </c>
      <c r="E863" s="4">
        <v>34.744999999999997</v>
      </c>
      <c r="F863" s="4">
        <v>517660.63400000002</v>
      </c>
      <c r="G863" s="4">
        <v>517695.37900000002</v>
      </c>
      <c r="H863" s="5">
        <f>510 / 86400</f>
        <v>5.9027777777777776E-3</v>
      </c>
      <c r="I863" t="s">
        <v>54</v>
      </c>
      <c r="J863" t="s">
        <v>152</v>
      </c>
      <c r="K863" s="5">
        <f>4695 / 86400</f>
        <v>5.4340277777777779E-2</v>
      </c>
      <c r="L863" s="5">
        <f>20562 / 86400</f>
        <v>0.23798611111111112</v>
      </c>
    </row>
    <row r="864" spans="1:12" x14ac:dyDescent="0.25">
      <c r="A864" s="3">
        <v>45712.292326388888</v>
      </c>
      <c r="B864" t="s">
        <v>18</v>
      </c>
      <c r="C864" s="3">
        <v>45712.472731481481</v>
      </c>
      <c r="D864" t="s">
        <v>114</v>
      </c>
      <c r="E864" s="4">
        <v>68.022999999999996</v>
      </c>
      <c r="F864" s="4">
        <v>517695.37900000002</v>
      </c>
      <c r="G864" s="4">
        <v>517763.402</v>
      </c>
      <c r="H864" s="5">
        <f>5059 / 86400</f>
        <v>5.8553240740740739E-2</v>
      </c>
      <c r="I864" t="s">
        <v>271</v>
      </c>
      <c r="J864" t="s">
        <v>34</v>
      </c>
      <c r="K864" s="5">
        <f>15587 / 86400</f>
        <v>0.1804050925925926</v>
      </c>
      <c r="L864" s="5">
        <f>252 / 86400</f>
        <v>2.9166666666666668E-3</v>
      </c>
    </row>
    <row r="865" spans="1:12" x14ac:dyDescent="0.25">
      <c r="A865" s="3">
        <v>45712.475648148145</v>
      </c>
      <c r="B865" t="s">
        <v>114</v>
      </c>
      <c r="C865" s="3">
        <v>45712.477581018524</v>
      </c>
      <c r="D865" t="s">
        <v>374</v>
      </c>
      <c r="E865" s="4">
        <v>0.436</v>
      </c>
      <c r="F865" s="4">
        <v>517763.402</v>
      </c>
      <c r="G865" s="4">
        <v>517763.83799999999</v>
      </c>
      <c r="H865" s="5">
        <f>0 / 86400</f>
        <v>0</v>
      </c>
      <c r="I865" t="s">
        <v>36</v>
      </c>
      <c r="J865" t="s">
        <v>135</v>
      </c>
      <c r="K865" s="5">
        <f>167 / 86400</f>
        <v>1.9328703703703704E-3</v>
      </c>
      <c r="L865" s="5">
        <f>110 / 86400</f>
        <v>1.2731481481481483E-3</v>
      </c>
    </row>
    <row r="866" spans="1:12" x14ac:dyDescent="0.25">
      <c r="A866" s="3">
        <v>45712.478854166664</v>
      </c>
      <c r="B866" t="s">
        <v>374</v>
      </c>
      <c r="C866" s="3">
        <v>45712.527395833335</v>
      </c>
      <c r="D866" t="s">
        <v>21</v>
      </c>
      <c r="E866" s="4">
        <v>0.67500000000000004</v>
      </c>
      <c r="F866" s="4">
        <v>517763.83799999999</v>
      </c>
      <c r="G866" s="4">
        <v>517764.51299999998</v>
      </c>
      <c r="H866" s="5">
        <f>3930 / 86400</f>
        <v>4.5486111111111109E-2</v>
      </c>
      <c r="I866" t="s">
        <v>36</v>
      </c>
      <c r="J866" t="s">
        <v>143</v>
      </c>
      <c r="K866" s="5">
        <f>4194 / 86400</f>
        <v>4.8541666666666664E-2</v>
      </c>
      <c r="L866" s="5">
        <f>270 / 86400</f>
        <v>3.1250000000000002E-3</v>
      </c>
    </row>
    <row r="867" spans="1:12" x14ac:dyDescent="0.25">
      <c r="A867" s="3">
        <v>45712.53052083333</v>
      </c>
      <c r="B867" t="s">
        <v>21</v>
      </c>
      <c r="C867" s="3">
        <v>45712.797523148147</v>
      </c>
      <c r="D867" t="s">
        <v>68</v>
      </c>
      <c r="E867" s="4">
        <v>100.46299999999999</v>
      </c>
      <c r="F867" s="4">
        <v>517764.51299999998</v>
      </c>
      <c r="G867" s="4">
        <v>517864.97600000002</v>
      </c>
      <c r="H867" s="5">
        <f>7381 / 86400</f>
        <v>8.5428240740740735E-2</v>
      </c>
      <c r="I867" t="s">
        <v>35</v>
      </c>
      <c r="J867" t="s">
        <v>34</v>
      </c>
      <c r="K867" s="5">
        <f>23069 / 86400</f>
        <v>0.26700231481481479</v>
      </c>
      <c r="L867" s="5">
        <f>1036 / 86400</f>
        <v>1.1990740740740741E-2</v>
      </c>
    </row>
    <row r="868" spans="1:12" x14ac:dyDescent="0.25">
      <c r="A868" s="3">
        <v>45712.809513888889</v>
      </c>
      <c r="B868" t="s">
        <v>68</v>
      </c>
      <c r="C868" s="3">
        <v>45712.813634259262</v>
      </c>
      <c r="D868" t="s">
        <v>81</v>
      </c>
      <c r="E868" s="4">
        <v>0.91500000000000004</v>
      </c>
      <c r="F868" s="4">
        <v>517864.97600000002</v>
      </c>
      <c r="G868" s="4">
        <v>517865.891</v>
      </c>
      <c r="H868" s="5">
        <f>181 / 86400</f>
        <v>2.0949074074074073E-3</v>
      </c>
      <c r="I868" t="s">
        <v>198</v>
      </c>
      <c r="J868" t="s">
        <v>135</v>
      </c>
      <c r="K868" s="5">
        <f>356 / 86400</f>
        <v>4.1203703703703706E-3</v>
      </c>
      <c r="L868" s="5">
        <f>16101 / 86400</f>
        <v>0.18635416666666665</v>
      </c>
    </row>
    <row r="869" spans="1:12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</row>
    <row r="870" spans="1:12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</row>
    <row r="871" spans="1:12" s="10" customFormat="1" ht="20.100000000000001" customHeight="1" x14ac:dyDescent="0.35">
      <c r="A871" s="15" t="s">
        <v>474</v>
      </c>
      <c r="B871" s="15"/>
      <c r="C871" s="15"/>
      <c r="D871" s="15"/>
      <c r="E871" s="15"/>
      <c r="F871" s="15"/>
      <c r="G871" s="15"/>
      <c r="H871" s="15"/>
      <c r="I871" s="15"/>
      <c r="J871" s="15"/>
    </row>
    <row r="872" spans="1:12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</row>
    <row r="873" spans="1:12" ht="30" x14ac:dyDescent="0.25">
      <c r="A873" s="2" t="s">
        <v>6</v>
      </c>
      <c r="B873" s="2" t="s">
        <v>7</v>
      </c>
      <c r="C873" s="2" t="s">
        <v>8</v>
      </c>
      <c r="D873" s="2" t="s">
        <v>9</v>
      </c>
      <c r="E873" s="2" t="s">
        <v>10</v>
      </c>
      <c r="F873" s="2" t="s">
        <v>11</v>
      </c>
      <c r="G873" s="2" t="s">
        <v>12</v>
      </c>
      <c r="H873" s="2" t="s">
        <v>13</v>
      </c>
      <c r="I873" s="2" t="s">
        <v>14</v>
      </c>
      <c r="J873" s="2" t="s">
        <v>15</v>
      </c>
      <c r="K873" s="2" t="s">
        <v>16</v>
      </c>
      <c r="L873" s="2" t="s">
        <v>17</v>
      </c>
    </row>
    <row r="874" spans="1:12" x14ac:dyDescent="0.25">
      <c r="A874" s="3">
        <v>45712.220879629633</v>
      </c>
      <c r="B874" t="s">
        <v>82</v>
      </c>
      <c r="C874" s="3">
        <v>45712.812037037038</v>
      </c>
      <c r="D874" t="s">
        <v>82</v>
      </c>
      <c r="E874" s="4">
        <v>205.376</v>
      </c>
      <c r="F874" s="4">
        <v>506887.413</v>
      </c>
      <c r="G874" s="4">
        <v>507092.78899999999</v>
      </c>
      <c r="H874" s="5">
        <f>21688 / 86400</f>
        <v>0.25101851851851853</v>
      </c>
      <c r="I874" t="s">
        <v>70</v>
      </c>
      <c r="J874" t="s">
        <v>48</v>
      </c>
      <c r="K874" s="5">
        <f>51076 / 86400</f>
        <v>0.59115740740740741</v>
      </c>
      <c r="L874" s="5">
        <f>35323 / 86400</f>
        <v>0.4088310185185185</v>
      </c>
    </row>
    <row r="875" spans="1:12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</row>
    <row r="876" spans="1:12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</row>
    <row r="877" spans="1:12" s="10" customFormat="1" ht="20.100000000000001" customHeight="1" x14ac:dyDescent="0.35">
      <c r="A877" s="15" t="s">
        <v>475</v>
      </c>
      <c r="B877" s="15"/>
      <c r="C877" s="15"/>
      <c r="D877" s="15"/>
      <c r="E877" s="15"/>
      <c r="F877" s="15"/>
      <c r="G877" s="15"/>
      <c r="H877" s="15"/>
      <c r="I877" s="15"/>
      <c r="J877" s="15"/>
    </row>
    <row r="878" spans="1:12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</row>
    <row r="879" spans="1:12" ht="30" x14ac:dyDescent="0.25">
      <c r="A879" s="2" t="s">
        <v>6</v>
      </c>
      <c r="B879" s="2" t="s">
        <v>7</v>
      </c>
      <c r="C879" s="2" t="s">
        <v>8</v>
      </c>
      <c r="D879" s="2" t="s">
        <v>9</v>
      </c>
      <c r="E879" s="2" t="s">
        <v>10</v>
      </c>
      <c r="F879" s="2" t="s">
        <v>11</v>
      </c>
      <c r="G879" s="2" t="s">
        <v>12</v>
      </c>
      <c r="H879" s="2" t="s">
        <v>13</v>
      </c>
      <c r="I879" s="2" t="s">
        <v>14</v>
      </c>
      <c r="J879" s="2" t="s">
        <v>15</v>
      </c>
      <c r="K879" s="2" t="s">
        <v>16</v>
      </c>
      <c r="L879" s="2" t="s">
        <v>17</v>
      </c>
    </row>
    <row r="880" spans="1:12" x14ac:dyDescent="0.25">
      <c r="A880" s="3">
        <v>45712.262372685189</v>
      </c>
      <c r="B880" t="s">
        <v>83</v>
      </c>
      <c r="C880" s="3">
        <v>45712.267037037032</v>
      </c>
      <c r="D880" t="s">
        <v>285</v>
      </c>
      <c r="E880" s="4">
        <v>0.95599999999999996</v>
      </c>
      <c r="F880" s="4">
        <v>353795.02</v>
      </c>
      <c r="G880" s="4">
        <v>353795.97600000002</v>
      </c>
      <c r="H880" s="5">
        <f>180 / 86400</f>
        <v>2.0833333333333333E-3</v>
      </c>
      <c r="I880" t="s">
        <v>290</v>
      </c>
      <c r="J880" t="s">
        <v>135</v>
      </c>
      <c r="K880" s="5">
        <f>403 / 86400</f>
        <v>4.6643518518518518E-3</v>
      </c>
      <c r="L880" s="5">
        <f>22681 / 86400</f>
        <v>0.26251157407407405</v>
      </c>
    </row>
    <row r="881" spans="1:12" x14ac:dyDescent="0.25">
      <c r="A881" s="3">
        <v>45712.267175925925</v>
      </c>
      <c r="B881" t="s">
        <v>285</v>
      </c>
      <c r="C881" s="3">
        <v>45712.273125</v>
      </c>
      <c r="D881" t="s">
        <v>149</v>
      </c>
      <c r="E881" s="4">
        <v>3.9710000000000001</v>
      </c>
      <c r="F881" s="4">
        <v>353795.97600000002</v>
      </c>
      <c r="G881" s="4">
        <v>353799.94699999999</v>
      </c>
      <c r="H881" s="5">
        <f>0 / 86400</f>
        <v>0</v>
      </c>
      <c r="I881" t="s">
        <v>50</v>
      </c>
      <c r="J881" t="s">
        <v>198</v>
      </c>
      <c r="K881" s="5">
        <f>514 / 86400</f>
        <v>5.9490740740740745E-3</v>
      </c>
      <c r="L881" s="5">
        <f>182 / 86400</f>
        <v>2.1064814814814813E-3</v>
      </c>
    </row>
    <row r="882" spans="1:12" x14ac:dyDescent="0.25">
      <c r="A882" s="3">
        <v>45712.275231481486</v>
      </c>
      <c r="B882" t="s">
        <v>149</v>
      </c>
      <c r="C882" s="3">
        <v>45712.275740740741</v>
      </c>
      <c r="D882" t="s">
        <v>138</v>
      </c>
      <c r="E882" s="4">
        <v>0.224</v>
      </c>
      <c r="F882" s="4">
        <v>353799.94699999999</v>
      </c>
      <c r="G882" s="4">
        <v>353800.17099999997</v>
      </c>
      <c r="H882" s="5">
        <f>0 / 86400</f>
        <v>0</v>
      </c>
      <c r="I882" t="s">
        <v>198</v>
      </c>
      <c r="J882" t="s">
        <v>20</v>
      </c>
      <c r="K882" s="5">
        <f>44 / 86400</f>
        <v>5.0925925925925921E-4</v>
      </c>
      <c r="L882" s="5">
        <f>11 / 86400</f>
        <v>1.273148148148148E-4</v>
      </c>
    </row>
    <row r="883" spans="1:12" x14ac:dyDescent="0.25">
      <c r="A883" s="3">
        <v>45712.275868055556</v>
      </c>
      <c r="B883" t="s">
        <v>138</v>
      </c>
      <c r="C883" s="3">
        <v>45712.390393518523</v>
      </c>
      <c r="D883" t="s">
        <v>324</v>
      </c>
      <c r="E883" s="4">
        <v>50.78</v>
      </c>
      <c r="F883" s="4">
        <v>353800.17099999997</v>
      </c>
      <c r="G883" s="4">
        <v>353850.951</v>
      </c>
      <c r="H883" s="5">
        <f>3279 / 86400</f>
        <v>3.7951388888888889E-2</v>
      </c>
      <c r="I883" t="s">
        <v>29</v>
      </c>
      <c r="J883" t="s">
        <v>20</v>
      </c>
      <c r="K883" s="5">
        <f>9895 / 86400</f>
        <v>0.11452546296296297</v>
      </c>
      <c r="L883" s="5">
        <f>634 / 86400</f>
        <v>7.3379629629629628E-3</v>
      </c>
    </row>
    <row r="884" spans="1:12" x14ac:dyDescent="0.25">
      <c r="A884" s="3">
        <v>45712.397731481484</v>
      </c>
      <c r="B884" t="s">
        <v>324</v>
      </c>
      <c r="C884" s="3">
        <v>45712.53869212963</v>
      </c>
      <c r="D884" t="s">
        <v>68</v>
      </c>
      <c r="E884" s="4">
        <v>50.518000000000001</v>
      </c>
      <c r="F884" s="4">
        <v>353850.951</v>
      </c>
      <c r="G884" s="4">
        <v>353901.46899999998</v>
      </c>
      <c r="H884" s="5">
        <f>4681 / 86400</f>
        <v>5.4178240740740742E-2</v>
      </c>
      <c r="I884" t="s">
        <v>75</v>
      </c>
      <c r="J884" t="s">
        <v>59</v>
      </c>
      <c r="K884" s="5">
        <f>12179 / 86400</f>
        <v>0.14096064814814815</v>
      </c>
      <c r="L884" s="5">
        <f>269 / 86400</f>
        <v>3.1134259259259257E-3</v>
      </c>
    </row>
    <row r="885" spans="1:12" x14ac:dyDescent="0.25">
      <c r="A885" s="3">
        <v>45712.541805555556</v>
      </c>
      <c r="B885" t="s">
        <v>68</v>
      </c>
      <c r="C885" s="3">
        <v>45712.542349537034</v>
      </c>
      <c r="D885" t="s">
        <v>68</v>
      </c>
      <c r="E885" s="4">
        <v>8.9999999999999993E-3</v>
      </c>
      <c r="F885" s="4">
        <v>353901.46899999998</v>
      </c>
      <c r="G885" s="4">
        <v>353901.478</v>
      </c>
      <c r="H885" s="5">
        <f>19 / 86400</f>
        <v>2.199074074074074E-4</v>
      </c>
      <c r="I885" t="s">
        <v>150</v>
      </c>
      <c r="J885" t="s">
        <v>143</v>
      </c>
      <c r="K885" s="5">
        <f>46 / 86400</f>
        <v>5.3240740740740744E-4</v>
      </c>
      <c r="L885" s="5">
        <f>380 / 86400</f>
        <v>4.3981481481481484E-3</v>
      </c>
    </row>
    <row r="886" spans="1:12" x14ac:dyDescent="0.25">
      <c r="A886" s="3">
        <v>45712.546747685185</v>
      </c>
      <c r="B886" t="s">
        <v>68</v>
      </c>
      <c r="C886" s="3">
        <v>45712.547291666662</v>
      </c>
      <c r="D886" t="s">
        <v>149</v>
      </c>
      <c r="E886" s="4">
        <v>3.4000000000000002E-2</v>
      </c>
      <c r="F886" s="4">
        <v>353901.478</v>
      </c>
      <c r="G886" s="4">
        <v>353901.51199999999</v>
      </c>
      <c r="H886" s="5">
        <f>0 / 86400</f>
        <v>0</v>
      </c>
      <c r="I886" t="s">
        <v>32</v>
      </c>
      <c r="J886" t="s">
        <v>95</v>
      </c>
      <c r="K886" s="5">
        <f>47 / 86400</f>
        <v>5.4398148148148144E-4</v>
      </c>
      <c r="L886" s="5">
        <f>2065 / 86400</f>
        <v>2.3900462962962964E-2</v>
      </c>
    </row>
    <row r="887" spans="1:12" x14ac:dyDescent="0.25">
      <c r="A887" s="3">
        <v>45712.571192129632</v>
      </c>
      <c r="B887" t="s">
        <v>149</v>
      </c>
      <c r="C887" s="3">
        <v>45712.572245370371</v>
      </c>
      <c r="D887" t="s">
        <v>68</v>
      </c>
      <c r="E887" s="4">
        <v>9.4E-2</v>
      </c>
      <c r="F887" s="4">
        <v>353901.51199999999</v>
      </c>
      <c r="G887" s="4">
        <v>353901.60600000003</v>
      </c>
      <c r="H887" s="5">
        <f>39 / 86400</f>
        <v>4.5138888888888887E-4</v>
      </c>
      <c r="I887" t="s">
        <v>57</v>
      </c>
      <c r="J887" t="s">
        <v>129</v>
      </c>
      <c r="K887" s="5">
        <f>91 / 86400</f>
        <v>1.0532407407407407E-3</v>
      </c>
      <c r="L887" s="5">
        <f>556 / 86400</f>
        <v>6.4351851851851853E-3</v>
      </c>
    </row>
    <row r="888" spans="1:12" x14ac:dyDescent="0.25">
      <c r="A888" s="3">
        <v>45712.578680555554</v>
      </c>
      <c r="B888" t="s">
        <v>68</v>
      </c>
      <c r="C888" s="3">
        <v>45712.581296296295</v>
      </c>
      <c r="D888" t="s">
        <v>102</v>
      </c>
      <c r="E888" s="4">
        <v>0.65700000000000003</v>
      </c>
      <c r="F888" s="4">
        <v>353901.60600000003</v>
      </c>
      <c r="G888" s="4">
        <v>353902.26299999998</v>
      </c>
      <c r="H888" s="5">
        <f>39 / 86400</f>
        <v>4.5138888888888887E-4</v>
      </c>
      <c r="I888" t="s">
        <v>290</v>
      </c>
      <c r="J888" t="s">
        <v>51</v>
      </c>
      <c r="K888" s="5">
        <f>226 / 86400</f>
        <v>2.6157407407407405E-3</v>
      </c>
      <c r="L888" s="5">
        <f>307 / 86400</f>
        <v>3.5532407407407409E-3</v>
      </c>
    </row>
    <row r="889" spans="1:12" x14ac:dyDescent="0.25">
      <c r="A889" s="3">
        <v>45712.584849537037</v>
      </c>
      <c r="B889" t="s">
        <v>102</v>
      </c>
      <c r="C889" s="3">
        <v>45712.589398148149</v>
      </c>
      <c r="D889" t="s">
        <v>102</v>
      </c>
      <c r="E889" s="4">
        <v>0.18099999999999999</v>
      </c>
      <c r="F889" s="4">
        <v>353902.26299999998</v>
      </c>
      <c r="G889" s="4">
        <v>353902.44400000002</v>
      </c>
      <c r="H889" s="5">
        <f>219 / 86400</f>
        <v>2.5347222222222221E-3</v>
      </c>
      <c r="I889" t="s">
        <v>51</v>
      </c>
      <c r="J889" t="s">
        <v>150</v>
      </c>
      <c r="K889" s="5">
        <f>393 / 86400</f>
        <v>4.5486111111111109E-3</v>
      </c>
      <c r="L889" s="5">
        <f>1531 / 86400</f>
        <v>1.7719907407407406E-2</v>
      </c>
    </row>
    <row r="890" spans="1:12" x14ac:dyDescent="0.25">
      <c r="A890" s="3">
        <v>45712.607118055559</v>
      </c>
      <c r="B890" t="s">
        <v>102</v>
      </c>
      <c r="C890" s="3">
        <v>45712.607395833329</v>
      </c>
      <c r="D890" t="s">
        <v>102</v>
      </c>
      <c r="E890" s="4">
        <v>8.0000000000000002E-3</v>
      </c>
      <c r="F890" s="4">
        <v>353902.44400000002</v>
      </c>
      <c r="G890" s="4">
        <v>353902.45199999999</v>
      </c>
      <c r="H890" s="5">
        <f>0 / 86400</f>
        <v>0</v>
      </c>
      <c r="I890" t="s">
        <v>95</v>
      </c>
      <c r="J890" t="s">
        <v>143</v>
      </c>
      <c r="K890" s="5">
        <f>24 / 86400</f>
        <v>2.7777777777777778E-4</v>
      </c>
      <c r="L890" s="5">
        <f>3390 / 86400</f>
        <v>3.923611111111111E-2</v>
      </c>
    </row>
    <row r="891" spans="1:12" x14ac:dyDescent="0.25">
      <c r="A891" s="3">
        <v>45712.646631944444</v>
      </c>
      <c r="B891" t="s">
        <v>102</v>
      </c>
      <c r="C891" s="3">
        <v>45712.649363425924</v>
      </c>
      <c r="D891" t="s">
        <v>105</v>
      </c>
      <c r="E891" s="4">
        <v>0.46200000000000002</v>
      </c>
      <c r="F891" s="4">
        <v>353902.45199999999</v>
      </c>
      <c r="G891" s="4">
        <v>353902.91399999999</v>
      </c>
      <c r="H891" s="5">
        <f>99 / 86400</f>
        <v>1.1458333333333333E-3</v>
      </c>
      <c r="I891" t="s">
        <v>182</v>
      </c>
      <c r="J891" t="s">
        <v>99</v>
      </c>
      <c r="K891" s="5">
        <f>236 / 86400</f>
        <v>2.7314814814814814E-3</v>
      </c>
      <c r="L891" s="5">
        <f>1094 / 86400</f>
        <v>1.2662037037037038E-2</v>
      </c>
    </row>
    <row r="892" spans="1:12" x14ac:dyDescent="0.25">
      <c r="A892" s="3">
        <v>45712.662025462967</v>
      </c>
      <c r="B892" t="s">
        <v>105</v>
      </c>
      <c r="C892" s="3">
        <v>45712.72378472222</v>
      </c>
      <c r="D892" t="s">
        <v>84</v>
      </c>
      <c r="E892" s="4">
        <v>29.189</v>
      </c>
      <c r="F892" s="4">
        <v>353902.91399999999</v>
      </c>
      <c r="G892" s="4">
        <v>353932.103</v>
      </c>
      <c r="H892" s="5">
        <f>1719 / 86400</f>
        <v>1.9895833333333335E-2</v>
      </c>
      <c r="I892" t="s">
        <v>70</v>
      </c>
      <c r="J892" t="s">
        <v>112</v>
      </c>
      <c r="K892" s="5">
        <f>5336 / 86400</f>
        <v>6.1759259259259257E-2</v>
      </c>
      <c r="L892" s="5">
        <f>23864 / 86400</f>
        <v>0.27620370370370373</v>
      </c>
    </row>
    <row r="893" spans="1:12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</row>
    <row r="894" spans="1:12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</row>
    <row r="895" spans="1:12" s="10" customFormat="1" ht="20.100000000000001" customHeight="1" x14ac:dyDescent="0.35">
      <c r="A895" s="15" t="s">
        <v>476</v>
      </c>
      <c r="B895" s="15"/>
      <c r="C895" s="15"/>
      <c r="D895" s="15"/>
      <c r="E895" s="15"/>
      <c r="F895" s="15"/>
      <c r="G895" s="15"/>
      <c r="H895" s="15"/>
      <c r="I895" s="15"/>
      <c r="J895" s="15"/>
    </row>
    <row r="896" spans="1:12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</row>
    <row r="897" spans="1:12" ht="30" x14ac:dyDescent="0.25">
      <c r="A897" s="2" t="s">
        <v>6</v>
      </c>
      <c r="B897" s="2" t="s">
        <v>7</v>
      </c>
      <c r="C897" s="2" t="s">
        <v>8</v>
      </c>
      <c r="D897" s="2" t="s">
        <v>9</v>
      </c>
      <c r="E897" s="2" t="s">
        <v>10</v>
      </c>
      <c r="F897" s="2" t="s">
        <v>11</v>
      </c>
      <c r="G897" s="2" t="s">
        <v>12</v>
      </c>
      <c r="H897" s="2" t="s">
        <v>13</v>
      </c>
      <c r="I897" s="2" t="s">
        <v>14</v>
      </c>
      <c r="J897" s="2" t="s">
        <v>15</v>
      </c>
      <c r="K897" s="2" t="s">
        <v>16</v>
      </c>
      <c r="L897" s="2" t="s">
        <v>17</v>
      </c>
    </row>
    <row r="898" spans="1:12" x14ac:dyDescent="0.25">
      <c r="A898" s="3">
        <v>45712.212743055556</v>
      </c>
      <c r="B898" t="s">
        <v>85</v>
      </c>
      <c r="C898" s="3">
        <v>45712.213043981479</v>
      </c>
      <c r="D898" t="s">
        <v>85</v>
      </c>
      <c r="E898" s="4">
        <v>0</v>
      </c>
      <c r="F898" s="4">
        <v>412503.74699999997</v>
      </c>
      <c r="G898" s="4">
        <v>412503.74699999997</v>
      </c>
      <c r="H898" s="5">
        <f>20 / 86400</f>
        <v>2.3148148148148149E-4</v>
      </c>
      <c r="I898" t="s">
        <v>24</v>
      </c>
      <c r="J898" t="s">
        <v>24</v>
      </c>
      <c r="K898" s="5">
        <f>26 / 86400</f>
        <v>3.0092592592592595E-4</v>
      </c>
      <c r="L898" s="5">
        <f>18419 / 86400</f>
        <v>0.21318287037037037</v>
      </c>
    </row>
    <row r="899" spans="1:12" x14ac:dyDescent="0.25">
      <c r="A899" s="3">
        <v>45712.213483796295</v>
      </c>
      <c r="B899" t="s">
        <v>85</v>
      </c>
      <c r="C899" s="3">
        <v>45712.226469907408</v>
      </c>
      <c r="D899" t="s">
        <v>279</v>
      </c>
      <c r="E899" s="4">
        <v>9.5280000000000005</v>
      </c>
      <c r="F899" s="4">
        <v>412503.74699999997</v>
      </c>
      <c r="G899" s="4">
        <v>412513.27500000002</v>
      </c>
      <c r="H899" s="5">
        <f>99 / 86400</f>
        <v>1.1458333333333333E-3</v>
      </c>
      <c r="I899" t="s">
        <v>50</v>
      </c>
      <c r="J899" t="s">
        <v>170</v>
      </c>
      <c r="K899" s="5">
        <f>1122 / 86400</f>
        <v>1.2986111111111111E-2</v>
      </c>
      <c r="L899" s="5">
        <f>25 / 86400</f>
        <v>2.8935185185185184E-4</v>
      </c>
    </row>
    <row r="900" spans="1:12" x14ac:dyDescent="0.25">
      <c r="A900" s="3">
        <v>45712.226759259254</v>
      </c>
      <c r="B900" t="s">
        <v>279</v>
      </c>
      <c r="C900" s="3">
        <v>45712.42591435185</v>
      </c>
      <c r="D900" t="s">
        <v>149</v>
      </c>
      <c r="E900" s="4">
        <v>87.162999999999997</v>
      </c>
      <c r="F900" s="4">
        <v>412513.27500000002</v>
      </c>
      <c r="G900" s="4">
        <v>412600.43800000002</v>
      </c>
      <c r="H900" s="5">
        <f>4901 / 86400</f>
        <v>5.6724537037037039E-2</v>
      </c>
      <c r="I900" t="s">
        <v>133</v>
      </c>
      <c r="J900" t="s">
        <v>20</v>
      </c>
      <c r="K900" s="5">
        <f>17206 / 86400</f>
        <v>0.19914351851851853</v>
      </c>
      <c r="L900" s="5">
        <f>452 / 86400</f>
        <v>5.2314814814814811E-3</v>
      </c>
    </row>
    <row r="901" spans="1:12" x14ac:dyDescent="0.25">
      <c r="A901" s="3">
        <v>45712.431145833332</v>
      </c>
      <c r="B901" t="s">
        <v>68</v>
      </c>
      <c r="C901" s="3">
        <v>45712.4371412037</v>
      </c>
      <c r="D901" t="s">
        <v>149</v>
      </c>
      <c r="E901" s="4">
        <v>0.38700000000000001</v>
      </c>
      <c r="F901" s="4">
        <v>412600.43800000002</v>
      </c>
      <c r="G901" s="4">
        <v>412600.82500000001</v>
      </c>
      <c r="H901" s="5">
        <f>380 / 86400</f>
        <v>4.3981481481481484E-3</v>
      </c>
      <c r="I901" t="s">
        <v>30</v>
      </c>
      <c r="J901" t="s">
        <v>95</v>
      </c>
      <c r="K901" s="5">
        <f>518 / 86400</f>
        <v>5.9953703703703705E-3</v>
      </c>
      <c r="L901" s="5">
        <f>1094 / 86400</f>
        <v>1.2662037037037038E-2</v>
      </c>
    </row>
    <row r="902" spans="1:12" x14ac:dyDescent="0.25">
      <c r="A902" s="3">
        <v>45712.449803240743</v>
      </c>
      <c r="B902" t="s">
        <v>149</v>
      </c>
      <c r="C902" s="3">
        <v>45712.453263888892</v>
      </c>
      <c r="D902" t="s">
        <v>21</v>
      </c>
      <c r="E902" s="4">
        <v>1.0449999999999999</v>
      </c>
      <c r="F902" s="4">
        <v>412600.82500000001</v>
      </c>
      <c r="G902" s="4">
        <v>412601.87</v>
      </c>
      <c r="H902" s="5">
        <f>99 / 86400</f>
        <v>1.1458333333333333E-3</v>
      </c>
      <c r="I902" t="s">
        <v>202</v>
      </c>
      <c r="J902" t="s">
        <v>71</v>
      </c>
      <c r="K902" s="5">
        <f>298 / 86400</f>
        <v>3.449074074074074E-3</v>
      </c>
      <c r="L902" s="5">
        <f>2645 / 86400</f>
        <v>3.0613425925925926E-2</v>
      </c>
    </row>
    <row r="903" spans="1:12" x14ac:dyDescent="0.25">
      <c r="A903" s="3">
        <v>45712.483877314815</v>
      </c>
      <c r="B903" t="s">
        <v>21</v>
      </c>
      <c r="C903" s="3">
        <v>45712.484189814815</v>
      </c>
      <c r="D903" t="s">
        <v>21</v>
      </c>
      <c r="E903" s="4">
        <v>0</v>
      </c>
      <c r="F903" s="4">
        <v>412601.87</v>
      </c>
      <c r="G903" s="4">
        <v>412601.87</v>
      </c>
      <c r="H903" s="5">
        <f>19 / 86400</f>
        <v>2.199074074074074E-4</v>
      </c>
      <c r="I903" t="s">
        <v>24</v>
      </c>
      <c r="J903" t="s">
        <v>24</v>
      </c>
      <c r="K903" s="5">
        <f>26 / 86400</f>
        <v>3.0092592592592595E-4</v>
      </c>
      <c r="L903" s="5">
        <f>3 / 86400</f>
        <v>3.4722222222222222E-5</v>
      </c>
    </row>
    <row r="904" spans="1:12" x14ac:dyDescent="0.25">
      <c r="A904" s="3">
        <v>45712.484224537038</v>
      </c>
      <c r="B904" t="s">
        <v>21</v>
      </c>
      <c r="C904" s="3">
        <v>45712.484942129631</v>
      </c>
      <c r="D904" t="s">
        <v>21</v>
      </c>
      <c r="E904" s="4">
        <v>0</v>
      </c>
      <c r="F904" s="4">
        <v>412601.87</v>
      </c>
      <c r="G904" s="4">
        <v>412601.87</v>
      </c>
      <c r="H904" s="5">
        <f>50 / 86400</f>
        <v>5.7870370370370367E-4</v>
      </c>
      <c r="I904" t="s">
        <v>24</v>
      </c>
      <c r="J904" t="s">
        <v>24</v>
      </c>
      <c r="K904" s="5">
        <f>62 / 86400</f>
        <v>7.1759259259259259E-4</v>
      </c>
      <c r="L904" s="5">
        <f>1 / 86400</f>
        <v>1.1574074074074073E-5</v>
      </c>
    </row>
    <row r="905" spans="1:12" x14ac:dyDescent="0.25">
      <c r="A905" s="3">
        <v>45712.484953703708</v>
      </c>
      <c r="B905" t="s">
        <v>21</v>
      </c>
      <c r="C905" s="3">
        <v>45712.746863425928</v>
      </c>
      <c r="D905" t="s">
        <v>85</v>
      </c>
      <c r="E905" s="4">
        <v>113.13800000000001</v>
      </c>
      <c r="F905" s="4">
        <v>412601.87</v>
      </c>
      <c r="G905" s="4">
        <v>412715.00799999997</v>
      </c>
      <c r="H905" s="5">
        <f>7146 / 86400</f>
        <v>8.2708333333333328E-2</v>
      </c>
      <c r="I905" t="s">
        <v>86</v>
      </c>
      <c r="J905" t="s">
        <v>20</v>
      </c>
      <c r="K905" s="5">
        <f>22629 / 86400</f>
        <v>0.2619097222222222</v>
      </c>
      <c r="L905" s="5">
        <f>21870 / 86400</f>
        <v>0.25312499999999999</v>
      </c>
    </row>
    <row r="906" spans="1:12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</row>
    <row r="907" spans="1:12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</row>
    <row r="908" spans="1:12" s="10" customFormat="1" ht="20.100000000000001" customHeight="1" x14ac:dyDescent="0.35">
      <c r="A908" s="15" t="s">
        <v>477</v>
      </c>
      <c r="B908" s="15"/>
      <c r="C908" s="15"/>
      <c r="D908" s="15"/>
      <c r="E908" s="15"/>
      <c r="F908" s="15"/>
      <c r="G908" s="15"/>
      <c r="H908" s="15"/>
      <c r="I908" s="15"/>
      <c r="J908" s="15"/>
    </row>
    <row r="909" spans="1:12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</row>
    <row r="910" spans="1:12" ht="30" x14ac:dyDescent="0.25">
      <c r="A910" s="2" t="s">
        <v>6</v>
      </c>
      <c r="B910" s="2" t="s">
        <v>7</v>
      </c>
      <c r="C910" s="2" t="s">
        <v>8</v>
      </c>
      <c r="D910" s="2" t="s">
        <v>9</v>
      </c>
      <c r="E910" s="2" t="s">
        <v>10</v>
      </c>
      <c r="F910" s="2" t="s">
        <v>11</v>
      </c>
      <c r="G910" s="2" t="s">
        <v>12</v>
      </c>
      <c r="H910" s="2" t="s">
        <v>13</v>
      </c>
      <c r="I910" s="2" t="s">
        <v>14</v>
      </c>
      <c r="J910" s="2" t="s">
        <v>15</v>
      </c>
      <c r="K910" s="2" t="s">
        <v>16</v>
      </c>
      <c r="L910" s="2" t="s">
        <v>17</v>
      </c>
    </row>
    <row r="911" spans="1:12" x14ac:dyDescent="0.25">
      <c r="A911" s="3">
        <v>45712.150671296295</v>
      </c>
      <c r="B911" t="s">
        <v>27</v>
      </c>
      <c r="C911" s="3">
        <v>45712.222395833334</v>
      </c>
      <c r="D911" t="s">
        <v>236</v>
      </c>
      <c r="E911" s="4">
        <v>34.587000000000003</v>
      </c>
      <c r="F911" s="4">
        <v>443320.82299999997</v>
      </c>
      <c r="G911" s="4">
        <v>443355.41</v>
      </c>
      <c r="H911" s="5">
        <f>949 / 86400</f>
        <v>1.0983796296296297E-2</v>
      </c>
      <c r="I911" t="s">
        <v>44</v>
      </c>
      <c r="J911" t="s">
        <v>112</v>
      </c>
      <c r="K911" s="5">
        <f>6197 / 86400</f>
        <v>7.1724537037037031E-2</v>
      </c>
      <c r="L911" s="5">
        <f>15340 / 86400</f>
        <v>0.17754629629629629</v>
      </c>
    </row>
    <row r="912" spans="1:12" x14ac:dyDescent="0.25">
      <c r="A912" s="3">
        <v>45712.24927083333</v>
      </c>
      <c r="B912" t="s">
        <v>236</v>
      </c>
      <c r="C912" s="3">
        <v>45712.347418981481</v>
      </c>
      <c r="D912" t="s">
        <v>21</v>
      </c>
      <c r="E912" s="4">
        <v>50.633000000000003</v>
      </c>
      <c r="F912" s="4">
        <v>443355.41</v>
      </c>
      <c r="G912" s="4">
        <v>443406.04300000001</v>
      </c>
      <c r="H912" s="5">
        <f>1361 / 86400</f>
        <v>1.5752314814814816E-2</v>
      </c>
      <c r="I912" t="s">
        <v>133</v>
      </c>
      <c r="J912" t="s">
        <v>36</v>
      </c>
      <c r="K912" s="5">
        <f>8479 / 86400</f>
        <v>9.8136574074074071E-2</v>
      </c>
      <c r="L912" s="5">
        <f>2271 / 86400</f>
        <v>2.6284722222222223E-2</v>
      </c>
    </row>
    <row r="913" spans="1:12" x14ac:dyDescent="0.25">
      <c r="A913" s="3">
        <v>45712.373703703706</v>
      </c>
      <c r="B913" t="s">
        <v>21</v>
      </c>
      <c r="C913" s="3">
        <v>45712.374907407408</v>
      </c>
      <c r="D913" t="s">
        <v>21</v>
      </c>
      <c r="E913" s="4">
        <v>0.03</v>
      </c>
      <c r="F913" s="4">
        <v>443406.04300000001</v>
      </c>
      <c r="G913" s="4">
        <v>443406.07299999997</v>
      </c>
      <c r="H913" s="5">
        <f>79 / 86400</f>
        <v>9.1435185185185185E-4</v>
      </c>
      <c r="I913" t="s">
        <v>57</v>
      </c>
      <c r="J913" t="s">
        <v>143</v>
      </c>
      <c r="K913" s="5">
        <f>104 / 86400</f>
        <v>1.2037037037037038E-3</v>
      </c>
      <c r="L913" s="5">
        <f>9 / 86400</f>
        <v>1.0416666666666667E-4</v>
      </c>
    </row>
    <row r="914" spans="1:12" x14ac:dyDescent="0.25">
      <c r="A914" s="3">
        <v>45712.37501157407</v>
      </c>
      <c r="B914" t="s">
        <v>21</v>
      </c>
      <c r="C914" s="3">
        <v>45712.38208333333</v>
      </c>
      <c r="D914" t="s">
        <v>419</v>
      </c>
      <c r="E914" s="4">
        <v>1.419</v>
      </c>
      <c r="F914" s="4">
        <v>443406.07299999997</v>
      </c>
      <c r="G914" s="4">
        <v>443407.49200000003</v>
      </c>
      <c r="H914" s="5">
        <f>280 / 86400</f>
        <v>3.2407407407407406E-3</v>
      </c>
      <c r="I914" t="s">
        <v>170</v>
      </c>
      <c r="J914" t="s">
        <v>92</v>
      </c>
      <c r="K914" s="5">
        <f>611 / 86400</f>
        <v>7.0717592592592594E-3</v>
      </c>
      <c r="L914" s="5">
        <f>729 / 86400</f>
        <v>8.4375000000000006E-3</v>
      </c>
    </row>
    <row r="915" spans="1:12" x14ac:dyDescent="0.25">
      <c r="A915" s="3">
        <v>45712.390520833331</v>
      </c>
      <c r="B915" t="s">
        <v>419</v>
      </c>
      <c r="C915" s="3">
        <v>45712.391608796301</v>
      </c>
      <c r="D915" t="s">
        <v>149</v>
      </c>
      <c r="E915" s="4">
        <v>2.5000000000000001E-2</v>
      </c>
      <c r="F915" s="4">
        <v>443407.49200000003</v>
      </c>
      <c r="G915" s="4">
        <v>443407.51699999999</v>
      </c>
      <c r="H915" s="5">
        <f>60 / 86400</f>
        <v>6.9444444444444447E-4</v>
      </c>
      <c r="I915" t="s">
        <v>99</v>
      </c>
      <c r="J915" t="s">
        <v>143</v>
      </c>
      <c r="K915" s="5">
        <f>94 / 86400</f>
        <v>1.0879629629629629E-3</v>
      </c>
      <c r="L915" s="5">
        <f>111 / 86400</f>
        <v>1.2847222222222223E-3</v>
      </c>
    </row>
    <row r="916" spans="1:12" x14ac:dyDescent="0.25">
      <c r="A916" s="3">
        <v>45712.392893518518</v>
      </c>
      <c r="B916" t="s">
        <v>149</v>
      </c>
      <c r="C916" s="3">
        <v>45712.512708333335</v>
      </c>
      <c r="D916" t="s">
        <v>394</v>
      </c>
      <c r="E916" s="4">
        <v>49.973999999999997</v>
      </c>
      <c r="F916" s="4">
        <v>443407.51699999999</v>
      </c>
      <c r="G916" s="4">
        <v>443457.49099999998</v>
      </c>
      <c r="H916" s="5">
        <f>3378 / 86400</f>
        <v>3.9097222222222221E-2</v>
      </c>
      <c r="I916" t="s">
        <v>87</v>
      </c>
      <c r="J916" t="s">
        <v>30</v>
      </c>
      <c r="K916" s="5">
        <f>10352 / 86400</f>
        <v>0.11981481481481482</v>
      </c>
      <c r="L916" s="5">
        <f>3875 / 86400</f>
        <v>4.4849537037037035E-2</v>
      </c>
    </row>
    <row r="917" spans="1:12" x14ac:dyDescent="0.25">
      <c r="A917" s="3">
        <v>45712.557557870372</v>
      </c>
      <c r="B917" t="s">
        <v>394</v>
      </c>
      <c r="C917" s="3">
        <v>45712.716932870375</v>
      </c>
      <c r="D917" t="s">
        <v>27</v>
      </c>
      <c r="E917" s="4">
        <v>67.638000000000005</v>
      </c>
      <c r="F917" s="4">
        <v>443457.49099999998</v>
      </c>
      <c r="G917" s="4">
        <v>443525.12900000002</v>
      </c>
      <c r="H917" s="5">
        <f>3661 / 86400</f>
        <v>4.2372685185185187E-2</v>
      </c>
      <c r="I917" t="s">
        <v>104</v>
      </c>
      <c r="J917" t="s">
        <v>20</v>
      </c>
      <c r="K917" s="5">
        <f>13770 / 86400</f>
        <v>0.15937499999999999</v>
      </c>
      <c r="L917" s="5">
        <f>286 / 86400</f>
        <v>3.3101851851851851E-3</v>
      </c>
    </row>
    <row r="918" spans="1:12" x14ac:dyDescent="0.25">
      <c r="A918" s="3">
        <v>45712.720243055555</v>
      </c>
      <c r="B918" t="s">
        <v>167</v>
      </c>
      <c r="C918" s="3">
        <v>45712.731122685189</v>
      </c>
      <c r="D918" t="s">
        <v>167</v>
      </c>
      <c r="E918" s="4">
        <v>2.59</v>
      </c>
      <c r="F918" s="4">
        <v>443525.12900000002</v>
      </c>
      <c r="G918" s="4">
        <v>443527.71899999998</v>
      </c>
      <c r="H918" s="5">
        <f>400 / 86400</f>
        <v>4.6296296296296294E-3</v>
      </c>
      <c r="I918" t="s">
        <v>31</v>
      </c>
      <c r="J918" t="s">
        <v>51</v>
      </c>
      <c r="K918" s="5">
        <f>939 / 86400</f>
        <v>1.0868055555555556E-2</v>
      </c>
      <c r="L918" s="5">
        <f>625 / 86400</f>
        <v>7.2337962962962963E-3</v>
      </c>
    </row>
    <row r="919" spans="1:12" x14ac:dyDescent="0.25">
      <c r="A919" s="3">
        <v>45712.738356481481</v>
      </c>
      <c r="B919" t="s">
        <v>167</v>
      </c>
      <c r="C919" s="3">
        <v>45712.741215277776</v>
      </c>
      <c r="D919" t="s">
        <v>27</v>
      </c>
      <c r="E919" s="4">
        <v>0.65100000000000002</v>
      </c>
      <c r="F919" s="4">
        <v>443527.71899999998</v>
      </c>
      <c r="G919" s="4">
        <v>443528.37</v>
      </c>
      <c r="H919" s="5">
        <f>20 / 86400</f>
        <v>2.3148148148148149E-4</v>
      </c>
      <c r="I919" t="s">
        <v>20</v>
      </c>
      <c r="J919" t="s">
        <v>135</v>
      </c>
      <c r="K919" s="5">
        <f>247 / 86400</f>
        <v>2.8587962962962963E-3</v>
      </c>
      <c r="L919" s="5">
        <f>22358 / 86400</f>
        <v>0.25877314814814817</v>
      </c>
    </row>
    <row r="920" spans="1:12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</row>
    <row r="921" spans="1:12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</row>
    <row r="922" spans="1:12" s="10" customFormat="1" ht="20.100000000000001" customHeight="1" x14ac:dyDescent="0.35">
      <c r="A922" s="15" t="s">
        <v>478</v>
      </c>
      <c r="B922" s="15"/>
      <c r="C922" s="15"/>
      <c r="D922" s="15"/>
      <c r="E922" s="15"/>
      <c r="F922" s="15"/>
      <c r="G922" s="15"/>
      <c r="H922" s="15"/>
      <c r="I922" s="15"/>
      <c r="J922" s="15"/>
    </row>
    <row r="923" spans="1:12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</row>
    <row r="924" spans="1:12" ht="30" x14ac:dyDescent="0.25">
      <c r="A924" s="2" t="s">
        <v>6</v>
      </c>
      <c r="B924" s="2" t="s">
        <v>7</v>
      </c>
      <c r="C924" s="2" t="s">
        <v>8</v>
      </c>
      <c r="D924" s="2" t="s">
        <v>9</v>
      </c>
      <c r="E924" s="2" t="s">
        <v>10</v>
      </c>
      <c r="F924" s="2" t="s">
        <v>11</v>
      </c>
      <c r="G924" s="2" t="s">
        <v>12</v>
      </c>
      <c r="H924" s="2" t="s">
        <v>13</v>
      </c>
      <c r="I924" s="2" t="s">
        <v>14</v>
      </c>
      <c r="J924" s="2" t="s">
        <v>15</v>
      </c>
      <c r="K924" s="2" t="s">
        <v>16</v>
      </c>
      <c r="L924" s="2" t="s">
        <v>17</v>
      </c>
    </row>
    <row r="925" spans="1:12" x14ac:dyDescent="0.25">
      <c r="A925" s="3">
        <v>45712</v>
      </c>
      <c r="B925" t="s">
        <v>88</v>
      </c>
      <c r="C925" s="3">
        <v>45712.019814814819</v>
      </c>
      <c r="D925" t="s">
        <v>420</v>
      </c>
      <c r="E925" s="4">
        <v>16.981999999999999</v>
      </c>
      <c r="F925" s="4">
        <v>475655.87099999998</v>
      </c>
      <c r="G925" s="4">
        <v>475672.853</v>
      </c>
      <c r="H925" s="5">
        <f>280 / 86400</f>
        <v>3.2407407407407406E-3</v>
      </c>
      <c r="I925" t="s">
        <v>297</v>
      </c>
      <c r="J925" t="s">
        <v>190</v>
      </c>
      <c r="K925" s="5">
        <f>1712 / 86400</f>
        <v>1.9814814814814816E-2</v>
      </c>
      <c r="L925" s="5">
        <f>499 / 86400</f>
        <v>5.7754629629629631E-3</v>
      </c>
    </row>
    <row r="926" spans="1:12" x14ac:dyDescent="0.25">
      <c r="A926" s="3">
        <v>45712.025590277779</v>
      </c>
      <c r="B926" t="s">
        <v>420</v>
      </c>
      <c r="C926" s="3">
        <v>45712.029120370367</v>
      </c>
      <c r="D926" t="s">
        <v>384</v>
      </c>
      <c r="E926" s="4">
        <v>0.754</v>
      </c>
      <c r="F926" s="4">
        <v>475672.853</v>
      </c>
      <c r="G926" s="4">
        <v>475673.60700000002</v>
      </c>
      <c r="H926" s="5">
        <f>60 / 86400</f>
        <v>6.9444444444444447E-4</v>
      </c>
      <c r="I926" t="s">
        <v>152</v>
      </c>
      <c r="J926" t="s">
        <v>135</v>
      </c>
      <c r="K926" s="5">
        <f>305 / 86400</f>
        <v>3.5300925925925925E-3</v>
      </c>
      <c r="L926" s="5">
        <f>19775 / 86400</f>
        <v>0.22887731481481483</v>
      </c>
    </row>
    <row r="927" spans="1:12" x14ac:dyDescent="0.25">
      <c r="A927" s="3">
        <v>45712.257997685185</v>
      </c>
      <c r="B927" t="s">
        <v>384</v>
      </c>
      <c r="C927" s="3">
        <v>45712.372743055559</v>
      </c>
      <c r="D927" t="s">
        <v>236</v>
      </c>
      <c r="E927" s="4">
        <v>46.628999999999998</v>
      </c>
      <c r="F927" s="4">
        <v>475673.60700000002</v>
      </c>
      <c r="G927" s="4">
        <v>475720.23599999998</v>
      </c>
      <c r="H927" s="5">
        <f>3139 / 86400</f>
        <v>3.6331018518518519E-2</v>
      </c>
      <c r="I927" t="s">
        <v>89</v>
      </c>
      <c r="J927" t="s">
        <v>30</v>
      </c>
      <c r="K927" s="5">
        <f>9914 / 86400</f>
        <v>0.11474537037037037</v>
      </c>
      <c r="L927" s="5">
        <f>75 / 86400</f>
        <v>8.6805555555555551E-4</v>
      </c>
    </row>
    <row r="928" spans="1:12" x14ac:dyDescent="0.25">
      <c r="A928" s="3">
        <v>45712.373611111107</v>
      </c>
      <c r="B928" t="s">
        <v>236</v>
      </c>
      <c r="C928" s="3">
        <v>45712.501273148147</v>
      </c>
      <c r="D928" t="s">
        <v>374</v>
      </c>
      <c r="E928" s="4">
        <v>49.99</v>
      </c>
      <c r="F928" s="4">
        <v>475720.23599999998</v>
      </c>
      <c r="G928" s="4">
        <v>475770.22600000002</v>
      </c>
      <c r="H928" s="5">
        <f>3621 / 86400</f>
        <v>4.1909722222222223E-2</v>
      </c>
      <c r="I928" t="s">
        <v>133</v>
      </c>
      <c r="J928" t="s">
        <v>34</v>
      </c>
      <c r="K928" s="5">
        <f>11029 / 86400</f>
        <v>0.12765046296296295</v>
      </c>
      <c r="L928" s="5">
        <f>1893 / 86400</f>
        <v>2.1909722222222223E-2</v>
      </c>
    </row>
    <row r="929" spans="1:12" x14ac:dyDescent="0.25">
      <c r="A929" s="3">
        <v>45712.523182870369</v>
      </c>
      <c r="B929" t="s">
        <v>374</v>
      </c>
      <c r="C929" s="3">
        <v>45712.527314814812</v>
      </c>
      <c r="D929" t="s">
        <v>68</v>
      </c>
      <c r="E929" s="4">
        <v>0.77800000000000002</v>
      </c>
      <c r="F929" s="4">
        <v>475770.22600000002</v>
      </c>
      <c r="G929" s="4">
        <v>475771.00400000002</v>
      </c>
      <c r="H929" s="5">
        <f>140 / 86400</f>
        <v>1.6203703703703703E-3</v>
      </c>
      <c r="I929" t="s">
        <v>31</v>
      </c>
      <c r="J929" t="s">
        <v>92</v>
      </c>
      <c r="K929" s="5">
        <f>356 / 86400</f>
        <v>4.1203703703703706E-3</v>
      </c>
      <c r="L929" s="5">
        <f>422 / 86400</f>
        <v>4.8842592592592592E-3</v>
      </c>
    </row>
    <row r="930" spans="1:12" x14ac:dyDescent="0.25">
      <c r="A930" s="3">
        <v>45712.532199074078</v>
      </c>
      <c r="B930" t="s">
        <v>68</v>
      </c>
      <c r="C930" s="3">
        <v>45712.535428240742</v>
      </c>
      <c r="D930" t="s">
        <v>45</v>
      </c>
      <c r="E930" s="4">
        <v>0.61099999999999999</v>
      </c>
      <c r="F930" s="4">
        <v>475771.00400000002</v>
      </c>
      <c r="G930" s="4">
        <v>475771.61499999999</v>
      </c>
      <c r="H930" s="5">
        <f>60 / 86400</f>
        <v>6.9444444444444447E-4</v>
      </c>
      <c r="I930" t="s">
        <v>202</v>
      </c>
      <c r="J930" t="s">
        <v>92</v>
      </c>
      <c r="K930" s="5">
        <f>278 / 86400</f>
        <v>3.2175925925925926E-3</v>
      </c>
      <c r="L930" s="5">
        <f>207 / 86400</f>
        <v>2.3958333333333331E-3</v>
      </c>
    </row>
    <row r="931" spans="1:12" x14ac:dyDescent="0.25">
      <c r="A931" s="3">
        <v>45712.537824074076</v>
      </c>
      <c r="B931" t="s">
        <v>45</v>
      </c>
      <c r="C931" s="3">
        <v>45712.544224537036</v>
      </c>
      <c r="D931" t="s">
        <v>21</v>
      </c>
      <c r="E931" s="4">
        <v>1.8640000000000001</v>
      </c>
      <c r="F931" s="4">
        <v>475771.61499999999</v>
      </c>
      <c r="G931" s="4">
        <v>475773.47899999999</v>
      </c>
      <c r="H931" s="5">
        <f>59 / 86400</f>
        <v>6.8287037037037036E-4</v>
      </c>
      <c r="I931" t="s">
        <v>198</v>
      </c>
      <c r="J931" t="s">
        <v>145</v>
      </c>
      <c r="K931" s="5">
        <f>553 / 86400</f>
        <v>6.4004629629629628E-3</v>
      </c>
      <c r="L931" s="5">
        <f>1423 / 86400</f>
        <v>1.6469907407407409E-2</v>
      </c>
    </row>
    <row r="932" spans="1:12" x14ac:dyDescent="0.25">
      <c r="A932" s="3">
        <v>45712.560694444444</v>
      </c>
      <c r="B932" t="s">
        <v>21</v>
      </c>
      <c r="C932" s="3">
        <v>45712.766759259262</v>
      </c>
      <c r="D932" t="s">
        <v>300</v>
      </c>
      <c r="E932" s="4">
        <v>64.164000000000001</v>
      </c>
      <c r="F932" s="4">
        <v>475773.47899999999</v>
      </c>
      <c r="G932" s="4">
        <v>475837.64299999998</v>
      </c>
      <c r="H932" s="5">
        <f>7821 / 86400</f>
        <v>9.0520833333333328E-2</v>
      </c>
      <c r="I932" t="s">
        <v>86</v>
      </c>
      <c r="J932" t="s">
        <v>71</v>
      </c>
      <c r="K932" s="5">
        <f>17804 / 86400</f>
        <v>0.20606481481481481</v>
      </c>
      <c r="L932" s="5">
        <f>83 / 86400</f>
        <v>9.6064814814814819E-4</v>
      </c>
    </row>
    <row r="933" spans="1:12" x14ac:dyDescent="0.25">
      <c r="A933" s="3">
        <v>45712.76771990741</v>
      </c>
      <c r="B933" t="s">
        <v>300</v>
      </c>
      <c r="C933" s="3">
        <v>45712.833587962959</v>
      </c>
      <c r="D933" t="s">
        <v>420</v>
      </c>
      <c r="E933" s="4">
        <v>27.65</v>
      </c>
      <c r="F933" s="4">
        <v>475837.64299999998</v>
      </c>
      <c r="G933" s="4">
        <v>475865.29300000001</v>
      </c>
      <c r="H933" s="5">
        <f>1437 / 86400</f>
        <v>1.6631944444444446E-2</v>
      </c>
      <c r="I933" t="s">
        <v>176</v>
      </c>
      <c r="J933" t="s">
        <v>30</v>
      </c>
      <c r="K933" s="5">
        <f>5691 / 86400</f>
        <v>6.5868055555555555E-2</v>
      </c>
      <c r="L933" s="5">
        <f>585 / 86400</f>
        <v>6.7708333333333336E-3</v>
      </c>
    </row>
    <row r="934" spans="1:12" x14ac:dyDescent="0.25">
      <c r="A934" s="3">
        <v>45712.840358796297</v>
      </c>
      <c r="B934" t="s">
        <v>420</v>
      </c>
      <c r="C934" s="3">
        <v>45712.8440162037</v>
      </c>
      <c r="D934" t="s">
        <v>83</v>
      </c>
      <c r="E934" s="4">
        <v>0.80800000000000005</v>
      </c>
      <c r="F934" s="4">
        <v>475865.29300000001</v>
      </c>
      <c r="G934" s="4">
        <v>475866.10100000002</v>
      </c>
      <c r="H934" s="5">
        <f>60 / 86400</f>
        <v>6.9444444444444447E-4</v>
      </c>
      <c r="I934" t="s">
        <v>134</v>
      </c>
      <c r="J934" t="s">
        <v>135</v>
      </c>
      <c r="K934" s="5">
        <f>315 / 86400</f>
        <v>3.6458333333333334E-3</v>
      </c>
      <c r="L934" s="5">
        <f>13476 / 86400</f>
        <v>0.15597222222222223</v>
      </c>
    </row>
    <row r="935" spans="1:12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</row>
    <row r="936" spans="1:12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</row>
    <row r="937" spans="1:12" s="10" customFormat="1" ht="20.100000000000001" customHeight="1" x14ac:dyDescent="0.35">
      <c r="A937" s="15" t="s">
        <v>479</v>
      </c>
      <c r="B937" s="15"/>
      <c r="C937" s="15"/>
      <c r="D937" s="15"/>
      <c r="E937" s="15"/>
      <c r="F937" s="15"/>
      <c r="G937" s="15"/>
      <c r="H937" s="15"/>
      <c r="I937" s="15"/>
      <c r="J937" s="15"/>
    </row>
    <row r="938" spans="1:12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</row>
    <row r="939" spans="1:12" ht="30" x14ac:dyDescent="0.25">
      <c r="A939" s="2" t="s">
        <v>6</v>
      </c>
      <c r="B939" s="2" t="s">
        <v>7</v>
      </c>
      <c r="C939" s="2" t="s">
        <v>8</v>
      </c>
      <c r="D939" s="2" t="s">
        <v>9</v>
      </c>
      <c r="E939" s="2" t="s">
        <v>10</v>
      </c>
      <c r="F939" s="2" t="s">
        <v>11</v>
      </c>
      <c r="G939" s="2" t="s">
        <v>12</v>
      </c>
      <c r="H939" s="2" t="s">
        <v>13</v>
      </c>
      <c r="I939" s="2" t="s">
        <v>14</v>
      </c>
      <c r="J939" s="2" t="s">
        <v>15</v>
      </c>
      <c r="K939" s="2" t="s">
        <v>16</v>
      </c>
      <c r="L939" s="2" t="s">
        <v>17</v>
      </c>
    </row>
    <row r="940" spans="1:12" x14ac:dyDescent="0.25">
      <c r="A940" s="3">
        <v>45712.522187499999</v>
      </c>
      <c r="B940" t="s">
        <v>82</v>
      </c>
      <c r="C940" s="3">
        <v>45712.526041666672</v>
      </c>
      <c r="D940" t="s">
        <v>82</v>
      </c>
      <c r="E940" s="4">
        <v>3.3000000000000002E-2</v>
      </c>
      <c r="F940" s="4">
        <v>416151.43400000001</v>
      </c>
      <c r="G940" s="4">
        <v>416151.467</v>
      </c>
      <c r="H940" s="5">
        <f>299 / 86400</f>
        <v>3.460648148148148E-3</v>
      </c>
      <c r="I940" t="s">
        <v>99</v>
      </c>
      <c r="J940" t="s">
        <v>24</v>
      </c>
      <c r="K940" s="5">
        <f>332 / 86400</f>
        <v>3.8425925925925928E-3</v>
      </c>
      <c r="L940" s="5">
        <f>45201 / 86400</f>
        <v>0.52315972222222218</v>
      </c>
    </row>
    <row r="941" spans="1:12" x14ac:dyDescent="0.25">
      <c r="A941" s="3">
        <v>45712.527013888888</v>
      </c>
      <c r="B941" t="s">
        <v>82</v>
      </c>
      <c r="C941" s="3">
        <v>45712.535127314812</v>
      </c>
      <c r="D941" t="s">
        <v>421</v>
      </c>
      <c r="E941" s="4">
        <v>2.8050000000000002</v>
      </c>
      <c r="F941" s="4">
        <v>416151.467</v>
      </c>
      <c r="G941" s="4">
        <v>416154.272</v>
      </c>
      <c r="H941" s="5">
        <f>100 / 86400</f>
        <v>1.1574074074074073E-3</v>
      </c>
      <c r="I941" t="s">
        <v>163</v>
      </c>
      <c r="J941" t="s">
        <v>48</v>
      </c>
      <c r="K941" s="5">
        <f>701 / 86400</f>
        <v>8.1134259259259267E-3</v>
      </c>
      <c r="L941" s="5">
        <f>1619 / 86400</f>
        <v>1.8738425925925926E-2</v>
      </c>
    </row>
    <row r="942" spans="1:12" x14ac:dyDescent="0.25">
      <c r="A942" s="3">
        <v>45712.553865740745</v>
      </c>
      <c r="B942" t="s">
        <v>421</v>
      </c>
      <c r="C942" s="3">
        <v>45712.562638888892</v>
      </c>
      <c r="D942" t="s">
        <v>82</v>
      </c>
      <c r="E942" s="4">
        <v>2.629</v>
      </c>
      <c r="F942" s="4">
        <v>416154.272</v>
      </c>
      <c r="G942" s="4">
        <v>416156.90100000001</v>
      </c>
      <c r="H942" s="5">
        <f>139 / 86400</f>
        <v>1.6087962962962963E-3</v>
      </c>
      <c r="I942" t="s">
        <v>98</v>
      </c>
      <c r="J942" t="s">
        <v>71</v>
      </c>
      <c r="K942" s="5">
        <f>757 / 86400</f>
        <v>8.7615740740740744E-3</v>
      </c>
      <c r="L942" s="5">
        <f>200 / 86400</f>
        <v>2.3148148148148147E-3</v>
      </c>
    </row>
    <row r="943" spans="1:12" x14ac:dyDescent="0.25">
      <c r="A943" s="3">
        <v>45712.564953703702</v>
      </c>
      <c r="B943" t="s">
        <v>82</v>
      </c>
      <c r="C943" s="3">
        <v>45712.565868055557</v>
      </c>
      <c r="D943" t="s">
        <v>82</v>
      </c>
      <c r="E943" s="4">
        <v>3.9E-2</v>
      </c>
      <c r="F943" s="4">
        <v>416156.90100000001</v>
      </c>
      <c r="G943" s="4">
        <v>416156.94</v>
      </c>
      <c r="H943" s="5">
        <f>40 / 86400</f>
        <v>4.6296296296296298E-4</v>
      </c>
      <c r="I943" t="s">
        <v>57</v>
      </c>
      <c r="J943" t="s">
        <v>150</v>
      </c>
      <c r="K943" s="5">
        <f>78 / 86400</f>
        <v>9.0277777777777774E-4</v>
      </c>
      <c r="L943" s="5">
        <f>6973 / 86400</f>
        <v>8.0706018518518524E-2</v>
      </c>
    </row>
    <row r="944" spans="1:12" x14ac:dyDescent="0.25">
      <c r="A944" s="3">
        <v>45712.646574074075</v>
      </c>
      <c r="B944" t="s">
        <v>82</v>
      </c>
      <c r="C944" s="3">
        <v>45712.93440972222</v>
      </c>
      <c r="D944" t="s">
        <v>76</v>
      </c>
      <c r="E944" s="4">
        <v>126.524</v>
      </c>
      <c r="F944" s="4">
        <v>416156.94</v>
      </c>
      <c r="G944" s="4">
        <v>416283.46399999998</v>
      </c>
      <c r="H944" s="5">
        <f>8979 / 86400</f>
        <v>0.10392361111111111</v>
      </c>
      <c r="I944" t="s">
        <v>117</v>
      </c>
      <c r="J944" t="s">
        <v>20</v>
      </c>
      <c r="K944" s="5">
        <f>24869 / 86400</f>
        <v>0.28783564814814816</v>
      </c>
      <c r="L944" s="5">
        <f>501 / 86400</f>
        <v>5.7986111111111112E-3</v>
      </c>
    </row>
    <row r="945" spans="1:12" x14ac:dyDescent="0.25">
      <c r="A945" s="3">
        <v>45712.940208333333</v>
      </c>
      <c r="B945" t="s">
        <v>76</v>
      </c>
      <c r="C945" s="3">
        <v>45712.940416666665</v>
      </c>
      <c r="D945" t="s">
        <v>76</v>
      </c>
      <c r="E945" s="4">
        <v>8.0000000000000002E-3</v>
      </c>
      <c r="F945" s="4">
        <v>416283.46399999998</v>
      </c>
      <c r="G945" s="4">
        <v>416283.47200000001</v>
      </c>
      <c r="H945" s="5">
        <f>0 / 86400</f>
        <v>0</v>
      </c>
      <c r="I945" t="s">
        <v>57</v>
      </c>
      <c r="J945" t="s">
        <v>150</v>
      </c>
      <c r="K945" s="5">
        <f>18 / 86400</f>
        <v>2.0833333333333335E-4</v>
      </c>
      <c r="L945" s="5">
        <f>288 / 86400</f>
        <v>3.3333333333333335E-3</v>
      </c>
    </row>
    <row r="946" spans="1:12" x14ac:dyDescent="0.25">
      <c r="A946" s="3">
        <v>45712.943749999999</v>
      </c>
      <c r="B946" t="s">
        <v>76</v>
      </c>
      <c r="C946" s="3">
        <v>45712.997245370367</v>
      </c>
      <c r="D946" t="s">
        <v>90</v>
      </c>
      <c r="E946" s="4">
        <v>26.466999999999999</v>
      </c>
      <c r="F946" s="4">
        <v>416283.47200000001</v>
      </c>
      <c r="G946" s="4">
        <v>416309.93900000001</v>
      </c>
      <c r="H946" s="5">
        <f>1559 / 86400</f>
        <v>1.804398148148148E-2</v>
      </c>
      <c r="I946" t="s">
        <v>26</v>
      </c>
      <c r="J946" t="s">
        <v>36</v>
      </c>
      <c r="K946" s="5">
        <f>4622 / 86400</f>
        <v>5.3495370370370374E-2</v>
      </c>
      <c r="L946" s="5">
        <f>237 / 86400</f>
        <v>2.7430555555555554E-3</v>
      </c>
    </row>
    <row r="947" spans="1:12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</row>
    <row r="948" spans="1:12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</row>
    <row r="949" spans="1:12" s="10" customFormat="1" ht="20.100000000000001" customHeight="1" x14ac:dyDescent="0.35">
      <c r="A949" s="15" t="s">
        <v>480</v>
      </c>
      <c r="B949" s="15"/>
      <c r="C949" s="15"/>
      <c r="D949" s="15"/>
      <c r="E949" s="15"/>
      <c r="F949" s="15"/>
      <c r="G949" s="15"/>
      <c r="H949" s="15"/>
      <c r="I949" s="15"/>
      <c r="J949" s="15"/>
    </row>
    <row r="950" spans="1:12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</row>
    <row r="951" spans="1:12" ht="30" x14ac:dyDescent="0.25">
      <c r="A951" s="2" t="s">
        <v>6</v>
      </c>
      <c r="B951" s="2" t="s">
        <v>7</v>
      </c>
      <c r="C951" s="2" t="s">
        <v>8</v>
      </c>
      <c r="D951" s="2" t="s">
        <v>9</v>
      </c>
      <c r="E951" s="2" t="s">
        <v>10</v>
      </c>
      <c r="F951" s="2" t="s">
        <v>11</v>
      </c>
      <c r="G951" s="2" t="s">
        <v>12</v>
      </c>
      <c r="H951" s="2" t="s">
        <v>13</v>
      </c>
      <c r="I951" s="2" t="s">
        <v>14</v>
      </c>
      <c r="J951" s="2" t="s">
        <v>15</v>
      </c>
      <c r="K951" s="2" t="s">
        <v>16</v>
      </c>
      <c r="L951" s="2" t="s">
        <v>17</v>
      </c>
    </row>
    <row r="952" spans="1:12" x14ac:dyDescent="0.25">
      <c r="A952" s="3">
        <v>45712.205162037033</v>
      </c>
      <c r="B952" t="s">
        <v>27</v>
      </c>
      <c r="C952" s="3">
        <v>45712.206342592588</v>
      </c>
      <c r="D952" t="s">
        <v>27</v>
      </c>
      <c r="E952" s="4">
        <v>3.1E-2</v>
      </c>
      <c r="F952" s="4">
        <v>330719.16399999999</v>
      </c>
      <c r="G952" s="4">
        <v>330719.19500000001</v>
      </c>
      <c r="H952" s="5">
        <f>39 / 86400</f>
        <v>4.5138888888888887E-4</v>
      </c>
      <c r="I952" t="s">
        <v>57</v>
      </c>
      <c r="J952" t="s">
        <v>143</v>
      </c>
      <c r="K952" s="5">
        <f>102 / 86400</f>
        <v>1.1805555555555556E-3</v>
      </c>
      <c r="L952" s="5">
        <f>21870 / 86400</f>
        <v>0.25312499999999999</v>
      </c>
    </row>
    <row r="953" spans="1:12" x14ac:dyDescent="0.25">
      <c r="A953" s="3">
        <v>45712.254305555558</v>
      </c>
      <c r="B953" t="s">
        <v>27</v>
      </c>
      <c r="C953" s="3">
        <v>45712.313252314816</v>
      </c>
      <c r="D953" t="s">
        <v>348</v>
      </c>
      <c r="E953" s="4">
        <v>24.954999999999998</v>
      </c>
      <c r="F953" s="4">
        <v>330719.19500000001</v>
      </c>
      <c r="G953" s="4">
        <v>330744.15000000002</v>
      </c>
      <c r="H953" s="5">
        <f>1292 / 86400</f>
        <v>1.4953703703703703E-2</v>
      </c>
      <c r="I953" t="s">
        <v>61</v>
      </c>
      <c r="J953" t="s">
        <v>20</v>
      </c>
      <c r="K953" s="5">
        <f>5093 / 86400</f>
        <v>5.8946759259259261E-2</v>
      </c>
      <c r="L953" s="5">
        <f>383 / 86400</f>
        <v>4.43287037037037E-3</v>
      </c>
    </row>
    <row r="954" spans="1:12" x14ac:dyDescent="0.25">
      <c r="A954" s="3">
        <v>45712.317685185189</v>
      </c>
      <c r="B954" t="s">
        <v>348</v>
      </c>
      <c r="C954" s="3">
        <v>45712.31832175926</v>
      </c>
      <c r="D954" t="s">
        <v>348</v>
      </c>
      <c r="E954" s="4">
        <v>0.249</v>
      </c>
      <c r="F954" s="4">
        <v>330744.15000000002</v>
      </c>
      <c r="G954" s="4">
        <v>330744.39899999998</v>
      </c>
      <c r="H954" s="5">
        <f>0 / 86400</f>
        <v>0</v>
      </c>
      <c r="I954" t="s">
        <v>31</v>
      </c>
      <c r="J954" t="s">
        <v>34</v>
      </c>
      <c r="K954" s="5">
        <f>55 / 86400</f>
        <v>6.3657407407407413E-4</v>
      </c>
      <c r="L954" s="5">
        <f>199 / 86400</f>
        <v>2.3032407407407407E-3</v>
      </c>
    </row>
    <row r="955" spans="1:12" x14ac:dyDescent="0.25">
      <c r="A955" s="3">
        <v>45712.320625</v>
      </c>
      <c r="B955" t="s">
        <v>348</v>
      </c>
      <c r="C955" s="3">
        <v>45712.499930555554</v>
      </c>
      <c r="D955" t="s">
        <v>422</v>
      </c>
      <c r="E955" s="4">
        <v>81.596999999999994</v>
      </c>
      <c r="F955" s="4">
        <v>330744.39899999998</v>
      </c>
      <c r="G955" s="4">
        <v>330825.99599999998</v>
      </c>
      <c r="H955" s="5">
        <f>4019 / 86400</f>
        <v>4.6516203703703705E-2</v>
      </c>
      <c r="I955" t="s">
        <v>87</v>
      </c>
      <c r="J955" t="s">
        <v>137</v>
      </c>
      <c r="K955" s="5">
        <f>15492 / 86400</f>
        <v>0.17930555555555555</v>
      </c>
      <c r="L955" s="5">
        <f>6647 / 86400</f>
        <v>7.6932870370370374E-2</v>
      </c>
    </row>
    <row r="956" spans="1:12" x14ac:dyDescent="0.25">
      <c r="A956" s="3">
        <v>45712.576863425929</v>
      </c>
      <c r="B956" t="s">
        <v>422</v>
      </c>
      <c r="C956" s="3">
        <v>45712.692453703705</v>
      </c>
      <c r="D956" t="s">
        <v>384</v>
      </c>
      <c r="E956" s="4">
        <v>45.933</v>
      </c>
      <c r="F956" s="4">
        <v>330825.99599999998</v>
      </c>
      <c r="G956" s="4">
        <v>330871.929</v>
      </c>
      <c r="H956" s="5">
        <f>3440 / 86400</f>
        <v>3.9814814814814817E-2</v>
      </c>
      <c r="I956" t="s">
        <v>297</v>
      </c>
      <c r="J956" t="s">
        <v>30</v>
      </c>
      <c r="K956" s="5">
        <f>9986 / 86400</f>
        <v>0.1155787037037037</v>
      </c>
      <c r="L956" s="5">
        <f>150 / 86400</f>
        <v>1.736111111111111E-3</v>
      </c>
    </row>
    <row r="957" spans="1:12" x14ac:dyDescent="0.25">
      <c r="A957" s="3">
        <v>45712.694189814814</v>
      </c>
      <c r="B957" t="s">
        <v>384</v>
      </c>
      <c r="C957" s="3">
        <v>45712.853067129632</v>
      </c>
      <c r="D957" t="s">
        <v>25</v>
      </c>
      <c r="E957" s="4">
        <v>59.085999999999999</v>
      </c>
      <c r="F957" s="4">
        <v>330871.929</v>
      </c>
      <c r="G957" s="4">
        <v>330931.01500000001</v>
      </c>
      <c r="H957" s="5">
        <f>4218 / 86400</f>
        <v>4.8819444444444443E-2</v>
      </c>
      <c r="I957" t="s">
        <v>67</v>
      </c>
      <c r="J957" t="s">
        <v>59</v>
      </c>
      <c r="K957" s="5">
        <f>13726 / 86400</f>
        <v>0.15886574074074075</v>
      </c>
      <c r="L957" s="5">
        <f>939 / 86400</f>
        <v>1.0868055555555556E-2</v>
      </c>
    </row>
    <row r="958" spans="1:12" x14ac:dyDescent="0.25">
      <c r="A958" s="3">
        <v>45712.863935185189</v>
      </c>
      <c r="B958" t="s">
        <v>25</v>
      </c>
      <c r="C958" s="3">
        <v>45712.864166666666</v>
      </c>
      <c r="D958" t="s">
        <v>25</v>
      </c>
      <c r="E958" s="4">
        <v>1.2999999999999999E-2</v>
      </c>
      <c r="F958" s="4">
        <v>330931.01500000001</v>
      </c>
      <c r="G958" s="4">
        <v>330931.02799999999</v>
      </c>
      <c r="H958" s="5">
        <f>19 / 86400</f>
        <v>2.199074074074074E-4</v>
      </c>
      <c r="I958" t="s">
        <v>24</v>
      </c>
      <c r="J958" t="s">
        <v>150</v>
      </c>
      <c r="K958" s="5">
        <f>20 / 86400</f>
        <v>2.3148148148148149E-4</v>
      </c>
      <c r="L958" s="5">
        <f>369 / 86400</f>
        <v>4.2708333333333331E-3</v>
      </c>
    </row>
    <row r="959" spans="1:12" x14ac:dyDescent="0.25">
      <c r="A959" s="3">
        <v>45712.868437500001</v>
      </c>
      <c r="B959" t="s">
        <v>25</v>
      </c>
      <c r="C959" s="3">
        <v>45712.870312500003</v>
      </c>
      <c r="D959" t="s">
        <v>27</v>
      </c>
      <c r="E959" s="4">
        <v>0.501</v>
      </c>
      <c r="F959" s="4">
        <v>330931.02799999999</v>
      </c>
      <c r="G959" s="4">
        <v>330931.52899999998</v>
      </c>
      <c r="H959" s="5">
        <f>20 / 86400</f>
        <v>2.3148148148148149E-4</v>
      </c>
      <c r="I959" t="s">
        <v>152</v>
      </c>
      <c r="J959" t="s">
        <v>42</v>
      </c>
      <c r="K959" s="5">
        <f>162 / 86400</f>
        <v>1.8749999999999999E-3</v>
      </c>
      <c r="L959" s="5">
        <f>382 / 86400</f>
        <v>4.4212962962962964E-3</v>
      </c>
    </row>
    <row r="960" spans="1:12" x14ac:dyDescent="0.25">
      <c r="A960" s="3">
        <v>45712.8747337963</v>
      </c>
      <c r="B960" t="s">
        <v>27</v>
      </c>
      <c r="C960" s="3">
        <v>45712.875567129631</v>
      </c>
      <c r="D960" t="s">
        <v>27</v>
      </c>
      <c r="E960" s="4">
        <v>3.1E-2</v>
      </c>
      <c r="F960" s="4">
        <v>330931.52899999998</v>
      </c>
      <c r="G960" s="4">
        <v>330931.56</v>
      </c>
      <c r="H960" s="5">
        <f>19 / 86400</f>
        <v>2.199074074074074E-4</v>
      </c>
      <c r="I960" t="s">
        <v>57</v>
      </c>
      <c r="J960" t="s">
        <v>150</v>
      </c>
      <c r="K960" s="5">
        <f>72 / 86400</f>
        <v>8.3333333333333339E-4</v>
      </c>
      <c r="L960" s="5">
        <f>10750 / 86400</f>
        <v>0.12442129629629629</v>
      </c>
    </row>
    <row r="961" spans="1:12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</row>
    <row r="962" spans="1:12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</row>
    <row r="963" spans="1:12" s="10" customFormat="1" ht="20.100000000000001" customHeight="1" x14ac:dyDescent="0.35">
      <c r="A963" s="15" t="s">
        <v>481</v>
      </c>
      <c r="B963" s="15"/>
      <c r="C963" s="15"/>
      <c r="D963" s="15"/>
      <c r="E963" s="15"/>
      <c r="F963" s="15"/>
      <c r="G963" s="15"/>
      <c r="H963" s="15"/>
      <c r="I963" s="15"/>
      <c r="J963" s="15"/>
    </row>
    <row r="964" spans="1:12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</row>
    <row r="965" spans="1:12" ht="30" x14ac:dyDescent="0.25">
      <c r="A965" s="2" t="s">
        <v>6</v>
      </c>
      <c r="B965" s="2" t="s">
        <v>7</v>
      </c>
      <c r="C965" s="2" t="s">
        <v>8</v>
      </c>
      <c r="D965" s="2" t="s">
        <v>9</v>
      </c>
      <c r="E965" s="2" t="s">
        <v>10</v>
      </c>
      <c r="F965" s="2" t="s">
        <v>11</v>
      </c>
      <c r="G965" s="2" t="s">
        <v>12</v>
      </c>
      <c r="H965" s="2" t="s">
        <v>13</v>
      </c>
      <c r="I965" s="2" t="s">
        <v>14</v>
      </c>
      <c r="J965" s="2" t="s">
        <v>15</v>
      </c>
      <c r="K965" s="2" t="s">
        <v>16</v>
      </c>
      <c r="L965" s="2" t="s">
        <v>17</v>
      </c>
    </row>
    <row r="966" spans="1:12" x14ac:dyDescent="0.25">
      <c r="A966" s="3">
        <v>45712.270127314812</v>
      </c>
      <c r="B966" t="s">
        <v>91</v>
      </c>
      <c r="C966" s="3">
        <v>45712.272893518515</v>
      </c>
      <c r="D966" t="s">
        <v>91</v>
      </c>
      <c r="E966" s="4">
        <v>0.10100000000000001</v>
      </c>
      <c r="F966" s="4">
        <v>82803.525999999998</v>
      </c>
      <c r="G966" s="4">
        <v>82803.626999999993</v>
      </c>
      <c r="H966" s="5">
        <f>140 / 86400</f>
        <v>1.6203703703703703E-3</v>
      </c>
      <c r="I966" t="s">
        <v>57</v>
      </c>
      <c r="J966" t="s">
        <v>150</v>
      </c>
      <c r="K966" s="5">
        <f>239 / 86400</f>
        <v>2.7662037037037039E-3</v>
      </c>
      <c r="L966" s="5">
        <f>32772 / 86400</f>
        <v>0.37930555555555556</v>
      </c>
    </row>
    <row r="967" spans="1:12" x14ac:dyDescent="0.25">
      <c r="A967" s="3">
        <v>45712.382071759261</v>
      </c>
      <c r="B967" t="s">
        <v>91</v>
      </c>
      <c r="C967" s="3">
        <v>45712.393182870372</v>
      </c>
      <c r="D967" t="s">
        <v>149</v>
      </c>
      <c r="E967" s="4">
        <v>1.5009999999999999</v>
      </c>
      <c r="F967" s="4">
        <v>82803.626999999993</v>
      </c>
      <c r="G967" s="4">
        <v>82805.127999999997</v>
      </c>
      <c r="H967" s="5">
        <f>558 / 86400</f>
        <v>6.4583333333333333E-3</v>
      </c>
      <c r="I967" t="s">
        <v>170</v>
      </c>
      <c r="J967" t="s">
        <v>32</v>
      </c>
      <c r="K967" s="5">
        <f>960 / 86400</f>
        <v>1.1111111111111112E-2</v>
      </c>
      <c r="L967" s="5">
        <f>180 / 86400</f>
        <v>2.0833333333333333E-3</v>
      </c>
    </row>
    <row r="968" spans="1:12" x14ac:dyDescent="0.25">
      <c r="A968" s="3">
        <v>45712.395266203705</v>
      </c>
      <c r="B968" t="s">
        <v>149</v>
      </c>
      <c r="C968" s="3">
        <v>45712.397361111114</v>
      </c>
      <c r="D968" t="s">
        <v>373</v>
      </c>
      <c r="E968" s="4">
        <v>0.79800000000000004</v>
      </c>
      <c r="F968" s="4">
        <v>82805.127999999997</v>
      </c>
      <c r="G968" s="4">
        <v>82805.926000000007</v>
      </c>
      <c r="H968" s="5">
        <f>0 / 86400</f>
        <v>0</v>
      </c>
      <c r="I968" t="s">
        <v>170</v>
      </c>
      <c r="J968" t="s">
        <v>34</v>
      </c>
      <c r="K968" s="5">
        <f>180 / 86400</f>
        <v>2.0833333333333333E-3</v>
      </c>
      <c r="L968" s="5">
        <f>416 / 86400</f>
        <v>4.8148148148148152E-3</v>
      </c>
    </row>
    <row r="969" spans="1:12" x14ac:dyDescent="0.25">
      <c r="A969" s="3">
        <v>45712.402175925927</v>
      </c>
      <c r="B969" t="s">
        <v>373</v>
      </c>
      <c r="C969" s="3">
        <v>45712.409016203703</v>
      </c>
      <c r="D969" t="s">
        <v>91</v>
      </c>
      <c r="E969" s="4">
        <v>2.403</v>
      </c>
      <c r="F969" s="4">
        <v>82805.926000000007</v>
      </c>
      <c r="G969" s="4">
        <v>82808.328999999998</v>
      </c>
      <c r="H969" s="5">
        <f>160 / 86400</f>
        <v>1.8518518518518519E-3</v>
      </c>
      <c r="I969" t="s">
        <v>94</v>
      </c>
      <c r="J969" t="s">
        <v>59</v>
      </c>
      <c r="K969" s="5">
        <f>590 / 86400</f>
        <v>6.828703703703704E-3</v>
      </c>
      <c r="L969" s="5">
        <f>1140 / 86400</f>
        <v>1.3194444444444444E-2</v>
      </c>
    </row>
    <row r="970" spans="1:12" x14ac:dyDescent="0.25">
      <c r="A970" s="3">
        <v>45712.422210648147</v>
      </c>
      <c r="B970" t="s">
        <v>91</v>
      </c>
      <c r="C970" s="3">
        <v>45712.481539351851</v>
      </c>
      <c r="D970" t="s">
        <v>154</v>
      </c>
      <c r="E970" s="4">
        <v>34.744999999999997</v>
      </c>
      <c r="F970" s="4">
        <v>82808.328999999998</v>
      </c>
      <c r="G970" s="4">
        <v>82843.073999999993</v>
      </c>
      <c r="H970" s="5">
        <f>1180 / 86400</f>
        <v>1.3657407407407408E-2</v>
      </c>
      <c r="I970" t="s">
        <v>80</v>
      </c>
      <c r="J970" t="s">
        <v>182</v>
      </c>
      <c r="K970" s="5">
        <f>5125 / 86400</f>
        <v>5.9317129629629629E-2</v>
      </c>
      <c r="L970" s="5">
        <f>2 / 86400</f>
        <v>2.3148148148148147E-5</v>
      </c>
    </row>
    <row r="971" spans="1:12" x14ac:dyDescent="0.25">
      <c r="A971" s="3">
        <v>45712.481562500005</v>
      </c>
      <c r="B971" t="s">
        <v>154</v>
      </c>
      <c r="C971" s="3">
        <v>45712.495451388888</v>
      </c>
      <c r="D971" t="s">
        <v>423</v>
      </c>
      <c r="E971" s="4">
        <v>2.206</v>
      </c>
      <c r="F971" s="4">
        <v>82843.073999999993</v>
      </c>
      <c r="G971" s="4">
        <v>82845.279999999999</v>
      </c>
      <c r="H971" s="5">
        <f>606 / 86400</f>
        <v>7.013888888888889E-3</v>
      </c>
      <c r="I971" t="s">
        <v>290</v>
      </c>
      <c r="J971" t="s">
        <v>99</v>
      </c>
      <c r="K971" s="5">
        <f>1200 / 86400</f>
        <v>1.3888888888888888E-2</v>
      </c>
      <c r="L971" s="5">
        <f>344 / 86400</f>
        <v>3.9814814814814817E-3</v>
      </c>
    </row>
    <row r="972" spans="1:12" x14ac:dyDescent="0.25">
      <c r="A972" s="3">
        <v>45712.499432870369</v>
      </c>
      <c r="B972" t="s">
        <v>423</v>
      </c>
      <c r="C972" s="3">
        <v>45712.555856481486</v>
      </c>
      <c r="D972" t="s">
        <v>18</v>
      </c>
      <c r="E972" s="4">
        <v>9.31</v>
      </c>
      <c r="F972" s="4">
        <v>82845.279999999999</v>
      </c>
      <c r="G972" s="4">
        <v>82854.59</v>
      </c>
      <c r="H972" s="5">
        <f>2940 / 86400</f>
        <v>3.4027777777777775E-2</v>
      </c>
      <c r="I972" t="s">
        <v>188</v>
      </c>
      <c r="J972" t="s">
        <v>99</v>
      </c>
      <c r="K972" s="5">
        <f>4875 / 86400</f>
        <v>5.6423611111111112E-2</v>
      </c>
      <c r="L972" s="5">
        <f>5154 / 86400</f>
        <v>5.9652777777777777E-2</v>
      </c>
    </row>
    <row r="973" spans="1:12" x14ac:dyDescent="0.25">
      <c r="A973" s="3">
        <v>45712.61550925926</v>
      </c>
      <c r="B973" t="s">
        <v>18</v>
      </c>
      <c r="C973" s="3">
        <v>45712.615601851852</v>
      </c>
      <c r="D973" t="s">
        <v>18</v>
      </c>
      <c r="E973" s="4">
        <v>0</v>
      </c>
      <c r="F973" s="4">
        <v>82854.59</v>
      </c>
      <c r="G973" s="4">
        <v>82854.59</v>
      </c>
      <c r="H973" s="5">
        <f>0 / 86400</f>
        <v>0</v>
      </c>
      <c r="I973" t="s">
        <v>24</v>
      </c>
      <c r="J973" t="s">
        <v>24</v>
      </c>
      <c r="K973" s="5">
        <f>7 / 86400</f>
        <v>8.1018518518518516E-5</v>
      </c>
      <c r="L973" s="5">
        <f>118 / 86400</f>
        <v>1.3657407407407407E-3</v>
      </c>
    </row>
    <row r="974" spans="1:12" x14ac:dyDescent="0.25">
      <c r="A974" s="3">
        <v>45712.616967592592</v>
      </c>
      <c r="B974" t="s">
        <v>18</v>
      </c>
      <c r="C974" s="3">
        <v>45712.617025462961</v>
      </c>
      <c r="D974" t="s">
        <v>18</v>
      </c>
      <c r="E974" s="4">
        <v>0</v>
      </c>
      <c r="F974" s="4">
        <v>82854.59</v>
      </c>
      <c r="G974" s="4">
        <v>82854.59</v>
      </c>
      <c r="H974" s="5">
        <f>0 / 86400</f>
        <v>0</v>
      </c>
      <c r="I974" t="s">
        <v>24</v>
      </c>
      <c r="J974" t="s">
        <v>24</v>
      </c>
      <c r="K974" s="5">
        <f>4 / 86400</f>
        <v>4.6296296296296294E-5</v>
      </c>
      <c r="L974" s="5">
        <f>80 / 86400</f>
        <v>9.2592592592592596E-4</v>
      </c>
    </row>
    <row r="975" spans="1:12" x14ac:dyDescent="0.25">
      <c r="A975" s="3">
        <v>45712.617951388893</v>
      </c>
      <c r="B975" t="s">
        <v>18</v>
      </c>
      <c r="C975" s="3">
        <v>45712.618009259255</v>
      </c>
      <c r="D975" t="s">
        <v>18</v>
      </c>
      <c r="E975" s="4">
        <v>0</v>
      </c>
      <c r="F975" s="4">
        <v>82854.59</v>
      </c>
      <c r="G975" s="4">
        <v>82854.59</v>
      </c>
      <c r="H975" s="5">
        <f>0 / 86400</f>
        <v>0</v>
      </c>
      <c r="I975" t="s">
        <v>24</v>
      </c>
      <c r="J975" t="s">
        <v>24</v>
      </c>
      <c r="K975" s="5">
        <f>4 / 86400</f>
        <v>4.6296296296296294E-5</v>
      </c>
      <c r="L975" s="5">
        <f>75 / 86400</f>
        <v>8.6805555555555551E-4</v>
      </c>
    </row>
    <row r="976" spans="1:12" x14ac:dyDescent="0.25">
      <c r="A976" s="3">
        <v>45712.618877314817</v>
      </c>
      <c r="B976" t="s">
        <v>18</v>
      </c>
      <c r="C976" s="3">
        <v>45712.618935185186</v>
      </c>
      <c r="D976" t="s">
        <v>18</v>
      </c>
      <c r="E976" s="4">
        <v>0</v>
      </c>
      <c r="F976" s="4">
        <v>82854.59</v>
      </c>
      <c r="G976" s="4">
        <v>82854.59</v>
      </c>
      <c r="H976" s="5">
        <f>0 / 86400</f>
        <v>0</v>
      </c>
      <c r="I976" t="s">
        <v>24</v>
      </c>
      <c r="J976" t="s">
        <v>24</v>
      </c>
      <c r="K976" s="5">
        <f>4 / 86400</f>
        <v>4.6296296296296294E-5</v>
      </c>
      <c r="L976" s="5">
        <f>1602 / 86400</f>
        <v>1.8541666666666668E-2</v>
      </c>
    </row>
    <row r="977" spans="1:12" x14ac:dyDescent="0.25">
      <c r="A977" s="3">
        <v>45712.637476851851</v>
      </c>
      <c r="B977" t="s">
        <v>18</v>
      </c>
      <c r="C977" s="3">
        <v>45712.643877314811</v>
      </c>
      <c r="D977" t="s">
        <v>18</v>
      </c>
      <c r="E977" s="4">
        <v>0</v>
      </c>
      <c r="F977" s="4">
        <v>82854.59</v>
      </c>
      <c r="G977" s="4">
        <v>82854.59</v>
      </c>
      <c r="H977" s="5">
        <f>539 / 86400</f>
        <v>6.2384259259259259E-3</v>
      </c>
      <c r="I977" t="s">
        <v>24</v>
      </c>
      <c r="J977" t="s">
        <v>24</v>
      </c>
      <c r="K977" s="5">
        <f>552 / 86400</f>
        <v>6.3888888888888893E-3</v>
      </c>
      <c r="L977" s="5">
        <f>521 / 86400</f>
        <v>6.030092592592593E-3</v>
      </c>
    </row>
    <row r="978" spans="1:12" x14ac:dyDescent="0.25">
      <c r="A978" s="3">
        <v>45712.649907407409</v>
      </c>
      <c r="B978" t="s">
        <v>18</v>
      </c>
      <c r="C978" s="3">
        <v>45712.652175925927</v>
      </c>
      <c r="D978" t="s">
        <v>18</v>
      </c>
      <c r="E978" s="4">
        <v>0</v>
      </c>
      <c r="F978" s="4">
        <v>82854.59</v>
      </c>
      <c r="G978" s="4">
        <v>82854.59</v>
      </c>
      <c r="H978" s="5">
        <f>180 / 86400</f>
        <v>2.0833333333333333E-3</v>
      </c>
      <c r="I978" t="s">
        <v>24</v>
      </c>
      <c r="J978" t="s">
        <v>24</v>
      </c>
      <c r="K978" s="5">
        <f>196 / 86400</f>
        <v>2.2685185185185187E-3</v>
      </c>
      <c r="L978" s="5">
        <f>2818 / 86400</f>
        <v>3.2615740740740744E-2</v>
      </c>
    </row>
    <row r="979" spans="1:12" x14ac:dyDescent="0.25">
      <c r="A979" s="3">
        <v>45712.684791666667</v>
      </c>
      <c r="B979" t="s">
        <v>18</v>
      </c>
      <c r="C979" s="3">
        <v>45712.719131944439</v>
      </c>
      <c r="D979" t="s">
        <v>18</v>
      </c>
      <c r="E979" s="4">
        <v>5.0000000000000001E-3</v>
      </c>
      <c r="F979" s="4">
        <v>82854.59</v>
      </c>
      <c r="G979" s="4">
        <v>82854.595000000001</v>
      </c>
      <c r="H979" s="5">
        <f>2959 / 86400</f>
        <v>3.4247685185185187E-2</v>
      </c>
      <c r="I979" t="s">
        <v>24</v>
      </c>
      <c r="J979" t="s">
        <v>24</v>
      </c>
      <c r="K979" s="5">
        <f>2967 / 86400</f>
        <v>3.4340277777777775E-2</v>
      </c>
      <c r="L979" s="5">
        <f>2 / 86400</f>
        <v>2.3148148148148147E-5</v>
      </c>
    </row>
    <row r="980" spans="1:12" x14ac:dyDescent="0.25">
      <c r="A980" s="3">
        <v>45712.719155092593</v>
      </c>
      <c r="B980" t="s">
        <v>18</v>
      </c>
      <c r="C980" s="3">
        <v>45712.719456018516</v>
      </c>
      <c r="D980" t="s">
        <v>18</v>
      </c>
      <c r="E980" s="4">
        <v>1E-3</v>
      </c>
      <c r="F980" s="4">
        <v>82854.595000000001</v>
      </c>
      <c r="G980" s="4">
        <v>82854.596000000005</v>
      </c>
      <c r="H980" s="5">
        <f>10 / 86400</f>
        <v>1.1574074074074075E-4</v>
      </c>
      <c r="I980" t="s">
        <v>24</v>
      </c>
      <c r="J980" t="s">
        <v>24</v>
      </c>
      <c r="K980" s="5">
        <f>26 / 86400</f>
        <v>3.0092592592592595E-4</v>
      </c>
      <c r="L980" s="5">
        <f>620 / 86400</f>
        <v>7.1759259259259259E-3</v>
      </c>
    </row>
    <row r="981" spans="1:12" x14ac:dyDescent="0.25">
      <c r="A981" s="3">
        <v>45712.726631944446</v>
      </c>
      <c r="B981" t="s">
        <v>18</v>
      </c>
      <c r="C981" s="3">
        <v>45712.811354166668</v>
      </c>
      <c r="D981" t="s">
        <v>18</v>
      </c>
      <c r="E981" s="4">
        <v>0</v>
      </c>
      <c r="F981" s="4">
        <v>82854.596000000005</v>
      </c>
      <c r="G981" s="4">
        <v>82854.596000000005</v>
      </c>
      <c r="H981" s="5">
        <f>7299 / 86400</f>
        <v>8.4479166666666661E-2</v>
      </c>
      <c r="I981" t="s">
        <v>24</v>
      </c>
      <c r="J981" t="s">
        <v>24</v>
      </c>
      <c r="K981" s="5">
        <f>7320 / 86400</f>
        <v>8.4722222222222227E-2</v>
      </c>
      <c r="L981" s="5">
        <f>16298 / 86400</f>
        <v>0.18863425925925925</v>
      </c>
    </row>
    <row r="982" spans="1:12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</row>
    <row r="983" spans="1:12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</row>
    <row r="984" spans="1:12" s="10" customFormat="1" ht="20.100000000000001" customHeight="1" x14ac:dyDescent="0.35">
      <c r="A984" s="15" t="s">
        <v>482</v>
      </c>
      <c r="B984" s="15"/>
      <c r="C984" s="15"/>
      <c r="D984" s="15"/>
      <c r="E984" s="15"/>
      <c r="F984" s="15"/>
      <c r="G984" s="15"/>
      <c r="H984" s="15"/>
      <c r="I984" s="15"/>
      <c r="J984" s="15"/>
    </row>
    <row r="985" spans="1:12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</row>
    <row r="986" spans="1:12" ht="30" x14ac:dyDescent="0.25">
      <c r="A986" s="2" t="s">
        <v>6</v>
      </c>
      <c r="B986" s="2" t="s">
        <v>7</v>
      </c>
      <c r="C986" s="2" t="s">
        <v>8</v>
      </c>
      <c r="D986" s="2" t="s">
        <v>9</v>
      </c>
      <c r="E986" s="2" t="s">
        <v>10</v>
      </c>
      <c r="F986" s="2" t="s">
        <v>11</v>
      </c>
      <c r="G986" s="2" t="s">
        <v>12</v>
      </c>
      <c r="H986" s="2" t="s">
        <v>13</v>
      </c>
      <c r="I986" s="2" t="s">
        <v>14</v>
      </c>
      <c r="J986" s="2" t="s">
        <v>15</v>
      </c>
      <c r="K986" s="2" t="s">
        <v>16</v>
      </c>
      <c r="L986" s="2" t="s">
        <v>17</v>
      </c>
    </row>
    <row r="987" spans="1:12" x14ac:dyDescent="0.25">
      <c r="A987" s="3">
        <v>45712.383229166662</v>
      </c>
      <c r="B987" t="s">
        <v>93</v>
      </c>
      <c r="C987" s="3">
        <v>45712.390567129631</v>
      </c>
      <c r="D987" t="s">
        <v>93</v>
      </c>
      <c r="E987" s="4">
        <v>3.4000000000000002E-2</v>
      </c>
      <c r="F987" s="4">
        <v>472173.91899999999</v>
      </c>
      <c r="G987" s="4">
        <v>472173.95299999998</v>
      </c>
      <c r="H987" s="5">
        <f>579 / 86400</f>
        <v>6.7013888888888887E-3</v>
      </c>
      <c r="I987" t="s">
        <v>32</v>
      </c>
      <c r="J987" t="s">
        <v>24</v>
      </c>
      <c r="K987" s="5">
        <f>634 / 86400</f>
        <v>7.3379629629629628E-3</v>
      </c>
      <c r="L987" s="5">
        <f>33112 / 86400</f>
        <v>0.38324074074074072</v>
      </c>
    </row>
    <row r="988" spans="1:12" x14ac:dyDescent="0.25">
      <c r="A988" s="3">
        <v>45712.390578703707</v>
      </c>
      <c r="B988" t="s">
        <v>93</v>
      </c>
      <c r="C988" s="3">
        <v>45712.390659722223</v>
      </c>
      <c r="D988" t="s">
        <v>93</v>
      </c>
      <c r="E988" s="4">
        <v>0</v>
      </c>
      <c r="F988" s="4">
        <v>472173.95299999998</v>
      </c>
      <c r="G988" s="4">
        <v>472173.95299999998</v>
      </c>
      <c r="H988" s="5">
        <f>0 / 86400</f>
        <v>0</v>
      </c>
      <c r="I988" t="s">
        <v>24</v>
      </c>
      <c r="J988" t="s">
        <v>24</v>
      </c>
      <c r="K988" s="5">
        <f>7 / 86400</f>
        <v>8.1018518518518516E-5</v>
      </c>
      <c r="L988" s="5">
        <f>43 / 86400</f>
        <v>4.9768518518518521E-4</v>
      </c>
    </row>
    <row r="989" spans="1:12" x14ac:dyDescent="0.25">
      <c r="A989" s="3">
        <v>45712.391157407408</v>
      </c>
      <c r="B989" t="s">
        <v>93</v>
      </c>
      <c r="C989" s="3">
        <v>45712.394594907411</v>
      </c>
      <c r="D989" t="s">
        <v>93</v>
      </c>
      <c r="E989" s="4">
        <v>0</v>
      </c>
      <c r="F989" s="4">
        <v>472173.95299999998</v>
      </c>
      <c r="G989" s="4">
        <v>472173.95299999998</v>
      </c>
      <c r="H989" s="5">
        <f>279 / 86400</f>
        <v>3.2291666666666666E-3</v>
      </c>
      <c r="I989" t="s">
        <v>24</v>
      </c>
      <c r="J989" t="s">
        <v>24</v>
      </c>
      <c r="K989" s="5">
        <f>296 / 86400</f>
        <v>3.425925925925926E-3</v>
      </c>
      <c r="L989" s="5">
        <f>11755 / 86400</f>
        <v>0.13605324074074074</v>
      </c>
    </row>
    <row r="990" spans="1:12" x14ac:dyDescent="0.25">
      <c r="A990" s="3">
        <v>45712.530648148153</v>
      </c>
      <c r="B990" t="s">
        <v>93</v>
      </c>
      <c r="C990" s="3">
        <v>45712.530763888892</v>
      </c>
      <c r="D990" t="s">
        <v>93</v>
      </c>
      <c r="E990" s="4">
        <v>0</v>
      </c>
      <c r="F990" s="4">
        <v>472173.95299999998</v>
      </c>
      <c r="G990" s="4">
        <v>472173.95299999998</v>
      </c>
      <c r="H990" s="5">
        <f>0 / 86400</f>
        <v>0</v>
      </c>
      <c r="I990" t="s">
        <v>24</v>
      </c>
      <c r="J990" t="s">
        <v>24</v>
      </c>
      <c r="K990" s="5">
        <f>10 / 86400</f>
        <v>1.1574074074074075E-4</v>
      </c>
      <c r="L990" s="5">
        <f>229 / 86400</f>
        <v>2.650462962962963E-3</v>
      </c>
    </row>
    <row r="991" spans="1:12" x14ac:dyDescent="0.25">
      <c r="A991" s="3">
        <v>45712.533414351856</v>
      </c>
      <c r="B991" t="s">
        <v>93</v>
      </c>
      <c r="C991" s="3">
        <v>45712.536226851851</v>
      </c>
      <c r="D991" t="s">
        <v>93</v>
      </c>
      <c r="E991" s="4">
        <v>0</v>
      </c>
      <c r="F991" s="4">
        <v>472173.95299999998</v>
      </c>
      <c r="G991" s="4">
        <v>472173.95299999998</v>
      </c>
      <c r="H991" s="5">
        <f>239 / 86400</f>
        <v>2.7662037037037039E-3</v>
      </c>
      <c r="I991" t="s">
        <v>24</v>
      </c>
      <c r="J991" t="s">
        <v>24</v>
      </c>
      <c r="K991" s="5">
        <f>243 / 86400</f>
        <v>2.8124999999999999E-3</v>
      </c>
      <c r="L991" s="5">
        <f>1 / 86400</f>
        <v>1.1574074074074073E-5</v>
      </c>
    </row>
    <row r="992" spans="1:12" x14ac:dyDescent="0.25">
      <c r="A992" s="3">
        <v>45712.536238425921</v>
      </c>
      <c r="B992" t="s">
        <v>93</v>
      </c>
      <c r="C992" s="3">
        <v>45712.536273148144</v>
      </c>
      <c r="D992" t="s">
        <v>93</v>
      </c>
      <c r="E992" s="4">
        <v>0</v>
      </c>
      <c r="F992" s="4">
        <v>472173.95299999998</v>
      </c>
      <c r="G992" s="4">
        <v>472173.95299999998</v>
      </c>
      <c r="H992" s="5">
        <f>0 / 86400</f>
        <v>0</v>
      </c>
      <c r="I992" t="s">
        <v>24</v>
      </c>
      <c r="J992" t="s">
        <v>24</v>
      </c>
      <c r="K992" s="5">
        <f>3 / 86400</f>
        <v>3.4722222222222222E-5</v>
      </c>
      <c r="L992" s="5">
        <f>503 / 86400</f>
        <v>5.8217592592592592E-3</v>
      </c>
    </row>
    <row r="993" spans="1:12" x14ac:dyDescent="0.25">
      <c r="A993" s="3">
        <v>45712.542094907403</v>
      </c>
      <c r="B993" t="s">
        <v>93</v>
      </c>
      <c r="C993" s="3">
        <v>45712.545289351852</v>
      </c>
      <c r="D993" t="s">
        <v>125</v>
      </c>
      <c r="E993" s="4">
        <v>0.14899999999999999</v>
      </c>
      <c r="F993" s="4">
        <v>472173.95299999998</v>
      </c>
      <c r="G993" s="4">
        <v>472174.10200000001</v>
      </c>
      <c r="H993" s="5">
        <f>179 / 86400</f>
        <v>2.0717592592592593E-3</v>
      </c>
      <c r="I993" t="s">
        <v>51</v>
      </c>
      <c r="J993" t="s">
        <v>150</v>
      </c>
      <c r="K993" s="5">
        <f>276 / 86400</f>
        <v>3.1944444444444446E-3</v>
      </c>
      <c r="L993" s="5">
        <f>51 / 86400</f>
        <v>5.9027777777777778E-4</v>
      </c>
    </row>
    <row r="994" spans="1:12" x14ac:dyDescent="0.25">
      <c r="A994" s="3">
        <v>45712.54587962963</v>
      </c>
      <c r="B994" t="s">
        <v>125</v>
      </c>
      <c r="C994" s="3">
        <v>45712.547152777777</v>
      </c>
      <c r="D994" t="s">
        <v>125</v>
      </c>
      <c r="E994" s="4">
        <v>0.04</v>
      </c>
      <c r="F994" s="4">
        <v>472174.10200000001</v>
      </c>
      <c r="G994" s="4">
        <v>472174.14199999999</v>
      </c>
      <c r="H994" s="5">
        <f>59 / 86400</f>
        <v>6.8287037037037036E-4</v>
      </c>
      <c r="I994" t="s">
        <v>95</v>
      </c>
      <c r="J994" t="s">
        <v>143</v>
      </c>
      <c r="K994" s="5">
        <f>110 / 86400</f>
        <v>1.2731481481481483E-3</v>
      </c>
      <c r="L994" s="5">
        <f>360 / 86400</f>
        <v>4.1666666666666666E-3</v>
      </c>
    </row>
    <row r="995" spans="1:12" x14ac:dyDescent="0.25">
      <c r="A995" s="3">
        <v>45712.551319444443</v>
      </c>
      <c r="B995" t="s">
        <v>125</v>
      </c>
      <c r="C995" s="3">
        <v>45712.55740740741</v>
      </c>
      <c r="D995" t="s">
        <v>68</v>
      </c>
      <c r="E995" s="4">
        <v>1.07</v>
      </c>
      <c r="F995" s="4">
        <v>472174.14199999999</v>
      </c>
      <c r="G995" s="4">
        <v>472175.212</v>
      </c>
      <c r="H995" s="5">
        <f>179 / 86400</f>
        <v>2.0717592592592593E-3</v>
      </c>
      <c r="I995" t="s">
        <v>94</v>
      </c>
      <c r="J995" t="s">
        <v>99</v>
      </c>
      <c r="K995" s="5">
        <f>525 / 86400</f>
        <v>6.076388888888889E-3</v>
      </c>
      <c r="L995" s="5">
        <f>1455 / 86400</f>
        <v>1.6840277777777777E-2</v>
      </c>
    </row>
    <row r="996" spans="1:12" x14ac:dyDescent="0.25">
      <c r="A996" s="3">
        <v>45712.574247685188</v>
      </c>
      <c r="B996" t="s">
        <v>68</v>
      </c>
      <c r="C996" s="3">
        <v>45712.578819444447</v>
      </c>
      <c r="D996" t="s">
        <v>93</v>
      </c>
      <c r="E996" s="4">
        <v>1.0169999999999999</v>
      </c>
      <c r="F996" s="4">
        <v>472175.212</v>
      </c>
      <c r="G996" s="4">
        <v>472176.22899999999</v>
      </c>
      <c r="H996" s="5">
        <f>100 / 86400</f>
        <v>1.1574074074074073E-3</v>
      </c>
      <c r="I996" t="s">
        <v>36</v>
      </c>
      <c r="J996" t="s">
        <v>135</v>
      </c>
      <c r="K996" s="5">
        <f>395 / 86400</f>
        <v>4.5717592592592589E-3</v>
      </c>
      <c r="L996" s="5">
        <f>8490 / 86400</f>
        <v>9.8263888888888887E-2</v>
      </c>
    </row>
    <row r="997" spans="1:12" x14ac:dyDescent="0.25">
      <c r="A997" s="3">
        <v>45712.677083333328</v>
      </c>
      <c r="B997" t="s">
        <v>93</v>
      </c>
      <c r="C997" s="3">
        <v>45712.681539351848</v>
      </c>
      <c r="D997" t="s">
        <v>125</v>
      </c>
      <c r="E997" s="4">
        <v>0.77200000000000002</v>
      </c>
      <c r="F997" s="4">
        <v>472176.22899999999</v>
      </c>
      <c r="G997" s="4">
        <v>472177.00099999999</v>
      </c>
      <c r="H997" s="5">
        <f>140 / 86400</f>
        <v>1.6203703703703703E-3</v>
      </c>
      <c r="I997" t="s">
        <v>20</v>
      </c>
      <c r="J997" t="s">
        <v>99</v>
      </c>
      <c r="K997" s="5">
        <f>385 / 86400</f>
        <v>4.4560185185185189E-3</v>
      </c>
      <c r="L997" s="5">
        <f>7986 / 86400</f>
        <v>9.2430555555555557E-2</v>
      </c>
    </row>
    <row r="998" spans="1:12" x14ac:dyDescent="0.25">
      <c r="A998" s="3">
        <v>45712.773969907408</v>
      </c>
      <c r="B998" t="s">
        <v>125</v>
      </c>
      <c r="C998" s="3">
        <v>45712.774247685185</v>
      </c>
      <c r="D998" t="s">
        <v>125</v>
      </c>
      <c r="E998" s="4">
        <v>1.7000000000000001E-2</v>
      </c>
      <c r="F998" s="4">
        <v>472177.00099999999</v>
      </c>
      <c r="G998" s="4">
        <v>472177.01799999998</v>
      </c>
      <c r="H998" s="5">
        <f>0 / 86400</f>
        <v>0</v>
      </c>
      <c r="I998" t="s">
        <v>32</v>
      </c>
      <c r="J998" t="s">
        <v>95</v>
      </c>
      <c r="K998" s="5">
        <f>23 / 86400</f>
        <v>2.6620370370370372E-4</v>
      </c>
      <c r="L998" s="5">
        <f>9592 / 86400</f>
        <v>0.11101851851851852</v>
      </c>
    </row>
    <row r="999" spans="1:12" x14ac:dyDescent="0.25">
      <c r="A999" s="3">
        <v>45712.885266203702</v>
      </c>
      <c r="B999" t="s">
        <v>125</v>
      </c>
      <c r="C999" s="3">
        <v>45712.894016203703</v>
      </c>
      <c r="D999" t="s">
        <v>93</v>
      </c>
      <c r="E999" s="4">
        <v>0.27600000000000002</v>
      </c>
      <c r="F999" s="4">
        <v>472177.01799999998</v>
      </c>
      <c r="G999" s="4">
        <v>472177.29399999999</v>
      </c>
      <c r="H999" s="5">
        <f>599 / 86400</f>
        <v>6.9328703703703705E-3</v>
      </c>
      <c r="I999" t="s">
        <v>145</v>
      </c>
      <c r="J999" t="s">
        <v>143</v>
      </c>
      <c r="K999" s="5">
        <f>756 / 86400</f>
        <v>8.7500000000000008E-3</v>
      </c>
      <c r="L999" s="5">
        <f>9156 / 86400</f>
        <v>0.10597222222222222</v>
      </c>
    </row>
    <row r="1000" spans="1:12" x14ac:dyDescent="0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</row>
    <row r="1001" spans="1:12" x14ac:dyDescent="0.2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</row>
    <row r="1002" spans="1:12" s="10" customFormat="1" ht="20.100000000000001" customHeight="1" x14ac:dyDescent="0.35">
      <c r="A1002" s="15" t="s">
        <v>483</v>
      </c>
      <c r="B1002" s="15"/>
      <c r="C1002" s="15"/>
      <c r="D1002" s="15"/>
      <c r="E1002" s="15"/>
      <c r="F1002" s="15"/>
      <c r="G1002" s="15"/>
      <c r="H1002" s="15"/>
      <c r="I1002" s="15"/>
      <c r="J1002" s="15"/>
    </row>
    <row r="1003" spans="1:12" x14ac:dyDescent="0.25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</row>
    <row r="1004" spans="1:12" ht="30" x14ac:dyDescent="0.25">
      <c r="A1004" s="2" t="s">
        <v>6</v>
      </c>
      <c r="B1004" s="2" t="s">
        <v>7</v>
      </c>
      <c r="C1004" s="2" t="s">
        <v>8</v>
      </c>
      <c r="D1004" s="2" t="s">
        <v>9</v>
      </c>
      <c r="E1004" s="2" t="s">
        <v>10</v>
      </c>
      <c r="F1004" s="2" t="s">
        <v>11</v>
      </c>
      <c r="G1004" s="2" t="s">
        <v>12</v>
      </c>
      <c r="H1004" s="2" t="s">
        <v>13</v>
      </c>
      <c r="I1004" s="2" t="s">
        <v>14</v>
      </c>
      <c r="J1004" s="2" t="s">
        <v>15</v>
      </c>
      <c r="K1004" s="2" t="s">
        <v>16</v>
      </c>
      <c r="L1004" s="2" t="s">
        <v>17</v>
      </c>
    </row>
    <row r="1005" spans="1:12" x14ac:dyDescent="0.25">
      <c r="A1005" s="3">
        <v>45712.392962962964</v>
      </c>
      <c r="B1005" t="s">
        <v>84</v>
      </c>
      <c r="C1005" s="3">
        <v>45712.401273148149</v>
      </c>
      <c r="D1005" t="s">
        <v>84</v>
      </c>
      <c r="E1005" s="4">
        <v>0</v>
      </c>
      <c r="F1005" s="4">
        <v>428213.33600000001</v>
      </c>
      <c r="G1005" s="4">
        <v>428213.33600000001</v>
      </c>
      <c r="H1005" s="5">
        <f>699 / 86400</f>
        <v>8.0902777777777778E-3</v>
      </c>
      <c r="I1005" t="s">
        <v>24</v>
      </c>
      <c r="J1005" t="s">
        <v>24</v>
      </c>
      <c r="K1005" s="5">
        <f>718 / 86400</f>
        <v>8.3101851851851843E-3</v>
      </c>
      <c r="L1005" s="5">
        <f>34061 / 86400</f>
        <v>0.39422453703703703</v>
      </c>
    </row>
    <row r="1006" spans="1:12" x14ac:dyDescent="0.25">
      <c r="A1006" s="3">
        <v>45712.40253472222</v>
      </c>
      <c r="B1006" t="s">
        <v>84</v>
      </c>
      <c r="C1006" s="3">
        <v>45712.402662037042</v>
      </c>
      <c r="D1006" t="s">
        <v>84</v>
      </c>
      <c r="E1006" s="4">
        <v>0</v>
      </c>
      <c r="F1006" s="4">
        <v>428213.33600000001</v>
      </c>
      <c r="G1006" s="4">
        <v>428213.33600000001</v>
      </c>
      <c r="H1006" s="5">
        <f>0 / 86400</f>
        <v>0</v>
      </c>
      <c r="I1006" t="s">
        <v>24</v>
      </c>
      <c r="J1006" t="s">
        <v>24</v>
      </c>
      <c r="K1006" s="5">
        <f>11 / 86400</f>
        <v>1.273148148148148E-4</v>
      </c>
      <c r="L1006" s="5">
        <f>85 / 86400</f>
        <v>9.837962962962962E-4</v>
      </c>
    </row>
    <row r="1007" spans="1:12" x14ac:dyDescent="0.25">
      <c r="A1007" s="3">
        <v>45712.403645833328</v>
      </c>
      <c r="B1007" t="s">
        <v>84</v>
      </c>
      <c r="C1007" s="3">
        <v>45712.422824074078</v>
      </c>
      <c r="D1007" t="s">
        <v>84</v>
      </c>
      <c r="E1007" s="4">
        <v>0</v>
      </c>
      <c r="F1007" s="4">
        <v>428213.33600000001</v>
      </c>
      <c r="G1007" s="4">
        <v>428213.33600000001</v>
      </c>
      <c r="H1007" s="5">
        <f>1639 / 86400</f>
        <v>1.8969907407407408E-2</v>
      </c>
      <c r="I1007" t="s">
        <v>24</v>
      </c>
      <c r="J1007" t="s">
        <v>24</v>
      </c>
      <c r="K1007" s="5">
        <f>1657 / 86400</f>
        <v>1.9178240740740742E-2</v>
      </c>
      <c r="L1007" s="5">
        <f>43 / 86400</f>
        <v>4.9768518518518521E-4</v>
      </c>
    </row>
    <row r="1008" spans="1:12" x14ac:dyDescent="0.25">
      <c r="A1008" s="3">
        <v>45712.423321759255</v>
      </c>
      <c r="B1008" t="s">
        <v>84</v>
      </c>
      <c r="C1008" s="3">
        <v>45712.435925925922</v>
      </c>
      <c r="D1008" t="s">
        <v>84</v>
      </c>
      <c r="E1008" s="4">
        <v>0</v>
      </c>
      <c r="F1008" s="4">
        <v>428213.33600000001</v>
      </c>
      <c r="G1008" s="4">
        <v>428213.33600000001</v>
      </c>
      <c r="H1008" s="5">
        <f>1079 / 86400</f>
        <v>1.2488425925925925E-2</v>
      </c>
      <c r="I1008" t="s">
        <v>24</v>
      </c>
      <c r="J1008" t="s">
        <v>24</v>
      </c>
      <c r="K1008" s="5">
        <f>1089 / 86400</f>
        <v>1.2604166666666666E-2</v>
      </c>
      <c r="L1008" s="5">
        <f>309 / 86400</f>
        <v>3.5763888888888889E-3</v>
      </c>
    </row>
    <row r="1009" spans="1:12" x14ac:dyDescent="0.25">
      <c r="A1009" s="3">
        <v>45712.43950231481</v>
      </c>
      <c r="B1009" t="s">
        <v>84</v>
      </c>
      <c r="C1009" s="3">
        <v>45712.699108796296</v>
      </c>
      <c r="D1009" t="s">
        <v>84</v>
      </c>
      <c r="E1009" s="4">
        <v>0</v>
      </c>
      <c r="F1009" s="4">
        <v>428213.33600000001</v>
      </c>
      <c r="G1009" s="4">
        <v>428213.33600000001</v>
      </c>
      <c r="H1009" s="5">
        <f>22419 / 86400</f>
        <v>0.25947916666666665</v>
      </c>
      <c r="I1009" t="s">
        <v>24</v>
      </c>
      <c r="J1009" t="s">
        <v>24</v>
      </c>
      <c r="K1009" s="5">
        <f>22430 / 86400</f>
        <v>0.25960648148148147</v>
      </c>
      <c r="L1009" s="5">
        <f>773 / 86400</f>
        <v>8.9467592592592585E-3</v>
      </c>
    </row>
    <row r="1010" spans="1:12" x14ac:dyDescent="0.25">
      <c r="A1010" s="3">
        <v>45712.708055555559</v>
      </c>
      <c r="B1010" t="s">
        <v>84</v>
      </c>
      <c r="C1010" s="3">
        <v>45712.709363425922</v>
      </c>
      <c r="D1010" t="s">
        <v>84</v>
      </c>
      <c r="E1010" s="4">
        <v>0</v>
      </c>
      <c r="F1010" s="4">
        <v>428213.33600000001</v>
      </c>
      <c r="G1010" s="4">
        <v>428213.33600000001</v>
      </c>
      <c r="H1010" s="5">
        <f>99 / 86400</f>
        <v>1.1458333333333333E-3</v>
      </c>
      <c r="I1010" t="s">
        <v>24</v>
      </c>
      <c r="J1010" t="s">
        <v>24</v>
      </c>
      <c r="K1010" s="5">
        <f>112 / 86400</f>
        <v>1.2962962962962963E-3</v>
      </c>
      <c r="L1010" s="5">
        <f>1744 / 86400</f>
        <v>2.0185185185185184E-2</v>
      </c>
    </row>
    <row r="1011" spans="1:12" x14ac:dyDescent="0.25">
      <c r="A1011" s="3">
        <v>45712.729548611111</v>
      </c>
      <c r="B1011" t="s">
        <v>84</v>
      </c>
      <c r="C1011" s="3">
        <v>45712.733611111107</v>
      </c>
      <c r="D1011" t="s">
        <v>84</v>
      </c>
      <c r="E1011" s="4">
        <v>0</v>
      </c>
      <c r="F1011" s="4">
        <v>428213.33600000001</v>
      </c>
      <c r="G1011" s="4">
        <v>428213.33600000001</v>
      </c>
      <c r="H1011" s="5">
        <f>339 / 86400</f>
        <v>3.9236111111111112E-3</v>
      </c>
      <c r="I1011" t="s">
        <v>24</v>
      </c>
      <c r="J1011" t="s">
        <v>24</v>
      </c>
      <c r="K1011" s="5">
        <f>351 / 86400</f>
        <v>4.0625000000000001E-3</v>
      </c>
      <c r="L1011" s="5">
        <f>170 / 86400</f>
        <v>1.9675925925925924E-3</v>
      </c>
    </row>
    <row r="1012" spans="1:12" x14ac:dyDescent="0.25">
      <c r="A1012" s="3">
        <v>45712.735578703709</v>
      </c>
      <c r="B1012" t="s">
        <v>84</v>
      </c>
      <c r="C1012" s="3">
        <v>45712.736180555556</v>
      </c>
      <c r="D1012" t="s">
        <v>84</v>
      </c>
      <c r="E1012" s="4">
        <v>0</v>
      </c>
      <c r="F1012" s="4">
        <v>428213.33600000001</v>
      </c>
      <c r="G1012" s="4">
        <v>428213.33600000001</v>
      </c>
      <c r="H1012" s="5">
        <f>39 / 86400</f>
        <v>4.5138888888888887E-4</v>
      </c>
      <c r="I1012" t="s">
        <v>24</v>
      </c>
      <c r="J1012" t="s">
        <v>24</v>
      </c>
      <c r="K1012" s="5">
        <f>52 / 86400</f>
        <v>6.018518518518519E-4</v>
      </c>
      <c r="L1012" s="5">
        <f>96 / 86400</f>
        <v>1.1111111111111111E-3</v>
      </c>
    </row>
    <row r="1013" spans="1:12" x14ac:dyDescent="0.25">
      <c r="A1013" s="3">
        <v>45712.737291666665</v>
      </c>
      <c r="B1013" t="s">
        <v>84</v>
      </c>
      <c r="C1013" s="3">
        <v>45712.73741898148</v>
      </c>
      <c r="D1013" t="s">
        <v>84</v>
      </c>
      <c r="E1013" s="4">
        <v>0</v>
      </c>
      <c r="F1013" s="4">
        <v>428213.33600000001</v>
      </c>
      <c r="G1013" s="4">
        <v>428213.33600000001</v>
      </c>
      <c r="H1013" s="5">
        <f>0 / 86400</f>
        <v>0</v>
      </c>
      <c r="I1013" t="s">
        <v>24</v>
      </c>
      <c r="J1013" t="s">
        <v>24</v>
      </c>
      <c r="K1013" s="5">
        <f>11 / 86400</f>
        <v>1.273148148148148E-4</v>
      </c>
      <c r="L1013" s="5">
        <f>419 / 86400</f>
        <v>4.8495370370370368E-3</v>
      </c>
    </row>
    <row r="1014" spans="1:12" x14ac:dyDescent="0.25">
      <c r="A1014" s="3">
        <v>45712.742268518516</v>
      </c>
      <c r="B1014" t="s">
        <v>84</v>
      </c>
      <c r="C1014" s="3">
        <v>45712.742407407408</v>
      </c>
      <c r="D1014" t="s">
        <v>84</v>
      </c>
      <c r="E1014" s="4">
        <v>0</v>
      </c>
      <c r="F1014" s="4">
        <v>428213.33600000001</v>
      </c>
      <c r="G1014" s="4">
        <v>428213.33600000001</v>
      </c>
      <c r="H1014" s="5">
        <f>0 / 86400</f>
        <v>0</v>
      </c>
      <c r="I1014" t="s">
        <v>24</v>
      </c>
      <c r="J1014" t="s">
        <v>24</v>
      </c>
      <c r="K1014" s="5">
        <f>12 / 86400</f>
        <v>1.3888888888888889E-4</v>
      </c>
      <c r="L1014" s="5">
        <f>148 / 86400</f>
        <v>1.712962962962963E-3</v>
      </c>
    </row>
    <row r="1015" spans="1:12" x14ac:dyDescent="0.25">
      <c r="A1015" s="3">
        <v>45712.744120370371</v>
      </c>
      <c r="B1015" t="s">
        <v>84</v>
      </c>
      <c r="C1015" s="3">
        <v>45712.992754629631</v>
      </c>
      <c r="D1015" t="s">
        <v>84</v>
      </c>
      <c r="E1015" s="4">
        <v>0</v>
      </c>
      <c r="F1015" s="4">
        <v>428213.33600000001</v>
      </c>
      <c r="G1015" s="4">
        <v>428213.33600000001</v>
      </c>
      <c r="H1015" s="5">
        <f>21479 / 86400</f>
        <v>0.24859953703703705</v>
      </c>
      <c r="I1015" t="s">
        <v>24</v>
      </c>
      <c r="J1015" t="s">
        <v>24</v>
      </c>
      <c r="K1015" s="5">
        <f>21481 / 86400</f>
        <v>0.24862268518518518</v>
      </c>
      <c r="L1015" s="5">
        <f>358 / 86400</f>
        <v>4.1435185185185186E-3</v>
      </c>
    </row>
    <row r="1016" spans="1:12" x14ac:dyDescent="0.25">
      <c r="A1016" s="3">
        <v>45712.996898148151</v>
      </c>
      <c r="B1016" t="s">
        <v>84</v>
      </c>
      <c r="C1016" s="3">
        <v>45712.99998842593</v>
      </c>
      <c r="D1016" t="s">
        <v>84</v>
      </c>
      <c r="E1016" s="4">
        <v>0</v>
      </c>
      <c r="F1016" s="4">
        <v>428213.33600000001</v>
      </c>
      <c r="G1016" s="4">
        <v>428213.33600000001</v>
      </c>
      <c r="H1016" s="5">
        <f>259 / 86400</f>
        <v>2.9976851851851853E-3</v>
      </c>
      <c r="I1016" t="s">
        <v>24</v>
      </c>
      <c r="J1016" t="s">
        <v>24</v>
      </c>
      <c r="K1016" s="5">
        <f>267 / 86400</f>
        <v>3.0902777777777777E-3</v>
      </c>
      <c r="L1016" s="5">
        <f>0 / 86400</f>
        <v>0</v>
      </c>
    </row>
    <row r="1017" spans="1:12" x14ac:dyDescent="0.25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</row>
    <row r="1018" spans="1:12" x14ac:dyDescent="0.25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</row>
    <row r="1019" spans="1:12" s="10" customFormat="1" ht="20.100000000000001" customHeight="1" x14ac:dyDescent="0.35">
      <c r="A1019" s="15" t="s">
        <v>484</v>
      </c>
      <c r="B1019" s="15"/>
      <c r="C1019" s="15"/>
      <c r="D1019" s="15"/>
      <c r="E1019" s="15"/>
      <c r="F1019" s="15"/>
      <c r="G1019" s="15"/>
      <c r="H1019" s="15"/>
      <c r="I1019" s="15"/>
      <c r="J1019" s="15"/>
    </row>
    <row r="1020" spans="1:12" x14ac:dyDescent="0.25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</row>
    <row r="1021" spans="1:12" ht="30" x14ac:dyDescent="0.25">
      <c r="A1021" s="2" t="s">
        <v>6</v>
      </c>
      <c r="B1021" s="2" t="s">
        <v>7</v>
      </c>
      <c r="C1021" s="2" t="s">
        <v>8</v>
      </c>
      <c r="D1021" s="2" t="s">
        <v>9</v>
      </c>
      <c r="E1021" s="2" t="s">
        <v>10</v>
      </c>
      <c r="F1021" s="2" t="s">
        <v>11</v>
      </c>
      <c r="G1021" s="2" t="s">
        <v>12</v>
      </c>
      <c r="H1021" s="2" t="s">
        <v>13</v>
      </c>
      <c r="I1021" s="2" t="s">
        <v>14</v>
      </c>
      <c r="J1021" s="2" t="s">
        <v>15</v>
      </c>
      <c r="K1021" s="2" t="s">
        <v>16</v>
      </c>
      <c r="L1021" s="2" t="s">
        <v>17</v>
      </c>
    </row>
    <row r="1022" spans="1:12" x14ac:dyDescent="0.25">
      <c r="A1022" s="3">
        <v>45712.225474537037</v>
      </c>
      <c r="B1022" t="s">
        <v>27</v>
      </c>
      <c r="C1022" s="3">
        <v>45712.606678240743</v>
      </c>
      <c r="D1022" t="s">
        <v>125</v>
      </c>
      <c r="E1022" s="4">
        <v>113.794</v>
      </c>
      <c r="F1022" s="4">
        <v>577362.60499999998</v>
      </c>
      <c r="G1022" s="4">
        <v>577476.39899999998</v>
      </c>
      <c r="H1022" s="5">
        <f>14001 / 86400</f>
        <v>0.1620486111111111</v>
      </c>
      <c r="I1022" t="s">
        <v>86</v>
      </c>
      <c r="J1022" t="s">
        <v>145</v>
      </c>
      <c r="K1022" s="5">
        <f>32935 / 86400</f>
        <v>0.38119212962962962</v>
      </c>
      <c r="L1022" s="5">
        <f>25901 / 86400</f>
        <v>0.29978009259259258</v>
      </c>
    </row>
    <row r="1023" spans="1:12" x14ac:dyDescent="0.25">
      <c r="A1023" s="3">
        <v>45712.680983796294</v>
      </c>
      <c r="B1023" t="s">
        <v>125</v>
      </c>
      <c r="C1023" s="3">
        <v>45712.938356481478</v>
      </c>
      <c r="D1023" t="s">
        <v>27</v>
      </c>
      <c r="E1023" s="4">
        <v>86.816999999999993</v>
      </c>
      <c r="F1023" s="4">
        <v>577476.39899999998</v>
      </c>
      <c r="G1023" s="4">
        <v>577563.21600000001</v>
      </c>
      <c r="H1023" s="5">
        <f>7961 / 86400</f>
        <v>9.2141203703703697E-2</v>
      </c>
      <c r="I1023" t="s">
        <v>96</v>
      </c>
      <c r="J1023" t="s">
        <v>48</v>
      </c>
      <c r="K1023" s="5">
        <f>22236 / 86400</f>
        <v>0.2573611111111111</v>
      </c>
      <c r="L1023" s="5">
        <f>5325 / 86400</f>
        <v>6.1631944444444448E-2</v>
      </c>
    </row>
    <row r="1024" spans="1:12" x14ac:dyDescent="0.25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</row>
    <row r="1025" spans="1:12" x14ac:dyDescent="0.2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</row>
    <row r="1026" spans="1:12" s="10" customFormat="1" ht="20.100000000000001" customHeight="1" x14ac:dyDescent="0.35">
      <c r="A1026" s="15" t="s">
        <v>485</v>
      </c>
      <c r="B1026" s="15"/>
      <c r="C1026" s="15"/>
      <c r="D1026" s="15"/>
      <c r="E1026" s="15"/>
      <c r="F1026" s="15"/>
      <c r="G1026" s="15"/>
      <c r="H1026" s="15"/>
      <c r="I1026" s="15"/>
      <c r="J1026" s="15"/>
    </row>
    <row r="1027" spans="1:12" x14ac:dyDescent="0.25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</row>
    <row r="1028" spans="1:12" ht="30" x14ac:dyDescent="0.25">
      <c r="A1028" s="2" t="s">
        <v>6</v>
      </c>
      <c r="B1028" s="2" t="s">
        <v>7</v>
      </c>
      <c r="C1028" s="2" t="s">
        <v>8</v>
      </c>
      <c r="D1028" s="2" t="s">
        <v>9</v>
      </c>
      <c r="E1028" s="2" t="s">
        <v>10</v>
      </c>
      <c r="F1028" s="2" t="s">
        <v>11</v>
      </c>
      <c r="G1028" s="2" t="s">
        <v>12</v>
      </c>
      <c r="H1028" s="2" t="s">
        <v>13</v>
      </c>
      <c r="I1028" s="2" t="s">
        <v>14</v>
      </c>
      <c r="J1028" s="2" t="s">
        <v>15</v>
      </c>
      <c r="K1028" s="2" t="s">
        <v>16</v>
      </c>
      <c r="L1028" s="2" t="s">
        <v>17</v>
      </c>
    </row>
    <row r="1029" spans="1:12" x14ac:dyDescent="0.25">
      <c r="A1029" s="3">
        <v>45712.236655092594</v>
      </c>
      <c r="B1029" t="s">
        <v>97</v>
      </c>
      <c r="C1029" s="3">
        <v>45712.262662037036</v>
      </c>
      <c r="D1029" t="s">
        <v>18</v>
      </c>
      <c r="E1029" s="4">
        <v>3.0379999999999998</v>
      </c>
      <c r="F1029" s="4">
        <v>418161.734</v>
      </c>
      <c r="G1029" s="4">
        <v>418164.772</v>
      </c>
      <c r="H1029" s="5">
        <f>1699 / 86400</f>
        <v>1.9664351851851853E-2</v>
      </c>
      <c r="I1029" t="s">
        <v>98</v>
      </c>
      <c r="J1029" t="s">
        <v>57</v>
      </c>
      <c r="K1029" s="5">
        <f>2247 / 86400</f>
        <v>2.6006944444444444E-2</v>
      </c>
      <c r="L1029" s="5">
        <f>21247 / 86400</f>
        <v>0.24591435185185184</v>
      </c>
    </row>
    <row r="1030" spans="1:12" x14ac:dyDescent="0.25">
      <c r="A1030" s="3">
        <v>45712.271921296298</v>
      </c>
      <c r="B1030" t="s">
        <v>18</v>
      </c>
      <c r="C1030" s="3">
        <v>45712.287395833337</v>
      </c>
      <c r="D1030" t="s">
        <v>424</v>
      </c>
      <c r="E1030" s="4">
        <v>4.2169999999999996</v>
      </c>
      <c r="F1030" s="4">
        <v>418164.772</v>
      </c>
      <c r="G1030" s="4">
        <v>418168.989</v>
      </c>
      <c r="H1030" s="5">
        <f>379 / 86400</f>
        <v>4.386574074074074E-3</v>
      </c>
      <c r="I1030" t="s">
        <v>202</v>
      </c>
      <c r="J1030" t="s">
        <v>42</v>
      </c>
      <c r="K1030" s="5">
        <f>1337 / 86400</f>
        <v>1.5474537037037037E-2</v>
      </c>
      <c r="L1030" s="5">
        <f>1139 / 86400</f>
        <v>1.3182870370370371E-2</v>
      </c>
    </row>
    <row r="1031" spans="1:12" x14ac:dyDescent="0.25">
      <c r="A1031" s="3">
        <v>45712.300578703704</v>
      </c>
      <c r="B1031" t="s">
        <v>424</v>
      </c>
      <c r="C1031" s="3">
        <v>45712.304884259254</v>
      </c>
      <c r="D1031" t="s">
        <v>97</v>
      </c>
      <c r="E1031" s="4">
        <v>8.4000000000000005E-2</v>
      </c>
      <c r="F1031" s="4">
        <v>418168.989</v>
      </c>
      <c r="G1031" s="4">
        <v>418169.07299999997</v>
      </c>
      <c r="H1031" s="5">
        <f>339 / 86400</f>
        <v>3.9236111111111112E-3</v>
      </c>
      <c r="I1031" t="s">
        <v>99</v>
      </c>
      <c r="J1031" t="s">
        <v>143</v>
      </c>
      <c r="K1031" s="5">
        <f>371 / 86400</f>
        <v>4.2939814814814811E-3</v>
      </c>
      <c r="L1031" s="5">
        <f>25490 / 86400</f>
        <v>0.29502314814814817</v>
      </c>
    </row>
    <row r="1032" spans="1:12" x14ac:dyDescent="0.25">
      <c r="A1032" s="3">
        <v>45712.599907407406</v>
      </c>
      <c r="B1032" t="s">
        <v>97</v>
      </c>
      <c r="C1032" s="3">
        <v>45712.600266203706</v>
      </c>
      <c r="D1032" t="s">
        <v>97</v>
      </c>
      <c r="E1032" s="4">
        <v>7.0000000000000001E-3</v>
      </c>
      <c r="F1032" s="4">
        <v>418169.07299999997</v>
      </c>
      <c r="G1032" s="4">
        <v>418169.08</v>
      </c>
      <c r="H1032" s="5">
        <f>19 / 86400</f>
        <v>2.199074074074074E-4</v>
      </c>
      <c r="I1032" t="s">
        <v>24</v>
      </c>
      <c r="J1032" t="s">
        <v>143</v>
      </c>
      <c r="K1032" s="5">
        <f>30 / 86400</f>
        <v>3.4722222222222224E-4</v>
      </c>
      <c r="L1032" s="5">
        <f>34536 / 86400</f>
        <v>0.3997222222222222</v>
      </c>
    </row>
    <row r="1033" spans="1:12" x14ac:dyDescent="0.25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</row>
    <row r="1034" spans="1:12" x14ac:dyDescent="0.25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</row>
    <row r="1035" spans="1:12" s="10" customFormat="1" ht="20.100000000000001" customHeight="1" x14ac:dyDescent="0.35">
      <c r="A1035" s="15" t="s">
        <v>486</v>
      </c>
      <c r="B1035" s="15"/>
      <c r="C1035" s="15"/>
      <c r="D1035" s="15"/>
      <c r="E1035" s="15"/>
      <c r="F1035" s="15"/>
      <c r="G1035" s="15"/>
      <c r="H1035" s="15"/>
      <c r="I1035" s="15"/>
      <c r="J1035" s="15"/>
    </row>
    <row r="1036" spans="1:12" x14ac:dyDescent="0.25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</row>
    <row r="1037" spans="1:12" ht="30" x14ac:dyDescent="0.25">
      <c r="A1037" s="2" t="s">
        <v>6</v>
      </c>
      <c r="B1037" s="2" t="s">
        <v>7</v>
      </c>
      <c r="C1037" s="2" t="s">
        <v>8</v>
      </c>
      <c r="D1037" s="2" t="s">
        <v>9</v>
      </c>
      <c r="E1037" s="2" t="s">
        <v>10</v>
      </c>
      <c r="F1037" s="2" t="s">
        <v>11</v>
      </c>
      <c r="G1037" s="2" t="s">
        <v>12</v>
      </c>
      <c r="H1037" s="2" t="s">
        <v>13</v>
      </c>
      <c r="I1037" s="2" t="s">
        <v>14</v>
      </c>
      <c r="J1037" s="2" t="s">
        <v>15</v>
      </c>
      <c r="K1037" s="2" t="s">
        <v>16</v>
      </c>
      <c r="L1037" s="2" t="s">
        <v>17</v>
      </c>
    </row>
    <row r="1038" spans="1:12" x14ac:dyDescent="0.25">
      <c r="A1038" s="3">
        <v>45712.412094907406</v>
      </c>
      <c r="B1038" t="s">
        <v>100</v>
      </c>
      <c r="C1038" s="3">
        <v>45712.430335648147</v>
      </c>
      <c r="D1038" t="s">
        <v>68</v>
      </c>
      <c r="E1038" s="4">
        <v>9.0500000000000007</v>
      </c>
      <c r="F1038" s="4">
        <v>401729.44500000001</v>
      </c>
      <c r="G1038" s="4">
        <v>401738.495</v>
      </c>
      <c r="H1038" s="5">
        <f>579 / 86400</f>
        <v>6.7013888888888887E-3</v>
      </c>
      <c r="I1038" t="s">
        <v>173</v>
      </c>
      <c r="J1038" t="s">
        <v>36</v>
      </c>
      <c r="K1038" s="5">
        <f>1576 / 86400</f>
        <v>1.8240740740740741E-2</v>
      </c>
      <c r="L1038" s="5">
        <f>52643 / 86400</f>
        <v>0.60929398148148151</v>
      </c>
    </row>
    <row r="1039" spans="1:12" x14ac:dyDescent="0.25">
      <c r="A1039" s="3">
        <v>45712.627534722225</v>
      </c>
      <c r="B1039" t="s">
        <v>68</v>
      </c>
      <c r="C1039" s="3">
        <v>45712.62773148148</v>
      </c>
      <c r="D1039" t="s">
        <v>68</v>
      </c>
      <c r="E1039" s="4">
        <v>0</v>
      </c>
      <c r="F1039" s="4">
        <v>401738.495</v>
      </c>
      <c r="G1039" s="4">
        <v>401738.495</v>
      </c>
      <c r="H1039" s="5">
        <f>0 / 86400</f>
        <v>0</v>
      </c>
      <c r="I1039" t="s">
        <v>24</v>
      </c>
      <c r="J1039" t="s">
        <v>24</v>
      </c>
      <c r="K1039" s="5">
        <f>16 / 86400</f>
        <v>1.8518518518518518E-4</v>
      </c>
      <c r="L1039" s="5">
        <f>86 / 86400</f>
        <v>9.9537037037037042E-4</v>
      </c>
    </row>
    <row r="1040" spans="1:12" x14ac:dyDescent="0.25">
      <c r="A1040" s="3">
        <v>45712.62872685185</v>
      </c>
      <c r="B1040" t="s">
        <v>68</v>
      </c>
      <c r="C1040" s="3">
        <v>45712.63108796296</v>
      </c>
      <c r="D1040" t="s">
        <v>68</v>
      </c>
      <c r="E1040" s="4">
        <v>0</v>
      </c>
      <c r="F1040" s="4">
        <v>401738.495</v>
      </c>
      <c r="G1040" s="4">
        <v>401738.495</v>
      </c>
      <c r="H1040" s="5">
        <f>199 / 86400</f>
        <v>2.3032407407407407E-3</v>
      </c>
      <c r="I1040" t="s">
        <v>24</v>
      </c>
      <c r="J1040" t="s">
        <v>24</v>
      </c>
      <c r="K1040" s="5">
        <f>203 / 86400</f>
        <v>2.3495370370370371E-3</v>
      </c>
      <c r="L1040" s="5">
        <f>179 / 86400</f>
        <v>2.0717592592592593E-3</v>
      </c>
    </row>
    <row r="1041" spans="1:12" x14ac:dyDescent="0.25">
      <c r="A1041" s="3">
        <v>45712.633159722223</v>
      </c>
      <c r="B1041" t="s">
        <v>68</v>
      </c>
      <c r="C1041" s="3">
        <v>45712.63753472222</v>
      </c>
      <c r="D1041" t="s">
        <v>288</v>
      </c>
      <c r="E1041" s="4">
        <v>1.25</v>
      </c>
      <c r="F1041" s="4">
        <v>401738.495</v>
      </c>
      <c r="G1041" s="4">
        <v>401739.745</v>
      </c>
      <c r="H1041" s="5">
        <f>140 / 86400</f>
        <v>1.6203703703703703E-3</v>
      </c>
      <c r="I1041" t="s">
        <v>98</v>
      </c>
      <c r="J1041" t="s">
        <v>145</v>
      </c>
      <c r="K1041" s="5">
        <f>378 / 86400</f>
        <v>4.3750000000000004E-3</v>
      </c>
      <c r="L1041" s="5">
        <f>136 / 86400</f>
        <v>1.5740740740740741E-3</v>
      </c>
    </row>
    <row r="1042" spans="1:12" x14ac:dyDescent="0.25">
      <c r="A1042" s="3">
        <v>45712.639108796298</v>
      </c>
      <c r="B1042" t="s">
        <v>288</v>
      </c>
      <c r="C1042" s="3">
        <v>45712.644687499997</v>
      </c>
      <c r="D1042" t="s">
        <v>149</v>
      </c>
      <c r="E1042" s="4">
        <v>1.8480000000000001</v>
      </c>
      <c r="F1042" s="4">
        <v>401739.745</v>
      </c>
      <c r="G1042" s="4">
        <v>401741.59299999999</v>
      </c>
      <c r="H1042" s="5">
        <f>100 / 86400</f>
        <v>1.1574074074074073E-3</v>
      </c>
      <c r="I1042" t="s">
        <v>189</v>
      </c>
      <c r="J1042" t="s">
        <v>48</v>
      </c>
      <c r="K1042" s="5">
        <f>481 / 86400</f>
        <v>5.5671296296296293E-3</v>
      </c>
      <c r="L1042" s="5">
        <f>1881 / 86400</f>
        <v>2.1770833333333333E-2</v>
      </c>
    </row>
    <row r="1043" spans="1:12" x14ac:dyDescent="0.25">
      <c r="A1043" s="3">
        <v>45712.666458333333</v>
      </c>
      <c r="B1043" t="s">
        <v>149</v>
      </c>
      <c r="C1043" s="3">
        <v>45712.667685185181</v>
      </c>
      <c r="D1043" t="s">
        <v>68</v>
      </c>
      <c r="E1043" s="4">
        <v>0.189</v>
      </c>
      <c r="F1043" s="4">
        <v>401741.59299999999</v>
      </c>
      <c r="G1043" s="4">
        <v>401741.78200000001</v>
      </c>
      <c r="H1043" s="5">
        <f>20 / 86400</f>
        <v>2.3148148148148149E-4</v>
      </c>
      <c r="I1043" t="s">
        <v>42</v>
      </c>
      <c r="J1043" t="s">
        <v>32</v>
      </c>
      <c r="K1043" s="5">
        <f>105 / 86400</f>
        <v>1.2152777777777778E-3</v>
      </c>
      <c r="L1043" s="5">
        <f>236 / 86400</f>
        <v>2.7314814814814814E-3</v>
      </c>
    </row>
    <row r="1044" spans="1:12" x14ac:dyDescent="0.25">
      <c r="A1044" s="3">
        <v>45712.670416666668</v>
      </c>
      <c r="B1044" t="s">
        <v>68</v>
      </c>
      <c r="C1044" s="3">
        <v>45712.675115740742</v>
      </c>
      <c r="D1044" t="s">
        <v>68</v>
      </c>
      <c r="E1044" s="4">
        <v>0.11</v>
      </c>
      <c r="F1044" s="4">
        <v>401741.78200000001</v>
      </c>
      <c r="G1044" s="4">
        <v>401741.89199999999</v>
      </c>
      <c r="H1044" s="5">
        <f>319 / 86400</f>
        <v>3.6921296296296298E-3</v>
      </c>
      <c r="I1044" t="s">
        <v>135</v>
      </c>
      <c r="J1044" t="s">
        <v>143</v>
      </c>
      <c r="K1044" s="5">
        <f>405 / 86400</f>
        <v>4.6874999999999998E-3</v>
      </c>
      <c r="L1044" s="5">
        <f>429 / 86400</f>
        <v>4.9652777777777777E-3</v>
      </c>
    </row>
    <row r="1045" spans="1:12" x14ac:dyDescent="0.25">
      <c r="A1045" s="3">
        <v>45712.680081018523</v>
      </c>
      <c r="B1045" t="s">
        <v>68</v>
      </c>
      <c r="C1045" s="3">
        <v>45712.681157407409</v>
      </c>
      <c r="D1045" t="s">
        <v>68</v>
      </c>
      <c r="E1045" s="4">
        <v>1E-3</v>
      </c>
      <c r="F1045" s="4">
        <v>401741.89199999999</v>
      </c>
      <c r="G1045" s="4">
        <v>401741.89299999998</v>
      </c>
      <c r="H1045" s="5">
        <f>79 / 86400</f>
        <v>9.1435185185185185E-4</v>
      </c>
      <c r="I1045" t="s">
        <v>24</v>
      </c>
      <c r="J1045" t="s">
        <v>24</v>
      </c>
      <c r="K1045" s="5">
        <f>93 / 86400</f>
        <v>1.0763888888888889E-3</v>
      </c>
      <c r="L1045" s="5">
        <f>231 / 86400</f>
        <v>2.673611111111111E-3</v>
      </c>
    </row>
    <row r="1046" spans="1:12" x14ac:dyDescent="0.25">
      <c r="A1046" s="3">
        <v>45712.683831018519</v>
      </c>
      <c r="B1046" t="s">
        <v>68</v>
      </c>
      <c r="C1046" s="3">
        <v>45712.684074074074</v>
      </c>
      <c r="D1046" t="s">
        <v>68</v>
      </c>
      <c r="E1046" s="4">
        <v>0</v>
      </c>
      <c r="F1046" s="4">
        <v>401741.89299999998</v>
      </c>
      <c r="G1046" s="4">
        <v>401741.89299999998</v>
      </c>
      <c r="H1046" s="5">
        <f>19 / 86400</f>
        <v>2.199074074074074E-4</v>
      </c>
      <c r="I1046" t="s">
        <v>24</v>
      </c>
      <c r="J1046" t="s">
        <v>24</v>
      </c>
      <c r="K1046" s="5">
        <f>21 / 86400</f>
        <v>2.4305555555555555E-4</v>
      </c>
      <c r="L1046" s="5">
        <f>81 / 86400</f>
        <v>9.3749999999999997E-4</v>
      </c>
    </row>
    <row r="1047" spans="1:12" x14ac:dyDescent="0.25">
      <c r="A1047" s="3">
        <v>45712.685011574074</v>
      </c>
      <c r="B1047" t="s">
        <v>68</v>
      </c>
      <c r="C1047" s="3">
        <v>45712.690046296295</v>
      </c>
      <c r="D1047" t="s">
        <v>425</v>
      </c>
      <c r="E1047" s="4">
        <v>1.782</v>
      </c>
      <c r="F1047" s="4">
        <v>401741.89299999998</v>
      </c>
      <c r="G1047" s="4">
        <v>401743.67499999999</v>
      </c>
      <c r="H1047" s="5">
        <f>179 / 86400</f>
        <v>2.0717592592592593E-3</v>
      </c>
      <c r="I1047" t="s">
        <v>340</v>
      </c>
      <c r="J1047" t="s">
        <v>59</v>
      </c>
      <c r="K1047" s="5">
        <f>435 / 86400</f>
        <v>5.0347222222222225E-3</v>
      </c>
      <c r="L1047" s="5">
        <f>685 / 86400</f>
        <v>7.9282407407407409E-3</v>
      </c>
    </row>
    <row r="1048" spans="1:12" x14ac:dyDescent="0.25">
      <c r="A1048" s="3">
        <v>45712.697974537034</v>
      </c>
      <c r="B1048" t="s">
        <v>425</v>
      </c>
      <c r="C1048" s="3">
        <v>45712.701157407406</v>
      </c>
      <c r="D1048" t="s">
        <v>68</v>
      </c>
      <c r="E1048" s="4">
        <v>1.722</v>
      </c>
      <c r="F1048" s="4">
        <v>401743.67499999999</v>
      </c>
      <c r="G1048" s="4">
        <v>401745.397</v>
      </c>
      <c r="H1048" s="5">
        <f>60 / 86400</f>
        <v>6.9444444444444447E-4</v>
      </c>
      <c r="I1048" t="s">
        <v>177</v>
      </c>
      <c r="J1048" t="s">
        <v>139</v>
      </c>
      <c r="K1048" s="5">
        <f>275 / 86400</f>
        <v>3.1828703703703702E-3</v>
      </c>
      <c r="L1048" s="5">
        <f>64 / 86400</f>
        <v>7.407407407407407E-4</v>
      </c>
    </row>
    <row r="1049" spans="1:12" x14ac:dyDescent="0.25">
      <c r="A1049" s="3">
        <v>45712.701898148152</v>
      </c>
      <c r="B1049" t="s">
        <v>68</v>
      </c>
      <c r="C1049" s="3">
        <v>45712.704016203701</v>
      </c>
      <c r="D1049" t="s">
        <v>68</v>
      </c>
      <c r="E1049" s="4">
        <v>0.03</v>
      </c>
      <c r="F1049" s="4">
        <v>401745.397</v>
      </c>
      <c r="G1049" s="4">
        <v>401745.42700000003</v>
      </c>
      <c r="H1049" s="5">
        <f>139 / 86400</f>
        <v>1.6087962962962963E-3</v>
      </c>
      <c r="I1049" t="s">
        <v>143</v>
      </c>
      <c r="J1049" t="s">
        <v>143</v>
      </c>
      <c r="K1049" s="5">
        <f>183 / 86400</f>
        <v>2.1180555555555558E-3</v>
      </c>
      <c r="L1049" s="5">
        <f>325 / 86400</f>
        <v>3.7615740740740739E-3</v>
      </c>
    </row>
    <row r="1050" spans="1:12" x14ac:dyDescent="0.25">
      <c r="A1050" s="3">
        <v>45712.707777777774</v>
      </c>
      <c r="B1050" t="s">
        <v>68</v>
      </c>
      <c r="C1050" s="3">
        <v>45712.711111111115</v>
      </c>
      <c r="D1050" t="s">
        <v>68</v>
      </c>
      <c r="E1050" s="4">
        <v>0.17399999999999999</v>
      </c>
      <c r="F1050" s="4">
        <v>401745.42700000003</v>
      </c>
      <c r="G1050" s="4">
        <v>401745.60100000002</v>
      </c>
      <c r="H1050" s="5">
        <f>199 / 86400</f>
        <v>2.3032407407407407E-3</v>
      </c>
      <c r="I1050" t="s">
        <v>71</v>
      </c>
      <c r="J1050" t="s">
        <v>150</v>
      </c>
      <c r="K1050" s="5">
        <f>288 / 86400</f>
        <v>3.3333333333333335E-3</v>
      </c>
      <c r="L1050" s="5">
        <f>339 / 86400</f>
        <v>3.9236111111111112E-3</v>
      </c>
    </row>
    <row r="1051" spans="1:12" x14ac:dyDescent="0.25">
      <c r="A1051" s="3">
        <v>45712.71503472222</v>
      </c>
      <c r="B1051" t="s">
        <v>68</v>
      </c>
      <c r="C1051" s="3">
        <v>45712.718449074076</v>
      </c>
      <c r="D1051" t="s">
        <v>426</v>
      </c>
      <c r="E1051" s="4">
        <v>0.92400000000000004</v>
      </c>
      <c r="F1051" s="4">
        <v>401745.60100000002</v>
      </c>
      <c r="G1051" s="4">
        <v>401746.52500000002</v>
      </c>
      <c r="H1051" s="5">
        <f>60 / 86400</f>
        <v>6.9444444444444447E-4</v>
      </c>
      <c r="I1051" t="s">
        <v>31</v>
      </c>
      <c r="J1051" t="s">
        <v>42</v>
      </c>
      <c r="K1051" s="5">
        <f>295 / 86400</f>
        <v>3.414351851851852E-3</v>
      </c>
      <c r="L1051" s="5">
        <f>438 / 86400</f>
        <v>5.0694444444444441E-3</v>
      </c>
    </row>
    <row r="1052" spans="1:12" x14ac:dyDescent="0.25">
      <c r="A1052" s="3">
        <v>45712.72351851852</v>
      </c>
      <c r="B1052" t="s">
        <v>426</v>
      </c>
      <c r="C1052" s="3">
        <v>45712.725740740745</v>
      </c>
      <c r="D1052" t="s">
        <v>149</v>
      </c>
      <c r="E1052" s="4">
        <v>0.81299999999999994</v>
      </c>
      <c r="F1052" s="4">
        <v>401746.52500000002</v>
      </c>
      <c r="G1052" s="4">
        <v>401747.33799999999</v>
      </c>
      <c r="H1052" s="5">
        <f>20 / 86400</f>
        <v>2.3148148148148149E-4</v>
      </c>
      <c r="I1052" t="s">
        <v>178</v>
      </c>
      <c r="J1052" t="s">
        <v>59</v>
      </c>
      <c r="K1052" s="5">
        <f>191 / 86400</f>
        <v>2.2106481481481482E-3</v>
      </c>
      <c r="L1052" s="5">
        <f>1346 / 86400</f>
        <v>1.5578703703703704E-2</v>
      </c>
    </row>
    <row r="1053" spans="1:12" x14ac:dyDescent="0.25">
      <c r="A1053" s="3">
        <v>45712.741319444445</v>
      </c>
      <c r="B1053" t="s">
        <v>149</v>
      </c>
      <c r="C1053" s="3">
        <v>45712.744062500002</v>
      </c>
      <c r="D1053" t="s">
        <v>374</v>
      </c>
      <c r="E1053" s="4">
        <v>0.59699999999999998</v>
      </c>
      <c r="F1053" s="4">
        <v>401747.33799999999</v>
      </c>
      <c r="G1053" s="4">
        <v>401747.935</v>
      </c>
      <c r="H1053" s="5">
        <f>80 / 86400</f>
        <v>9.2592592592592596E-4</v>
      </c>
      <c r="I1053" t="s">
        <v>170</v>
      </c>
      <c r="J1053" t="s">
        <v>135</v>
      </c>
      <c r="K1053" s="5">
        <f>236 / 86400</f>
        <v>2.7314814814814814E-3</v>
      </c>
      <c r="L1053" s="5">
        <f>7117 / 86400</f>
        <v>8.2372685185185188E-2</v>
      </c>
    </row>
    <row r="1054" spans="1:12" x14ac:dyDescent="0.25">
      <c r="A1054" s="3">
        <v>45712.826435185183</v>
      </c>
      <c r="B1054" t="s">
        <v>374</v>
      </c>
      <c r="C1054" s="3">
        <v>45712.838530092587</v>
      </c>
      <c r="D1054" t="s">
        <v>100</v>
      </c>
      <c r="E1054" s="4">
        <v>8.7439999999999998</v>
      </c>
      <c r="F1054" s="4">
        <v>401747.935</v>
      </c>
      <c r="G1054" s="4">
        <v>401756.679</v>
      </c>
      <c r="H1054" s="5">
        <f>60 / 86400</f>
        <v>6.9444444444444447E-4</v>
      </c>
      <c r="I1054" t="s">
        <v>183</v>
      </c>
      <c r="J1054" t="s">
        <v>178</v>
      </c>
      <c r="K1054" s="5">
        <f>1045 / 86400</f>
        <v>1.2094907407407407E-2</v>
      </c>
      <c r="L1054" s="5">
        <f>5328 / 86400</f>
        <v>6.1666666666666668E-2</v>
      </c>
    </row>
    <row r="1055" spans="1:12" x14ac:dyDescent="0.25">
      <c r="A1055" s="3">
        <v>45712.900196759263</v>
      </c>
      <c r="B1055" t="s">
        <v>100</v>
      </c>
      <c r="C1055" s="3">
        <v>45712.913993055554</v>
      </c>
      <c r="D1055" t="s">
        <v>68</v>
      </c>
      <c r="E1055" s="4">
        <v>9.0410000000000004</v>
      </c>
      <c r="F1055" s="4">
        <v>401756.679</v>
      </c>
      <c r="G1055" s="4">
        <v>401765.72</v>
      </c>
      <c r="H1055" s="5">
        <f>339 / 86400</f>
        <v>3.9236111111111112E-3</v>
      </c>
      <c r="I1055" t="s">
        <v>58</v>
      </c>
      <c r="J1055" t="s">
        <v>152</v>
      </c>
      <c r="K1055" s="5">
        <f>1191 / 86400</f>
        <v>1.3784722222222223E-2</v>
      </c>
      <c r="L1055" s="5">
        <f>303 / 86400</f>
        <v>3.5069444444444445E-3</v>
      </c>
    </row>
    <row r="1056" spans="1:12" x14ac:dyDescent="0.25">
      <c r="A1056" s="3">
        <v>45712.917499999996</v>
      </c>
      <c r="B1056" t="s">
        <v>68</v>
      </c>
      <c r="C1056" s="3">
        <v>45712.920104166667</v>
      </c>
      <c r="D1056" t="s">
        <v>81</v>
      </c>
      <c r="E1056" s="4">
        <v>0.84899999999999998</v>
      </c>
      <c r="F1056" s="4">
        <v>401765.72</v>
      </c>
      <c r="G1056" s="4">
        <v>401766.56900000002</v>
      </c>
      <c r="H1056" s="5">
        <f>19 / 86400</f>
        <v>2.199074074074074E-4</v>
      </c>
      <c r="I1056" t="s">
        <v>152</v>
      </c>
      <c r="J1056" t="s">
        <v>48</v>
      </c>
      <c r="K1056" s="5">
        <f>224 / 86400</f>
        <v>2.5925925925925925E-3</v>
      </c>
      <c r="L1056" s="5">
        <f>1147 / 86400</f>
        <v>1.3275462962962963E-2</v>
      </c>
    </row>
    <row r="1057" spans="1:12" x14ac:dyDescent="0.25">
      <c r="A1057" s="3">
        <v>45712.933379629627</v>
      </c>
      <c r="B1057" t="s">
        <v>81</v>
      </c>
      <c r="C1057" s="3">
        <v>45712.935300925921</v>
      </c>
      <c r="D1057" t="s">
        <v>427</v>
      </c>
      <c r="E1057" s="4">
        <v>0.17899999999999999</v>
      </c>
      <c r="F1057" s="4">
        <v>401766.56900000002</v>
      </c>
      <c r="G1057" s="4">
        <v>401766.74800000002</v>
      </c>
      <c r="H1057" s="5">
        <f>40 / 86400</f>
        <v>4.6296296296296298E-4</v>
      </c>
      <c r="I1057" t="s">
        <v>135</v>
      </c>
      <c r="J1057" t="s">
        <v>129</v>
      </c>
      <c r="K1057" s="5">
        <f>166 / 86400</f>
        <v>1.9212962962962964E-3</v>
      </c>
      <c r="L1057" s="5">
        <f>140 / 86400</f>
        <v>1.6203703703703703E-3</v>
      </c>
    </row>
    <row r="1058" spans="1:12" x14ac:dyDescent="0.25">
      <c r="A1058" s="3">
        <v>45712.936921296292</v>
      </c>
      <c r="B1058" t="s">
        <v>81</v>
      </c>
      <c r="C1058" s="3">
        <v>45712.952824074076</v>
      </c>
      <c r="D1058" t="s">
        <v>101</v>
      </c>
      <c r="E1058" s="4">
        <v>8.5850000000000009</v>
      </c>
      <c r="F1058" s="4">
        <v>401766.74800000002</v>
      </c>
      <c r="G1058" s="4">
        <v>401775.33299999998</v>
      </c>
      <c r="H1058" s="5">
        <f>299 / 86400</f>
        <v>3.460648148148148E-3</v>
      </c>
      <c r="I1058" t="s">
        <v>177</v>
      </c>
      <c r="J1058" t="s">
        <v>134</v>
      </c>
      <c r="K1058" s="5">
        <f>1374 / 86400</f>
        <v>1.5902777777777776E-2</v>
      </c>
      <c r="L1058" s="5">
        <f>4075 / 86400</f>
        <v>4.7164351851851853E-2</v>
      </c>
    </row>
    <row r="1059" spans="1:12" x14ac:dyDescent="0.25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</row>
    <row r="1060" spans="1:12" x14ac:dyDescent="0.25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</row>
    <row r="1061" spans="1:12" s="10" customFormat="1" ht="20.100000000000001" customHeight="1" x14ac:dyDescent="0.35">
      <c r="A1061" s="15" t="s">
        <v>487</v>
      </c>
      <c r="B1061" s="15"/>
      <c r="C1061" s="15"/>
      <c r="D1061" s="15"/>
      <c r="E1061" s="15"/>
      <c r="F1061" s="15"/>
      <c r="G1061" s="15"/>
      <c r="H1061" s="15"/>
      <c r="I1061" s="15"/>
      <c r="J1061" s="15"/>
    </row>
    <row r="1062" spans="1:12" x14ac:dyDescent="0.25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</row>
    <row r="1063" spans="1:12" ht="30" x14ac:dyDescent="0.25">
      <c r="A1063" s="2" t="s">
        <v>6</v>
      </c>
      <c r="B1063" s="2" t="s">
        <v>7</v>
      </c>
      <c r="C1063" s="2" t="s">
        <v>8</v>
      </c>
      <c r="D1063" s="2" t="s">
        <v>9</v>
      </c>
      <c r="E1063" s="2" t="s">
        <v>10</v>
      </c>
      <c r="F1063" s="2" t="s">
        <v>11</v>
      </c>
      <c r="G1063" s="2" t="s">
        <v>12</v>
      </c>
      <c r="H1063" s="2" t="s">
        <v>13</v>
      </c>
      <c r="I1063" s="2" t="s">
        <v>14</v>
      </c>
      <c r="J1063" s="2" t="s">
        <v>15</v>
      </c>
      <c r="K1063" s="2" t="s">
        <v>16</v>
      </c>
      <c r="L1063" s="2" t="s">
        <v>17</v>
      </c>
    </row>
    <row r="1064" spans="1:12" x14ac:dyDescent="0.25">
      <c r="A1064" s="3">
        <v>45712.206423611111</v>
      </c>
      <c r="B1064" t="s">
        <v>27</v>
      </c>
      <c r="C1064" s="3">
        <v>45712.223680555559</v>
      </c>
      <c r="D1064" t="s">
        <v>395</v>
      </c>
      <c r="E1064" s="4">
        <v>6.609</v>
      </c>
      <c r="F1064" s="4">
        <v>383872.20500000002</v>
      </c>
      <c r="G1064" s="4">
        <v>383878.81400000001</v>
      </c>
      <c r="H1064" s="5">
        <f>619 / 86400</f>
        <v>7.1643518518518514E-3</v>
      </c>
      <c r="I1064" t="s">
        <v>297</v>
      </c>
      <c r="J1064" t="s">
        <v>34</v>
      </c>
      <c r="K1064" s="5">
        <f>1491 / 86400</f>
        <v>1.7256944444444443E-2</v>
      </c>
      <c r="L1064" s="5">
        <f>18012 / 86400</f>
        <v>0.20847222222222223</v>
      </c>
    </row>
    <row r="1065" spans="1:12" x14ac:dyDescent="0.25">
      <c r="A1065" s="3">
        <v>45712.225729166668</v>
      </c>
      <c r="B1065" t="s">
        <v>395</v>
      </c>
      <c r="C1065" s="3">
        <v>45712.285833333328</v>
      </c>
      <c r="D1065" t="s">
        <v>428</v>
      </c>
      <c r="E1065" s="4">
        <v>30.814</v>
      </c>
      <c r="F1065" s="4">
        <v>383878.81400000001</v>
      </c>
      <c r="G1065" s="4">
        <v>383909.62800000003</v>
      </c>
      <c r="H1065" s="5">
        <f>1260 / 86400</f>
        <v>1.4583333333333334E-2</v>
      </c>
      <c r="I1065" t="s">
        <v>54</v>
      </c>
      <c r="J1065" t="s">
        <v>36</v>
      </c>
      <c r="K1065" s="5">
        <f>5192 / 86400</f>
        <v>6.0092592592592593E-2</v>
      </c>
      <c r="L1065" s="5">
        <f>39 / 86400</f>
        <v>4.5138888888888887E-4</v>
      </c>
    </row>
    <row r="1066" spans="1:12" x14ac:dyDescent="0.25">
      <c r="A1066" s="3">
        <v>45712.28628472222</v>
      </c>
      <c r="B1066" t="s">
        <v>428</v>
      </c>
      <c r="C1066" s="3">
        <v>45712.286458333328</v>
      </c>
      <c r="D1066" t="s">
        <v>428</v>
      </c>
      <c r="E1066" s="4">
        <v>0</v>
      </c>
      <c r="F1066" s="4">
        <v>383909.62800000003</v>
      </c>
      <c r="G1066" s="4">
        <v>383909.62800000003</v>
      </c>
      <c r="H1066" s="5">
        <f>0 / 86400</f>
        <v>0</v>
      </c>
      <c r="I1066" t="s">
        <v>24</v>
      </c>
      <c r="J1066" t="s">
        <v>24</v>
      </c>
      <c r="K1066" s="5">
        <f>14 / 86400</f>
        <v>1.6203703703703703E-4</v>
      </c>
      <c r="L1066" s="5">
        <f>19 / 86400</f>
        <v>2.199074074074074E-4</v>
      </c>
    </row>
    <row r="1067" spans="1:12" x14ac:dyDescent="0.25">
      <c r="A1067" s="3">
        <v>45712.286678240736</v>
      </c>
      <c r="B1067" t="s">
        <v>428</v>
      </c>
      <c r="C1067" s="3">
        <v>45712.287002314813</v>
      </c>
      <c r="D1067" t="s">
        <v>428</v>
      </c>
      <c r="E1067" s="4">
        <v>0</v>
      </c>
      <c r="F1067" s="4">
        <v>383909.62800000003</v>
      </c>
      <c r="G1067" s="4">
        <v>383909.62800000003</v>
      </c>
      <c r="H1067" s="5">
        <f>19 / 86400</f>
        <v>2.199074074074074E-4</v>
      </c>
      <c r="I1067" t="s">
        <v>24</v>
      </c>
      <c r="J1067" t="s">
        <v>24</v>
      </c>
      <c r="K1067" s="5">
        <f>27 / 86400</f>
        <v>3.1250000000000001E-4</v>
      </c>
      <c r="L1067" s="5">
        <f>2 / 86400</f>
        <v>2.3148148148148147E-5</v>
      </c>
    </row>
    <row r="1068" spans="1:12" x14ac:dyDescent="0.25">
      <c r="A1068" s="3">
        <v>45712.287025462967</v>
      </c>
      <c r="B1068" t="s">
        <v>428</v>
      </c>
      <c r="C1068" s="3">
        <v>45712.28707175926</v>
      </c>
      <c r="D1068" t="s">
        <v>428</v>
      </c>
      <c r="E1068" s="4">
        <v>0</v>
      </c>
      <c r="F1068" s="4">
        <v>383909.62800000003</v>
      </c>
      <c r="G1068" s="4">
        <v>383909.62800000003</v>
      </c>
      <c r="H1068" s="5">
        <f>0 / 86400</f>
        <v>0</v>
      </c>
      <c r="I1068" t="s">
        <v>24</v>
      </c>
      <c r="J1068" t="s">
        <v>24</v>
      </c>
      <c r="K1068" s="5">
        <f>4 / 86400</f>
        <v>4.6296296296296294E-5</v>
      </c>
      <c r="L1068" s="5">
        <f>72 / 86400</f>
        <v>8.3333333333333339E-4</v>
      </c>
    </row>
    <row r="1069" spans="1:12" x14ac:dyDescent="0.25">
      <c r="A1069" s="3">
        <v>45712.287905092591</v>
      </c>
      <c r="B1069" t="s">
        <v>428</v>
      </c>
      <c r="C1069" s="3">
        <v>45712.287997685184</v>
      </c>
      <c r="D1069" t="s">
        <v>428</v>
      </c>
      <c r="E1069" s="4">
        <v>0</v>
      </c>
      <c r="F1069" s="4">
        <v>383909.62800000003</v>
      </c>
      <c r="G1069" s="4">
        <v>383909.62800000003</v>
      </c>
      <c r="H1069" s="5">
        <f>0 / 86400</f>
        <v>0</v>
      </c>
      <c r="I1069" t="s">
        <v>24</v>
      </c>
      <c r="J1069" t="s">
        <v>24</v>
      </c>
      <c r="K1069" s="5">
        <f>7 / 86400</f>
        <v>8.1018518518518516E-5</v>
      </c>
      <c r="L1069" s="5">
        <f>24 / 86400</f>
        <v>2.7777777777777778E-4</v>
      </c>
    </row>
    <row r="1070" spans="1:12" x14ac:dyDescent="0.25">
      <c r="A1070" s="3">
        <v>45712.288275462968</v>
      </c>
      <c r="B1070" t="s">
        <v>428</v>
      </c>
      <c r="C1070" s="3">
        <v>45712.443738425922</v>
      </c>
      <c r="D1070" t="s">
        <v>81</v>
      </c>
      <c r="E1070" s="4">
        <v>59.947000000000003</v>
      </c>
      <c r="F1070" s="4">
        <v>383909.62800000003</v>
      </c>
      <c r="G1070" s="4">
        <v>383969.57500000001</v>
      </c>
      <c r="H1070" s="5">
        <f>4558 / 86400</f>
        <v>5.275462962962963E-2</v>
      </c>
      <c r="I1070" t="s">
        <v>297</v>
      </c>
      <c r="J1070" t="s">
        <v>34</v>
      </c>
      <c r="K1070" s="5">
        <f>13431 / 86400</f>
        <v>0.15545138888888888</v>
      </c>
      <c r="L1070" s="5">
        <f>3165 / 86400</f>
        <v>3.6631944444444446E-2</v>
      </c>
    </row>
    <row r="1071" spans="1:12" x14ac:dyDescent="0.25">
      <c r="A1071" s="3">
        <v>45712.480370370366</v>
      </c>
      <c r="B1071" t="s">
        <v>81</v>
      </c>
      <c r="C1071" s="3">
        <v>45712.482962962968</v>
      </c>
      <c r="D1071" t="s">
        <v>68</v>
      </c>
      <c r="E1071" s="4">
        <v>0.78100000000000003</v>
      </c>
      <c r="F1071" s="4">
        <v>383969.57500000001</v>
      </c>
      <c r="G1071" s="4">
        <v>383970.35600000003</v>
      </c>
      <c r="H1071" s="5">
        <f>20 / 86400</f>
        <v>2.3148148148148149E-4</v>
      </c>
      <c r="I1071" t="s">
        <v>160</v>
      </c>
      <c r="J1071" t="s">
        <v>71</v>
      </c>
      <c r="K1071" s="5">
        <f>223 / 86400</f>
        <v>2.5810185185185185E-3</v>
      </c>
      <c r="L1071" s="5">
        <f>146 / 86400</f>
        <v>1.6898148148148148E-3</v>
      </c>
    </row>
    <row r="1072" spans="1:12" x14ac:dyDescent="0.25">
      <c r="A1072" s="3">
        <v>45712.484652777777</v>
      </c>
      <c r="B1072" t="s">
        <v>68</v>
      </c>
      <c r="C1072" s="3">
        <v>45712.490358796298</v>
      </c>
      <c r="D1072" t="s">
        <v>21</v>
      </c>
      <c r="E1072" s="4">
        <v>1.3180000000000001</v>
      </c>
      <c r="F1072" s="4">
        <v>383970.35600000003</v>
      </c>
      <c r="G1072" s="4">
        <v>383971.674</v>
      </c>
      <c r="H1072" s="5">
        <f>100 / 86400</f>
        <v>1.1574074074074073E-3</v>
      </c>
      <c r="I1072" t="s">
        <v>139</v>
      </c>
      <c r="J1072" t="s">
        <v>51</v>
      </c>
      <c r="K1072" s="5">
        <f>492 / 86400</f>
        <v>5.6944444444444447E-3</v>
      </c>
      <c r="L1072" s="5">
        <f>1993 / 86400</f>
        <v>2.3067129629629628E-2</v>
      </c>
    </row>
    <row r="1073" spans="1:12" x14ac:dyDescent="0.25">
      <c r="A1073" s="3">
        <v>45712.513425925921</v>
      </c>
      <c r="B1073" t="s">
        <v>151</v>
      </c>
      <c r="C1073" s="3">
        <v>45712.637337962966</v>
      </c>
      <c r="D1073" t="s">
        <v>394</v>
      </c>
      <c r="E1073" s="4">
        <v>51.716000000000001</v>
      </c>
      <c r="F1073" s="4">
        <v>383971.674</v>
      </c>
      <c r="G1073" s="4">
        <v>384023.39</v>
      </c>
      <c r="H1073" s="5">
        <f>3239 / 86400</f>
        <v>3.7488425925925925E-2</v>
      </c>
      <c r="I1073" t="s">
        <v>58</v>
      </c>
      <c r="J1073" t="s">
        <v>30</v>
      </c>
      <c r="K1073" s="5">
        <f>10705 / 86400</f>
        <v>0.12390046296296296</v>
      </c>
      <c r="L1073" s="5">
        <f>890 / 86400</f>
        <v>1.0300925925925925E-2</v>
      </c>
    </row>
    <row r="1074" spans="1:12" x14ac:dyDescent="0.25">
      <c r="A1074" s="3">
        <v>45712.647638888884</v>
      </c>
      <c r="B1074" t="s">
        <v>394</v>
      </c>
      <c r="C1074" s="3">
        <v>45712.787546296298</v>
      </c>
      <c r="D1074" t="s">
        <v>384</v>
      </c>
      <c r="E1074" s="4">
        <v>45.966000000000001</v>
      </c>
      <c r="F1074" s="4">
        <v>384023.39</v>
      </c>
      <c r="G1074" s="4">
        <v>384069.35600000003</v>
      </c>
      <c r="H1074" s="5">
        <f>4780 / 86400</f>
        <v>5.5324074074074074E-2</v>
      </c>
      <c r="I1074" t="s">
        <v>268</v>
      </c>
      <c r="J1074" t="s">
        <v>48</v>
      </c>
      <c r="K1074" s="5">
        <f>12088 / 86400</f>
        <v>0.1399074074074074</v>
      </c>
      <c r="L1074" s="5">
        <f>275 / 86400</f>
        <v>3.1828703703703702E-3</v>
      </c>
    </row>
    <row r="1075" spans="1:12" x14ac:dyDescent="0.25">
      <c r="A1075" s="3">
        <v>45712.790729166663</v>
      </c>
      <c r="B1075" t="s">
        <v>384</v>
      </c>
      <c r="C1075" s="3">
        <v>45712.826226851852</v>
      </c>
      <c r="D1075" t="s">
        <v>429</v>
      </c>
      <c r="E1075" s="4">
        <v>20.015999999999998</v>
      </c>
      <c r="F1075" s="4">
        <v>384069.35600000003</v>
      </c>
      <c r="G1075" s="4">
        <v>384089.37199999997</v>
      </c>
      <c r="H1075" s="5">
        <f>539 / 86400</f>
        <v>6.2384259259259259E-3</v>
      </c>
      <c r="I1075" t="s">
        <v>168</v>
      </c>
      <c r="J1075" t="s">
        <v>182</v>
      </c>
      <c r="K1075" s="5">
        <f>3066 / 86400</f>
        <v>3.5486111111111114E-2</v>
      </c>
      <c r="L1075" s="5">
        <f>1207 / 86400</f>
        <v>1.3969907407407407E-2</v>
      </c>
    </row>
    <row r="1076" spans="1:12" x14ac:dyDescent="0.25">
      <c r="A1076" s="3">
        <v>45712.840196759258</v>
      </c>
      <c r="B1076" t="s">
        <v>429</v>
      </c>
      <c r="C1076" s="3">
        <v>45712.850706018522</v>
      </c>
      <c r="D1076" t="s">
        <v>27</v>
      </c>
      <c r="E1076" s="4">
        <v>0.80200000000000005</v>
      </c>
      <c r="F1076" s="4">
        <v>384089.37199999997</v>
      </c>
      <c r="G1076" s="4">
        <v>384090.174</v>
      </c>
      <c r="H1076" s="5">
        <f>518 / 86400</f>
        <v>5.9953703703703705E-3</v>
      </c>
      <c r="I1076" t="s">
        <v>48</v>
      </c>
      <c r="J1076" t="s">
        <v>95</v>
      </c>
      <c r="K1076" s="5">
        <f>907 / 86400</f>
        <v>1.0497685185185185E-2</v>
      </c>
      <c r="L1076" s="5">
        <f>12898 / 86400</f>
        <v>0.14928240740740742</v>
      </c>
    </row>
    <row r="1077" spans="1:12" x14ac:dyDescent="0.25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</row>
    <row r="1078" spans="1:12" x14ac:dyDescent="0.25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</row>
    <row r="1079" spans="1:12" s="10" customFormat="1" ht="20.100000000000001" customHeight="1" x14ac:dyDescent="0.35">
      <c r="A1079" s="15" t="s">
        <v>488</v>
      </c>
      <c r="B1079" s="15"/>
      <c r="C1079" s="15"/>
      <c r="D1079" s="15"/>
      <c r="E1079" s="15"/>
      <c r="F1079" s="15"/>
      <c r="G1079" s="15"/>
      <c r="H1079" s="15"/>
      <c r="I1079" s="15"/>
      <c r="J1079" s="15"/>
    </row>
    <row r="1080" spans="1:12" x14ac:dyDescent="0.25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</row>
    <row r="1081" spans="1:12" ht="30" x14ac:dyDescent="0.25">
      <c r="A1081" s="2" t="s">
        <v>6</v>
      </c>
      <c r="B1081" s="2" t="s">
        <v>7</v>
      </c>
      <c r="C1081" s="2" t="s">
        <v>8</v>
      </c>
      <c r="D1081" s="2" t="s">
        <v>9</v>
      </c>
      <c r="E1081" s="2" t="s">
        <v>10</v>
      </c>
      <c r="F1081" s="2" t="s">
        <v>11</v>
      </c>
      <c r="G1081" s="2" t="s">
        <v>12</v>
      </c>
      <c r="H1081" s="2" t="s">
        <v>13</v>
      </c>
      <c r="I1081" s="2" t="s">
        <v>14</v>
      </c>
      <c r="J1081" s="2" t="s">
        <v>15</v>
      </c>
      <c r="K1081" s="2" t="s">
        <v>16</v>
      </c>
      <c r="L1081" s="2" t="s">
        <v>17</v>
      </c>
    </row>
    <row r="1082" spans="1:12" x14ac:dyDescent="0.25">
      <c r="A1082" s="3">
        <v>45712.296967592592</v>
      </c>
      <c r="B1082" t="s">
        <v>102</v>
      </c>
      <c r="C1082" s="3">
        <v>45712.302569444444</v>
      </c>
      <c r="D1082" t="s">
        <v>149</v>
      </c>
      <c r="E1082" s="4">
        <v>0.59899999999999998</v>
      </c>
      <c r="F1082" s="4">
        <v>548182.61699999997</v>
      </c>
      <c r="G1082" s="4">
        <v>548183.21600000001</v>
      </c>
      <c r="H1082" s="5">
        <f>340 / 86400</f>
        <v>3.9351851851851848E-3</v>
      </c>
      <c r="I1082" t="s">
        <v>184</v>
      </c>
      <c r="J1082" t="s">
        <v>129</v>
      </c>
      <c r="K1082" s="5">
        <f>484 / 86400</f>
        <v>5.6018518518518518E-3</v>
      </c>
      <c r="L1082" s="5">
        <f>26918 / 86400</f>
        <v>0.31155092592592593</v>
      </c>
    </row>
    <row r="1083" spans="1:12" x14ac:dyDescent="0.25">
      <c r="A1083" s="3">
        <v>45712.317152777774</v>
      </c>
      <c r="B1083" t="s">
        <v>149</v>
      </c>
      <c r="C1083" s="3">
        <v>45712.317569444444</v>
      </c>
      <c r="D1083" t="s">
        <v>149</v>
      </c>
      <c r="E1083" s="4">
        <v>4.0000000000000001E-3</v>
      </c>
      <c r="F1083" s="4">
        <v>548183.21600000001</v>
      </c>
      <c r="G1083" s="4">
        <v>548183.22</v>
      </c>
      <c r="H1083" s="5">
        <f>19 / 86400</f>
        <v>2.199074074074074E-4</v>
      </c>
      <c r="I1083" t="s">
        <v>24</v>
      </c>
      <c r="J1083" t="s">
        <v>24</v>
      </c>
      <c r="K1083" s="5">
        <f>35 / 86400</f>
        <v>4.0509259259259258E-4</v>
      </c>
      <c r="L1083" s="5">
        <f>1 / 86400</f>
        <v>1.1574074074074073E-5</v>
      </c>
    </row>
    <row r="1084" spans="1:12" x14ac:dyDescent="0.25">
      <c r="A1084" s="3">
        <v>45712.31758101852</v>
      </c>
      <c r="B1084" t="s">
        <v>149</v>
      </c>
      <c r="C1084" s="3">
        <v>45712.31763888889</v>
      </c>
      <c r="D1084" t="s">
        <v>149</v>
      </c>
      <c r="E1084" s="4">
        <v>0</v>
      </c>
      <c r="F1084" s="4">
        <v>548183.22</v>
      </c>
      <c r="G1084" s="4">
        <v>548183.22</v>
      </c>
      <c r="H1084" s="5">
        <f>3 / 86400</f>
        <v>3.4722222222222222E-5</v>
      </c>
      <c r="I1084" t="s">
        <v>24</v>
      </c>
      <c r="J1084" t="s">
        <v>24</v>
      </c>
      <c r="K1084" s="5">
        <f>5 / 86400</f>
        <v>5.7870370370370373E-5</v>
      </c>
      <c r="L1084" s="5">
        <f>849 / 86400</f>
        <v>9.8263888888888897E-3</v>
      </c>
    </row>
    <row r="1085" spans="1:12" x14ac:dyDescent="0.25">
      <c r="A1085" s="3">
        <v>45712.327465277776</v>
      </c>
      <c r="B1085" t="s">
        <v>149</v>
      </c>
      <c r="C1085" s="3">
        <v>45712.331446759257</v>
      </c>
      <c r="D1085" t="s">
        <v>21</v>
      </c>
      <c r="E1085" s="4">
        <v>1.3839999999999999</v>
      </c>
      <c r="F1085" s="4">
        <v>548183.22</v>
      </c>
      <c r="G1085" s="4">
        <v>548184.60400000005</v>
      </c>
      <c r="H1085" s="5">
        <f>39 / 86400</f>
        <v>4.5138888888888887E-4</v>
      </c>
      <c r="I1085" t="s">
        <v>218</v>
      </c>
      <c r="J1085" t="s">
        <v>48</v>
      </c>
      <c r="K1085" s="5">
        <f>344 / 86400</f>
        <v>3.9814814814814817E-3</v>
      </c>
      <c r="L1085" s="5">
        <f>1238 / 86400</f>
        <v>1.4328703703703703E-2</v>
      </c>
    </row>
    <row r="1086" spans="1:12" x14ac:dyDescent="0.25">
      <c r="A1086" s="3">
        <v>45712.345775462964</v>
      </c>
      <c r="B1086" t="s">
        <v>21</v>
      </c>
      <c r="C1086" s="3">
        <v>45712.461134259254</v>
      </c>
      <c r="D1086" t="s">
        <v>394</v>
      </c>
      <c r="E1086" s="4">
        <v>51.98</v>
      </c>
      <c r="F1086" s="4">
        <v>548184.60400000005</v>
      </c>
      <c r="G1086" s="4">
        <v>548236.58400000003</v>
      </c>
      <c r="H1086" s="5">
        <f>2820 / 86400</f>
        <v>3.2638888888888891E-2</v>
      </c>
      <c r="I1086" t="s">
        <v>104</v>
      </c>
      <c r="J1086" t="s">
        <v>137</v>
      </c>
      <c r="K1086" s="5">
        <f>9967 / 86400</f>
        <v>0.11535879629629629</v>
      </c>
      <c r="L1086" s="5">
        <f>2029 / 86400</f>
        <v>2.3483796296296298E-2</v>
      </c>
    </row>
    <row r="1087" spans="1:12" x14ac:dyDescent="0.25">
      <c r="A1087" s="3">
        <v>45712.484618055554</v>
      </c>
      <c r="B1087" t="s">
        <v>394</v>
      </c>
      <c r="C1087" s="3">
        <v>45712.606435185182</v>
      </c>
      <c r="D1087" t="s">
        <v>125</v>
      </c>
      <c r="E1087" s="4">
        <v>50.162999999999997</v>
      </c>
      <c r="F1087" s="4">
        <v>548236.58400000003</v>
      </c>
      <c r="G1087" s="4">
        <v>548286.74699999997</v>
      </c>
      <c r="H1087" s="5">
        <f>3119 / 86400</f>
        <v>3.6099537037037034E-2</v>
      </c>
      <c r="I1087" t="s">
        <v>44</v>
      </c>
      <c r="J1087" t="s">
        <v>30</v>
      </c>
      <c r="K1087" s="5">
        <f>10524 / 86400</f>
        <v>0.12180555555555556</v>
      </c>
      <c r="L1087" s="5">
        <f>2355 / 86400</f>
        <v>2.7256944444444445E-2</v>
      </c>
    </row>
    <row r="1088" spans="1:12" x14ac:dyDescent="0.25">
      <c r="A1088" s="3">
        <v>45712.633692129632</v>
      </c>
      <c r="B1088" t="s">
        <v>125</v>
      </c>
      <c r="C1088" s="3">
        <v>45712.761064814811</v>
      </c>
      <c r="D1088" t="s">
        <v>261</v>
      </c>
      <c r="E1088" s="4">
        <v>51.706000000000003</v>
      </c>
      <c r="F1088" s="4">
        <v>548286.74699999997</v>
      </c>
      <c r="G1088" s="4">
        <v>548338.45299999998</v>
      </c>
      <c r="H1088" s="5">
        <f>3121 / 86400</f>
        <v>3.6122685185185188E-2</v>
      </c>
      <c r="I1088" t="s">
        <v>298</v>
      </c>
      <c r="J1088" t="s">
        <v>30</v>
      </c>
      <c r="K1088" s="5">
        <f>11004 / 86400</f>
        <v>0.12736111111111112</v>
      </c>
      <c r="L1088" s="5">
        <f>1363 / 86400</f>
        <v>1.5775462962962963E-2</v>
      </c>
    </row>
    <row r="1089" spans="1:12" x14ac:dyDescent="0.25">
      <c r="A1089" s="3">
        <v>45712.776840277773</v>
      </c>
      <c r="B1089" t="s">
        <v>261</v>
      </c>
      <c r="C1089" s="3">
        <v>45712.895231481481</v>
      </c>
      <c r="D1089" t="s">
        <v>384</v>
      </c>
      <c r="E1089" s="4">
        <v>36.399000000000001</v>
      </c>
      <c r="F1089" s="4">
        <v>548338.45299999998</v>
      </c>
      <c r="G1089" s="4">
        <v>548374.85199999996</v>
      </c>
      <c r="H1089" s="5">
        <f>1738 / 86400</f>
        <v>2.011574074074074E-2</v>
      </c>
      <c r="I1089" t="s">
        <v>139</v>
      </c>
      <c r="J1089" t="s">
        <v>71</v>
      </c>
      <c r="K1089" s="5">
        <f>10228 / 86400</f>
        <v>0.11837962962962963</v>
      </c>
      <c r="L1089" s="5">
        <f>2 / 86400</f>
        <v>2.3148148148148147E-5</v>
      </c>
    </row>
    <row r="1090" spans="1:12" x14ac:dyDescent="0.25">
      <c r="A1090" s="3">
        <v>45712.895254629635</v>
      </c>
      <c r="B1090" t="s">
        <v>384</v>
      </c>
      <c r="C1090" s="3">
        <v>45712.896134259259</v>
      </c>
      <c r="D1090" t="s">
        <v>386</v>
      </c>
      <c r="E1090" s="4">
        <v>0.28399999999999997</v>
      </c>
      <c r="F1090" s="4">
        <v>548374.85199999996</v>
      </c>
      <c r="G1090" s="4">
        <v>548375.13600000006</v>
      </c>
      <c r="H1090" s="5">
        <f>1 / 86400</f>
        <v>1.1574074074074073E-5</v>
      </c>
      <c r="I1090" t="s">
        <v>30</v>
      </c>
      <c r="J1090" t="s">
        <v>71</v>
      </c>
      <c r="K1090" s="5">
        <f>76 / 86400</f>
        <v>8.7962962962962962E-4</v>
      </c>
      <c r="L1090" s="5">
        <f>2 / 86400</f>
        <v>2.3148148148148147E-5</v>
      </c>
    </row>
    <row r="1091" spans="1:12" x14ac:dyDescent="0.25">
      <c r="A1091" s="3">
        <v>45712.896157407406</v>
      </c>
      <c r="B1091" t="s">
        <v>386</v>
      </c>
      <c r="C1091" s="3">
        <v>45712.898900462962</v>
      </c>
      <c r="D1091" t="s">
        <v>284</v>
      </c>
      <c r="E1091" s="4">
        <v>0.96199999999999997</v>
      </c>
      <c r="F1091" s="4">
        <v>548375.13600000006</v>
      </c>
      <c r="G1091" s="4">
        <v>548376.098</v>
      </c>
      <c r="H1091" s="5">
        <f>20 / 86400</f>
        <v>2.3148148148148149E-4</v>
      </c>
      <c r="I1091" t="s">
        <v>137</v>
      </c>
      <c r="J1091" t="s">
        <v>59</v>
      </c>
      <c r="K1091" s="5">
        <f>237 / 86400</f>
        <v>2.7430555555555554E-3</v>
      </c>
      <c r="L1091" s="5">
        <f>2 / 86400</f>
        <v>2.3148148148148147E-5</v>
      </c>
    </row>
    <row r="1092" spans="1:12" x14ac:dyDescent="0.25">
      <c r="A1092" s="3">
        <v>45712.898923611108</v>
      </c>
      <c r="B1092" t="s">
        <v>284</v>
      </c>
      <c r="C1092" s="3">
        <v>45712.899618055555</v>
      </c>
      <c r="D1092" t="s">
        <v>283</v>
      </c>
      <c r="E1092" s="4">
        <v>4.2999999999999997E-2</v>
      </c>
      <c r="F1092" s="4">
        <v>548376.098</v>
      </c>
      <c r="G1092" s="4">
        <v>548376.14099999995</v>
      </c>
      <c r="H1092" s="5">
        <f>33 / 86400</f>
        <v>3.8194444444444446E-4</v>
      </c>
      <c r="I1092" t="s">
        <v>57</v>
      </c>
      <c r="J1092" t="s">
        <v>95</v>
      </c>
      <c r="K1092" s="5">
        <f>60 / 86400</f>
        <v>6.9444444444444447E-4</v>
      </c>
      <c r="L1092" s="5">
        <f>1 / 86400</f>
        <v>1.1574074074074073E-5</v>
      </c>
    </row>
    <row r="1093" spans="1:12" x14ac:dyDescent="0.25">
      <c r="A1093" s="3">
        <v>45712.899629629625</v>
      </c>
      <c r="B1093" t="s">
        <v>283</v>
      </c>
      <c r="C1093" s="3">
        <v>45712.910208333335</v>
      </c>
      <c r="D1093" t="s">
        <v>68</v>
      </c>
      <c r="E1093" s="4">
        <v>3.8319999999999999</v>
      </c>
      <c r="F1093" s="4">
        <v>548376.14099999995</v>
      </c>
      <c r="G1093" s="4">
        <v>548379.973</v>
      </c>
      <c r="H1093" s="5">
        <f>80 / 86400</f>
        <v>9.2592592592592596E-4</v>
      </c>
      <c r="I1093" t="s">
        <v>134</v>
      </c>
      <c r="J1093" t="s">
        <v>59</v>
      </c>
      <c r="K1093" s="5">
        <f>914 / 86400</f>
        <v>1.0578703703703703E-2</v>
      </c>
      <c r="L1093" s="5">
        <f>278 / 86400</f>
        <v>3.2175925925925926E-3</v>
      </c>
    </row>
    <row r="1094" spans="1:12" x14ac:dyDescent="0.25">
      <c r="A1094" s="3">
        <v>45712.91342592593</v>
      </c>
      <c r="B1094" t="s">
        <v>68</v>
      </c>
      <c r="C1094" s="3">
        <v>45712.917986111112</v>
      </c>
      <c r="D1094" t="s">
        <v>103</v>
      </c>
      <c r="E1094" s="4">
        <v>8.7999999999999995E-2</v>
      </c>
      <c r="F1094" s="4">
        <v>548379.973</v>
      </c>
      <c r="G1094" s="4">
        <v>548380.06099999999</v>
      </c>
      <c r="H1094" s="5">
        <f>299 / 86400</f>
        <v>3.460648148148148E-3</v>
      </c>
      <c r="I1094" t="s">
        <v>57</v>
      </c>
      <c r="J1094" t="s">
        <v>143</v>
      </c>
      <c r="K1094" s="5">
        <f>394 / 86400</f>
        <v>4.5601851851851853E-3</v>
      </c>
      <c r="L1094" s="5">
        <f>7085 / 86400</f>
        <v>8.200231481481482E-2</v>
      </c>
    </row>
    <row r="1095" spans="1:12" x14ac:dyDescent="0.25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</row>
    <row r="1096" spans="1:12" x14ac:dyDescent="0.25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</row>
    <row r="1097" spans="1:12" s="10" customFormat="1" ht="20.100000000000001" customHeight="1" x14ac:dyDescent="0.35">
      <c r="A1097" s="15" t="s">
        <v>489</v>
      </c>
      <c r="B1097" s="15"/>
      <c r="C1097" s="15"/>
      <c r="D1097" s="15"/>
      <c r="E1097" s="15"/>
      <c r="F1097" s="15"/>
      <c r="G1097" s="15"/>
      <c r="H1097" s="15"/>
      <c r="I1097" s="15"/>
      <c r="J1097" s="15"/>
    </row>
    <row r="1098" spans="1:12" x14ac:dyDescent="0.25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</row>
    <row r="1099" spans="1:12" ht="30" x14ac:dyDescent="0.25">
      <c r="A1099" s="2" t="s">
        <v>6</v>
      </c>
      <c r="B1099" s="2" t="s">
        <v>7</v>
      </c>
      <c r="C1099" s="2" t="s">
        <v>8</v>
      </c>
      <c r="D1099" s="2" t="s">
        <v>9</v>
      </c>
      <c r="E1099" s="2" t="s">
        <v>10</v>
      </c>
      <c r="F1099" s="2" t="s">
        <v>11</v>
      </c>
      <c r="G1099" s="2" t="s">
        <v>12</v>
      </c>
      <c r="H1099" s="2" t="s">
        <v>13</v>
      </c>
      <c r="I1099" s="2" t="s">
        <v>14</v>
      </c>
      <c r="J1099" s="2" t="s">
        <v>15</v>
      </c>
      <c r="K1099" s="2" t="s">
        <v>16</v>
      </c>
      <c r="L1099" s="2" t="s">
        <v>17</v>
      </c>
    </row>
    <row r="1100" spans="1:12" x14ac:dyDescent="0.25">
      <c r="A1100" s="3">
        <v>45712.226435185185</v>
      </c>
      <c r="B1100" t="s">
        <v>105</v>
      </c>
      <c r="C1100" s="3">
        <v>45712.227407407408</v>
      </c>
      <c r="D1100" t="s">
        <v>105</v>
      </c>
      <c r="E1100" s="4">
        <v>7.4999999999999997E-2</v>
      </c>
      <c r="F1100" s="4">
        <v>106499.91099999999</v>
      </c>
      <c r="G1100" s="4">
        <v>106499.986</v>
      </c>
      <c r="H1100" s="5">
        <f>37 / 86400</f>
        <v>4.2824074074074075E-4</v>
      </c>
      <c r="I1100" t="s">
        <v>71</v>
      </c>
      <c r="J1100" t="s">
        <v>95</v>
      </c>
      <c r="K1100" s="5">
        <f>84 / 86400</f>
        <v>9.7222222222222219E-4</v>
      </c>
      <c r="L1100" s="5">
        <f>19800 / 86400</f>
        <v>0.22916666666666666</v>
      </c>
    </row>
    <row r="1101" spans="1:12" x14ac:dyDescent="0.25">
      <c r="A1101" s="3">
        <v>45712.230138888888</v>
      </c>
      <c r="B1101" t="s">
        <v>105</v>
      </c>
      <c r="C1101" s="3">
        <v>45712.331296296295</v>
      </c>
      <c r="D1101" t="s">
        <v>236</v>
      </c>
      <c r="E1101" s="4">
        <v>50.334000000000003</v>
      </c>
      <c r="F1101" s="4">
        <v>106499.986</v>
      </c>
      <c r="G1101" s="4">
        <v>106550.32</v>
      </c>
      <c r="H1101" s="5">
        <f>2319 / 86400</f>
        <v>2.6840277777777779E-2</v>
      </c>
      <c r="I1101" t="s">
        <v>35</v>
      </c>
      <c r="J1101" t="s">
        <v>36</v>
      </c>
      <c r="K1101" s="5">
        <f>8740 / 86400</f>
        <v>0.1011574074074074</v>
      </c>
      <c r="L1101" s="5">
        <f>76 / 86400</f>
        <v>8.7962962962962962E-4</v>
      </c>
    </row>
    <row r="1102" spans="1:12" x14ac:dyDescent="0.25">
      <c r="A1102" s="3">
        <v>45712.332175925927</v>
      </c>
      <c r="B1102" t="s">
        <v>236</v>
      </c>
      <c r="C1102" s="3">
        <v>45712.332337962958</v>
      </c>
      <c r="D1102" t="s">
        <v>236</v>
      </c>
      <c r="E1102" s="4">
        <v>8.0000000000000002E-3</v>
      </c>
      <c r="F1102" s="4">
        <v>106550.32</v>
      </c>
      <c r="G1102" s="4">
        <v>106550.32799999999</v>
      </c>
      <c r="H1102" s="5">
        <f>0 / 86400</f>
        <v>0</v>
      </c>
      <c r="I1102" t="s">
        <v>57</v>
      </c>
      <c r="J1102" t="s">
        <v>150</v>
      </c>
      <c r="K1102" s="5">
        <f>14 / 86400</f>
        <v>1.6203703703703703E-4</v>
      </c>
      <c r="L1102" s="5">
        <f>278 / 86400</f>
        <v>3.2175925925925926E-3</v>
      </c>
    </row>
    <row r="1103" spans="1:12" x14ac:dyDescent="0.25">
      <c r="A1103" s="3">
        <v>45712.335555555561</v>
      </c>
      <c r="B1103" t="s">
        <v>236</v>
      </c>
      <c r="C1103" s="3">
        <v>45712.335972222223</v>
      </c>
      <c r="D1103" t="s">
        <v>236</v>
      </c>
      <c r="E1103" s="4">
        <v>2.4E-2</v>
      </c>
      <c r="F1103" s="4">
        <v>106550.32799999999</v>
      </c>
      <c r="G1103" s="4">
        <v>106550.352</v>
      </c>
      <c r="H1103" s="5">
        <f>17 / 86400</f>
        <v>1.9675925925925926E-4</v>
      </c>
      <c r="I1103" t="s">
        <v>24</v>
      </c>
      <c r="J1103" t="s">
        <v>150</v>
      </c>
      <c r="K1103" s="5">
        <f>36 / 86400</f>
        <v>4.1666666666666669E-4</v>
      </c>
      <c r="L1103" s="5">
        <f>50 / 86400</f>
        <v>5.7870370370370367E-4</v>
      </c>
    </row>
    <row r="1104" spans="1:12" x14ac:dyDescent="0.25">
      <c r="A1104" s="3">
        <v>45712.336550925931</v>
      </c>
      <c r="B1104" t="s">
        <v>236</v>
      </c>
      <c r="C1104" s="3">
        <v>45712.47247685185</v>
      </c>
      <c r="D1104" t="s">
        <v>125</v>
      </c>
      <c r="E1104" s="4">
        <v>54.987000000000002</v>
      </c>
      <c r="F1104" s="4">
        <v>106550.352</v>
      </c>
      <c r="G1104" s="4">
        <v>106605.33900000001</v>
      </c>
      <c r="H1104" s="5">
        <f>4298 / 86400</f>
        <v>4.974537037037037E-2</v>
      </c>
      <c r="I1104" t="s">
        <v>70</v>
      </c>
      <c r="J1104" t="s">
        <v>30</v>
      </c>
      <c r="K1104" s="5">
        <f>11744 / 86400</f>
        <v>0.13592592592592592</v>
      </c>
      <c r="L1104" s="5">
        <f>44 / 86400</f>
        <v>5.0925925925925921E-4</v>
      </c>
    </row>
    <row r="1105" spans="1:12" x14ac:dyDescent="0.25">
      <c r="A1105" s="3">
        <v>45712.472986111112</v>
      </c>
      <c r="B1105" t="s">
        <v>125</v>
      </c>
      <c r="C1105" s="3">
        <v>45712.473217592589</v>
      </c>
      <c r="D1105" t="s">
        <v>125</v>
      </c>
      <c r="E1105" s="4">
        <v>0</v>
      </c>
      <c r="F1105" s="4">
        <v>106605.33900000001</v>
      </c>
      <c r="G1105" s="4">
        <v>106605.33900000001</v>
      </c>
      <c r="H1105" s="5">
        <f>0 / 86400</f>
        <v>0</v>
      </c>
      <c r="I1105" t="s">
        <v>24</v>
      </c>
      <c r="J1105" t="s">
        <v>24</v>
      </c>
      <c r="K1105" s="5">
        <f>20 / 86400</f>
        <v>2.3148148148148149E-4</v>
      </c>
      <c r="L1105" s="5">
        <f>740 / 86400</f>
        <v>8.564814814814815E-3</v>
      </c>
    </row>
    <row r="1106" spans="1:12" x14ac:dyDescent="0.25">
      <c r="A1106" s="3">
        <v>45712.481782407413</v>
      </c>
      <c r="B1106" t="s">
        <v>125</v>
      </c>
      <c r="C1106" s="3">
        <v>45712.48982638889</v>
      </c>
      <c r="D1106" t="s">
        <v>125</v>
      </c>
      <c r="E1106" s="4">
        <v>1.321</v>
      </c>
      <c r="F1106" s="4">
        <v>106605.33900000001</v>
      </c>
      <c r="G1106" s="4">
        <v>106606.66</v>
      </c>
      <c r="H1106" s="5">
        <f>380 / 86400</f>
        <v>4.3981481481481484E-3</v>
      </c>
      <c r="I1106" t="s">
        <v>178</v>
      </c>
      <c r="J1106" t="s">
        <v>99</v>
      </c>
      <c r="K1106" s="5">
        <f>695 / 86400</f>
        <v>8.0439814814814818E-3</v>
      </c>
      <c r="L1106" s="5">
        <f>2318 / 86400</f>
        <v>2.6828703703703705E-2</v>
      </c>
    </row>
    <row r="1107" spans="1:12" x14ac:dyDescent="0.25">
      <c r="A1107" s="3">
        <v>45712.516655092593</v>
      </c>
      <c r="B1107" t="s">
        <v>125</v>
      </c>
      <c r="C1107" s="3">
        <v>45712.516724537039</v>
      </c>
      <c r="D1107" t="s">
        <v>125</v>
      </c>
      <c r="E1107" s="4">
        <v>0</v>
      </c>
      <c r="F1107" s="4">
        <v>106606.66</v>
      </c>
      <c r="G1107" s="4">
        <v>106606.66</v>
      </c>
      <c r="H1107" s="5">
        <f>0 / 86400</f>
        <v>0</v>
      </c>
      <c r="I1107" t="s">
        <v>24</v>
      </c>
      <c r="J1107" t="s">
        <v>24</v>
      </c>
      <c r="K1107" s="5">
        <f>6 / 86400</f>
        <v>6.9444444444444444E-5</v>
      </c>
      <c r="L1107" s="5">
        <f>1588 / 86400</f>
        <v>1.8379629629629631E-2</v>
      </c>
    </row>
    <row r="1108" spans="1:12" x14ac:dyDescent="0.25">
      <c r="A1108" s="3">
        <v>45712.535104166665</v>
      </c>
      <c r="B1108" t="s">
        <v>125</v>
      </c>
      <c r="C1108" s="3">
        <v>45712.535798611112</v>
      </c>
      <c r="D1108" t="s">
        <v>125</v>
      </c>
      <c r="E1108" s="4">
        <v>2.4E-2</v>
      </c>
      <c r="F1108" s="4">
        <v>106606.66</v>
      </c>
      <c r="G1108" s="4">
        <v>106606.68399999999</v>
      </c>
      <c r="H1108" s="5">
        <f>37 / 86400</f>
        <v>4.2824074074074075E-4</v>
      </c>
      <c r="I1108" t="s">
        <v>129</v>
      </c>
      <c r="J1108" t="s">
        <v>143</v>
      </c>
      <c r="K1108" s="5">
        <f>60 / 86400</f>
        <v>6.9444444444444447E-4</v>
      </c>
      <c r="L1108" s="5">
        <f>2829 / 86400</f>
        <v>3.2743055555555553E-2</v>
      </c>
    </row>
    <row r="1109" spans="1:12" x14ac:dyDescent="0.25">
      <c r="A1109" s="3">
        <v>45712.568541666667</v>
      </c>
      <c r="B1109" t="s">
        <v>125</v>
      </c>
      <c r="C1109" s="3">
        <v>45712.569363425922</v>
      </c>
      <c r="D1109" t="s">
        <v>125</v>
      </c>
      <c r="E1109" s="4">
        <v>1.6E-2</v>
      </c>
      <c r="F1109" s="4">
        <v>106606.68399999999</v>
      </c>
      <c r="G1109" s="4">
        <v>106606.7</v>
      </c>
      <c r="H1109" s="5">
        <f>37 / 86400</f>
        <v>4.2824074074074075E-4</v>
      </c>
      <c r="I1109" t="s">
        <v>57</v>
      </c>
      <c r="J1109" t="s">
        <v>143</v>
      </c>
      <c r="K1109" s="5">
        <f>71 / 86400</f>
        <v>8.2175925925925927E-4</v>
      </c>
      <c r="L1109" s="5">
        <f>759 / 86400</f>
        <v>8.7847222222222215E-3</v>
      </c>
    </row>
    <row r="1110" spans="1:12" x14ac:dyDescent="0.25">
      <c r="A1110" s="3">
        <v>45712.578148148154</v>
      </c>
      <c r="B1110" t="s">
        <v>125</v>
      </c>
      <c r="C1110" s="3">
        <v>45712.578923611116</v>
      </c>
      <c r="D1110" t="s">
        <v>125</v>
      </c>
      <c r="E1110" s="4">
        <v>3.3000000000000002E-2</v>
      </c>
      <c r="F1110" s="4">
        <v>106606.7</v>
      </c>
      <c r="G1110" s="4">
        <v>106606.73299999999</v>
      </c>
      <c r="H1110" s="5">
        <f>20 / 86400</f>
        <v>2.3148148148148149E-4</v>
      </c>
      <c r="I1110" t="s">
        <v>92</v>
      </c>
      <c r="J1110" t="s">
        <v>150</v>
      </c>
      <c r="K1110" s="5">
        <f>67 / 86400</f>
        <v>7.7546296296296293E-4</v>
      </c>
      <c r="L1110" s="5">
        <f>62 / 86400</f>
        <v>7.1759259259259259E-4</v>
      </c>
    </row>
    <row r="1111" spans="1:12" x14ac:dyDescent="0.25">
      <c r="A1111" s="3">
        <v>45712.579641203702</v>
      </c>
      <c r="B1111" t="s">
        <v>125</v>
      </c>
      <c r="C1111" s="3">
        <v>45712.58011574074</v>
      </c>
      <c r="D1111" t="s">
        <v>125</v>
      </c>
      <c r="E1111" s="4">
        <v>2.5000000000000001E-2</v>
      </c>
      <c r="F1111" s="4">
        <v>106606.73299999999</v>
      </c>
      <c r="G1111" s="4">
        <v>106606.758</v>
      </c>
      <c r="H1111" s="5">
        <f>0 / 86400</f>
        <v>0</v>
      </c>
      <c r="I1111" t="s">
        <v>92</v>
      </c>
      <c r="J1111" t="s">
        <v>150</v>
      </c>
      <c r="K1111" s="5">
        <f>41 / 86400</f>
        <v>4.7453703703703704E-4</v>
      </c>
      <c r="L1111" s="5">
        <f>6440 / 86400</f>
        <v>7.4537037037037041E-2</v>
      </c>
    </row>
    <row r="1112" spans="1:12" x14ac:dyDescent="0.25">
      <c r="A1112" s="3">
        <v>45712.654652777783</v>
      </c>
      <c r="B1112" t="s">
        <v>125</v>
      </c>
      <c r="C1112" s="3">
        <v>45712.65552083333</v>
      </c>
      <c r="D1112" t="s">
        <v>125</v>
      </c>
      <c r="E1112" s="4">
        <v>0</v>
      </c>
      <c r="F1112" s="4">
        <v>106606.758</v>
      </c>
      <c r="G1112" s="4">
        <v>106606.758</v>
      </c>
      <c r="H1112" s="5">
        <f>57 / 86400</f>
        <v>6.5972222222222224E-4</v>
      </c>
      <c r="I1112" t="s">
        <v>24</v>
      </c>
      <c r="J1112" t="s">
        <v>24</v>
      </c>
      <c r="K1112" s="5">
        <f>75 / 86400</f>
        <v>8.6805555555555551E-4</v>
      </c>
      <c r="L1112" s="5">
        <f>479 / 86400</f>
        <v>5.5439814814814813E-3</v>
      </c>
    </row>
    <row r="1113" spans="1:12" x14ac:dyDescent="0.25">
      <c r="A1113" s="3">
        <v>45712.66106481482</v>
      </c>
      <c r="B1113" t="s">
        <v>125</v>
      </c>
      <c r="C1113" s="3">
        <v>45712.664212962962</v>
      </c>
      <c r="D1113" t="s">
        <v>114</v>
      </c>
      <c r="E1113" s="4">
        <v>0.78600000000000003</v>
      </c>
      <c r="F1113" s="4">
        <v>106606.758</v>
      </c>
      <c r="G1113" s="4">
        <v>106607.54399999999</v>
      </c>
      <c r="H1113" s="5">
        <f>117 / 86400</f>
        <v>1.3541666666666667E-3</v>
      </c>
      <c r="I1113" t="s">
        <v>170</v>
      </c>
      <c r="J1113" t="s">
        <v>51</v>
      </c>
      <c r="K1113" s="5">
        <f>272 / 86400</f>
        <v>3.1481481481481482E-3</v>
      </c>
      <c r="L1113" s="5">
        <f>211 / 86400</f>
        <v>2.4421296296296296E-3</v>
      </c>
    </row>
    <row r="1114" spans="1:12" x14ac:dyDescent="0.25">
      <c r="A1114" s="3">
        <v>45712.666655092587</v>
      </c>
      <c r="B1114" t="s">
        <v>114</v>
      </c>
      <c r="C1114" s="3">
        <v>45712.667256944449</v>
      </c>
      <c r="D1114" t="s">
        <v>149</v>
      </c>
      <c r="E1114" s="4">
        <v>0.16500000000000001</v>
      </c>
      <c r="F1114" s="4">
        <v>106607.54399999999</v>
      </c>
      <c r="G1114" s="4">
        <v>106607.709</v>
      </c>
      <c r="H1114" s="5">
        <f>0 / 86400</f>
        <v>0</v>
      </c>
      <c r="I1114" t="s">
        <v>34</v>
      </c>
      <c r="J1114" t="s">
        <v>42</v>
      </c>
      <c r="K1114" s="5">
        <f>52 / 86400</f>
        <v>6.018518518518519E-4</v>
      </c>
      <c r="L1114" s="5">
        <f>3312 / 86400</f>
        <v>3.833333333333333E-2</v>
      </c>
    </row>
    <row r="1115" spans="1:12" x14ac:dyDescent="0.25">
      <c r="A1115" s="3">
        <v>45712.705590277779</v>
      </c>
      <c r="B1115" t="s">
        <v>149</v>
      </c>
      <c r="C1115" s="3">
        <v>45712.973101851851</v>
      </c>
      <c r="D1115" t="s">
        <v>106</v>
      </c>
      <c r="E1115" s="4">
        <v>118.283</v>
      </c>
      <c r="F1115" s="4">
        <v>106607.709</v>
      </c>
      <c r="G1115" s="4">
        <v>106725.992</v>
      </c>
      <c r="H1115" s="5">
        <f>8736 / 86400</f>
        <v>0.10111111111111111</v>
      </c>
      <c r="I1115" t="s">
        <v>19</v>
      </c>
      <c r="J1115" t="s">
        <v>20</v>
      </c>
      <c r="K1115" s="5">
        <f>23113 / 86400</f>
        <v>0.26751157407407405</v>
      </c>
      <c r="L1115" s="5">
        <f>1441 / 86400</f>
        <v>1.667824074074074E-2</v>
      </c>
    </row>
    <row r="1116" spans="1:12" x14ac:dyDescent="0.25">
      <c r="A1116" s="3">
        <v>45712.989780092597</v>
      </c>
      <c r="B1116" t="s">
        <v>106</v>
      </c>
      <c r="C1116" s="3">
        <v>45712.99998842593</v>
      </c>
      <c r="D1116" t="s">
        <v>106</v>
      </c>
      <c r="E1116" s="4">
        <v>2.1000000000000001E-2</v>
      </c>
      <c r="F1116" s="4">
        <v>106725.992</v>
      </c>
      <c r="G1116" s="4">
        <v>106726.01300000001</v>
      </c>
      <c r="H1116" s="5">
        <f>878 / 86400</f>
        <v>1.0162037037037037E-2</v>
      </c>
      <c r="I1116" t="s">
        <v>57</v>
      </c>
      <c r="J1116" t="s">
        <v>24</v>
      </c>
      <c r="K1116" s="5">
        <f>882 / 86400</f>
        <v>1.0208333333333333E-2</v>
      </c>
      <c r="L1116" s="5">
        <f>0 / 86400</f>
        <v>0</v>
      </c>
    </row>
    <row r="1117" spans="1:12" x14ac:dyDescent="0.25">
      <c r="A1117" s="12"/>
      <c r="B1117" s="12"/>
      <c r="C1117" s="12"/>
      <c r="D1117" s="12"/>
      <c r="E1117" s="12"/>
      <c r="F1117" s="12"/>
      <c r="G1117" s="12"/>
      <c r="H1117" s="12"/>
      <c r="I1117" s="12"/>
      <c r="J1117" s="12"/>
    </row>
    <row r="1118" spans="1:12" x14ac:dyDescent="0.25">
      <c r="A1118" s="12"/>
      <c r="B1118" s="12"/>
      <c r="C1118" s="12"/>
      <c r="D1118" s="12"/>
      <c r="E1118" s="12"/>
      <c r="F1118" s="12"/>
      <c r="G1118" s="12"/>
      <c r="H1118" s="12"/>
      <c r="I1118" s="12"/>
      <c r="J1118" s="12"/>
    </row>
    <row r="1119" spans="1:12" s="10" customFormat="1" ht="20.100000000000001" customHeight="1" x14ac:dyDescent="0.35">
      <c r="A1119" s="15" t="s">
        <v>490</v>
      </c>
      <c r="B1119" s="15"/>
      <c r="C1119" s="15"/>
      <c r="D1119" s="15"/>
      <c r="E1119" s="15"/>
      <c r="F1119" s="15"/>
      <c r="G1119" s="15"/>
      <c r="H1119" s="15"/>
      <c r="I1119" s="15"/>
      <c r="J1119" s="15"/>
    </row>
    <row r="1120" spans="1:12" x14ac:dyDescent="0.25">
      <c r="A1120" s="12"/>
      <c r="B1120" s="12"/>
      <c r="C1120" s="12"/>
      <c r="D1120" s="12"/>
      <c r="E1120" s="12"/>
      <c r="F1120" s="12"/>
      <c r="G1120" s="12"/>
      <c r="H1120" s="12"/>
      <c r="I1120" s="12"/>
      <c r="J1120" s="12"/>
    </row>
    <row r="1121" spans="1:12" ht="30" x14ac:dyDescent="0.25">
      <c r="A1121" s="2" t="s">
        <v>6</v>
      </c>
      <c r="B1121" s="2" t="s">
        <v>7</v>
      </c>
      <c r="C1121" s="2" t="s">
        <v>8</v>
      </c>
      <c r="D1121" s="2" t="s">
        <v>9</v>
      </c>
      <c r="E1121" s="2" t="s">
        <v>10</v>
      </c>
      <c r="F1121" s="2" t="s">
        <v>11</v>
      </c>
      <c r="G1121" s="2" t="s">
        <v>12</v>
      </c>
      <c r="H1121" s="2" t="s">
        <v>13</v>
      </c>
      <c r="I1121" s="2" t="s">
        <v>14</v>
      </c>
      <c r="J1121" s="2" t="s">
        <v>15</v>
      </c>
      <c r="K1121" s="2" t="s">
        <v>16</v>
      </c>
      <c r="L1121" s="2" t="s">
        <v>17</v>
      </c>
    </row>
    <row r="1122" spans="1:12" x14ac:dyDescent="0.25">
      <c r="A1122" s="3">
        <v>45712.004201388889</v>
      </c>
      <c r="B1122" t="s">
        <v>107</v>
      </c>
      <c r="C1122" s="3">
        <v>45712.023877314816</v>
      </c>
      <c r="D1122" t="s">
        <v>68</v>
      </c>
      <c r="E1122" s="4">
        <v>17.434999999999999</v>
      </c>
      <c r="F1122" s="4">
        <v>47417.332000000002</v>
      </c>
      <c r="G1122" s="4">
        <v>47434.767</v>
      </c>
      <c r="H1122" s="5">
        <f>236 / 86400</f>
        <v>2.7314814814814814E-3</v>
      </c>
      <c r="I1122" t="s">
        <v>53</v>
      </c>
      <c r="J1122" t="s">
        <v>290</v>
      </c>
      <c r="K1122" s="5">
        <f>1700 / 86400</f>
        <v>1.9675925925925927E-2</v>
      </c>
      <c r="L1122" s="5">
        <f>508 / 86400</f>
        <v>5.8796296296296296E-3</v>
      </c>
    </row>
    <row r="1123" spans="1:12" x14ac:dyDescent="0.25">
      <c r="A1123" s="3">
        <v>45712.025555555556</v>
      </c>
      <c r="B1123" t="s">
        <v>68</v>
      </c>
      <c r="C1123" s="3">
        <v>45712.030810185184</v>
      </c>
      <c r="D1123" t="s">
        <v>108</v>
      </c>
      <c r="E1123" s="4">
        <v>1.5309999999999999</v>
      </c>
      <c r="F1123" s="4">
        <v>47434.767</v>
      </c>
      <c r="G1123" s="4">
        <v>47436.298000000003</v>
      </c>
      <c r="H1123" s="5">
        <f>137 / 86400</f>
        <v>1.5856481481481481E-3</v>
      </c>
      <c r="I1123" t="s">
        <v>131</v>
      </c>
      <c r="J1123" t="s">
        <v>145</v>
      </c>
      <c r="K1123" s="5">
        <f>454 / 86400</f>
        <v>5.2546296296296299E-3</v>
      </c>
      <c r="L1123" s="5">
        <f>20326 / 86400</f>
        <v>0.23525462962962962</v>
      </c>
    </row>
    <row r="1124" spans="1:12" x14ac:dyDescent="0.25">
      <c r="A1124" s="3">
        <v>45712.266064814816</v>
      </c>
      <c r="B1124" t="s">
        <v>108</v>
      </c>
      <c r="C1124" s="3">
        <v>45712.501574074078</v>
      </c>
      <c r="D1124" t="s">
        <v>151</v>
      </c>
      <c r="E1124" s="4">
        <v>99.335999999999999</v>
      </c>
      <c r="F1124" s="4">
        <v>47436.298000000003</v>
      </c>
      <c r="G1124" s="4">
        <v>47535.633999999998</v>
      </c>
      <c r="H1124" s="5">
        <f>6941 / 86400</f>
        <v>8.0335648148148142E-2</v>
      </c>
      <c r="I1124" t="s">
        <v>109</v>
      </c>
      <c r="J1124" t="s">
        <v>20</v>
      </c>
      <c r="K1124" s="5">
        <f>20348 / 86400</f>
        <v>0.23550925925925925</v>
      </c>
      <c r="L1124" s="5">
        <f>2484 / 86400</f>
        <v>2.8750000000000001E-2</v>
      </c>
    </row>
    <row r="1125" spans="1:12" x14ac:dyDescent="0.25">
      <c r="A1125" s="3">
        <v>45712.530324074076</v>
      </c>
      <c r="B1125" t="s">
        <v>151</v>
      </c>
      <c r="C1125" s="3">
        <v>45712.75200231481</v>
      </c>
      <c r="D1125" t="s">
        <v>68</v>
      </c>
      <c r="E1125" s="4">
        <v>94.218999999999994</v>
      </c>
      <c r="F1125" s="4">
        <v>47535.633999999998</v>
      </c>
      <c r="G1125" s="4">
        <v>47629.853000000003</v>
      </c>
      <c r="H1125" s="5">
        <f>6884 / 86400</f>
        <v>7.9675925925925928E-2</v>
      </c>
      <c r="I1125" t="s">
        <v>33</v>
      </c>
      <c r="J1125" t="s">
        <v>20</v>
      </c>
      <c r="K1125" s="5">
        <f>19153 / 86400</f>
        <v>0.22167824074074075</v>
      </c>
      <c r="L1125" s="5">
        <f>603 / 86400</f>
        <v>6.9791666666666665E-3</v>
      </c>
    </row>
    <row r="1126" spans="1:12" x14ac:dyDescent="0.25">
      <c r="A1126" s="3">
        <v>45712.758981481486</v>
      </c>
      <c r="B1126" t="s">
        <v>68</v>
      </c>
      <c r="C1126" s="3">
        <v>45712.760034722218</v>
      </c>
      <c r="D1126" t="s">
        <v>149</v>
      </c>
      <c r="E1126" s="4">
        <v>0.1</v>
      </c>
      <c r="F1126" s="4">
        <v>47629.853000000003</v>
      </c>
      <c r="G1126" s="4">
        <v>47629.953000000001</v>
      </c>
      <c r="H1126" s="5">
        <f>40 / 86400</f>
        <v>4.6296296296296298E-4</v>
      </c>
      <c r="I1126" t="s">
        <v>92</v>
      </c>
      <c r="J1126" t="s">
        <v>129</v>
      </c>
      <c r="K1126" s="5">
        <f>91 / 86400</f>
        <v>1.0532407407407407E-3</v>
      </c>
      <c r="L1126" s="5">
        <f>214 / 86400</f>
        <v>2.476851851851852E-3</v>
      </c>
    </row>
    <row r="1127" spans="1:12" x14ac:dyDescent="0.25">
      <c r="A1127" s="3">
        <v>45712.762511574074</v>
      </c>
      <c r="B1127" t="s">
        <v>149</v>
      </c>
      <c r="C1127" s="3">
        <v>45712.765671296293</v>
      </c>
      <c r="D1127" t="s">
        <v>430</v>
      </c>
      <c r="E1127" s="4">
        <v>1.0620000000000001</v>
      </c>
      <c r="F1127" s="4">
        <v>47629.953000000001</v>
      </c>
      <c r="G1127" s="4">
        <v>47631.014999999999</v>
      </c>
      <c r="H1127" s="5">
        <f>0 / 86400</f>
        <v>0</v>
      </c>
      <c r="I1127" t="s">
        <v>152</v>
      </c>
      <c r="J1127" t="s">
        <v>48</v>
      </c>
      <c r="K1127" s="5">
        <f>273 / 86400</f>
        <v>3.1597222222222222E-3</v>
      </c>
      <c r="L1127" s="5">
        <f>8126 / 86400</f>
        <v>9.4050925925925927E-2</v>
      </c>
    </row>
    <row r="1128" spans="1:12" x14ac:dyDescent="0.25">
      <c r="A1128" s="3">
        <v>45712.859722222223</v>
      </c>
      <c r="B1128" t="s">
        <v>108</v>
      </c>
      <c r="C1128" s="3">
        <v>45712.862141203703</v>
      </c>
      <c r="D1128" t="s">
        <v>108</v>
      </c>
      <c r="E1128" s="4">
        <v>1.6E-2</v>
      </c>
      <c r="F1128" s="4">
        <v>47631.014999999999</v>
      </c>
      <c r="G1128" s="4">
        <v>47631.031000000003</v>
      </c>
      <c r="H1128" s="5">
        <f>180 / 86400</f>
        <v>2.0833333333333333E-3</v>
      </c>
      <c r="I1128" t="s">
        <v>57</v>
      </c>
      <c r="J1128" t="s">
        <v>24</v>
      </c>
      <c r="K1128" s="5">
        <f>209 / 86400</f>
        <v>2.4189814814814816E-3</v>
      </c>
      <c r="L1128" s="5">
        <f>1411 / 86400</f>
        <v>1.6331018518518519E-2</v>
      </c>
    </row>
    <row r="1129" spans="1:12" x14ac:dyDescent="0.25">
      <c r="A1129" s="3">
        <v>45712.878472222219</v>
      </c>
      <c r="B1129" t="s">
        <v>108</v>
      </c>
      <c r="C1129" s="3">
        <v>45712.87877314815</v>
      </c>
      <c r="D1129" t="s">
        <v>108</v>
      </c>
      <c r="E1129" s="4">
        <v>0</v>
      </c>
      <c r="F1129" s="4">
        <v>47631.031000000003</v>
      </c>
      <c r="G1129" s="4">
        <v>47631.031000000003</v>
      </c>
      <c r="H1129" s="5">
        <f>20 / 86400</f>
        <v>2.3148148148148149E-4</v>
      </c>
      <c r="I1129" t="s">
        <v>24</v>
      </c>
      <c r="J1129" t="s">
        <v>24</v>
      </c>
      <c r="K1129" s="5">
        <f>26 / 86400</f>
        <v>3.0092592592592595E-4</v>
      </c>
      <c r="L1129" s="5">
        <f>9 / 86400</f>
        <v>1.0416666666666667E-4</v>
      </c>
    </row>
    <row r="1130" spans="1:12" x14ac:dyDescent="0.25">
      <c r="A1130" s="3">
        <v>45712.878877314812</v>
      </c>
      <c r="B1130" t="s">
        <v>108</v>
      </c>
      <c r="C1130" s="3">
        <v>45712.879745370374</v>
      </c>
      <c r="D1130" t="s">
        <v>108</v>
      </c>
      <c r="E1130" s="4">
        <v>0</v>
      </c>
      <c r="F1130" s="4">
        <v>47631.031000000003</v>
      </c>
      <c r="G1130" s="4">
        <v>47631.031000000003</v>
      </c>
      <c r="H1130" s="5">
        <f>65 / 86400</f>
        <v>7.5231481481481482E-4</v>
      </c>
      <c r="I1130" t="s">
        <v>24</v>
      </c>
      <c r="J1130" t="s">
        <v>24</v>
      </c>
      <c r="K1130" s="5">
        <f>75 / 86400</f>
        <v>8.6805555555555551E-4</v>
      </c>
      <c r="L1130" s="5">
        <f>10389 / 86400</f>
        <v>0.12024305555555556</v>
      </c>
    </row>
    <row r="1131" spans="1:12" x14ac:dyDescent="0.25">
      <c r="A1131" s="12"/>
      <c r="B1131" s="12"/>
      <c r="C1131" s="12"/>
      <c r="D1131" s="12"/>
      <c r="E1131" s="12"/>
      <c r="F1131" s="12"/>
      <c r="G1131" s="12"/>
      <c r="H1131" s="12"/>
      <c r="I1131" s="12"/>
      <c r="J1131" s="12"/>
    </row>
    <row r="1132" spans="1:12" x14ac:dyDescent="0.25">
      <c r="A1132" s="12"/>
      <c r="B1132" s="12"/>
      <c r="C1132" s="12"/>
      <c r="D1132" s="12"/>
      <c r="E1132" s="12"/>
      <c r="F1132" s="12"/>
      <c r="G1132" s="12"/>
      <c r="H1132" s="12"/>
      <c r="I1132" s="12"/>
      <c r="J1132" s="12"/>
    </row>
    <row r="1133" spans="1:12" s="10" customFormat="1" ht="20.100000000000001" customHeight="1" x14ac:dyDescent="0.35">
      <c r="A1133" s="15" t="s">
        <v>491</v>
      </c>
      <c r="B1133" s="15"/>
      <c r="C1133" s="15"/>
      <c r="D1133" s="15"/>
      <c r="E1133" s="15"/>
      <c r="F1133" s="15"/>
      <c r="G1133" s="15"/>
      <c r="H1133" s="15"/>
      <c r="I1133" s="15"/>
      <c r="J1133" s="15"/>
    </row>
    <row r="1134" spans="1:12" x14ac:dyDescent="0.25">
      <c r="A1134" s="12"/>
      <c r="B1134" s="12"/>
      <c r="C1134" s="12"/>
      <c r="D1134" s="12"/>
      <c r="E1134" s="12"/>
      <c r="F1134" s="12"/>
      <c r="G1134" s="12"/>
      <c r="H1134" s="12"/>
      <c r="I1134" s="12"/>
      <c r="J1134" s="12"/>
    </row>
    <row r="1135" spans="1:12" ht="30" x14ac:dyDescent="0.25">
      <c r="A1135" s="2" t="s">
        <v>6</v>
      </c>
      <c r="B1135" s="2" t="s">
        <v>7</v>
      </c>
      <c r="C1135" s="2" t="s">
        <v>8</v>
      </c>
      <c r="D1135" s="2" t="s">
        <v>9</v>
      </c>
      <c r="E1135" s="2" t="s">
        <v>10</v>
      </c>
      <c r="F1135" s="2" t="s">
        <v>11</v>
      </c>
      <c r="G1135" s="2" t="s">
        <v>12</v>
      </c>
      <c r="H1135" s="2" t="s">
        <v>13</v>
      </c>
      <c r="I1135" s="2" t="s">
        <v>14</v>
      </c>
      <c r="J1135" s="2" t="s">
        <v>15</v>
      </c>
      <c r="K1135" s="2" t="s">
        <v>16</v>
      </c>
      <c r="L1135" s="2" t="s">
        <v>17</v>
      </c>
    </row>
    <row r="1136" spans="1:12" x14ac:dyDescent="0.25">
      <c r="A1136" s="3">
        <v>45712</v>
      </c>
      <c r="B1136" t="s">
        <v>110</v>
      </c>
      <c r="C1136" s="3">
        <v>45712.034155092595</v>
      </c>
      <c r="D1136" t="s">
        <v>90</v>
      </c>
      <c r="E1136" s="4">
        <v>24.829000000000001</v>
      </c>
      <c r="F1136" s="4">
        <v>43489.307999999997</v>
      </c>
      <c r="G1136" s="4">
        <v>43514.137000000002</v>
      </c>
      <c r="H1136" s="5">
        <f>630 / 86400</f>
        <v>7.2916666666666668E-3</v>
      </c>
      <c r="I1136" t="s">
        <v>75</v>
      </c>
      <c r="J1136" t="s">
        <v>178</v>
      </c>
      <c r="K1136" s="5">
        <f>2951 / 86400</f>
        <v>3.4155092592592591E-2</v>
      </c>
      <c r="L1136" s="5">
        <f>1166 / 86400</f>
        <v>1.3495370370370371E-2</v>
      </c>
    </row>
    <row r="1137" spans="1:12" x14ac:dyDescent="0.25">
      <c r="A1137" s="3">
        <v>45712.047650462962</v>
      </c>
      <c r="B1137" t="s">
        <v>90</v>
      </c>
      <c r="C1137" s="3">
        <v>45712.05678240741</v>
      </c>
      <c r="D1137" t="s">
        <v>431</v>
      </c>
      <c r="E1137" s="4">
        <v>3.4009999999999998</v>
      </c>
      <c r="F1137" s="4">
        <v>43514.137000000002</v>
      </c>
      <c r="G1137" s="4">
        <v>43517.538</v>
      </c>
      <c r="H1137" s="5">
        <f>361 / 86400</f>
        <v>4.178240740740741E-3</v>
      </c>
      <c r="I1137" t="s">
        <v>188</v>
      </c>
      <c r="J1137" t="s">
        <v>34</v>
      </c>
      <c r="K1137" s="5">
        <f>789 / 86400</f>
        <v>9.1319444444444443E-3</v>
      </c>
      <c r="L1137" s="5">
        <f>16542 / 86400</f>
        <v>0.19145833333333334</v>
      </c>
    </row>
    <row r="1138" spans="1:12" x14ac:dyDescent="0.25">
      <c r="A1138" s="3">
        <v>45712.248240740737</v>
      </c>
      <c r="B1138" t="s">
        <v>431</v>
      </c>
      <c r="C1138" s="3">
        <v>45712.380428240736</v>
      </c>
      <c r="D1138" t="s">
        <v>125</v>
      </c>
      <c r="E1138" s="4">
        <v>66.617999999999995</v>
      </c>
      <c r="F1138" s="4">
        <v>43517.538</v>
      </c>
      <c r="G1138" s="4">
        <v>43584.156000000003</v>
      </c>
      <c r="H1138" s="5">
        <f>3359 / 86400</f>
        <v>3.8877314814814816E-2</v>
      </c>
      <c r="I1138" t="s">
        <v>58</v>
      </c>
      <c r="J1138" t="s">
        <v>36</v>
      </c>
      <c r="K1138" s="5">
        <f>11421 / 86400</f>
        <v>0.13218750000000001</v>
      </c>
      <c r="L1138" s="5">
        <f>2310 / 86400</f>
        <v>2.673611111111111E-2</v>
      </c>
    </row>
    <row r="1139" spans="1:12" x14ac:dyDescent="0.25">
      <c r="A1139" s="3">
        <v>45712.407164351855</v>
      </c>
      <c r="B1139" t="s">
        <v>125</v>
      </c>
      <c r="C1139" s="3">
        <v>45712.419074074074</v>
      </c>
      <c r="D1139" t="s">
        <v>151</v>
      </c>
      <c r="E1139" s="4">
        <v>2.1629999999999998</v>
      </c>
      <c r="F1139" s="4">
        <v>43584.156000000003</v>
      </c>
      <c r="G1139" s="4">
        <v>43586.319000000003</v>
      </c>
      <c r="H1139" s="5">
        <f>390 / 86400</f>
        <v>4.5138888888888885E-3</v>
      </c>
      <c r="I1139" t="s">
        <v>190</v>
      </c>
      <c r="J1139" t="s">
        <v>92</v>
      </c>
      <c r="K1139" s="5">
        <f>1029 / 86400</f>
        <v>1.1909722222222223E-2</v>
      </c>
      <c r="L1139" s="5">
        <f>3195 / 86400</f>
        <v>3.6979166666666667E-2</v>
      </c>
    </row>
    <row r="1140" spans="1:12" x14ac:dyDescent="0.25">
      <c r="A1140" s="3">
        <v>45712.456053240741</v>
      </c>
      <c r="B1140" t="s">
        <v>151</v>
      </c>
      <c r="C1140" s="3">
        <v>45712.663472222222</v>
      </c>
      <c r="D1140" t="s">
        <v>68</v>
      </c>
      <c r="E1140" s="4">
        <v>94.37</v>
      </c>
      <c r="F1140" s="4">
        <v>43586.319000000003</v>
      </c>
      <c r="G1140" s="4">
        <v>43680.688999999998</v>
      </c>
      <c r="H1140" s="5">
        <f>5973 / 86400</f>
        <v>6.913194444444444E-2</v>
      </c>
      <c r="I1140" t="s">
        <v>35</v>
      </c>
      <c r="J1140" t="s">
        <v>137</v>
      </c>
      <c r="K1140" s="5">
        <f>17921 / 86400</f>
        <v>0.20741898148148147</v>
      </c>
      <c r="L1140" s="5">
        <f>346 / 86400</f>
        <v>4.0046296296296297E-3</v>
      </c>
    </row>
    <row r="1141" spans="1:12" x14ac:dyDescent="0.25">
      <c r="A1141" s="3">
        <v>45712.667476851857</v>
      </c>
      <c r="B1141" t="s">
        <v>68</v>
      </c>
      <c r="C1141" s="3">
        <v>45712.99998842593</v>
      </c>
      <c r="D1141" t="s">
        <v>111</v>
      </c>
      <c r="E1141" s="4">
        <v>161.90799999999999</v>
      </c>
      <c r="F1141" s="4">
        <v>43680.688999999998</v>
      </c>
      <c r="G1141" s="4">
        <v>43842.597000000002</v>
      </c>
      <c r="H1141" s="5">
        <f>8190 / 86400</f>
        <v>9.4791666666666663E-2</v>
      </c>
      <c r="I1141" t="s">
        <v>75</v>
      </c>
      <c r="J1141" t="s">
        <v>112</v>
      </c>
      <c r="K1141" s="5">
        <f>28729 / 86400</f>
        <v>0.33251157407407406</v>
      </c>
      <c r="L1141" s="5">
        <f>0 / 86400</f>
        <v>0</v>
      </c>
    </row>
    <row r="1142" spans="1:12" x14ac:dyDescent="0.25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</row>
    <row r="1143" spans="1:12" x14ac:dyDescent="0.25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</row>
    <row r="1144" spans="1:12" s="10" customFormat="1" ht="20.100000000000001" customHeight="1" x14ac:dyDescent="0.35">
      <c r="A1144" s="15" t="s">
        <v>492</v>
      </c>
      <c r="B1144" s="15"/>
      <c r="C1144" s="15"/>
      <c r="D1144" s="15"/>
      <c r="E1144" s="15"/>
      <c r="F1144" s="15"/>
      <c r="G1144" s="15"/>
      <c r="H1144" s="15"/>
      <c r="I1144" s="15"/>
      <c r="J1144" s="15"/>
    </row>
    <row r="1145" spans="1:12" x14ac:dyDescent="0.25">
      <c r="A1145" s="12"/>
      <c r="B1145" s="12"/>
      <c r="C1145" s="12"/>
      <c r="D1145" s="12"/>
      <c r="E1145" s="12"/>
      <c r="F1145" s="12"/>
      <c r="G1145" s="12"/>
      <c r="H1145" s="12"/>
      <c r="I1145" s="12"/>
      <c r="J1145" s="12"/>
    </row>
    <row r="1146" spans="1:12" ht="30" x14ac:dyDescent="0.25">
      <c r="A1146" s="2" t="s">
        <v>6</v>
      </c>
      <c r="B1146" s="2" t="s">
        <v>7</v>
      </c>
      <c r="C1146" s="2" t="s">
        <v>8</v>
      </c>
      <c r="D1146" s="2" t="s">
        <v>9</v>
      </c>
      <c r="E1146" s="2" t="s">
        <v>10</v>
      </c>
      <c r="F1146" s="2" t="s">
        <v>11</v>
      </c>
      <c r="G1146" s="2" t="s">
        <v>12</v>
      </c>
      <c r="H1146" s="2" t="s">
        <v>13</v>
      </c>
      <c r="I1146" s="2" t="s">
        <v>14</v>
      </c>
      <c r="J1146" s="2" t="s">
        <v>15</v>
      </c>
      <c r="K1146" s="2" t="s">
        <v>16</v>
      </c>
      <c r="L1146" s="2" t="s">
        <v>17</v>
      </c>
    </row>
    <row r="1147" spans="1:12" x14ac:dyDescent="0.25">
      <c r="A1147" s="3">
        <v>45712.265486111108</v>
      </c>
      <c r="B1147" t="s">
        <v>113</v>
      </c>
      <c r="C1147" s="3">
        <v>45712.329247685186</v>
      </c>
      <c r="D1147" t="s">
        <v>21</v>
      </c>
      <c r="E1147" s="4">
        <v>35.073999999999998</v>
      </c>
      <c r="F1147" s="4">
        <v>193581.96900000001</v>
      </c>
      <c r="G1147" s="4">
        <v>193617.04300000001</v>
      </c>
      <c r="H1147" s="5">
        <f>1058 / 86400</f>
        <v>1.224537037037037E-2</v>
      </c>
      <c r="I1147" t="s">
        <v>86</v>
      </c>
      <c r="J1147" t="s">
        <v>139</v>
      </c>
      <c r="K1147" s="5">
        <f>5509 / 86400</f>
        <v>6.3761574074074068E-2</v>
      </c>
      <c r="L1147" s="5">
        <f>24393 / 86400</f>
        <v>0.28232638888888889</v>
      </c>
    </row>
    <row r="1148" spans="1:12" x14ac:dyDescent="0.25">
      <c r="A1148" s="3">
        <v>45712.346087962964</v>
      </c>
      <c r="B1148" t="s">
        <v>21</v>
      </c>
      <c r="C1148" s="3">
        <v>45712.462233796294</v>
      </c>
      <c r="D1148" t="s">
        <v>326</v>
      </c>
      <c r="E1148" s="4">
        <v>51.058</v>
      </c>
      <c r="F1148" s="4">
        <v>193617.04300000001</v>
      </c>
      <c r="G1148" s="4">
        <v>193668.101</v>
      </c>
      <c r="H1148" s="5">
        <f>2819 / 86400</f>
        <v>3.2627314814814817E-2</v>
      </c>
      <c r="I1148" t="s">
        <v>67</v>
      </c>
      <c r="J1148" t="s">
        <v>20</v>
      </c>
      <c r="K1148" s="5">
        <f>10035 / 86400</f>
        <v>0.11614583333333334</v>
      </c>
      <c r="L1148" s="5">
        <f>400 / 86400</f>
        <v>4.6296296296296294E-3</v>
      </c>
    </row>
    <row r="1149" spans="1:12" x14ac:dyDescent="0.25">
      <c r="A1149" s="3">
        <v>45712.466863425929</v>
      </c>
      <c r="B1149" t="s">
        <v>326</v>
      </c>
      <c r="C1149" s="3">
        <v>45712.587835648148</v>
      </c>
      <c r="D1149" t="s">
        <v>68</v>
      </c>
      <c r="E1149" s="4">
        <v>50.186</v>
      </c>
      <c r="F1149" s="4">
        <v>193668.101</v>
      </c>
      <c r="G1149" s="4">
        <v>193718.28700000001</v>
      </c>
      <c r="H1149" s="5">
        <f>3021 / 86400</f>
        <v>3.4965277777777776E-2</v>
      </c>
      <c r="I1149" t="s">
        <v>35</v>
      </c>
      <c r="J1149" t="s">
        <v>30</v>
      </c>
      <c r="K1149" s="5">
        <f>10452 / 86400</f>
        <v>0.12097222222222222</v>
      </c>
      <c r="L1149" s="5">
        <f>262 / 86400</f>
        <v>3.0324074074074073E-3</v>
      </c>
    </row>
    <row r="1150" spans="1:12" x14ac:dyDescent="0.25">
      <c r="A1150" s="3">
        <v>45712.590868055559</v>
      </c>
      <c r="B1150" t="s">
        <v>68</v>
      </c>
      <c r="C1150" s="3">
        <v>45712.593449074076</v>
      </c>
      <c r="D1150" t="s">
        <v>81</v>
      </c>
      <c r="E1150" s="4">
        <v>0.90700000000000003</v>
      </c>
      <c r="F1150" s="4">
        <v>193718.28700000001</v>
      </c>
      <c r="G1150" s="4">
        <v>193719.19399999999</v>
      </c>
      <c r="H1150" s="5">
        <f>20 / 86400</f>
        <v>2.3148148148148149E-4</v>
      </c>
      <c r="I1150" t="s">
        <v>164</v>
      </c>
      <c r="J1150" t="s">
        <v>59</v>
      </c>
      <c r="K1150" s="5">
        <f>222 / 86400</f>
        <v>2.5694444444444445E-3</v>
      </c>
      <c r="L1150" s="5">
        <f>2325 / 86400</f>
        <v>2.6909722222222224E-2</v>
      </c>
    </row>
    <row r="1151" spans="1:12" x14ac:dyDescent="0.25">
      <c r="A1151" s="3">
        <v>45712.620358796295</v>
      </c>
      <c r="B1151" t="s">
        <v>81</v>
      </c>
      <c r="C1151" s="3">
        <v>45712.62295138889</v>
      </c>
      <c r="D1151" t="s">
        <v>374</v>
      </c>
      <c r="E1151" s="4">
        <v>0.65400000000000003</v>
      </c>
      <c r="F1151" s="4">
        <v>193719.19399999999</v>
      </c>
      <c r="G1151" s="4">
        <v>193719.848</v>
      </c>
      <c r="H1151" s="5">
        <f>20 / 86400</f>
        <v>2.3148148148148149E-4</v>
      </c>
      <c r="I1151" t="s">
        <v>139</v>
      </c>
      <c r="J1151" t="s">
        <v>42</v>
      </c>
      <c r="K1151" s="5">
        <f>223 / 86400</f>
        <v>2.5810185185185185E-3</v>
      </c>
      <c r="L1151" s="5">
        <f>1101 / 86400</f>
        <v>1.2743055555555556E-2</v>
      </c>
    </row>
    <row r="1152" spans="1:12" x14ac:dyDescent="0.25">
      <c r="A1152" s="3">
        <v>45712.635694444441</v>
      </c>
      <c r="B1152" t="s">
        <v>374</v>
      </c>
      <c r="C1152" s="3">
        <v>45712.636226851857</v>
      </c>
      <c r="D1152" t="s">
        <v>138</v>
      </c>
      <c r="E1152" s="4">
        <v>0.04</v>
      </c>
      <c r="F1152" s="4">
        <v>193719.848</v>
      </c>
      <c r="G1152" s="4">
        <v>193719.88800000001</v>
      </c>
      <c r="H1152" s="5">
        <f>0 / 86400</f>
        <v>0</v>
      </c>
      <c r="I1152" t="s">
        <v>129</v>
      </c>
      <c r="J1152" t="s">
        <v>95</v>
      </c>
      <c r="K1152" s="5">
        <f>45 / 86400</f>
        <v>5.2083333333333333E-4</v>
      </c>
      <c r="L1152" s="5">
        <f>202 / 86400</f>
        <v>2.3379629629629631E-3</v>
      </c>
    </row>
    <row r="1153" spans="1:12" x14ac:dyDescent="0.25">
      <c r="A1153" s="3">
        <v>45712.638564814813</v>
      </c>
      <c r="B1153" t="s">
        <v>138</v>
      </c>
      <c r="C1153" s="3">
        <v>45712.638715277775</v>
      </c>
      <c r="D1153" t="s">
        <v>138</v>
      </c>
      <c r="E1153" s="4">
        <v>5.0000000000000001E-3</v>
      </c>
      <c r="F1153" s="4">
        <v>193719.88800000001</v>
      </c>
      <c r="G1153" s="4">
        <v>193719.89300000001</v>
      </c>
      <c r="H1153" s="5">
        <f>0 / 86400</f>
        <v>0</v>
      </c>
      <c r="I1153" t="s">
        <v>24</v>
      </c>
      <c r="J1153" t="s">
        <v>143</v>
      </c>
      <c r="K1153" s="5">
        <f>13 / 86400</f>
        <v>1.5046296296296297E-4</v>
      </c>
      <c r="L1153" s="5">
        <f>313 / 86400</f>
        <v>3.6226851851851854E-3</v>
      </c>
    </row>
    <row r="1154" spans="1:12" x14ac:dyDescent="0.25">
      <c r="A1154" s="3">
        <v>45712.642337962963</v>
      </c>
      <c r="B1154" t="s">
        <v>138</v>
      </c>
      <c r="C1154" s="3">
        <v>45712.642465277779</v>
      </c>
      <c r="D1154" t="s">
        <v>138</v>
      </c>
      <c r="E1154" s="4">
        <v>6.0000000000000001E-3</v>
      </c>
      <c r="F1154" s="4">
        <v>193719.89300000001</v>
      </c>
      <c r="G1154" s="4">
        <v>193719.899</v>
      </c>
      <c r="H1154" s="5">
        <f>0 / 86400</f>
        <v>0</v>
      </c>
      <c r="I1154" t="s">
        <v>57</v>
      </c>
      <c r="J1154" t="s">
        <v>150</v>
      </c>
      <c r="K1154" s="5">
        <f>11 / 86400</f>
        <v>1.273148148148148E-4</v>
      </c>
      <c r="L1154" s="5">
        <f>289 / 86400</f>
        <v>3.3449074074074076E-3</v>
      </c>
    </row>
    <row r="1155" spans="1:12" x14ac:dyDescent="0.25">
      <c r="A1155" s="3">
        <v>45712.645810185189</v>
      </c>
      <c r="B1155" t="s">
        <v>138</v>
      </c>
      <c r="C1155" s="3">
        <v>45712.850659722222</v>
      </c>
      <c r="D1155" t="s">
        <v>142</v>
      </c>
      <c r="E1155" s="4">
        <v>62.695999999999998</v>
      </c>
      <c r="F1155" s="4">
        <v>193719.899</v>
      </c>
      <c r="G1155" s="4">
        <v>193782.595</v>
      </c>
      <c r="H1155" s="5">
        <f>6520 / 86400</f>
        <v>7.5462962962962968E-2</v>
      </c>
      <c r="I1155" t="s">
        <v>38</v>
      </c>
      <c r="J1155" t="s">
        <v>71</v>
      </c>
      <c r="K1155" s="5">
        <f>17698 / 86400</f>
        <v>0.20483796296296297</v>
      </c>
      <c r="L1155" s="5">
        <f>21 / 86400</f>
        <v>2.4305555555555555E-4</v>
      </c>
    </row>
    <row r="1156" spans="1:12" x14ac:dyDescent="0.25">
      <c r="A1156" s="3">
        <v>45712.850902777776</v>
      </c>
      <c r="B1156" t="s">
        <v>142</v>
      </c>
      <c r="C1156" s="3">
        <v>45712.851076388892</v>
      </c>
      <c r="D1156" t="s">
        <v>142</v>
      </c>
      <c r="E1156" s="4">
        <v>8.0000000000000002E-3</v>
      </c>
      <c r="F1156" s="4">
        <v>193782.595</v>
      </c>
      <c r="G1156" s="4">
        <v>193782.603</v>
      </c>
      <c r="H1156" s="5">
        <f>0 / 86400</f>
        <v>0</v>
      </c>
      <c r="I1156" t="s">
        <v>24</v>
      </c>
      <c r="J1156" t="s">
        <v>150</v>
      </c>
      <c r="K1156" s="5">
        <f>14 / 86400</f>
        <v>1.6203703703703703E-4</v>
      </c>
      <c r="L1156" s="5">
        <f>336 / 86400</f>
        <v>3.8888888888888888E-3</v>
      </c>
    </row>
    <row r="1157" spans="1:12" x14ac:dyDescent="0.25">
      <c r="A1157" s="3">
        <v>45712.854965277773</v>
      </c>
      <c r="B1157" t="s">
        <v>432</v>
      </c>
      <c r="C1157" s="3">
        <v>45712.855324074073</v>
      </c>
      <c r="D1157" t="s">
        <v>141</v>
      </c>
      <c r="E1157" s="4">
        <v>5.3999999999999999E-2</v>
      </c>
      <c r="F1157" s="4">
        <v>193782.603</v>
      </c>
      <c r="G1157" s="4">
        <v>193782.65700000001</v>
      </c>
      <c r="H1157" s="5">
        <f>0 / 86400</f>
        <v>0</v>
      </c>
      <c r="I1157" t="s">
        <v>99</v>
      </c>
      <c r="J1157" t="s">
        <v>32</v>
      </c>
      <c r="K1157" s="5">
        <f>30 / 86400</f>
        <v>3.4722222222222224E-4</v>
      </c>
      <c r="L1157" s="5">
        <f>161 / 86400</f>
        <v>1.8634259259259259E-3</v>
      </c>
    </row>
    <row r="1158" spans="1:12" x14ac:dyDescent="0.25">
      <c r="A1158" s="3">
        <v>45712.857187500005</v>
      </c>
      <c r="B1158" t="s">
        <v>141</v>
      </c>
      <c r="C1158" s="3">
        <v>45712.861481481479</v>
      </c>
      <c r="D1158" t="s">
        <v>113</v>
      </c>
      <c r="E1158" s="4">
        <v>1.3240000000000001</v>
      </c>
      <c r="F1158" s="4">
        <v>193782.65700000001</v>
      </c>
      <c r="G1158" s="4">
        <v>193783.981</v>
      </c>
      <c r="H1158" s="5">
        <f>20 / 86400</f>
        <v>2.3148148148148149E-4</v>
      </c>
      <c r="I1158" t="s">
        <v>182</v>
      </c>
      <c r="J1158" t="s">
        <v>71</v>
      </c>
      <c r="K1158" s="5">
        <f>370 / 86400</f>
        <v>4.2824074074074075E-3</v>
      </c>
      <c r="L1158" s="5">
        <f>337 / 86400</f>
        <v>3.9004629629629628E-3</v>
      </c>
    </row>
    <row r="1159" spans="1:12" x14ac:dyDescent="0.25">
      <c r="A1159" s="3">
        <v>45712.865381944444</v>
      </c>
      <c r="B1159" t="s">
        <v>113</v>
      </c>
      <c r="C1159" s="3">
        <v>45712.867106481484</v>
      </c>
      <c r="D1159" t="s">
        <v>113</v>
      </c>
      <c r="E1159" s="4">
        <v>0.14099999999999999</v>
      </c>
      <c r="F1159" s="4">
        <v>193783.981</v>
      </c>
      <c r="G1159" s="4">
        <v>193784.122</v>
      </c>
      <c r="H1159" s="5">
        <f>40 / 86400</f>
        <v>4.6296296296296298E-4</v>
      </c>
      <c r="I1159" t="s">
        <v>135</v>
      </c>
      <c r="J1159" t="s">
        <v>95</v>
      </c>
      <c r="K1159" s="5">
        <f>149 / 86400</f>
        <v>1.724537037037037E-3</v>
      </c>
      <c r="L1159" s="5">
        <f>11481 / 86400</f>
        <v>0.13288194444444446</v>
      </c>
    </row>
    <row r="1160" spans="1:12" x14ac:dyDescent="0.25">
      <c r="A1160" s="12"/>
      <c r="B1160" s="12"/>
      <c r="C1160" s="12"/>
      <c r="D1160" s="12"/>
      <c r="E1160" s="12"/>
      <c r="F1160" s="12"/>
      <c r="G1160" s="12"/>
      <c r="H1160" s="12"/>
      <c r="I1160" s="12"/>
      <c r="J1160" s="12"/>
    </row>
    <row r="1161" spans="1:12" x14ac:dyDescent="0.25">
      <c r="A1161" s="12"/>
      <c r="B1161" s="12"/>
      <c r="C1161" s="12"/>
      <c r="D1161" s="12"/>
      <c r="E1161" s="12"/>
      <c r="F1161" s="12"/>
      <c r="G1161" s="12"/>
      <c r="H1161" s="12"/>
      <c r="I1161" s="12"/>
      <c r="J1161" s="12"/>
    </row>
    <row r="1162" spans="1:12" s="10" customFormat="1" ht="20.100000000000001" customHeight="1" x14ac:dyDescent="0.35">
      <c r="A1162" s="15" t="s">
        <v>493</v>
      </c>
      <c r="B1162" s="15"/>
      <c r="C1162" s="15"/>
      <c r="D1162" s="15"/>
      <c r="E1162" s="15"/>
      <c r="F1162" s="15"/>
      <c r="G1162" s="15"/>
      <c r="H1162" s="15"/>
      <c r="I1162" s="15"/>
      <c r="J1162" s="15"/>
    </row>
    <row r="1163" spans="1:12" x14ac:dyDescent="0.25">
      <c r="A1163" s="12"/>
      <c r="B1163" s="12"/>
      <c r="C1163" s="12"/>
      <c r="D1163" s="12"/>
      <c r="E1163" s="12"/>
      <c r="F1163" s="12"/>
      <c r="G1163" s="12"/>
      <c r="H1163" s="12"/>
      <c r="I1163" s="12"/>
      <c r="J1163" s="12"/>
    </row>
    <row r="1164" spans="1:12" ht="30" x14ac:dyDescent="0.25">
      <c r="A1164" s="2" t="s">
        <v>6</v>
      </c>
      <c r="B1164" s="2" t="s">
        <v>7</v>
      </c>
      <c r="C1164" s="2" t="s">
        <v>8</v>
      </c>
      <c r="D1164" s="2" t="s">
        <v>9</v>
      </c>
      <c r="E1164" s="2" t="s">
        <v>10</v>
      </c>
      <c r="F1164" s="2" t="s">
        <v>11</v>
      </c>
      <c r="G1164" s="2" t="s">
        <v>12</v>
      </c>
      <c r="H1164" s="2" t="s">
        <v>13</v>
      </c>
      <c r="I1164" s="2" t="s">
        <v>14</v>
      </c>
      <c r="J1164" s="2" t="s">
        <v>15</v>
      </c>
      <c r="K1164" s="2" t="s">
        <v>16</v>
      </c>
      <c r="L1164" s="2" t="s">
        <v>17</v>
      </c>
    </row>
    <row r="1165" spans="1:12" x14ac:dyDescent="0.25">
      <c r="A1165" s="3">
        <v>45712.201956018514</v>
      </c>
      <c r="B1165" t="s">
        <v>91</v>
      </c>
      <c r="C1165" s="3">
        <v>45712.444560185184</v>
      </c>
      <c r="D1165" t="s">
        <v>291</v>
      </c>
      <c r="E1165" s="4">
        <v>101.71299999999999</v>
      </c>
      <c r="F1165" s="4">
        <v>525147.03</v>
      </c>
      <c r="G1165" s="4">
        <v>525248.74300000002</v>
      </c>
      <c r="H1165" s="5">
        <f>7240 / 86400</f>
        <v>8.3796296296296299E-2</v>
      </c>
      <c r="I1165" t="s">
        <v>35</v>
      </c>
      <c r="J1165" t="s">
        <v>30</v>
      </c>
      <c r="K1165" s="5">
        <f>20961 / 86400</f>
        <v>0.24260416666666668</v>
      </c>
      <c r="L1165" s="5">
        <f>19851 / 86400</f>
        <v>0.22975694444444444</v>
      </c>
    </row>
    <row r="1166" spans="1:12" x14ac:dyDescent="0.25">
      <c r="A1166" s="3">
        <v>45712.472361111111</v>
      </c>
      <c r="B1166" t="s">
        <v>291</v>
      </c>
      <c r="C1166" s="3">
        <v>45712.476377314815</v>
      </c>
      <c r="D1166" t="s">
        <v>21</v>
      </c>
      <c r="E1166" s="4">
        <v>1.0580000000000001</v>
      </c>
      <c r="F1166" s="4">
        <v>525248.74300000002</v>
      </c>
      <c r="G1166" s="4">
        <v>525249.80099999998</v>
      </c>
      <c r="H1166" s="5">
        <f>79 / 86400</f>
        <v>9.1435185185185185E-4</v>
      </c>
      <c r="I1166" t="s">
        <v>152</v>
      </c>
      <c r="J1166" t="s">
        <v>42</v>
      </c>
      <c r="K1166" s="5">
        <f>346 / 86400</f>
        <v>4.0046296296296297E-3</v>
      </c>
      <c r="L1166" s="5">
        <f>1004 / 86400</f>
        <v>1.1620370370370371E-2</v>
      </c>
    </row>
    <row r="1167" spans="1:12" x14ac:dyDescent="0.25">
      <c r="A1167" s="3">
        <v>45712.487997685181</v>
      </c>
      <c r="B1167" t="s">
        <v>21</v>
      </c>
      <c r="C1167" s="3">
        <v>45712.491562499999</v>
      </c>
      <c r="D1167" t="s">
        <v>68</v>
      </c>
      <c r="E1167" s="4">
        <v>1.3100000000596046</v>
      </c>
      <c r="F1167" s="4">
        <v>525249.80099999998</v>
      </c>
      <c r="G1167" s="4">
        <v>525251.11100000003</v>
      </c>
      <c r="H1167" s="5">
        <f>60 / 86400</f>
        <v>6.9444444444444447E-4</v>
      </c>
      <c r="I1167" t="s">
        <v>170</v>
      </c>
      <c r="J1167" t="s">
        <v>59</v>
      </c>
      <c r="K1167" s="5">
        <f>308 / 86400</f>
        <v>3.5648148148148149E-3</v>
      </c>
      <c r="L1167" s="5">
        <f>570 / 86400</f>
        <v>6.5972222222222222E-3</v>
      </c>
    </row>
    <row r="1168" spans="1:12" x14ac:dyDescent="0.25">
      <c r="A1168" s="3">
        <v>45712.498159722221</v>
      </c>
      <c r="B1168" t="s">
        <v>68</v>
      </c>
      <c r="C1168" s="3">
        <v>45712.776585648149</v>
      </c>
      <c r="D1168" t="s">
        <v>149</v>
      </c>
      <c r="E1168" s="4">
        <v>101.108</v>
      </c>
      <c r="F1168" s="4">
        <v>525251.11100000003</v>
      </c>
      <c r="G1168" s="4">
        <v>525352.21900000004</v>
      </c>
      <c r="H1168" s="5">
        <f>10322 / 86400</f>
        <v>0.1194675925925926</v>
      </c>
      <c r="I1168" t="s">
        <v>58</v>
      </c>
      <c r="J1168" t="s">
        <v>59</v>
      </c>
      <c r="K1168" s="5">
        <f>24055 / 86400</f>
        <v>0.27841435185185187</v>
      </c>
      <c r="L1168" s="5">
        <f>332 / 86400</f>
        <v>3.8425925925925928E-3</v>
      </c>
    </row>
    <row r="1169" spans="1:12" x14ac:dyDescent="0.25">
      <c r="A1169" s="3">
        <v>45712.780428240745</v>
      </c>
      <c r="B1169" t="s">
        <v>149</v>
      </c>
      <c r="C1169" s="3">
        <v>45712.781400462962</v>
      </c>
      <c r="D1169" t="s">
        <v>68</v>
      </c>
      <c r="E1169" s="4">
        <v>0.10499999994039536</v>
      </c>
      <c r="F1169" s="4">
        <v>525352.21900000004</v>
      </c>
      <c r="G1169" s="4">
        <v>525352.32400000002</v>
      </c>
      <c r="H1169" s="5">
        <f>0 / 86400</f>
        <v>0</v>
      </c>
      <c r="I1169" t="s">
        <v>99</v>
      </c>
      <c r="J1169" t="s">
        <v>57</v>
      </c>
      <c r="K1169" s="5">
        <f>83 / 86400</f>
        <v>9.6064814814814819E-4</v>
      </c>
      <c r="L1169" s="5">
        <f>762 / 86400</f>
        <v>8.819444444444444E-3</v>
      </c>
    </row>
    <row r="1170" spans="1:12" x14ac:dyDescent="0.25">
      <c r="A1170" s="3">
        <v>45712.790219907409</v>
      </c>
      <c r="B1170" t="s">
        <v>68</v>
      </c>
      <c r="C1170" s="3">
        <v>45712.791446759264</v>
      </c>
      <c r="D1170" t="s">
        <v>149</v>
      </c>
      <c r="E1170" s="4">
        <v>9.899999994039535E-2</v>
      </c>
      <c r="F1170" s="4">
        <v>525352.32400000002</v>
      </c>
      <c r="G1170" s="4">
        <v>525352.42299999995</v>
      </c>
      <c r="H1170" s="5">
        <f>39 / 86400</f>
        <v>4.5138888888888887E-4</v>
      </c>
      <c r="I1170" t="s">
        <v>99</v>
      </c>
      <c r="J1170" t="s">
        <v>95</v>
      </c>
      <c r="K1170" s="5">
        <f>106 / 86400</f>
        <v>1.2268518518518518E-3</v>
      </c>
      <c r="L1170" s="5">
        <f>495 / 86400</f>
        <v>5.7291666666666663E-3</v>
      </c>
    </row>
    <row r="1171" spans="1:12" x14ac:dyDescent="0.25">
      <c r="A1171" s="3">
        <v>45712.797175925924</v>
      </c>
      <c r="B1171" t="s">
        <v>149</v>
      </c>
      <c r="C1171" s="3">
        <v>45712.99998842593</v>
      </c>
      <c r="D1171" t="s">
        <v>114</v>
      </c>
      <c r="E1171" s="4">
        <v>97.904000000119211</v>
      </c>
      <c r="F1171" s="4">
        <v>525352.42299999995</v>
      </c>
      <c r="G1171" s="4">
        <v>525450.32700000005</v>
      </c>
      <c r="H1171" s="5">
        <f>4778 / 86400</f>
        <v>5.5300925925925927E-2</v>
      </c>
      <c r="I1171" t="s">
        <v>70</v>
      </c>
      <c r="J1171" t="s">
        <v>112</v>
      </c>
      <c r="K1171" s="5">
        <f>17523 / 86400</f>
        <v>0.20281250000000001</v>
      </c>
      <c r="L1171" s="5">
        <f>0 / 86400</f>
        <v>0</v>
      </c>
    </row>
    <row r="1172" spans="1:12" x14ac:dyDescent="0.25">
      <c r="A1172" s="12"/>
      <c r="B1172" s="12"/>
      <c r="C1172" s="12"/>
      <c r="D1172" s="12"/>
      <c r="E1172" s="12"/>
      <c r="F1172" s="12"/>
      <c r="G1172" s="12"/>
      <c r="H1172" s="12"/>
      <c r="I1172" s="12"/>
      <c r="J1172" s="12"/>
    </row>
    <row r="1173" spans="1:12" x14ac:dyDescent="0.25">
      <c r="A1173" s="12"/>
      <c r="B1173" s="12"/>
      <c r="C1173" s="12"/>
      <c r="D1173" s="12"/>
      <c r="E1173" s="12"/>
      <c r="F1173" s="12"/>
      <c r="G1173" s="12"/>
      <c r="H1173" s="12"/>
      <c r="I1173" s="12"/>
      <c r="J1173" s="12"/>
    </row>
    <row r="1174" spans="1:12" s="10" customFormat="1" ht="20.100000000000001" customHeight="1" x14ac:dyDescent="0.35">
      <c r="A1174" s="15" t="s">
        <v>494</v>
      </c>
      <c r="B1174" s="15"/>
      <c r="C1174" s="15"/>
      <c r="D1174" s="15"/>
      <c r="E1174" s="15"/>
      <c r="F1174" s="15"/>
      <c r="G1174" s="15"/>
      <c r="H1174" s="15"/>
      <c r="I1174" s="15"/>
      <c r="J1174" s="15"/>
    </row>
    <row r="1175" spans="1:12" x14ac:dyDescent="0.25">
      <c r="A1175" s="12"/>
      <c r="B1175" s="12"/>
      <c r="C1175" s="12"/>
      <c r="D1175" s="12"/>
      <c r="E1175" s="12"/>
      <c r="F1175" s="12"/>
      <c r="G1175" s="12"/>
      <c r="H1175" s="12"/>
      <c r="I1175" s="12"/>
      <c r="J1175" s="12"/>
    </row>
    <row r="1176" spans="1:12" ht="30" x14ac:dyDescent="0.25">
      <c r="A1176" s="2" t="s">
        <v>6</v>
      </c>
      <c r="B1176" s="2" t="s">
        <v>7</v>
      </c>
      <c r="C1176" s="2" t="s">
        <v>8</v>
      </c>
      <c r="D1176" s="2" t="s">
        <v>9</v>
      </c>
      <c r="E1176" s="2" t="s">
        <v>10</v>
      </c>
      <c r="F1176" s="2" t="s">
        <v>11</v>
      </c>
      <c r="G1176" s="2" t="s">
        <v>12</v>
      </c>
      <c r="H1176" s="2" t="s">
        <v>13</v>
      </c>
      <c r="I1176" s="2" t="s">
        <v>14</v>
      </c>
      <c r="J1176" s="2" t="s">
        <v>15</v>
      </c>
      <c r="K1176" s="2" t="s">
        <v>16</v>
      </c>
      <c r="L1176" s="2" t="s">
        <v>17</v>
      </c>
    </row>
    <row r="1177" spans="1:12" x14ac:dyDescent="0.25">
      <c r="A1177" s="3">
        <v>45712.263067129628</v>
      </c>
      <c r="B1177" t="s">
        <v>105</v>
      </c>
      <c r="C1177" s="3">
        <v>45712.264513888891</v>
      </c>
      <c r="D1177" t="s">
        <v>45</v>
      </c>
      <c r="E1177" s="4">
        <v>0.14399999999999999</v>
      </c>
      <c r="F1177" s="4">
        <v>24970.848999999998</v>
      </c>
      <c r="G1177" s="4">
        <v>24970.992999999999</v>
      </c>
      <c r="H1177" s="5">
        <f>19 / 86400</f>
        <v>2.199074074074074E-4</v>
      </c>
      <c r="I1177" t="s">
        <v>51</v>
      </c>
      <c r="J1177" t="s">
        <v>129</v>
      </c>
      <c r="K1177" s="5">
        <f>125 / 86400</f>
        <v>1.4467592592592592E-3</v>
      </c>
      <c r="L1177" s="5">
        <f>24070 / 86400</f>
        <v>0.27858796296296295</v>
      </c>
    </row>
    <row r="1178" spans="1:12" x14ac:dyDescent="0.25">
      <c r="A1178" s="3">
        <v>45712.280034722222</v>
      </c>
      <c r="B1178" t="s">
        <v>289</v>
      </c>
      <c r="C1178" s="3">
        <v>45712.285613425927</v>
      </c>
      <c r="D1178" t="s">
        <v>21</v>
      </c>
      <c r="E1178" s="4">
        <v>2.0459999999999998</v>
      </c>
      <c r="F1178" s="4">
        <v>24970.992999999999</v>
      </c>
      <c r="G1178" s="4">
        <v>24973.039000000001</v>
      </c>
      <c r="H1178" s="5">
        <f>20 / 86400</f>
        <v>2.3148148148148149E-4</v>
      </c>
      <c r="I1178" t="s">
        <v>290</v>
      </c>
      <c r="J1178" t="s">
        <v>59</v>
      </c>
      <c r="K1178" s="5">
        <f>481 / 86400</f>
        <v>5.5671296296296293E-3</v>
      </c>
      <c r="L1178" s="5">
        <f>771 / 86400</f>
        <v>8.9236111111111113E-3</v>
      </c>
    </row>
    <row r="1179" spans="1:12" x14ac:dyDescent="0.25">
      <c r="A1179" s="3">
        <v>45712.294537037036</v>
      </c>
      <c r="B1179" t="s">
        <v>21</v>
      </c>
      <c r="C1179" s="3">
        <v>45712.297847222224</v>
      </c>
      <c r="D1179" t="s">
        <v>149</v>
      </c>
      <c r="E1179" s="4">
        <v>1.2509999999999999</v>
      </c>
      <c r="F1179" s="4">
        <v>24973.039000000001</v>
      </c>
      <c r="G1179" s="4">
        <v>24974.29</v>
      </c>
      <c r="H1179" s="5">
        <f>0 / 86400</f>
        <v>0</v>
      </c>
      <c r="I1179" t="s">
        <v>198</v>
      </c>
      <c r="J1179" t="s">
        <v>34</v>
      </c>
      <c r="K1179" s="5">
        <f>286 / 86400</f>
        <v>3.3101851851851851E-3</v>
      </c>
      <c r="L1179" s="5">
        <f>585 / 86400</f>
        <v>6.7708333333333336E-3</v>
      </c>
    </row>
    <row r="1180" spans="1:12" x14ac:dyDescent="0.25">
      <c r="A1180" s="3">
        <v>45712.304618055554</v>
      </c>
      <c r="B1180" t="s">
        <v>149</v>
      </c>
      <c r="C1180" s="3">
        <v>45712.304722222223</v>
      </c>
      <c r="D1180" t="s">
        <v>149</v>
      </c>
      <c r="E1180" s="4">
        <v>0</v>
      </c>
      <c r="F1180" s="4">
        <v>24974.29</v>
      </c>
      <c r="G1180" s="4">
        <v>24974.29</v>
      </c>
      <c r="H1180" s="5">
        <f>0 / 86400</f>
        <v>0</v>
      </c>
      <c r="I1180" t="s">
        <v>24</v>
      </c>
      <c r="J1180" t="s">
        <v>24</v>
      </c>
      <c r="K1180" s="5">
        <f>8 / 86400</f>
        <v>9.2592592592592588E-5</v>
      </c>
      <c r="L1180" s="5">
        <f>346 / 86400</f>
        <v>4.0046296296296297E-3</v>
      </c>
    </row>
    <row r="1181" spans="1:12" x14ac:dyDescent="0.25">
      <c r="A1181" s="3">
        <v>45712.30872685185</v>
      </c>
      <c r="B1181" t="s">
        <v>149</v>
      </c>
      <c r="C1181" s="3">
        <v>45712.311423611114</v>
      </c>
      <c r="D1181" t="s">
        <v>289</v>
      </c>
      <c r="E1181" s="4">
        <v>0.68700000000000006</v>
      </c>
      <c r="F1181" s="4">
        <v>24974.29</v>
      </c>
      <c r="G1181" s="4">
        <v>24974.976999999999</v>
      </c>
      <c r="H1181" s="5">
        <f>100 / 86400</f>
        <v>1.1574074074074073E-3</v>
      </c>
      <c r="I1181" t="s">
        <v>184</v>
      </c>
      <c r="J1181" t="s">
        <v>42</v>
      </c>
      <c r="K1181" s="5">
        <f>233 / 86400</f>
        <v>2.6967592592592594E-3</v>
      </c>
      <c r="L1181" s="5">
        <f>149 / 86400</f>
        <v>1.724537037037037E-3</v>
      </c>
    </row>
    <row r="1182" spans="1:12" x14ac:dyDescent="0.25">
      <c r="A1182" s="3">
        <v>45712.313148148147</v>
      </c>
      <c r="B1182" t="s">
        <v>289</v>
      </c>
      <c r="C1182" s="3">
        <v>45712.59376157407</v>
      </c>
      <c r="D1182" t="s">
        <v>125</v>
      </c>
      <c r="E1182" s="4">
        <v>99.974999999999994</v>
      </c>
      <c r="F1182" s="4">
        <v>24974.976999999999</v>
      </c>
      <c r="G1182" s="4">
        <v>25074.952000000001</v>
      </c>
      <c r="H1182" s="5">
        <f>8740 / 86400</f>
        <v>0.1011574074074074</v>
      </c>
      <c r="I1182" t="s">
        <v>41</v>
      </c>
      <c r="J1182" t="s">
        <v>59</v>
      </c>
      <c r="K1182" s="5">
        <f>24245 / 86400</f>
        <v>0.28061342592592592</v>
      </c>
      <c r="L1182" s="5">
        <f>1291 / 86400</f>
        <v>1.494212962962963E-2</v>
      </c>
    </row>
    <row r="1183" spans="1:12" x14ac:dyDescent="0.25">
      <c r="A1183" s="3">
        <v>45712.608703703707</v>
      </c>
      <c r="B1183" t="s">
        <v>125</v>
      </c>
      <c r="C1183" s="3">
        <v>45712.845462962963</v>
      </c>
      <c r="D1183" t="s">
        <v>291</v>
      </c>
      <c r="E1183" s="4">
        <v>80.712000000000003</v>
      </c>
      <c r="F1183" s="4">
        <v>25074.952000000001</v>
      </c>
      <c r="G1183" s="4">
        <v>25155.664000000001</v>
      </c>
      <c r="H1183" s="5">
        <f>7378 / 86400</f>
        <v>8.5393518518518521E-2</v>
      </c>
      <c r="I1183" t="s">
        <v>122</v>
      </c>
      <c r="J1183" t="s">
        <v>48</v>
      </c>
      <c r="K1183" s="5">
        <f>20455 / 86400</f>
        <v>0.23674768518518519</v>
      </c>
      <c r="L1183" s="5">
        <f>373 / 86400</f>
        <v>4.31712962962963E-3</v>
      </c>
    </row>
    <row r="1184" spans="1:12" x14ac:dyDescent="0.25">
      <c r="A1184" s="3">
        <v>45712.849780092598</v>
      </c>
      <c r="B1184" t="s">
        <v>291</v>
      </c>
      <c r="C1184" s="3">
        <v>45712.850173611107</v>
      </c>
      <c r="D1184" t="s">
        <v>291</v>
      </c>
      <c r="E1184" s="4">
        <v>3.5000000000000003E-2</v>
      </c>
      <c r="F1184" s="4">
        <v>25155.664000000001</v>
      </c>
      <c r="G1184" s="4">
        <v>25155.699000000001</v>
      </c>
      <c r="H1184" s="5">
        <f>0 / 86400</f>
        <v>0</v>
      </c>
      <c r="I1184" t="s">
        <v>99</v>
      </c>
      <c r="J1184" t="s">
        <v>129</v>
      </c>
      <c r="K1184" s="5">
        <f>33 / 86400</f>
        <v>3.8194444444444446E-4</v>
      </c>
      <c r="L1184" s="5">
        <f>312 / 86400</f>
        <v>3.6111111111111109E-3</v>
      </c>
    </row>
    <row r="1185" spans="1:12" x14ac:dyDescent="0.25">
      <c r="A1185" s="3">
        <v>45712.853784722218</v>
      </c>
      <c r="B1185" t="s">
        <v>291</v>
      </c>
      <c r="C1185" s="3">
        <v>45712.855821759258</v>
      </c>
      <c r="D1185" t="s">
        <v>68</v>
      </c>
      <c r="E1185" s="4">
        <v>0.68500000000000005</v>
      </c>
      <c r="F1185" s="4">
        <v>25155.699000000001</v>
      </c>
      <c r="G1185" s="4">
        <v>25156.383999999998</v>
      </c>
      <c r="H1185" s="5">
        <f>19 / 86400</f>
        <v>2.199074074074074E-4</v>
      </c>
      <c r="I1185" t="s">
        <v>170</v>
      </c>
      <c r="J1185" t="s">
        <v>48</v>
      </c>
      <c r="K1185" s="5">
        <f>175 / 86400</f>
        <v>2.0254629629629629E-3</v>
      </c>
      <c r="L1185" s="5">
        <f>313 / 86400</f>
        <v>3.6226851851851854E-3</v>
      </c>
    </row>
    <row r="1186" spans="1:12" x14ac:dyDescent="0.25">
      <c r="A1186" s="3">
        <v>45712.859444444446</v>
      </c>
      <c r="B1186" t="s">
        <v>68</v>
      </c>
      <c r="C1186" s="3">
        <v>45712.861724537041</v>
      </c>
      <c r="D1186" t="s">
        <v>105</v>
      </c>
      <c r="E1186" s="4">
        <v>0.71299999999999997</v>
      </c>
      <c r="F1186" s="4">
        <v>25156.383999999998</v>
      </c>
      <c r="G1186" s="4">
        <v>25157.097000000002</v>
      </c>
      <c r="H1186" s="5">
        <f>19 / 86400</f>
        <v>2.199074074074074E-4</v>
      </c>
      <c r="I1186" t="s">
        <v>31</v>
      </c>
      <c r="J1186" t="s">
        <v>71</v>
      </c>
      <c r="K1186" s="5">
        <f>197 / 86400</f>
        <v>2.2800925925925927E-3</v>
      </c>
      <c r="L1186" s="5">
        <f>1818 / 86400</f>
        <v>2.1041666666666667E-2</v>
      </c>
    </row>
    <row r="1187" spans="1:12" x14ac:dyDescent="0.25">
      <c r="A1187" s="3">
        <v>45712.882766203707</v>
      </c>
      <c r="B1187" t="s">
        <v>105</v>
      </c>
      <c r="C1187" s="3">
        <v>45712.883703703701</v>
      </c>
      <c r="D1187" t="s">
        <v>105</v>
      </c>
      <c r="E1187" s="4">
        <v>6.6000000000000003E-2</v>
      </c>
      <c r="F1187" s="4">
        <v>25157.097000000002</v>
      </c>
      <c r="G1187" s="4">
        <v>25157.163</v>
      </c>
      <c r="H1187" s="5">
        <f>40 / 86400</f>
        <v>4.6296296296296298E-4</v>
      </c>
      <c r="I1187" t="s">
        <v>92</v>
      </c>
      <c r="J1187" t="s">
        <v>95</v>
      </c>
      <c r="K1187" s="5">
        <f>80 / 86400</f>
        <v>9.2592592592592596E-4</v>
      </c>
      <c r="L1187" s="5">
        <f>10047 / 86400</f>
        <v>0.11628472222222222</v>
      </c>
    </row>
    <row r="1188" spans="1:12" x14ac:dyDescent="0.25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</row>
    <row r="1189" spans="1:12" x14ac:dyDescent="0.25">
      <c r="A1189" s="12"/>
      <c r="B1189" s="12"/>
      <c r="C1189" s="12"/>
      <c r="D1189" s="12"/>
      <c r="E1189" s="12"/>
      <c r="F1189" s="12"/>
      <c r="G1189" s="12"/>
      <c r="H1189" s="12"/>
      <c r="I1189" s="12"/>
      <c r="J1189" s="12"/>
    </row>
    <row r="1190" spans="1:12" s="10" customFormat="1" ht="20.100000000000001" customHeight="1" x14ac:dyDescent="0.35">
      <c r="A1190" s="15" t="s">
        <v>495</v>
      </c>
      <c r="B1190" s="15"/>
      <c r="C1190" s="15"/>
      <c r="D1190" s="15"/>
      <c r="E1190" s="15"/>
      <c r="F1190" s="15"/>
      <c r="G1190" s="15"/>
      <c r="H1190" s="15"/>
      <c r="I1190" s="15"/>
      <c r="J1190" s="15"/>
    </row>
    <row r="1191" spans="1:12" x14ac:dyDescent="0.25">
      <c r="A1191" s="12"/>
      <c r="B1191" s="12"/>
      <c r="C1191" s="12"/>
      <c r="D1191" s="12"/>
      <c r="E1191" s="12"/>
      <c r="F1191" s="12"/>
      <c r="G1191" s="12"/>
      <c r="H1191" s="12"/>
      <c r="I1191" s="12"/>
      <c r="J1191" s="12"/>
    </row>
    <row r="1192" spans="1:12" ht="30" x14ac:dyDescent="0.25">
      <c r="A1192" s="2" t="s">
        <v>6</v>
      </c>
      <c r="B1192" s="2" t="s">
        <v>7</v>
      </c>
      <c r="C1192" s="2" t="s">
        <v>8</v>
      </c>
      <c r="D1192" s="2" t="s">
        <v>9</v>
      </c>
      <c r="E1192" s="2" t="s">
        <v>10</v>
      </c>
      <c r="F1192" s="2" t="s">
        <v>11</v>
      </c>
      <c r="G1192" s="2" t="s">
        <v>12</v>
      </c>
      <c r="H1192" s="2" t="s">
        <v>13</v>
      </c>
      <c r="I1192" s="2" t="s">
        <v>14</v>
      </c>
      <c r="J1192" s="2" t="s">
        <v>15</v>
      </c>
      <c r="K1192" s="2" t="s">
        <v>16</v>
      </c>
      <c r="L1192" s="2" t="s">
        <v>17</v>
      </c>
    </row>
    <row r="1193" spans="1:12" x14ac:dyDescent="0.25">
      <c r="A1193" s="3">
        <v>45712.211597222224</v>
      </c>
      <c r="B1193" t="s">
        <v>37</v>
      </c>
      <c r="C1193" s="3">
        <v>45712.405694444446</v>
      </c>
      <c r="D1193" t="s">
        <v>68</v>
      </c>
      <c r="E1193" s="4">
        <v>80.59600000000745</v>
      </c>
      <c r="F1193" s="4">
        <v>66012.485000000001</v>
      </c>
      <c r="G1193" s="4">
        <v>66093.081000000006</v>
      </c>
      <c r="H1193" s="5">
        <f>5539 / 86400</f>
        <v>6.4108796296296303E-2</v>
      </c>
      <c r="I1193" t="s">
        <v>53</v>
      </c>
      <c r="J1193" t="s">
        <v>30</v>
      </c>
      <c r="K1193" s="5">
        <f>16769 / 86400</f>
        <v>0.19408564814814816</v>
      </c>
      <c r="L1193" s="5">
        <f>18561 / 86400</f>
        <v>0.21482638888888889</v>
      </c>
    </row>
    <row r="1194" spans="1:12" x14ac:dyDescent="0.25">
      <c r="A1194" s="3">
        <v>45712.40892361111</v>
      </c>
      <c r="B1194" t="s">
        <v>68</v>
      </c>
      <c r="C1194" s="3">
        <v>45712.409675925926</v>
      </c>
      <c r="D1194" t="s">
        <v>68</v>
      </c>
      <c r="E1194" s="4">
        <v>3.7999999999999999E-2</v>
      </c>
      <c r="F1194" s="4">
        <v>66093.081000000006</v>
      </c>
      <c r="G1194" s="4">
        <v>66093.119000000006</v>
      </c>
      <c r="H1194" s="5">
        <f>20 / 86400</f>
        <v>2.3148148148148149E-4</v>
      </c>
      <c r="I1194" t="s">
        <v>57</v>
      </c>
      <c r="J1194" t="s">
        <v>150</v>
      </c>
      <c r="K1194" s="5">
        <f>64 / 86400</f>
        <v>7.407407407407407E-4</v>
      </c>
      <c r="L1194" s="5">
        <f>1879 / 86400</f>
        <v>2.1747685185185186E-2</v>
      </c>
    </row>
    <row r="1195" spans="1:12" x14ac:dyDescent="0.25">
      <c r="A1195" s="3">
        <v>45712.431423611109</v>
      </c>
      <c r="B1195" t="s">
        <v>68</v>
      </c>
      <c r="C1195" s="3">
        <v>45712.437905092593</v>
      </c>
      <c r="D1195" t="s">
        <v>21</v>
      </c>
      <c r="E1195" s="4">
        <v>1.3069999999999999</v>
      </c>
      <c r="F1195" s="4">
        <v>66093.119000000006</v>
      </c>
      <c r="G1195" s="4">
        <v>66094.426000000007</v>
      </c>
      <c r="H1195" s="5">
        <f>200 / 86400</f>
        <v>2.3148148148148147E-3</v>
      </c>
      <c r="I1195" t="s">
        <v>178</v>
      </c>
      <c r="J1195" t="s">
        <v>92</v>
      </c>
      <c r="K1195" s="5">
        <f>560 / 86400</f>
        <v>6.4814814814814813E-3</v>
      </c>
      <c r="L1195" s="5">
        <f>169 / 86400</f>
        <v>1.9560185185185184E-3</v>
      </c>
    </row>
    <row r="1196" spans="1:12" x14ac:dyDescent="0.25">
      <c r="A1196" s="3">
        <v>45712.43986111111</v>
      </c>
      <c r="B1196" t="s">
        <v>21</v>
      </c>
      <c r="C1196" s="3">
        <v>45712.440428240741</v>
      </c>
      <c r="D1196" t="s">
        <v>21</v>
      </c>
      <c r="E1196" s="4">
        <v>7.0000000000000001E-3</v>
      </c>
      <c r="F1196" s="4">
        <v>66094.426000000007</v>
      </c>
      <c r="G1196" s="4">
        <v>66094.433000000005</v>
      </c>
      <c r="H1196" s="5">
        <f>19 / 86400</f>
        <v>2.199074074074074E-4</v>
      </c>
      <c r="I1196" t="s">
        <v>150</v>
      </c>
      <c r="J1196" t="s">
        <v>143</v>
      </c>
      <c r="K1196" s="5">
        <f>48 / 86400</f>
        <v>5.5555555555555556E-4</v>
      </c>
      <c r="L1196" s="5">
        <f>2362 / 86400</f>
        <v>2.7337962962962963E-2</v>
      </c>
    </row>
    <row r="1197" spans="1:12" x14ac:dyDescent="0.25">
      <c r="A1197" s="3">
        <v>45712.467766203699</v>
      </c>
      <c r="B1197" t="s">
        <v>21</v>
      </c>
      <c r="C1197" s="3">
        <v>45712.82430555555</v>
      </c>
      <c r="D1197" t="s">
        <v>37</v>
      </c>
      <c r="E1197" s="4">
        <v>145.55199999999255</v>
      </c>
      <c r="F1197" s="4">
        <v>66094.433000000005</v>
      </c>
      <c r="G1197" s="4">
        <v>66239.985000000001</v>
      </c>
      <c r="H1197" s="5">
        <f>10542 / 86400</f>
        <v>0.12201388888888889</v>
      </c>
      <c r="I1197" t="s">
        <v>67</v>
      </c>
      <c r="J1197" t="s">
        <v>30</v>
      </c>
      <c r="K1197" s="5">
        <f>30805 / 86400</f>
        <v>0.35653935185185187</v>
      </c>
      <c r="L1197" s="5">
        <f>471 / 86400</f>
        <v>5.4513888888888893E-3</v>
      </c>
    </row>
    <row r="1198" spans="1:12" x14ac:dyDescent="0.25">
      <c r="A1198" s="3">
        <v>45712.82975694444</v>
      </c>
      <c r="B1198" t="s">
        <v>37</v>
      </c>
      <c r="C1198" s="3">
        <v>45712.832766203705</v>
      </c>
      <c r="D1198" t="s">
        <v>37</v>
      </c>
      <c r="E1198" s="4">
        <v>1.3859999999999999</v>
      </c>
      <c r="F1198" s="4">
        <v>66239.985000000001</v>
      </c>
      <c r="G1198" s="4">
        <v>66241.370999999999</v>
      </c>
      <c r="H1198" s="5">
        <f>60 / 86400</f>
        <v>6.9444444444444447E-4</v>
      </c>
      <c r="I1198" t="s">
        <v>168</v>
      </c>
      <c r="J1198" t="s">
        <v>137</v>
      </c>
      <c r="K1198" s="5">
        <f>259 / 86400</f>
        <v>2.9976851851851853E-3</v>
      </c>
      <c r="L1198" s="5">
        <f>14448 / 86400</f>
        <v>0.16722222222222222</v>
      </c>
    </row>
    <row r="1199" spans="1:12" x14ac:dyDescent="0.25">
      <c r="A1199" s="12"/>
      <c r="B1199" s="12"/>
      <c r="C1199" s="12"/>
      <c r="D1199" s="12"/>
      <c r="E1199" s="12"/>
      <c r="F1199" s="12"/>
      <c r="G1199" s="12"/>
      <c r="H1199" s="12"/>
      <c r="I1199" s="12"/>
      <c r="J1199" s="12"/>
    </row>
    <row r="1200" spans="1:12" x14ac:dyDescent="0.25">
      <c r="A1200" s="12"/>
      <c r="B1200" s="12"/>
      <c r="C1200" s="12"/>
      <c r="D1200" s="12"/>
      <c r="E1200" s="12"/>
      <c r="F1200" s="12"/>
      <c r="G1200" s="12"/>
      <c r="H1200" s="12"/>
      <c r="I1200" s="12"/>
      <c r="J1200" s="12"/>
    </row>
    <row r="1201" spans="1:12" s="10" customFormat="1" ht="20.100000000000001" customHeight="1" x14ac:dyDescent="0.35">
      <c r="A1201" s="15" t="s">
        <v>496</v>
      </c>
      <c r="B1201" s="15"/>
      <c r="C1201" s="15"/>
      <c r="D1201" s="15"/>
      <c r="E1201" s="15"/>
      <c r="F1201" s="15"/>
      <c r="G1201" s="15"/>
      <c r="H1201" s="15"/>
      <c r="I1201" s="15"/>
      <c r="J1201" s="15"/>
    </row>
    <row r="1202" spans="1:12" x14ac:dyDescent="0.25">
      <c r="A1202" s="12"/>
      <c r="B1202" s="12"/>
      <c r="C1202" s="12"/>
      <c r="D1202" s="12"/>
      <c r="E1202" s="12"/>
      <c r="F1202" s="12"/>
      <c r="G1202" s="12"/>
      <c r="H1202" s="12"/>
      <c r="I1202" s="12"/>
      <c r="J1202" s="12"/>
    </row>
    <row r="1203" spans="1:12" ht="30" x14ac:dyDescent="0.25">
      <c r="A1203" s="2" t="s">
        <v>6</v>
      </c>
      <c r="B1203" s="2" t="s">
        <v>7</v>
      </c>
      <c r="C1203" s="2" t="s">
        <v>8</v>
      </c>
      <c r="D1203" s="2" t="s">
        <v>9</v>
      </c>
      <c r="E1203" s="2" t="s">
        <v>10</v>
      </c>
      <c r="F1203" s="2" t="s">
        <v>11</v>
      </c>
      <c r="G1203" s="2" t="s">
        <v>12</v>
      </c>
      <c r="H1203" s="2" t="s">
        <v>13</v>
      </c>
      <c r="I1203" s="2" t="s">
        <v>14</v>
      </c>
      <c r="J1203" s="2" t="s">
        <v>15</v>
      </c>
      <c r="K1203" s="2" t="s">
        <v>16</v>
      </c>
      <c r="L1203" s="2" t="s">
        <v>17</v>
      </c>
    </row>
    <row r="1204" spans="1:12" x14ac:dyDescent="0.25">
      <c r="A1204" s="3">
        <v>45712</v>
      </c>
      <c r="B1204" t="s">
        <v>115</v>
      </c>
      <c r="C1204" s="3">
        <v>45712.011342592596</v>
      </c>
      <c r="D1204" t="s">
        <v>433</v>
      </c>
      <c r="E1204" s="4">
        <v>5.3209999999999997</v>
      </c>
      <c r="F1204" s="4">
        <v>410314.31</v>
      </c>
      <c r="G1204" s="4">
        <v>410319.63099999999</v>
      </c>
      <c r="H1204" s="5">
        <f>60 / 86400</f>
        <v>6.9444444444444447E-4</v>
      </c>
      <c r="I1204" t="s">
        <v>297</v>
      </c>
      <c r="J1204" t="s">
        <v>112</v>
      </c>
      <c r="K1204" s="5">
        <f>980 / 86400</f>
        <v>1.1342592592592593E-2</v>
      </c>
      <c r="L1204" s="5">
        <f>205 / 86400</f>
        <v>2.3726851851851851E-3</v>
      </c>
    </row>
    <row r="1205" spans="1:12" x14ac:dyDescent="0.25">
      <c r="A1205" s="3">
        <v>45712.013715277775</v>
      </c>
      <c r="B1205" t="s">
        <v>433</v>
      </c>
      <c r="C1205" s="3">
        <v>45712.102233796293</v>
      </c>
      <c r="D1205" t="s">
        <v>434</v>
      </c>
      <c r="E1205" s="4">
        <v>41.09</v>
      </c>
      <c r="F1205" s="4">
        <v>410319.63099999999</v>
      </c>
      <c r="G1205" s="4">
        <v>410360.72100000002</v>
      </c>
      <c r="H1205" s="5">
        <f>2659 / 86400</f>
        <v>3.0775462962962963E-2</v>
      </c>
      <c r="I1205" t="s">
        <v>133</v>
      </c>
      <c r="J1205" t="s">
        <v>137</v>
      </c>
      <c r="K1205" s="5">
        <f>7648 / 86400</f>
        <v>8.8518518518518524E-2</v>
      </c>
      <c r="L1205" s="5">
        <f>287 / 86400</f>
        <v>3.3217592592592591E-3</v>
      </c>
    </row>
    <row r="1206" spans="1:12" x14ac:dyDescent="0.25">
      <c r="A1206" s="3">
        <v>45712.10555555555</v>
      </c>
      <c r="B1206" t="s">
        <v>110</v>
      </c>
      <c r="C1206" s="3">
        <v>45712.109872685185</v>
      </c>
      <c r="D1206" t="s">
        <v>435</v>
      </c>
      <c r="E1206" s="4">
        <v>2.5259999999999998</v>
      </c>
      <c r="F1206" s="4">
        <v>410360.72100000002</v>
      </c>
      <c r="G1206" s="4">
        <v>410363.24699999997</v>
      </c>
      <c r="H1206" s="5">
        <f>0 / 86400</f>
        <v>0</v>
      </c>
      <c r="I1206" t="s">
        <v>44</v>
      </c>
      <c r="J1206" t="s">
        <v>182</v>
      </c>
      <c r="K1206" s="5">
        <f>373 / 86400</f>
        <v>4.31712962962963E-3</v>
      </c>
      <c r="L1206" s="5">
        <f>669 / 86400</f>
        <v>7.743055555555556E-3</v>
      </c>
    </row>
    <row r="1207" spans="1:12" x14ac:dyDescent="0.25">
      <c r="A1207" s="3">
        <v>45712.117615740739</v>
      </c>
      <c r="B1207" t="s">
        <v>97</v>
      </c>
      <c r="C1207" s="3">
        <v>45712.118310185186</v>
      </c>
      <c r="D1207" t="s">
        <v>97</v>
      </c>
      <c r="E1207" s="4">
        <v>2.5000000000000001E-2</v>
      </c>
      <c r="F1207" s="4">
        <v>410363.24699999997</v>
      </c>
      <c r="G1207" s="4">
        <v>410363.272</v>
      </c>
      <c r="H1207" s="5">
        <f>20 / 86400</f>
        <v>2.3148148148148149E-4</v>
      </c>
      <c r="I1207" t="s">
        <v>92</v>
      </c>
      <c r="J1207" t="s">
        <v>150</v>
      </c>
      <c r="K1207" s="5">
        <f>59 / 86400</f>
        <v>6.8287037037037036E-4</v>
      </c>
      <c r="L1207" s="5">
        <f>1708 / 86400</f>
        <v>1.9768518518518519E-2</v>
      </c>
    </row>
    <row r="1208" spans="1:12" x14ac:dyDescent="0.25">
      <c r="A1208" s="3">
        <v>45712.138078703705</v>
      </c>
      <c r="B1208" t="s">
        <v>97</v>
      </c>
      <c r="C1208" s="3">
        <v>45712.143020833333</v>
      </c>
      <c r="D1208" t="s">
        <v>27</v>
      </c>
      <c r="E1208" s="4">
        <v>1.9419999999999999</v>
      </c>
      <c r="F1208" s="4">
        <v>410363.272</v>
      </c>
      <c r="G1208" s="4">
        <v>410365.21399999998</v>
      </c>
      <c r="H1208" s="5">
        <f>100 / 86400</f>
        <v>1.1574074074074073E-3</v>
      </c>
      <c r="I1208" t="s">
        <v>189</v>
      </c>
      <c r="J1208" t="s">
        <v>34</v>
      </c>
      <c r="K1208" s="5">
        <f>426 / 86400</f>
        <v>4.9305555555555552E-3</v>
      </c>
      <c r="L1208" s="5">
        <f>17302 / 86400</f>
        <v>0.20025462962962962</v>
      </c>
    </row>
    <row r="1209" spans="1:12" x14ac:dyDescent="0.25">
      <c r="A1209" s="3">
        <v>45712.343275462961</v>
      </c>
      <c r="B1209" t="s">
        <v>27</v>
      </c>
      <c r="C1209" s="3">
        <v>45712.344247685185</v>
      </c>
      <c r="D1209" t="s">
        <v>27</v>
      </c>
      <c r="E1209" s="4">
        <v>2.5999999999999999E-2</v>
      </c>
      <c r="F1209" s="4">
        <v>410365.21399999998</v>
      </c>
      <c r="G1209" s="4">
        <v>410365.24</v>
      </c>
      <c r="H1209" s="5">
        <f>39 / 86400</f>
        <v>4.5138888888888887E-4</v>
      </c>
      <c r="I1209" t="s">
        <v>150</v>
      </c>
      <c r="J1209" t="s">
        <v>143</v>
      </c>
      <c r="K1209" s="5">
        <f>84 / 86400</f>
        <v>9.7222222222222219E-4</v>
      </c>
      <c r="L1209" s="5">
        <f>16066 / 86400</f>
        <v>0.18594907407407407</v>
      </c>
    </row>
    <row r="1210" spans="1:12" x14ac:dyDescent="0.25">
      <c r="A1210" s="3">
        <v>45712.53019675926</v>
      </c>
      <c r="B1210" t="s">
        <v>27</v>
      </c>
      <c r="C1210" s="3">
        <v>45712.541608796295</v>
      </c>
      <c r="D1210" t="s">
        <v>366</v>
      </c>
      <c r="E1210" s="4">
        <v>1.798</v>
      </c>
      <c r="F1210" s="4">
        <v>410365.24</v>
      </c>
      <c r="G1210" s="4">
        <v>410367.038</v>
      </c>
      <c r="H1210" s="5">
        <f>439 / 86400</f>
        <v>5.0810185185185186E-3</v>
      </c>
      <c r="I1210" t="s">
        <v>131</v>
      </c>
      <c r="J1210" t="s">
        <v>99</v>
      </c>
      <c r="K1210" s="5">
        <f>985 / 86400</f>
        <v>1.1400462962962963E-2</v>
      </c>
      <c r="L1210" s="5">
        <f>320 / 86400</f>
        <v>3.7037037037037038E-3</v>
      </c>
    </row>
    <row r="1211" spans="1:12" x14ac:dyDescent="0.25">
      <c r="A1211" s="3">
        <v>45712.545312499999</v>
      </c>
      <c r="B1211" t="s">
        <v>366</v>
      </c>
      <c r="C1211" s="3">
        <v>45712.549050925925</v>
      </c>
      <c r="D1211" t="s">
        <v>27</v>
      </c>
      <c r="E1211" s="4">
        <v>0.91100000000000003</v>
      </c>
      <c r="F1211" s="4">
        <v>410367.038</v>
      </c>
      <c r="G1211" s="4">
        <v>410367.94900000002</v>
      </c>
      <c r="H1211" s="5">
        <f>20 / 86400</f>
        <v>2.3148148148148149E-4</v>
      </c>
      <c r="I1211" t="s">
        <v>36</v>
      </c>
      <c r="J1211" t="s">
        <v>51</v>
      </c>
      <c r="K1211" s="5">
        <f>322 / 86400</f>
        <v>3.7268518518518519E-3</v>
      </c>
      <c r="L1211" s="5">
        <f>12070 / 86400</f>
        <v>0.13969907407407409</v>
      </c>
    </row>
    <row r="1212" spans="1:12" x14ac:dyDescent="0.25">
      <c r="A1212" s="3">
        <v>45712.688750000001</v>
      </c>
      <c r="B1212" t="s">
        <v>27</v>
      </c>
      <c r="C1212" s="3">
        <v>45712.696261574078</v>
      </c>
      <c r="D1212" t="s">
        <v>171</v>
      </c>
      <c r="E1212" s="4">
        <v>0.96299999999999997</v>
      </c>
      <c r="F1212" s="4">
        <v>410367.94900000002</v>
      </c>
      <c r="G1212" s="4">
        <v>410368.91200000001</v>
      </c>
      <c r="H1212" s="5">
        <f>400 / 86400</f>
        <v>4.6296296296296294E-3</v>
      </c>
      <c r="I1212" t="s">
        <v>198</v>
      </c>
      <c r="J1212" t="s">
        <v>57</v>
      </c>
      <c r="K1212" s="5">
        <f>649 / 86400</f>
        <v>7.5115740740740742E-3</v>
      </c>
      <c r="L1212" s="5">
        <f>711 / 86400</f>
        <v>8.2291666666666659E-3</v>
      </c>
    </row>
    <row r="1213" spans="1:12" x14ac:dyDescent="0.25">
      <c r="A1213" s="3">
        <v>45712.70449074074</v>
      </c>
      <c r="B1213" t="s">
        <v>171</v>
      </c>
      <c r="C1213" s="3">
        <v>45712.719618055555</v>
      </c>
      <c r="D1213" t="s">
        <v>84</v>
      </c>
      <c r="E1213" s="4">
        <v>7.8789999999999996</v>
      </c>
      <c r="F1213" s="4">
        <v>410368.91200000001</v>
      </c>
      <c r="G1213" s="4">
        <v>410376.79100000003</v>
      </c>
      <c r="H1213" s="5">
        <f>180 / 86400</f>
        <v>2.0833333333333333E-3</v>
      </c>
      <c r="I1213" t="s">
        <v>122</v>
      </c>
      <c r="J1213" t="s">
        <v>134</v>
      </c>
      <c r="K1213" s="5">
        <f>1306 / 86400</f>
        <v>1.511574074074074E-2</v>
      </c>
      <c r="L1213" s="5">
        <f>484 / 86400</f>
        <v>5.6018518518518518E-3</v>
      </c>
    </row>
    <row r="1214" spans="1:12" x14ac:dyDescent="0.25">
      <c r="A1214" s="3">
        <v>45712.725219907406</v>
      </c>
      <c r="B1214" t="s">
        <v>84</v>
      </c>
      <c r="C1214" s="3">
        <v>45712.789398148147</v>
      </c>
      <c r="D1214" t="s">
        <v>138</v>
      </c>
      <c r="E1214" s="4">
        <v>29.686</v>
      </c>
      <c r="F1214" s="4">
        <v>410376.79100000003</v>
      </c>
      <c r="G1214" s="4">
        <v>410406.47700000001</v>
      </c>
      <c r="H1214" s="5">
        <f>1581 / 86400</f>
        <v>1.8298611111111113E-2</v>
      </c>
      <c r="I1214" t="s">
        <v>23</v>
      </c>
      <c r="J1214" t="s">
        <v>137</v>
      </c>
      <c r="K1214" s="5">
        <f>5544 / 86400</f>
        <v>6.4166666666666664E-2</v>
      </c>
      <c r="L1214" s="5">
        <f>363 / 86400</f>
        <v>4.2013888888888891E-3</v>
      </c>
    </row>
    <row r="1215" spans="1:12" x14ac:dyDescent="0.25">
      <c r="A1215" s="3">
        <v>45712.793599537035</v>
      </c>
      <c r="B1215" t="s">
        <v>138</v>
      </c>
      <c r="C1215" s="3">
        <v>45712.793807870374</v>
      </c>
      <c r="D1215" t="s">
        <v>138</v>
      </c>
      <c r="E1215" s="4">
        <v>3.0000000000000001E-3</v>
      </c>
      <c r="F1215" s="4">
        <v>410406.47700000001</v>
      </c>
      <c r="G1215" s="4">
        <v>410406.48</v>
      </c>
      <c r="H1215" s="5">
        <f>0 / 86400</f>
        <v>0</v>
      </c>
      <c r="I1215" t="s">
        <v>24</v>
      </c>
      <c r="J1215" t="s">
        <v>143</v>
      </c>
      <c r="K1215" s="5">
        <f>17 / 86400</f>
        <v>1.9675925925925926E-4</v>
      </c>
      <c r="L1215" s="5">
        <f>115 / 86400</f>
        <v>1.3310185185185185E-3</v>
      </c>
    </row>
    <row r="1216" spans="1:12" x14ac:dyDescent="0.25">
      <c r="A1216" s="3">
        <v>45712.795138888891</v>
      </c>
      <c r="B1216" t="s">
        <v>138</v>
      </c>
      <c r="C1216" s="3">
        <v>45712.795324074075</v>
      </c>
      <c r="D1216" t="s">
        <v>138</v>
      </c>
      <c r="E1216" s="4">
        <v>7.0000000000000001E-3</v>
      </c>
      <c r="F1216" s="4">
        <v>410406.48</v>
      </c>
      <c r="G1216" s="4">
        <v>410406.48700000002</v>
      </c>
      <c r="H1216" s="5">
        <f>0 / 86400</f>
        <v>0</v>
      </c>
      <c r="I1216" t="s">
        <v>24</v>
      </c>
      <c r="J1216" t="s">
        <v>150</v>
      </c>
      <c r="K1216" s="5">
        <f>15 / 86400</f>
        <v>1.7361111111111112E-4</v>
      </c>
      <c r="L1216" s="5">
        <f>152 / 86400</f>
        <v>1.7592592592592592E-3</v>
      </c>
    </row>
    <row r="1217" spans="1:12" x14ac:dyDescent="0.25">
      <c r="A1217" s="3">
        <v>45712.797083333338</v>
      </c>
      <c r="B1217" t="s">
        <v>138</v>
      </c>
      <c r="C1217" s="3">
        <v>45712.934849537036</v>
      </c>
      <c r="D1217" t="s">
        <v>90</v>
      </c>
      <c r="E1217" s="4">
        <v>77.094999999999999</v>
      </c>
      <c r="F1217" s="4">
        <v>410406.48700000002</v>
      </c>
      <c r="G1217" s="4">
        <v>410483.58199999999</v>
      </c>
      <c r="H1217" s="5">
        <f>3019 / 86400</f>
        <v>3.4942129629629629E-2</v>
      </c>
      <c r="I1217" t="s">
        <v>117</v>
      </c>
      <c r="J1217" t="s">
        <v>139</v>
      </c>
      <c r="K1217" s="5">
        <f>11903 / 86400</f>
        <v>0.13776620370370371</v>
      </c>
      <c r="L1217" s="5">
        <f>187 / 86400</f>
        <v>2.1643518518518518E-3</v>
      </c>
    </row>
    <row r="1218" spans="1:12" x14ac:dyDescent="0.25">
      <c r="A1218" s="3">
        <v>45712.937013888892</v>
      </c>
      <c r="B1218" t="s">
        <v>90</v>
      </c>
      <c r="C1218" s="3">
        <v>45712.937615740739</v>
      </c>
      <c r="D1218" t="s">
        <v>90</v>
      </c>
      <c r="E1218" s="4">
        <v>2.4E-2</v>
      </c>
      <c r="F1218" s="4">
        <v>410483.58199999999</v>
      </c>
      <c r="G1218" s="4">
        <v>410483.60600000003</v>
      </c>
      <c r="H1218" s="5">
        <f>20 / 86400</f>
        <v>2.3148148148148149E-4</v>
      </c>
      <c r="I1218" t="s">
        <v>95</v>
      </c>
      <c r="J1218" t="s">
        <v>150</v>
      </c>
      <c r="K1218" s="5">
        <f>51 / 86400</f>
        <v>5.9027777777777778E-4</v>
      </c>
      <c r="L1218" s="5">
        <f>1663 / 86400</f>
        <v>1.9247685185185184E-2</v>
      </c>
    </row>
    <row r="1219" spans="1:12" x14ac:dyDescent="0.25">
      <c r="A1219" s="3">
        <v>45712.956863425927</v>
      </c>
      <c r="B1219" t="s">
        <v>90</v>
      </c>
      <c r="C1219" s="3">
        <v>45712.98505787037</v>
      </c>
      <c r="D1219" t="s">
        <v>116</v>
      </c>
      <c r="E1219" s="4">
        <v>17.582000000000001</v>
      </c>
      <c r="F1219" s="4">
        <v>410483.60600000003</v>
      </c>
      <c r="G1219" s="4">
        <v>410501.18800000002</v>
      </c>
      <c r="H1219" s="5">
        <f>620 / 86400</f>
        <v>7.1759259259259259E-3</v>
      </c>
      <c r="I1219" t="s">
        <v>58</v>
      </c>
      <c r="J1219" t="s">
        <v>164</v>
      </c>
      <c r="K1219" s="5">
        <f>2436 / 86400</f>
        <v>2.8194444444444446E-2</v>
      </c>
      <c r="L1219" s="5">
        <f>178 / 86400</f>
        <v>2.0601851851851853E-3</v>
      </c>
    </row>
    <row r="1220" spans="1:12" x14ac:dyDescent="0.25">
      <c r="A1220" s="3">
        <v>45712.987118055556</v>
      </c>
      <c r="B1220" t="s">
        <v>116</v>
      </c>
      <c r="C1220" s="3">
        <v>45712.987326388888</v>
      </c>
      <c r="D1220" t="s">
        <v>116</v>
      </c>
      <c r="E1220" s="4">
        <v>3.0000000000000001E-3</v>
      </c>
      <c r="F1220" s="4">
        <v>410501.18800000002</v>
      </c>
      <c r="G1220" s="4">
        <v>410501.19099999999</v>
      </c>
      <c r="H1220" s="5">
        <f>0 / 86400</f>
        <v>0</v>
      </c>
      <c r="I1220" t="s">
        <v>24</v>
      </c>
      <c r="J1220" t="s">
        <v>143</v>
      </c>
      <c r="K1220" s="5">
        <f>17 / 86400</f>
        <v>1.9675925925925926E-4</v>
      </c>
      <c r="L1220" s="5">
        <f>89 / 86400</f>
        <v>1.0300925925925926E-3</v>
      </c>
    </row>
    <row r="1221" spans="1:12" x14ac:dyDescent="0.25">
      <c r="A1221" s="3">
        <v>45712.988356481481</v>
      </c>
      <c r="B1221" t="s">
        <v>116</v>
      </c>
      <c r="C1221" s="3">
        <v>45712.988506944443</v>
      </c>
      <c r="D1221" t="s">
        <v>116</v>
      </c>
      <c r="E1221" s="4">
        <v>8.0000000000000002E-3</v>
      </c>
      <c r="F1221" s="4">
        <v>410501.19099999999</v>
      </c>
      <c r="G1221" s="4">
        <v>410501.19900000002</v>
      </c>
      <c r="H1221" s="5">
        <f>0 / 86400</f>
        <v>0</v>
      </c>
      <c r="I1221" t="s">
        <v>24</v>
      </c>
      <c r="J1221" t="s">
        <v>150</v>
      </c>
      <c r="K1221" s="5">
        <f>12 / 86400</f>
        <v>1.3888888888888889E-4</v>
      </c>
      <c r="L1221" s="5">
        <f>716 / 86400</f>
        <v>8.2870370370370372E-3</v>
      </c>
    </row>
    <row r="1222" spans="1:12" x14ac:dyDescent="0.25">
      <c r="A1222" s="3">
        <v>45712.996793981481</v>
      </c>
      <c r="B1222" t="s">
        <v>116</v>
      </c>
      <c r="C1222" s="3">
        <v>45712.997210648144</v>
      </c>
      <c r="D1222" t="s">
        <v>116</v>
      </c>
      <c r="E1222" s="4">
        <v>1.0999999999999999E-2</v>
      </c>
      <c r="F1222" s="4">
        <v>410501.19900000002</v>
      </c>
      <c r="G1222" s="4">
        <v>410501.21</v>
      </c>
      <c r="H1222" s="5">
        <f>19 / 86400</f>
        <v>2.199074074074074E-4</v>
      </c>
      <c r="I1222" t="s">
        <v>24</v>
      </c>
      <c r="J1222" t="s">
        <v>143</v>
      </c>
      <c r="K1222" s="5">
        <f>35 / 86400</f>
        <v>4.0509259259259258E-4</v>
      </c>
      <c r="L1222" s="5">
        <f>240 / 86400</f>
        <v>2.7777777777777779E-3</v>
      </c>
    </row>
    <row r="1223" spans="1:12" x14ac:dyDescent="0.25">
      <c r="A1223" s="12"/>
      <c r="B1223" s="12"/>
      <c r="C1223" s="12"/>
      <c r="D1223" s="12"/>
      <c r="E1223" s="12"/>
      <c r="F1223" s="12"/>
      <c r="G1223" s="12"/>
      <c r="H1223" s="12"/>
      <c r="I1223" s="12"/>
      <c r="J1223" s="12"/>
    </row>
    <row r="1224" spans="1:12" x14ac:dyDescent="0.25">
      <c r="A1224" s="12"/>
      <c r="B1224" s="12"/>
      <c r="C1224" s="12"/>
      <c r="D1224" s="12"/>
      <c r="E1224" s="12"/>
      <c r="F1224" s="12"/>
      <c r="G1224" s="12"/>
      <c r="H1224" s="12"/>
      <c r="I1224" s="12"/>
      <c r="J1224" s="12"/>
    </row>
    <row r="1225" spans="1:12" s="10" customFormat="1" ht="20.100000000000001" customHeight="1" x14ac:dyDescent="0.35">
      <c r="A1225" s="15" t="s">
        <v>497</v>
      </c>
      <c r="B1225" s="15"/>
      <c r="C1225" s="15"/>
      <c r="D1225" s="15"/>
      <c r="E1225" s="15"/>
      <c r="F1225" s="15"/>
      <c r="G1225" s="15"/>
      <c r="H1225" s="15"/>
      <c r="I1225" s="15"/>
      <c r="J1225" s="15"/>
    </row>
    <row r="1226" spans="1:12" x14ac:dyDescent="0.25">
      <c r="A1226" s="12"/>
      <c r="B1226" s="12"/>
      <c r="C1226" s="12"/>
      <c r="D1226" s="12"/>
      <c r="E1226" s="12"/>
      <c r="F1226" s="12"/>
      <c r="G1226" s="12"/>
      <c r="H1226" s="12"/>
      <c r="I1226" s="12"/>
      <c r="J1226" s="12"/>
    </row>
    <row r="1227" spans="1:12" ht="30" x14ac:dyDescent="0.25">
      <c r="A1227" s="2" t="s">
        <v>6</v>
      </c>
      <c r="B1227" s="2" t="s">
        <v>7</v>
      </c>
      <c r="C1227" s="2" t="s">
        <v>8</v>
      </c>
      <c r="D1227" s="2" t="s">
        <v>9</v>
      </c>
      <c r="E1227" s="2" t="s">
        <v>10</v>
      </c>
      <c r="F1227" s="2" t="s">
        <v>11</v>
      </c>
      <c r="G1227" s="2" t="s">
        <v>12</v>
      </c>
      <c r="H1227" s="2" t="s">
        <v>13</v>
      </c>
      <c r="I1227" s="2" t="s">
        <v>14</v>
      </c>
      <c r="J1227" s="2" t="s">
        <v>15</v>
      </c>
      <c r="K1227" s="2" t="s">
        <v>16</v>
      </c>
      <c r="L1227" s="2" t="s">
        <v>17</v>
      </c>
    </row>
    <row r="1228" spans="1:12" x14ac:dyDescent="0.25">
      <c r="A1228" s="3">
        <v>45712</v>
      </c>
      <c r="B1228" t="s">
        <v>118</v>
      </c>
      <c r="C1228" s="3">
        <v>45712.036215277782</v>
      </c>
      <c r="D1228" t="s">
        <v>90</v>
      </c>
      <c r="E1228" s="4">
        <v>22.867000000000001</v>
      </c>
      <c r="F1228" s="4">
        <v>552798.08900000004</v>
      </c>
      <c r="G1228" s="4">
        <v>552820.95600000001</v>
      </c>
      <c r="H1228" s="5">
        <f>420 / 86400</f>
        <v>4.8611111111111112E-3</v>
      </c>
      <c r="I1228" t="s">
        <v>53</v>
      </c>
      <c r="J1228" t="s">
        <v>164</v>
      </c>
      <c r="K1228" s="5">
        <f>3129 / 86400</f>
        <v>3.6215277777777777E-2</v>
      </c>
      <c r="L1228" s="5">
        <f>797 / 86400</f>
        <v>9.2245370370370363E-3</v>
      </c>
    </row>
    <row r="1229" spans="1:12" x14ac:dyDescent="0.25">
      <c r="A1229" s="3">
        <v>45712.045439814814</v>
      </c>
      <c r="B1229" t="s">
        <v>90</v>
      </c>
      <c r="C1229" s="3">
        <v>45712.046030092592</v>
      </c>
      <c r="D1229" t="s">
        <v>90</v>
      </c>
      <c r="E1229" s="4">
        <v>6.5000000000000002E-2</v>
      </c>
      <c r="F1229" s="4">
        <v>552820.95600000001</v>
      </c>
      <c r="G1229" s="4">
        <v>552821.02099999995</v>
      </c>
      <c r="H1229" s="5">
        <f>0 / 86400</f>
        <v>0</v>
      </c>
      <c r="I1229" t="s">
        <v>42</v>
      </c>
      <c r="J1229" t="s">
        <v>57</v>
      </c>
      <c r="K1229" s="5">
        <f>51 / 86400</f>
        <v>5.9027777777777778E-4</v>
      </c>
      <c r="L1229" s="5">
        <f>1641 / 86400</f>
        <v>1.8993055555555555E-2</v>
      </c>
    </row>
    <row r="1230" spans="1:12" x14ac:dyDescent="0.25">
      <c r="A1230" s="3">
        <v>45712.065023148149</v>
      </c>
      <c r="B1230" t="s">
        <v>90</v>
      </c>
      <c r="C1230" s="3">
        <v>45712.072291666671</v>
      </c>
      <c r="D1230" t="s">
        <v>436</v>
      </c>
      <c r="E1230" s="4">
        <v>4.7329999999999997</v>
      </c>
      <c r="F1230" s="4">
        <v>552821.02099999995</v>
      </c>
      <c r="G1230" s="4">
        <v>552825.75399999996</v>
      </c>
      <c r="H1230" s="5">
        <f>119 / 86400</f>
        <v>1.3773148148148147E-3</v>
      </c>
      <c r="I1230" t="s">
        <v>183</v>
      </c>
      <c r="J1230" t="s">
        <v>152</v>
      </c>
      <c r="K1230" s="5">
        <f>628 / 86400</f>
        <v>7.2685185185185188E-3</v>
      </c>
      <c r="L1230" s="5">
        <f>41470 / 86400</f>
        <v>0.47997685185185185</v>
      </c>
    </row>
    <row r="1231" spans="1:12" x14ac:dyDescent="0.25">
      <c r="A1231" s="3">
        <v>45712.552268518513</v>
      </c>
      <c r="B1231" t="s">
        <v>436</v>
      </c>
      <c r="C1231" s="3">
        <v>45712.585289351853</v>
      </c>
      <c r="D1231" t="s">
        <v>378</v>
      </c>
      <c r="E1231" s="4">
        <v>3.7890000000000001</v>
      </c>
      <c r="F1231" s="4">
        <v>552825.75399999996</v>
      </c>
      <c r="G1231" s="4">
        <v>552829.54299999995</v>
      </c>
      <c r="H1231" s="5">
        <f>2320 / 86400</f>
        <v>2.6851851851851852E-2</v>
      </c>
      <c r="I1231" t="s">
        <v>186</v>
      </c>
      <c r="J1231" t="s">
        <v>57</v>
      </c>
      <c r="K1231" s="5">
        <f>2853 / 86400</f>
        <v>3.3020833333333333E-2</v>
      </c>
      <c r="L1231" s="5">
        <f>19 / 86400</f>
        <v>2.199074074074074E-4</v>
      </c>
    </row>
    <row r="1232" spans="1:12" x14ac:dyDescent="0.25">
      <c r="A1232" s="3">
        <v>45712.585509259261</v>
      </c>
      <c r="B1232" t="s">
        <v>378</v>
      </c>
      <c r="C1232" s="3">
        <v>45712.586122685185</v>
      </c>
      <c r="D1232" t="s">
        <v>378</v>
      </c>
      <c r="E1232" s="4">
        <v>5.0000000000000001E-3</v>
      </c>
      <c r="F1232" s="4">
        <v>552829.54299999995</v>
      </c>
      <c r="G1232" s="4">
        <v>552829.54799999995</v>
      </c>
      <c r="H1232" s="5">
        <f>19 / 86400</f>
        <v>2.199074074074074E-4</v>
      </c>
      <c r="I1232" t="s">
        <v>150</v>
      </c>
      <c r="J1232" t="s">
        <v>24</v>
      </c>
      <c r="K1232" s="5">
        <f>53 / 86400</f>
        <v>6.134259259259259E-4</v>
      </c>
      <c r="L1232" s="5">
        <f>1574 / 86400</f>
        <v>1.8217592592592594E-2</v>
      </c>
    </row>
    <row r="1233" spans="1:12" x14ac:dyDescent="0.25">
      <c r="A1233" s="3">
        <v>45712.60434027778</v>
      </c>
      <c r="B1233" t="s">
        <v>378</v>
      </c>
      <c r="C1233" s="3">
        <v>45712.99998842593</v>
      </c>
      <c r="D1233" t="s">
        <v>119</v>
      </c>
      <c r="E1233" s="4">
        <v>157.59</v>
      </c>
      <c r="F1233" s="4">
        <v>552829.54799999995</v>
      </c>
      <c r="G1233" s="4">
        <v>552987.13800000004</v>
      </c>
      <c r="H1233" s="5">
        <f>12301 / 86400</f>
        <v>0.14237268518518517</v>
      </c>
      <c r="I1233" t="s">
        <v>26</v>
      </c>
      <c r="J1233" t="s">
        <v>30</v>
      </c>
      <c r="K1233" s="5">
        <f>34184 / 86400</f>
        <v>0.39564814814814814</v>
      </c>
      <c r="L1233" s="5">
        <f>0 / 86400</f>
        <v>0</v>
      </c>
    </row>
    <row r="1234" spans="1:12" x14ac:dyDescent="0.25">
      <c r="A1234" s="12"/>
      <c r="B1234" s="12"/>
      <c r="C1234" s="12"/>
      <c r="D1234" s="12"/>
      <c r="E1234" s="12"/>
      <c r="F1234" s="12"/>
      <c r="G1234" s="12"/>
      <c r="H1234" s="12"/>
      <c r="I1234" s="12"/>
      <c r="J1234" s="12"/>
    </row>
    <row r="1235" spans="1:12" x14ac:dyDescent="0.25">
      <c r="A1235" s="12"/>
      <c r="B1235" s="12"/>
      <c r="C1235" s="12"/>
      <c r="D1235" s="12"/>
      <c r="E1235" s="12"/>
      <c r="F1235" s="12"/>
      <c r="G1235" s="12"/>
      <c r="H1235" s="12"/>
      <c r="I1235" s="12"/>
      <c r="J1235" s="12"/>
    </row>
    <row r="1236" spans="1:12" s="10" customFormat="1" ht="20.100000000000001" customHeight="1" x14ac:dyDescent="0.35">
      <c r="A1236" s="15" t="s">
        <v>498</v>
      </c>
      <c r="B1236" s="15"/>
      <c r="C1236" s="15"/>
      <c r="D1236" s="15"/>
      <c r="E1236" s="15"/>
      <c r="F1236" s="15"/>
      <c r="G1236" s="15"/>
      <c r="H1236" s="15"/>
      <c r="I1236" s="15"/>
      <c r="J1236" s="15"/>
    </row>
    <row r="1237" spans="1:12" x14ac:dyDescent="0.25">
      <c r="A1237" s="12"/>
      <c r="B1237" s="12"/>
      <c r="C1237" s="12"/>
      <c r="D1237" s="12"/>
      <c r="E1237" s="12"/>
      <c r="F1237" s="12"/>
      <c r="G1237" s="12"/>
      <c r="H1237" s="12"/>
      <c r="I1237" s="12"/>
      <c r="J1237" s="12"/>
    </row>
    <row r="1238" spans="1:12" ht="30" x14ac:dyDescent="0.25">
      <c r="A1238" s="2" t="s">
        <v>6</v>
      </c>
      <c r="B1238" s="2" t="s">
        <v>7</v>
      </c>
      <c r="C1238" s="2" t="s">
        <v>8</v>
      </c>
      <c r="D1238" s="2" t="s">
        <v>9</v>
      </c>
      <c r="E1238" s="2" t="s">
        <v>10</v>
      </c>
      <c r="F1238" s="2" t="s">
        <v>11</v>
      </c>
      <c r="G1238" s="2" t="s">
        <v>12</v>
      </c>
      <c r="H1238" s="2" t="s">
        <v>13</v>
      </c>
      <c r="I1238" s="2" t="s">
        <v>14</v>
      </c>
      <c r="J1238" s="2" t="s">
        <v>15</v>
      </c>
      <c r="K1238" s="2" t="s">
        <v>16</v>
      </c>
      <c r="L1238" s="2" t="s">
        <v>17</v>
      </c>
    </row>
    <row r="1239" spans="1:12" x14ac:dyDescent="0.25">
      <c r="A1239" s="3">
        <v>45712</v>
      </c>
      <c r="B1239" t="s">
        <v>120</v>
      </c>
      <c r="C1239" s="3">
        <v>45712.03770833333</v>
      </c>
      <c r="D1239" t="s">
        <v>171</v>
      </c>
      <c r="E1239" s="4">
        <v>120.255</v>
      </c>
      <c r="F1239" s="4">
        <v>2948.2449999999999</v>
      </c>
      <c r="G1239" s="4">
        <v>3068.5</v>
      </c>
      <c r="H1239" s="5">
        <f>681 / 86400</f>
        <v>7.8819444444444449E-3</v>
      </c>
      <c r="I1239" t="s">
        <v>23</v>
      </c>
      <c r="J1239" t="s">
        <v>437</v>
      </c>
      <c r="K1239" s="5">
        <f>3258 / 86400</f>
        <v>3.7708333333333337E-2</v>
      </c>
      <c r="L1239" s="5">
        <f>1228 / 86400</f>
        <v>1.4212962962962964E-2</v>
      </c>
    </row>
    <row r="1240" spans="1:12" x14ac:dyDescent="0.25">
      <c r="A1240" s="3">
        <v>45712.051921296297</v>
      </c>
      <c r="B1240" t="s">
        <v>171</v>
      </c>
      <c r="C1240" s="3">
        <v>45712.051944444444</v>
      </c>
      <c r="D1240" t="s">
        <v>171</v>
      </c>
      <c r="E1240" s="4">
        <v>0</v>
      </c>
      <c r="F1240" s="4">
        <v>3068.5</v>
      </c>
      <c r="G1240" s="4">
        <v>3068.5</v>
      </c>
      <c r="H1240" s="5">
        <f>0 / 86400</f>
        <v>0</v>
      </c>
      <c r="I1240" t="s">
        <v>24</v>
      </c>
      <c r="J1240" t="s">
        <v>24</v>
      </c>
      <c r="K1240" s="5">
        <f>2 / 86400</f>
        <v>2.3148148148148147E-5</v>
      </c>
      <c r="L1240" s="5">
        <f>2 / 86400</f>
        <v>2.3148148148148147E-5</v>
      </c>
    </row>
    <row r="1241" spans="1:12" x14ac:dyDescent="0.25">
      <c r="A1241" s="3">
        <v>45712.05196759259</v>
      </c>
      <c r="B1241" t="s">
        <v>171</v>
      </c>
      <c r="C1241" s="3">
        <v>45712.05469907407</v>
      </c>
      <c r="D1241" t="s">
        <v>370</v>
      </c>
      <c r="E1241" s="4">
        <v>2.355</v>
      </c>
      <c r="F1241" s="4">
        <v>3068.5</v>
      </c>
      <c r="G1241" s="4">
        <v>3070.855</v>
      </c>
      <c r="H1241" s="5">
        <f>116 / 86400</f>
        <v>1.3425925925925925E-3</v>
      </c>
      <c r="I1241" t="s">
        <v>134</v>
      </c>
      <c r="J1241" t="s">
        <v>190</v>
      </c>
      <c r="K1241" s="5">
        <f>236 / 86400</f>
        <v>2.7314814814814814E-3</v>
      </c>
      <c r="L1241" s="5">
        <f>3160 / 86400</f>
        <v>3.6574074074074071E-2</v>
      </c>
    </row>
    <row r="1242" spans="1:12" x14ac:dyDescent="0.25">
      <c r="A1242" s="3">
        <v>45712.091273148151</v>
      </c>
      <c r="B1242" t="s">
        <v>370</v>
      </c>
      <c r="C1242" s="3">
        <v>45712.094178240739</v>
      </c>
      <c r="D1242" t="s">
        <v>27</v>
      </c>
      <c r="E1242" s="4">
        <v>2.31</v>
      </c>
      <c r="F1242" s="4">
        <v>3070.855</v>
      </c>
      <c r="G1242" s="4">
        <v>3073.165</v>
      </c>
      <c r="H1242" s="5">
        <f>159 / 86400</f>
        <v>1.8402777777777777E-3</v>
      </c>
      <c r="I1242" t="s">
        <v>131</v>
      </c>
      <c r="J1242" t="s">
        <v>218</v>
      </c>
      <c r="K1242" s="5">
        <f>251 / 86400</f>
        <v>2.9050925925925928E-3</v>
      </c>
      <c r="L1242" s="5">
        <f>157 / 86400</f>
        <v>1.8171296296296297E-3</v>
      </c>
    </row>
    <row r="1243" spans="1:12" x14ac:dyDescent="0.25">
      <c r="A1243" s="3">
        <v>45712.095995370371</v>
      </c>
      <c r="B1243" t="s">
        <v>27</v>
      </c>
      <c r="C1243" s="3">
        <v>45712.100034722222</v>
      </c>
      <c r="D1243" t="s">
        <v>121</v>
      </c>
      <c r="E1243" s="4">
        <v>4.67</v>
      </c>
      <c r="F1243" s="4">
        <v>3073.165</v>
      </c>
      <c r="G1243" s="4">
        <v>3077.835</v>
      </c>
      <c r="H1243" s="5">
        <f>119 / 86400</f>
        <v>1.3773148148148147E-3</v>
      </c>
      <c r="I1243" t="s">
        <v>31</v>
      </c>
      <c r="J1243" t="s">
        <v>160</v>
      </c>
      <c r="K1243" s="5">
        <f>349 / 86400</f>
        <v>4.0393518518518521E-3</v>
      </c>
      <c r="L1243" s="5">
        <f>19772 / 86400</f>
        <v>0.2288425925925926</v>
      </c>
    </row>
    <row r="1244" spans="1:12" x14ac:dyDescent="0.25">
      <c r="A1244" s="3">
        <v>45712.328877314816</v>
      </c>
      <c r="B1244" t="s">
        <v>438</v>
      </c>
      <c r="C1244" s="3">
        <v>45712.337361111116</v>
      </c>
      <c r="D1244" t="s">
        <v>121</v>
      </c>
      <c r="E1244" s="4">
        <v>0.24000000000046567</v>
      </c>
      <c r="F1244" s="4">
        <v>3077.835</v>
      </c>
      <c r="G1244" s="4">
        <v>3078.0750000000003</v>
      </c>
      <c r="H1244" s="5">
        <f>659 / 86400</f>
        <v>7.6273148148148151E-3</v>
      </c>
      <c r="I1244" t="s">
        <v>57</v>
      </c>
      <c r="J1244" t="s">
        <v>143</v>
      </c>
      <c r="K1244" s="5">
        <f>732 / 86400</f>
        <v>8.472222222222223E-3</v>
      </c>
      <c r="L1244" s="5">
        <f>913 / 86400</f>
        <v>1.0567129629629629E-2</v>
      </c>
    </row>
    <row r="1245" spans="1:12" x14ac:dyDescent="0.25">
      <c r="A1245" s="3">
        <v>45712.347928240742</v>
      </c>
      <c r="B1245" t="s">
        <v>121</v>
      </c>
      <c r="C1245" s="3">
        <v>45712.351898148147</v>
      </c>
      <c r="D1245" t="s">
        <v>90</v>
      </c>
      <c r="E1245" s="4">
        <v>11.449999999999534</v>
      </c>
      <c r="F1245" s="4">
        <v>3078.0750000000003</v>
      </c>
      <c r="G1245" s="4">
        <v>3089.5250000000001</v>
      </c>
      <c r="H1245" s="5">
        <f>59 / 86400</f>
        <v>6.8287037037037036E-4</v>
      </c>
      <c r="I1245" t="s">
        <v>144</v>
      </c>
      <c r="J1245" t="s">
        <v>439</v>
      </c>
      <c r="K1245" s="5">
        <f>342 / 86400</f>
        <v>3.9583333333333337E-3</v>
      </c>
      <c r="L1245" s="5">
        <f>919 / 86400</f>
        <v>1.0636574074074074E-2</v>
      </c>
    </row>
    <row r="1246" spans="1:12" x14ac:dyDescent="0.25">
      <c r="A1246" s="3">
        <v>45712.362534722226</v>
      </c>
      <c r="B1246" t="s">
        <v>90</v>
      </c>
      <c r="C1246" s="3">
        <v>45712.371099537035</v>
      </c>
      <c r="D1246" t="s">
        <v>440</v>
      </c>
      <c r="E1246" s="4">
        <v>18.100000000000001</v>
      </c>
      <c r="F1246" s="4">
        <v>3089.5250000000001</v>
      </c>
      <c r="G1246" s="4">
        <v>3107.625</v>
      </c>
      <c r="H1246" s="5">
        <f>100 / 86400</f>
        <v>1.1574074074074073E-3</v>
      </c>
      <c r="I1246" t="s">
        <v>180</v>
      </c>
      <c r="J1246" t="s">
        <v>89</v>
      </c>
      <c r="K1246" s="5">
        <f>740 / 86400</f>
        <v>8.564814814814815E-3</v>
      </c>
      <c r="L1246" s="5">
        <f>3592 / 86400</f>
        <v>4.1574074074074076E-2</v>
      </c>
    </row>
    <row r="1247" spans="1:12" x14ac:dyDescent="0.25">
      <c r="A1247" s="3">
        <v>45712.412673611107</v>
      </c>
      <c r="B1247" t="s">
        <v>440</v>
      </c>
      <c r="C1247" s="3">
        <v>45712.412835648152</v>
      </c>
      <c r="D1247" t="s">
        <v>440</v>
      </c>
      <c r="E1247" s="4">
        <v>0</v>
      </c>
      <c r="F1247" s="4">
        <v>3107.625</v>
      </c>
      <c r="G1247" s="4">
        <v>3107.625</v>
      </c>
      <c r="H1247" s="5">
        <f>0 / 86400</f>
        <v>0</v>
      </c>
      <c r="I1247" t="s">
        <v>24</v>
      </c>
      <c r="J1247" t="s">
        <v>24</v>
      </c>
      <c r="K1247" s="5">
        <f>13 / 86400</f>
        <v>1.5046296296296297E-4</v>
      </c>
      <c r="L1247" s="5">
        <f>13754 / 86400</f>
        <v>0.15918981481481481</v>
      </c>
    </row>
    <row r="1248" spans="1:12" x14ac:dyDescent="0.25">
      <c r="A1248" s="3">
        <v>45712.572025462963</v>
      </c>
      <c r="B1248" t="s">
        <v>440</v>
      </c>
      <c r="C1248" s="3">
        <v>45712.574259259258</v>
      </c>
      <c r="D1248" t="s">
        <v>440</v>
      </c>
      <c r="E1248" s="4">
        <v>0</v>
      </c>
      <c r="F1248" s="4">
        <v>3107.625</v>
      </c>
      <c r="G1248" s="4">
        <v>3107.625</v>
      </c>
      <c r="H1248" s="5">
        <f>179 / 86400</f>
        <v>2.0717592592592593E-3</v>
      </c>
      <c r="I1248" t="s">
        <v>24</v>
      </c>
      <c r="J1248" t="s">
        <v>24</v>
      </c>
      <c r="K1248" s="5">
        <f>192 / 86400</f>
        <v>2.2222222222222222E-3</v>
      </c>
      <c r="L1248" s="5">
        <f>2 / 86400</f>
        <v>2.3148148148148147E-5</v>
      </c>
    </row>
    <row r="1249" spans="1:12" x14ac:dyDescent="0.25">
      <c r="A1249" s="3">
        <v>45712.574282407411</v>
      </c>
      <c r="B1249" t="s">
        <v>440</v>
      </c>
      <c r="C1249" s="3">
        <v>45712.574293981481</v>
      </c>
      <c r="D1249" t="s">
        <v>440</v>
      </c>
      <c r="E1249" s="4">
        <v>0</v>
      </c>
      <c r="F1249" s="4">
        <v>3107.625</v>
      </c>
      <c r="G1249" s="4">
        <v>3107.625</v>
      </c>
      <c r="H1249" s="5">
        <f>0 / 86400</f>
        <v>0</v>
      </c>
      <c r="I1249" t="s">
        <v>24</v>
      </c>
      <c r="J1249" t="s">
        <v>24</v>
      </c>
      <c r="K1249" s="5">
        <f>1 / 86400</f>
        <v>1.1574074074074073E-5</v>
      </c>
      <c r="L1249" s="5">
        <f>95 / 86400</f>
        <v>1.0995370370370371E-3</v>
      </c>
    </row>
    <row r="1250" spans="1:12" x14ac:dyDescent="0.25">
      <c r="A1250" s="3">
        <v>45712.57539351852</v>
      </c>
      <c r="B1250" t="s">
        <v>440</v>
      </c>
      <c r="C1250" s="3">
        <v>45712.656875000001</v>
      </c>
      <c r="D1250" t="s">
        <v>440</v>
      </c>
      <c r="E1250" s="4">
        <v>0</v>
      </c>
      <c r="F1250" s="4">
        <v>3107.625</v>
      </c>
      <c r="G1250" s="4">
        <v>3107.625</v>
      </c>
      <c r="H1250" s="5">
        <f>7019 / 86400</f>
        <v>8.1238425925925922E-2</v>
      </c>
      <c r="I1250" t="s">
        <v>24</v>
      </c>
      <c r="J1250" t="s">
        <v>24</v>
      </c>
      <c r="K1250" s="5">
        <f>7040 / 86400</f>
        <v>8.1481481481481488E-2</v>
      </c>
      <c r="L1250" s="5">
        <f>179 / 86400</f>
        <v>2.0717592592592593E-3</v>
      </c>
    </row>
    <row r="1251" spans="1:12" x14ac:dyDescent="0.25">
      <c r="A1251" s="3">
        <v>45712.658946759257</v>
      </c>
      <c r="B1251" t="s">
        <v>440</v>
      </c>
      <c r="C1251" s="3">
        <v>45712.673206018517</v>
      </c>
      <c r="D1251" t="s">
        <v>370</v>
      </c>
      <c r="E1251" s="4">
        <v>27.774999999999999</v>
      </c>
      <c r="F1251" s="4">
        <v>3107.625</v>
      </c>
      <c r="G1251" s="4">
        <v>3135.4</v>
      </c>
      <c r="H1251" s="5">
        <f>339 / 86400</f>
        <v>3.9236111111111112E-3</v>
      </c>
      <c r="I1251" t="s">
        <v>104</v>
      </c>
      <c r="J1251" t="s">
        <v>75</v>
      </c>
      <c r="K1251" s="5">
        <f>1232 / 86400</f>
        <v>1.425925925925926E-2</v>
      </c>
      <c r="L1251" s="5">
        <f>3088 / 86400</f>
        <v>3.574074074074074E-2</v>
      </c>
    </row>
    <row r="1252" spans="1:12" x14ac:dyDescent="0.25">
      <c r="A1252" s="3">
        <v>45712.70894675926</v>
      </c>
      <c r="B1252" t="s">
        <v>370</v>
      </c>
      <c r="C1252" s="3">
        <v>45712.772893518515</v>
      </c>
      <c r="D1252" t="s">
        <v>138</v>
      </c>
      <c r="E1252" s="4">
        <v>120.99</v>
      </c>
      <c r="F1252" s="4">
        <v>3135.4</v>
      </c>
      <c r="G1252" s="4">
        <v>3256.39</v>
      </c>
      <c r="H1252" s="5">
        <f>1899 / 86400</f>
        <v>2.1979166666666668E-2</v>
      </c>
      <c r="I1252" t="s">
        <v>271</v>
      </c>
      <c r="J1252" t="s">
        <v>58</v>
      </c>
      <c r="K1252" s="5">
        <f>5525 / 86400</f>
        <v>6.3946759259259259E-2</v>
      </c>
      <c r="L1252" s="5">
        <f>640 / 86400</f>
        <v>7.4074074074074077E-3</v>
      </c>
    </row>
    <row r="1253" spans="1:12" x14ac:dyDescent="0.25">
      <c r="A1253" s="3">
        <v>45712.780300925922</v>
      </c>
      <c r="B1253" t="s">
        <v>138</v>
      </c>
      <c r="C1253" s="3">
        <v>45712.96503472222</v>
      </c>
      <c r="D1253" t="s">
        <v>368</v>
      </c>
      <c r="E1253" s="4">
        <v>392.66500000000048</v>
      </c>
      <c r="F1253" s="4">
        <v>3256.39</v>
      </c>
      <c r="G1253" s="4">
        <v>3649.0550000000003</v>
      </c>
      <c r="H1253" s="5">
        <f>4497 / 86400</f>
        <v>5.2048611111111108E-2</v>
      </c>
      <c r="I1253" t="s">
        <v>271</v>
      </c>
      <c r="J1253" t="s">
        <v>26</v>
      </c>
      <c r="K1253" s="5">
        <f>15960 / 86400</f>
        <v>0.18472222222222223</v>
      </c>
      <c r="L1253" s="5">
        <f>452 / 86400</f>
        <v>5.2314814814814811E-3</v>
      </c>
    </row>
    <row r="1254" spans="1:12" x14ac:dyDescent="0.25">
      <c r="A1254" s="3">
        <v>45712.970266203702</v>
      </c>
      <c r="B1254" t="s">
        <v>368</v>
      </c>
      <c r="C1254" s="3">
        <v>45712.972164351857</v>
      </c>
      <c r="D1254" t="s">
        <v>27</v>
      </c>
      <c r="E1254" s="4">
        <v>1.9649999999995342</v>
      </c>
      <c r="F1254" s="4">
        <v>3649.0550000000003</v>
      </c>
      <c r="G1254" s="4">
        <v>3651.02</v>
      </c>
      <c r="H1254" s="5">
        <f>0 / 86400</f>
        <v>0</v>
      </c>
      <c r="I1254" t="s">
        <v>48</v>
      </c>
      <c r="J1254" t="s">
        <v>189</v>
      </c>
      <c r="K1254" s="5">
        <f>163 / 86400</f>
        <v>1.8865740740740742E-3</v>
      </c>
      <c r="L1254" s="5">
        <f>1746 / 86400</f>
        <v>2.0208333333333332E-2</v>
      </c>
    </row>
    <row r="1255" spans="1:12" x14ac:dyDescent="0.25">
      <c r="A1255" s="3">
        <v>45712.992372685185</v>
      </c>
      <c r="B1255" t="s">
        <v>27</v>
      </c>
      <c r="C1255" s="3">
        <v>45712.996469907404</v>
      </c>
      <c r="D1255" t="s">
        <v>121</v>
      </c>
      <c r="E1255" s="4">
        <v>0.28500000000046566</v>
      </c>
      <c r="F1255" s="4">
        <v>3651.02</v>
      </c>
      <c r="G1255" s="4">
        <v>3651.3050000000003</v>
      </c>
      <c r="H1255" s="5">
        <f>319 / 86400</f>
        <v>3.6921296296296298E-3</v>
      </c>
      <c r="I1255" t="s">
        <v>32</v>
      </c>
      <c r="J1255" t="s">
        <v>95</v>
      </c>
      <c r="K1255" s="5">
        <f>354 / 86400</f>
        <v>4.0972222222222226E-3</v>
      </c>
      <c r="L1255" s="5">
        <f>304 / 86400</f>
        <v>3.5185185185185185E-3</v>
      </c>
    </row>
    <row r="1256" spans="1:12" x14ac:dyDescent="0.25">
      <c r="A1256" s="12"/>
      <c r="B1256" s="12"/>
      <c r="C1256" s="12"/>
      <c r="D1256" s="12"/>
      <c r="E1256" s="12"/>
      <c r="F1256" s="12"/>
      <c r="G1256" s="12"/>
      <c r="H1256" s="12"/>
      <c r="I1256" s="12"/>
      <c r="J1256" s="12"/>
    </row>
    <row r="1257" spans="1:12" x14ac:dyDescent="0.25">
      <c r="A1257" s="12"/>
      <c r="B1257" s="12"/>
      <c r="C1257" s="12"/>
      <c r="D1257" s="12"/>
      <c r="E1257" s="12"/>
      <c r="F1257" s="12"/>
      <c r="G1257" s="12"/>
      <c r="H1257" s="12"/>
      <c r="I1257" s="12"/>
      <c r="J1257" s="12"/>
    </row>
    <row r="1258" spans="1:12" s="10" customFormat="1" ht="20.100000000000001" customHeight="1" x14ac:dyDescent="0.35">
      <c r="A1258" s="15" t="s">
        <v>499</v>
      </c>
      <c r="B1258" s="15"/>
      <c r="C1258" s="15"/>
      <c r="D1258" s="15"/>
      <c r="E1258" s="15"/>
      <c r="F1258" s="15"/>
      <c r="G1258" s="15"/>
      <c r="H1258" s="15"/>
      <c r="I1258" s="15"/>
      <c r="J1258" s="15"/>
    </row>
    <row r="1259" spans="1:12" x14ac:dyDescent="0.25">
      <c r="A1259" s="12"/>
      <c r="B1259" s="12"/>
      <c r="C1259" s="12"/>
      <c r="D1259" s="12"/>
      <c r="E1259" s="12"/>
      <c r="F1259" s="12"/>
      <c r="G1259" s="12"/>
      <c r="H1259" s="12"/>
      <c r="I1259" s="12"/>
      <c r="J1259" s="12"/>
    </row>
    <row r="1260" spans="1:12" ht="30" x14ac:dyDescent="0.25">
      <c r="A1260" s="2" t="s">
        <v>6</v>
      </c>
      <c r="B1260" s="2" t="s">
        <v>7</v>
      </c>
      <c r="C1260" s="2" t="s">
        <v>8</v>
      </c>
      <c r="D1260" s="2" t="s">
        <v>9</v>
      </c>
      <c r="E1260" s="2" t="s">
        <v>10</v>
      </c>
      <c r="F1260" s="2" t="s">
        <v>11</v>
      </c>
      <c r="G1260" s="2" t="s">
        <v>12</v>
      </c>
      <c r="H1260" s="2" t="s">
        <v>13</v>
      </c>
      <c r="I1260" s="2" t="s">
        <v>14</v>
      </c>
      <c r="J1260" s="2" t="s">
        <v>15</v>
      </c>
      <c r="K1260" s="2" t="s">
        <v>16</v>
      </c>
      <c r="L1260" s="2" t="s">
        <v>17</v>
      </c>
    </row>
    <row r="1261" spans="1:12" x14ac:dyDescent="0.25">
      <c r="A1261" s="3">
        <v>45712</v>
      </c>
      <c r="B1261" t="s">
        <v>123</v>
      </c>
      <c r="C1261" s="3">
        <v>45712.028726851851</v>
      </c>
      <c r="D1261" t="s">
        <v>393</v>
      </c>
      <c r="E1261" s="4">
        <v>20.867999999999999</v>
      </c>
      <c r="F1261" s="4">
        <v>62461.288999999997</v>
      </c>
      <c r="G1261" s="4">
        <v>62482.156999999999</v>
      </c>
      <c r="H1261" s="5">
        <f>280 / 86400</f>
        <v>3.2407407407407406E-3</v>
      </c>
      <c r="I1261" t="s">
        <v>185</v>
      </c>
      <c r="J1261" t="s">
        <v>178</v>
      </c>
      <c r="K1261" s="5">
        <f>2482 / 86400</f>
        <v>2.8726851851851851E-2</v>
      </c>
      <c r="L1261" s="5">
        <f>441 / 86400</f>
        <v>5.1041666666666666E-3</v>
      </c>
    </row>
    <row r="1262" spans="1:12" x14ac:dyDescent="0.25">
      <c r="A1262" s="3">
        <v>45712.033831018518</v>
      </c>
      <c r="B1262" t="s">
        <v>393</v>
      </c>
      <c r="C1262" s="3">
        <v>45712.034004629633</v>
      </c>
      <c r="D1262" t="s">
        <v>393</v>
      </c>
      <c r="E1262" s="4">
        <v>8.0000000000000002E-3</v>
      </c>
      <c r="F1262" s="4">
        <v>62482.156999999999</v>
      </c>
      <c r="G1262" s="4">
        <v>62482.165000000001</v>
      </c>
      <c r="H1262" s="5">
        <f>0 / 86400</f>
        <v>0</v>
      </c>
      <c r="I1262" t="s">
        <v>57</v>
      </c>
      <c r="J1262" t="s">
        <v>150</v>
      </c>
      <c r="K1262" s="5">
        <f>15 / 86400</f>
        <v>1.7361111111111112E-4</v>
      </c>
      <c r="L1262" s="5">
        <f>683 / 86400</f>
        <v>7.905092592592592E-3</v>
      </c>
    </row>
    <row r="1263" spans="1:12" x14ac:dyDescent="0.25">
      <c r="A1263" s="3">
        <v>45712.041909722218</v>
      </c>
      <c r="B1263" t="s">
        <v>393</v>
      </c>
      <c r="C1263" s="3">
        <v>45712.044085648144</v>
      </c>
      <c r="D1263" t="s">
        <v>411</v>
      </c>
      <c r="E1263" s="4">
        <v>0.27700000000000002</v>
      </c>
      <c r="F1263" s="4">
        <v>62482.165000000001</v>
      </c>
      <c r="G1263" s="4">
        <v>62482.442000000003</v>
      </c>
      <c r="H1263" s="5">
        <f>60 / 86400</f>
        <v>6.9444444444444447E-4</v>
      </c>
      <c r="I1263" t="s">
        <v>137</v>
      </c>
      <c r="J1263" t="s">
        <v>57</v>
      </c>
      <c r="K1263" s="5">
        <f>187 / 86400</f>
        <v>2.1643518518518518E-3</v>
      </c>
      <c r="L1263" s="5">
        <f>141 / 86400</f>
        <v>1.6319444444444445E-3</v>
      </c>
    </row>
    <row r="1264" spans="1:12" x14ac:dyDescent="0.25">
      <c r="A1264" s="3">
        <v>45712.045717592591</v>
      </c>
      <c r="B1264" t="s">
        <v>411</v>
      </c>
      <c r="C1264" s="3">
        <v>45712.047523148147</v>
      </c>
      <c r="D1264" t="s">
        <v>411</v>
      </c>
      <c r="E1264" s="4">
        <v>5.7000000000000002E-2</v>
      </c>
      <c r="F1264" s="4">
        <v>62482.442000000003</v>
      </c>
      <c r="G1264" s="4">
        <v>62482.499000000003</v>
      </c>
      <c r="H1264" s="5">
        <f>100 / 86400</f>
        <v>1.1574074074074073E-3</v>
      </c>
      <c r="I1264" t="s">
        <v>92</v>
      </c>
      <c r="J1264" t="s">
        <v>143</v>
      </c>
      <c r="K1264" s="5">
        <f>156 / 86400</f>
        <v>1.8055555555555555E-3</v>
      </c>
      <c r="L1264" s="5">
        <f>12405 / 86400</f>
        <v>0.14357638888888888</v>
      </c>
    </row>
    <row r="1265" spans="1:12" x14ac:dyDescent="0.25">
      <c r="A1265" s="3">
        <v>45712.191099537042</v>
      </c>
      <c r="B1265" t="s">
        <v>411</v>
      </c>
      <c r="C1265" s="3">
        <v>45712.195555555554</v>
      </c>
      <c r="D1265" t="s">
        <v>114</v>
      </c>
      <c r="E1265" s="4">
        <v>0.42199999999999999</v>
      </c>
      <c r="F1265" s="4">
        <v>62482.499000000003</v>
      </c>
      <c r="G1265" s="4">
        <v>62482.921000000002</v>
      </c>
      <c r="H1265" s="5">
        <f>159 / 86400</f>
        <v>1.8402777777777777E-3</v>
      </c>
      <c r="I1265" t="s">
        <v>164</v>
      </c>
      <c r="J1265" t="s">
        <v>129</v>
      </c>
      <c r="K1265" s="5">
        <f>385 / 86400</f>
        <v>4.4560185185185189E-3</v>
      </c>
      <c r="L1265" s="5">
        <f>115 / 86400</f>
        <v>1.3310185185185185E-3</v>
      </c>
    </row>
    <row r="1266" spans="1:12" x14ac:dyDescent="0.25">
      <c r="A1266" s="3">
        <v>45712.196886574078</v>
      </c>
      <c r="B1266" t="s">
        <v>114</v>
      </c>
      <c r="C1266" s="3">
        <v>45712.206053240741</v>
      </c>
      <c r="D1266" t="s">
        <v>22</v>
      </c>
      <c r="E1266" s="4">
        <v>3.8250000000000002</v>
      </c>
      <c r="F1266" s="4">
        <v>62482.921000000002</v>
      </c>
      <c r="G1266" s="4">
        <v>62486.745999999999</v>
      </c>
      <c r="H1266" s="5">
        <f>221 / 86400</f>
        <v>2.5578703703703705E-3</v>
      </c>
      <c r="I1266" t="s">
        <v>50</v>
      </c>
      <c r="J1266" t="s">
        <v>30</v>
      </c>
      <c r="K1266" s="5">
        <f>792 / 86400</f>
        <v>9.1666666666666667E-3</v>
      </c>
      <c r="L1266" s="5">
        <f>24 / 86400</f>
        <v>2.7777777777777778E-4</v>
      </c>
    </row>
    <row r="1267" spans="1:12" x14ac:dyDescent="0.25">
      <c r="A1267" s="3">
        <v>45712.206331018519</v>
      </c>
      <c r="B1267" t="s">
        <v>22</v>
      </c>
      <c r="C1267" s="3">
        <v>45712.294432870374</v>
      </c>
      <c r="D1267" t="s">
        <v>236</v>
      </c>
      <c r="E1267" s="4">
        <v>48.911000000000001</v>
      </c>
      <c r="F1267" s="4">
        <v>62486.745999999999</v>
      </c>
      <c r="G1267" s="4">
        <v>62535.656999999999</v>
      </c>
      <c r="H1267" s="5">
        <f>1280 / 86400</f>
        <v>1.4814814814814815E-2</v>
      </c>
      <c r="I1267" t="s">
        <v>86</v>
      </c>
      <c r="J1267" t="s">
        <v>139</v>
      </c>
      <c r="K1267" s="5">
        <f>7611 / 86400</f>
        <v>8.8090277777777781E-2</v>
      </c>
      <c r="L1267" s="5">
        <f>118 / 86400</f>
        <v>1.3657407407407407E-3</v>
      </c>
    </row>
    <row r="1268" spans="1:12" x14ac:dyDescent="0.25">
      <c r="A1268" s="3">
        <v>45712.295798611114</v>
      </c>
      <c r="B1268" t="s">
        <v>236</v>
      </c>
      <c r="C1268" s="3">
        <v>45712.446053240739</v>
      </c>
      <c r="D1268" t="s">
        <v>236</v>
      </c>
      <c r="E1268" s="4">
        <v>55.683999999999997</v>
      </c>
      <c r="F1268" s="4">
        <v>62535.656999999999</v>
      </c>
      <c r="G1268" s="4">
        <v>62591.341</v>
      </c>
      <c r="H1268" s="5">
        <f>4180 / 86400</f>
        <v>4.8379629629629627E-2</v>
      </c>
      <c r="I1268" t="s">
        <v>38</v>
      </c>
      <c r="J1268" t="s">
        <v>59</v>
      </c>
      <c r="K1268" s="5">
        <f>12981 / 86400</f>
        <v>0.15024305555555556</v>
      </c>
      <c r="L1268" s="5">
        <f>115 / 86400</f>
        <v>1.3310185185185185E-3</v>
      </c>
    </row>
    <row r="1269" spans="1:12" x14ac:dyDescent="0.25">
      <c r="A1269" s="3">
        <v>45712.447384259256</v>
      </c>
      <c r="B1269" t="s">
        <v>236</v>
      </c>
      <c r="C1269" s="3">
        <v>45712.536203703705</v>
      </c>
      <c r="D1269" t="s">
        <v>278</v>
      </c>
      <c r="E1269" s="4">
        <v>29.803999999999998</v>
      </c>
      <c r="F1269" s="4">
        <v>62591.341</v>
      </c>
      <c r="G1269" s="4">
        <v>62621.144999999997</v>
      </c>
      <c r="H1269" s="5">
        <f>2780 / 86400</f>
        <v>3.2175925925925927E-2</v>
      </c>
      <c r="I1269" t="s">
        <v>268</v>
      </c>
      <c r="J1269" t="s">
        <v>48</v>
      </c>
      <c r="K1269" s="5">
        <f>7674 / 86400</f>
        <v>8.8819444444444451E-2</v>
      </c>
      <c r="L1269" s="5">
        <f>59 / 86400</f>
        <v>6.8287037037037036E-4</v>
      </c>
    </row>
    <row r="1270" spans="1:12" x14ac:dyDescent="0.25">
      <c r="A1270" s="3">
        <v>45712.536886574075</v>
      </c>
      <c r="B1270" t="s">
        <v>278</v>
      </c>
      <c r="C1270" s="3">
        <v>45712.575520833328</v>
      </c>
      <c r="D1270" t="s">
        <v>114</v>
      </c>
      <c r="E1270" s="4">
        <v>21.885000000000002</v>
      </c>
      <c r="F1270" s="4">
        <v>62621.144999999997</v>
      </c>
      <c r="G1270" s="4">
        <v>62643.03</v>
      </c>
      <c r="H1270" s="5">
        <f>620 / 86400</f>
        <v>7.1759259259259259E-3</v>
      </c>
      <c r="I1270" t="s">
        <v>23</v>
      </c>
      <c r="J1270" t="s">
        <v>182</v>
      </c>
      <c r="K1270" s="5">
        <f>3337 / 86400</f>
        <v>3.8622685185185184E-2</v>
      </c>
      <c r="L1270" s="5">
        <f>260 / 86400</f>
        <v>3.0092592592592593E-3</v>
      </c>
    </row>
    <row r="1271" spans="1:12" x14ac:dyDescent="0.25">
      <c r="A1271" s="3">
        <v>45712.578530092593</v>
      </c>
      <c r="B1271" t="s">
        <v>114</v>
      </c>
      <c r="C1271" s="3">
        <v>45712.578750000001</v>
      </c>
      <c r="D1271" t="s">
        <v>114</v>
      </c>
      <c r="E1271" s="4">
        <v>2.8000000000000001E-2</v>
      </c>
      <c r="F1271" s="4">
        <v>62643.03</v>
      </c>
      <c r="G1271" s="4">
        <v>62643.057999999997</v>
      </c>
      <c r="H1271" s="5">
        <f>0 / 86400</f>
        <v>0</v>
      </c>
      <c r="I1271" t="s">
        <v>42</v>
      </c>
      <c r="J1271" t="s">
        <v>57</v>
      </c>
      <c r="K1271" s="5">
        <f>19 / 86400</f>
        <v>2.199074074074074E-4</v>
      </c>
      <c r="L1271" s="5">
        <f>64 / 86400</f>
        <v>7.407407407407407E-4</v>
      </c>
    </row>
    <row r="1272" spans="1:12" x14ac:dyDescent="0.25">
      <c r="A1272" s="3">
        <v>45712.57949074074</v>
      </c>
      <c r="B1272" t="s">
        <v>114</v>
      </c>
      <c r="C1272" s="3">
        <v>45712.588252314818</v>
      </c>
      <c r="D1272" t="s">
        <v>374</v>
      </c>
      <c r="E1272" s="4">
        <v>1.796</v>
      </c>
      <c r="F1272" s="4">
        <v>62643.057999999997</v>
      </c>
      <c r="G1272" s="4">
        <v>62644.853999999999</v>
      </c>
      <c r="H1272" s="5">
        <f>200 / 86400</f>
        <v>2.3148148148148147E-3</v>
      </c>
      <c r="I1272" t="s">
        <v>134</v>
      </c>
      <c r="J1272" t="s">
        <v>135</v>
      </c>
      <c r="K1272" s="5">
        <f>757 / 86400</f>
        <v>8.7615740740740744E-3</v>
      </c>
      <c r="L1272" s="5">
        <f>1990 / 86400</f>
        <v>2.3032407407407408E-2</v>
      </c>
    </row>
    <row r="1273" spans="1:12" x14ac:dyDescent="0.25">
      <c r="A1273" s="3">
        <v>45712.611284722225</v>
      </c>
      <c r="B1273" t="s">
        <v>374</v>
      </c>
      <c r="C1273" s="3">
        <v>45712.613344907411</v>
      </c>
      <c r="D1273" t="s">
        <v>68</v>
      </c>
      <c r="E1273" s="4">
        <v>0.69499999999999995</v>
      </c>
      <c r="F1273" s="4">
        <v>62644.853999999999</v>
      </c>
      <c r="G1273" s="4">
        <v>62645.548999999999</v>
      </c>
      <c r="H1273" s="5">
        <f>0 / 86400</f>
        <v>0</v>
      </c>
      <c r="I1273" t="s">
        <v>182</v>
      </c>
      <c r="J1273" t="s">
        <v>48</v>
      </c>
      <c r="K1273" s="5">
        <f>177 / 86400</f>
        <v>2.0486111111111113E-3</v>
      </c>
      <c r="L1273" s="5">
        <f>312 / 86400</f>
        <v>3.6111111111111109E-3</v>
      </c>
    </row>
    <row r="1274" spans="1:12" x14ac:dyDescent="0.25">
      <c r="A1274" s="3">
        <v>45712.616956018523</v>
      </c>
      <c r="B1274" t="s">
        <v>68</v>
      </c>
      <c r="C1274" s="3">
        <v>45712.617210648154</v>
      </c>
      <c r="D1274" t="s">
        <v>68</v>
      </c>
      <c r="E1274" s="4">
        <v>8.0000000000000002E-3</v>
      </c>
      <c r="F1274" s="4">
        <v>62645.548999999999</v>
      </c>
      <c r="G1274" s="4">
        <v>62645.557000000001</v>
      </c>
      <c r="H1274" s="5">
        <f>0 / 86400</f>
        <v>0</v>
      </c>
      <c r="I1274" t="s">
        <v>150</v>
      </c>
      <c r="J1274" t="s">
        <v>143</v>
      </c>
      <c r="K1274" s="5">
        <f>21 / 86400</f>
        <v>2.4305555555555555E-4</v>
      </c>
      <c r="L1274" s="5">
        <f>165 / 86400</f>
        <v>1.9097222222222222E-3</v>
      </c>
    </row>
    <row r="1275" spans="1:12" x14ac:dyDescent="0.25">
      <c r="A1275" s="3">
        <v>45712.619120370371</v>
      </c>
      <c r="B1275" t="s">
        <v>68</v>
      </c>
      <c r="C1275" s="3">
        <v>45712.621840277774</v>
      </c>
      <c r="D1275" t="s">
        <v>411</v>
      </c>
      <c r="E1275" s="4">
        <v>0.25600000000000001</v>
      </c>
      <c r="F1275" s="4">
        <v>62645.557000000001</v>
      </c>
      <c r="G1275" s="4">
        <v>62645.813000000002</v>
      </c>
      <c r="H1275" s="5">
        <f>60 / 86400</f>
        <v>6.9444444444444447E-4</v>
      </c>
      <c r="I1275" t="s">
        <v>145</v>
      </c>
      <c r="J1275" t="s">
        <v>129</v>
      </c>
      <c r="K1275" s="5">
        <f>235 / 86400</f>
        <v>2.7199074074074074E-3</v>
      </c>
      <c r="L1275" s="5">
        <f>6970 / 86400</f>
        <v>8.0671296296296297E-2</v>
      </c>
    </row>
    <row r="1276" spans="1:12" x14ac:dyDescent="0.25">
      <c r="A1276" s="3">
        <v>45712.702511574069</v>
      </c>
      <c r="B1276" t="s">
        <v>411</v>
      </c>
      <c r="C1276" s="3">
        <v>45712.708657407406</v>
      </c>
      <c r="D1276" t="s">
        <v>125</v>
      </c>
      <c r="E1276" s="4">
        <v>1.7330000000000001</v>
      </c>
      <c r="F1276" s="4">
        <v>62645.813000000002</v>
      </c>
      <c r="G1276" s="4">
        <v>62647.546000000002</v>
      </c>
      <c r="H1276" s="5">
        <f>99 / 86400</f>
        <v>1.1458333333333333E-3</v>
      </c>
      <c r="I1276" t="s">
        <v>218</v>
      </c>
      <c r="J1276" t="s">
        <v>145</v>
      </c>
      <c r="K1276" s="5">
        <f>531 / 86400</f>
        <v>6.145833333333333E-3</v>
      </c>
      <c r="L1276" s="5">
        <f>2204 / 86400</f>
        <v>2.5509259259259259E-2</v>
      </c>
    </row>
    <row r="1277" spans="1:12" x14ac:dyDescent="0.25">
      <c r="A1277" s="3">
        <v>45712.734166666662</v>
      </c>
      <c r="B1277" t="s">
        <v>125</v>
      </c>
      <c r="C1277" s="3">
        <v>45712.843495370369</v>
      </c>
      <c r="D1277" t="s">
        <v>215</v>
      </c>
      <c r="E1277" s="4">
        <v>44.439</v>
      </c>
      <c r="F1277" s="4">
        <v>62647.546000000002</v>
      </c>
      <c r="G1277" s="4">
        <v>62691.985000000001</v>
      </c>
      <c r="H1277" s="5">
        <f>3040 / 86400</f>
        <v>3.5185185185185187E-2</v>
      </c>
      <c r="I1277" t="s">
        <v>124</v>
      </c>
      <c r="J1277" t="s">
        <v>30</v>
      </c>
      <c r="K1277" s="5">
        <f>9446 / 86400</f>
        <v>0.10932870370370371</v>
      </c>
      <c r="L1277" s="5">
        <f>128 / 86400</f>
        <v>1.4814814814814814E-3</v>
      </c>
    </row>
    <row r="1278" spans="1:12" x14ac:dyDescent="0.25">
      <c r="A1278" s="3">
        <v>45712.844976851848</v>
      </c>
      <c r="B1278" t="s">
        <v>215</v>
      </c>
      <c r="C1278" s="3">
        <v>45712.937326388885</v>
      </c>
      <c r="D1278" t="s">
        <v>441</v>
      </c>
      <c r="E1278" s="4">
        <v>35.122</v>
      </c>
      <c r="F1278" s="4">
        <v>62691.985000000001</v>
      </c>
      <c r="G1278" s="4">
        <v>62727.107000000004</v>
      </c>
      <c r="H1278" s="5">
        <f>3179 / 86400</f>
        <v>3.6793981481481483E-2</v>
      </c>
      <c r="I1278" t="s">
        <v>35</v>
      </c>
      <c r="J1278" t="s">
        <v>34</v>
      </c>
      <c r="K1278" s="5">
        <f>7979 / 86400</f>
        <v>9.2349537037037036E-2</v>
      </c>
      <c r="L1278" s="5">
        <f>258 / 86400</f>
        <v>2.9861111111111113E-3</v>
      </c>
    </row>
    <row r="1279" spans="1:12" x14ac:dyDescent="0.25">
      <c r="A1279" s="3">
        <v>45712.940312499995</v>
      </c>
      <c r="B1279" t="s">
        <v>441</v>
      </c>
      <c r="C1279" s="3">
        <v>45712.940462962964</v>
      </c>
      <c r="D1279" t="s">
        <v>76</v>
      </c>
      <c r="E1279" s="4">
        <v>1.2E-2</v>
      </c>
      <c r="F1279" s="4">
        <v>62727.107000000004</v>
      </c>
      <c r="G1279" s="4">
        <v>62727.118999999999</v>
      </c>
      <c r="H1279" s="5">
        <f>0 / 86400</f>
        <v>0</v>
      </c>
      <c r="I1279" t="s">
        <v>57</v>
      </c>
      <c r="J1279" t="s">
        <v>129</v>
      </c>
      <c r="K1279" s="5">
        <f>12 / 86400</f>
        <v>1.3888888888888889E-4</v>
      </c>
      <c r="L1279" s="5">
        <f>294 / 86400</f>
        <v>3.4027777777777776E-3</v>
      </c>
    </row>
    <row r="1280" spans="1:12" x14ac:dyDescent="0.25">
      <c r="A1280" s="3">
        <v>45712.943865740745</v>
      </c>
      <c r="B1280" t="s">
        <v>76</v>
      </c>
      <c r="C1280" s="3">
        <v>45712.944016203706</v>
      </c>
      <c r="D1280" t="s">
        <v>76</v>
      </c>
      <c r="E1280" s="4">
        <v>4.0000000000000001E-3</v>
      </c>
      <c r="F1280" s="4">
        <v>62727.118999999999</v>
      </c>
      <c r="G1280" s="4">
        <v>62727.123</v>
      </c>
      <c r="H1280" s="5">
        <f>0 / 86400</f>
        <v>0</v>
      </c>
      <c r="I1280" t="s">
        <v>24</v>
      </c>
      <c r="J1280" t="s">
        <v>143</v>
      </c>
      <c r="K1280" s="5">
        <f>13 / 86400</f>
        <v>1.5046296296296297E-4</v>
      </c>
      <c r="L1280" s="5">
        <f>399 / 86400</f>
        <v>4.6180555555555558E-3</v>
      </c>
    </row>
    <row r="1281" spans="1:12" x14ac:dyDescent="0.25">
      <c r="A1281" s="3">
        <v>45712.948634259257</v>
      </c>
      <c r="B1281" t="s">
        <v>76</v>
      </c>
      <c r="C1281" s="3">
        <v>45712.948749999996</v>
      </c>
      <c r="D1281" t="s">
        <v>76</v>
      </c>
      <c r="E1281" s="4">
        <v>2E-3</v>
      </c>
      <c r="F1281" s="4">
        <v>62727.123</v>
      </c>
      <c r="G1281" s="4">
        <v>62727.125</v>
      </c>
      <c r="H1281" s="5">
        <f>0 / 86400</f>
        <v>0</v>
      </c>
      <c r="I1281" t="s">
        <v>24</v>
      </c>
      <c r="J1281" t="s">
        <v>143</v>
      </c>
      <c r="K1281" s="5">
        <f>9 / 86400</f>
        <v>1.0416666666666667E-4</v>
      </c>
      <c r="L1281" s="5">
        <f>41 / 86400</f>
        <v>4.7453703703703704E-4</v>
      </c>
    </row>
    <row r="1282" spans="1:12" x14ac:dyDescent="0.25">
      <c r="A1282" s="3">
        <v>45712.949224537035</v>
      </c>
      <c r="B1282" t="s">
        <v>76</v>
      </c>
      <c r="C1282" s="3">
        <v>45712.949374999997</v>
      </c>
      <c r="D1282" t="s">
        <v>76</v>
      </c>
      <c r="E1282" s="4">
        <v>2E-3</v>
      </c>
      <c r="F1282" s="4">
        <v>62727.125</v>
      </c>
      <c r="G1282" s="4">
        <v>62727.127</v>
      </c>
      <c r="H1282" s="5">
        <f>0 / 86400</f>
        <v>0</v>
      </c>
      <c r="I1282" t="s">
        <v>24</v>
      </c>
      <c r="J1282" t="s">
        <v>143</v>
      </c>
      <c r="K1282" s="5">
        <f>13 / 86400</f>
        <v>1.5046296296296297E-4</v>
      </c>
      <c r="L1282" s="5">
        <f>329 / 86400</f>
        <v>3.8078703703703703E-3</v>
      </c>
    </row>
    <row r="1283" spans="1:12" x14ac:dyDescent="0.25">
      <c r="A1283" s="3">
        <v>45712.953182870369</v>
      </c>
      <c r="B1283" t="s">
        <v>76</v>
      </c>
      <c r="C1283" s="3">
        <v>45712.99998842593</v>
      </c>
      <c r="D1283" t="s">
        <v>77</v>
      </c>
      <c r="E1283" s="4">
        <v>16.527000000000001</v>
      </c>
      <c r="F1283" s="4">
        <v>62727.127</v>
      </c>
      <c r="G1283" s="4">
        <v>62743.654000000002</v>
      </c>
      <c r="H1283" s="5">
        <f>1360 / 86400</f>
        <v>1.5740740740740739E-2</v>
      </c>
      <c r="I1283" t="s">
        <v>157</v>
      </c>
      <c r="J1283" t="s">
        <v>59</v>
      </c>
      <c r="K1283" s="5">
        <f>4044 / 86400</f>
        <v>4.6805555555555559E-2</v>
      </c>
      <c r="L1283" s="5">
        <f>0 / 86400</f>
        <v>0</v>
      </c>
    </row>
    <row r="1284" spans="1:12" x14ac:dyDescent="0.25">
      <c r="A1284" s="12"/>
      <c r="B1284" s="12"/>
      <c r="C1284" s="12"/>
      <c r="D1284" s="12"/>
      <c r="E1284" s="12"/>
      <c r="F1284" s="12"/>
      <c r="G1284" s="12"/>
      <c r="H1284" s="12"/>
      <c r="I1284" s="12"/>
      <c r="J1284" s="12"/>
    </row>
    <row r="1285" spans="1:12" x14ac:dyDescent="0.25">
      <c r="A1285" s="12"/>
      <c r="B1285" s="12"/>
      <c r="C1285" s="12"/>
      <c r="D1285" s="12"/>
      <c r="E1285" s="12"/>
      <c r="F1285" s="12"/>
      <c r="G1285" s="12"/>
      <c r="H1285" s="12"/>
      <c r="I1285" s="12"/>
      <c r="J1285" s="12"/>
    </row>
    <row r="1286" spans="1:12" s="10" customFormat="1" ht="20.100000000000001" customHeight="1" x14ac:dyDescent="0.35">
      <c r="A1286" s="15" t="s">
        <v>500</v>
      </c>
      <c r="B1286" s="15"/>
      <c r="C1286" s="15"/>
      <c r="D1286" s="15"/>
      <c r="E1286" s="15"/>
      <c r="F1286" s="15"/>
      <c r="G1286" s="15"/>
      <c r="H1286" s="15"/>
      <c r="I1286" s="15"/>
      <c r="J1286" s="15"/>
    </row>
    <row r="1287" spans="1:12" x14ac:dyDescent="0.25">
      <c r="A1287" s="12"/>
      <c r="B1287" s="12"/>
      <c r="C1287" s="12"/>
      <c r="D1287" s="12"/>
      <c r="E1287" s="12"/>
      <c r="F1287" s="12"/>
      <c r="G1287" s="12"/>
      <c r="H1287" s="12"/>
      <c r="I1287" s="12"/>
      <c r="J1287" s="12"/>
    </row>
    <row r="1288" spans="1:12" ht="30" x14ac:dyDescent="0.25">
      <c r="A1288" s="2" t="s">
        <v>6</v>
      </c>
      <c r="B1288" s="2" t="s">
        <v>7</v>
      </c>
      <c r="C1288" s="2" t="s">
        <v>8</v>
      </c>
      <c r="D1288" s="2" t="s">
        <v>9</v>
      </c>
      <c r="E1288" s="2" t="s">
        <v>10</v>
      </c>
      <c r="F1288" s="2" t="s">
        <v>11</v>
      </c>
      <c r="G1288" s="2" t="s">
        <v>12</v>
      </c>
      <c r="H1288" s="2" t="s">
        <v>13</v>
      </c>
      <c r="I1288" s="2" t="s">
        <v>14</v>
      </c>
      <c r="J1288" s="2" t="s">
        <v>15</v>
      </c>
      <c r="K1288" s="2" t="s">
        <v>16</v>
      </c>
      <c r="L1288" s="2" t="s">
        <v>17</v>
      </c>
    </row>
    <row r="1289" spans="1:12" x14ac:dyDescent="0.25">
      <c r="A1289" s="3">
        <v>45712.016770833332</v>
      </c>
      <c r="B1289" t="s">
        <v>102</v>
      </c>
      <c r="C1289" s="3">
        <v>45712.020995370374</v>
      </c>
      <c r="D1289" t="s">
        <v>125</v>
      </c>
      <c r="E1289" s="4">
        <v>1.5840000000074506</v>
      </c>
      <c r="F1289" s="4">
        <v>66163.460999999996</v>
      </c>
      <c r="G1289" s="4">
        <v>66165.044999999998</v>
      </c>
      <c r="H1289" s="5">
        <f>99 / 86400</f>
        <v>1.1458333333333333E-3</v>
      </c>
      <c r="I1289" t="s">
        <v>200</v>
      </c>
      <c r="J1289" t="s">
        <v>34</v>
      </c>
      <c r="K1289" s="5">
        <f>365 / 86400</f>
        <v>4.2245370370370371E-3</v>
      </c>
      <c r="L1289" s="5">
        <f>53360 / 86400</f>
        <v>0.61759259259259258</v>
      </c>
    </row>
    <row r="1290" spans="1:12" x14ac:dyDescent="0.25">
      <c r="A1290" s="3">
        <v>45712.621817129635</v>
      </c>
      <c r="B1290" t="s">
        <v>125</v>
      </c>
      <c r="C1290" s="3">
        <v>45712.62835648148</v>
      </c>
      <c r="D1290" t="s">
        <v>68</v>
      </c>
      <c r="E1290" s="4">
        <v>0.94799999999999995</v>
      </c>
      <c r="F1290" s="4">
        <v>66165.044999999998</v>
      </c>
      <c r="G1290" s="4">
        <v>66165.993000000002</v>
      </c>
      <c r="H1290" s="5">
        <f>319 / 86400</f>
        <v>3.6921296296296298E-3</v>
      </c>
      <c r="I1290" t="s">
        <v>184</v>
      </c>
      <c r="J1290" t="s">
        <v>32</v>
      </c>
      <c r="K1290" s="5">
        <f>565 / 86400</f>
        <v>6.5393518518518517E-3</v>
      </c>
      <c r="L1290" s="5">
        <f>204 / 86400</f>
        <v>2.3611111111111111E-3</v>
      </c>
    </row>
    <row r="1291" spans="1:12" x14ac:dyDescent="0.25">
      <c r="A1291" s="3">
        <v>45712.63071759259</v>
      </c>
      <c r="B1291" t="s">
        <v>68</v>
      </c>
      <c r="C1291" s="3">
        <v>45712.631215277783</v>
      </c>
      <c r="D1291" t="s">
        <v>68</v>
      </c>
      <c r="E1291" s="4">
        <v>0</v>
      </c>
      <c r="F1291" s="4">
        <v>66165.993000000002</v>
      </c>
      <c r="G1291" s="4">
        <v>66165.993000000002</v>
      </c>
      <c r="H1291" s="5">
        <f>39 / 86400</f>
        <v>4.5138888888888887E-4</v>
      </c>
      <c r="I1291" t="s">
        <v>143</v>
      </c>
      <c r="J1291" t="s">
        <v>24</v>
      </c>
      <c r="K1291" s="5">
        <f>43 / 86400</f>
        <v>4.9768518518518521E-4</v>
      </c>
      <c r="L1291" s="5">
        <f>44 / 86400</f>
        <v>5.0925925925925921E-4</v>
      </c>
    </row>
    <row r="1292" spans="1:12" x14ac:dyDescent="0.25">
      <c r="A1292" s="3">
        <v>45712.631724537037</v>
      </c>
      <c r="B1292" t="s">
        <v>68</v>
      </c>
      <c r="C1292" s="3">
        <v>45712.983171296291</v>
      </c>
      <c r="D1292" t="s">
        <v>102</v>
      </c>
      <c r="E1292" s="4">
        <v>156.73200000000745</v>
      </c>
      <c r="F1292" s="4">
        <v>66165.993000000002</v>
      </c>
      <c r="G1292" s="4">
        <v>66322.725000000006</v>
      </c>
      <c r="H1292" s="5">
        <f>11205 / 86400</f>
        <v>0.12968750000000001</v>
      </c>
      <c r="I1292" t="s">
        <v>117</v>
      </c>
      <c r="J1292" t="s">
        <v>137</v>
      </c>
      <c r="K1292" s="5">
        <f>30365 / 86400</f>
        <v>0.35144675925925928</v>
      </c>
      <c r="L1292" s="5">
        <f>932 / 86400</f>
        <v>1.0787037037037038E-2</v>
      </c>
    </row>
    <row r="1293" spans="1:12" x14ac:dyDescent="0.25">
      <c r="A1293" s="3">
        <v>45712.993958333333</v>
      </c>
      <c r="B1293" t="s">
        <v>102</v>
      </c>
      <c r="C1293" s="3">
        <v>45712.99998842593</v>
      </c>
      <c r="D1293" t="s">
        <v>93</v>
      </c>
      <c r="E1293" s="4">
        <v>1.6020000000000001</v>
      </c>
      <c r="F1293" s="4">
        <v>66322.725000000006</v>
      </c>
      <c r="G1293" s="4">
        <v>66324.327000000005</v>
      </c>
      <c r="H1293" s="5">
        <f>220 / 86400</f>
        <v>2.5462962962962965E-3</v>
      </c>
      <c r="I1293" t="s">
        <v>190</v>
      </c>
      <c r="J1293" t="s">
        <v>42</v>
      </c>
      <c r="K1293" s="5">
        <f>521 / 86400</f>
        <v>6.030092592592593E-3</v>
      </c>
      <c r="L1293" s="5">
        <f>0 / 86400</f>
        <v>0</v>
      </c>
    </row>
    <row r="1294" spans="1:12" x14ac:dyDescent="0.25">
      <c r="A1294" s="12"/>
      <c r="B1294" s="12"/>
      <c r="C1294" s="12"/>
      <c r="D1294" s="12"/>
      <c r="E1294" s="12"/>
      <c r="F1294" s="12"/>
      <c r="G1294" s="12"/>
      <c r="H1294" s="12"/>
      <c r="I1294" s="12"/>
      <c r="J1294" s="12"/>
    </row>
    <row r="1295" spans="1:12" x14ac:dyDescent="0.25">
      <c r="A1295" s="12"/>
      <c r="B1295" s="12"/>
      <c r="C1295" s="12"/>
      <c r="D1295" s="12"/>
      <c r="E1295" s="12"/>
      <c r="F1295" s="12"/>
      <c r="G1295" s="12"/>
      <c r="H1295" s="12"/>
      <c r="I1295" s="12"/>
      <c r="J1295" s="12"/>
    </row>
    <row r="1296" spans="1:12" s="10" customFormat="1" ht="20.100000000000001" customHeight="1" x14ac:dyDescent="0.35">
      <c r="A1296" s="15" t="s">
        <v>501</v>
      </c>
      <c r="B1296" s="15"/>
      <c r="C1296" s="15"/>
      <c r="D1296" s="15"/>
      <c r="E1296" s="15"/>
      <c r="F1296" s="15"/>
      <c r="G1296" s="15"/>
      <c r="H1296" s="15"/>
      <c r="I1296" s="15"/>
      <c r="J1296" s="15"/>
    </row>
    <row r="1297" spans="1:12" x14ac:dyDescent="0.25">
      <c r="A1297" s="12"/>
      <c r="B1297" s="12"/>
      <c r="C1297" s="12"/>
      <c r="D1297" s="12"/>
      <c r="E1297" s="12"/>
      <c r="F1297" s="12"/>
      <c r="G1297" s="12"/>
      <c r="H1297" s="12"/>
      <c r="I1297" s="12"/>
      <c r="J1297" s="12"/>
    </row>
    <row r="1298" spans="1:12" ht="30" x14ac:dyDescent="0.25">
      <c r="A1298" s="2" t="s">
        <v>6</v>
      </c>
      <c r="B1298" s="2" t="s">
        <v>7</v>
      </c>
      <c r="C1298" s="2" t="s">
        <v>8</v>
      </c>
      <c r="D1298" s="2" t="s">
        <v>9</v>
      </c>
      <c r="E1298" s="2" t="s">
        <v>10</v>
      </c>
      <c r="F1298" s="2" t="s">
        <v>11</v>
      </c>
      <c r="G1298" s="2" t="s">
        <v>12</v>
      </c>
      <c r="H1298" s="2" t="s">
        <v>13</v>
      </c>
      <c r="I1298" s="2" t="s">
        <v>14</v>
      </c>
      <c r="J1298" s="2" t="s">
        <v>15</v>
      </c>
      <c r="K1298" s="2" t="s">
        <v>16</v>
      </c>
      <c r="L1298" s="2" t="s">
        <v>17</v>
      </c>
    </row>
    <row r="1299" spans="1:12" x14ac:dyDescent="0.25">
      <c r="A1299" s="3">
        <v>45712.026562500003</v>
      </c>
      <c r="B1299" t="s">
        <v>125</v>
      </c>
      <c r="C1299" s="3">
        <v>45712.029467592598</v>
      </c>
      <c r="D1299" t="s">
        <v>125</v>
      </c>
      <c r="E1299" s="4">
        <v>8.4000000000000005E-2</v>
      </c>
      <c r="F1299" s="4">
        <v>293721.60800000001</v>
      </c>
      <c r="G1299" s="4">
        <v>293721.69199999998</v>
      </c>
      <c r="H1299" s="5">
        <f>159 / 86400</f>
        <v>1.8402777777777777E-3</v>
      </c>
      <c r="I1299" t="s">
        <v>92</v>
      </c>
      <c r="J1299" t="s">
        <v>143</v>
      </c>
      <c r="K1299" s="5">
        <f>251 / 86400</f>
        <v>2.9050925925925928E-3</v>
      </c>
      <c r="L1299" s="5">
        <f>26635 / 86400</f>
        <v>0.30827546296296299</v>
      </c>
    </row>
    <row r="1300" spans="1:12" x14ac:dyDescent="0.25">
      <c r="A1300" s="3">
        <v>45712.311180555553</v>
      </c>
      <c r="B1300" t="s">
        <v>125</v>
      </c>
      <c r="C1300" s="3">
        <v>45712.535798611112</v>
      </c>
      <c r="D1300" t="s">
        <v>125</v>
      </c>
      <c r="E1300" s="4">
        <v>91.247</v>
      </c>
      <c r="F1300" s="4">
        <v>293721.69199999998</v>
      </c>
      <c r="G1300" s="4">
        <v>293812.93900000001</v>
      </c>
      <c r="H1300" s="5">
        <f>7498 / 86400</f>
        <v>8.6782407407407405E-2</v>
      </c>
      <c r="I1300" t="s">
        <v>29</v>
      </c>
      <c r="J1300" t="s">
        <v>30</v>
      </c>
      <c r="K1300" s="5">
        <f>19406 / 86400</f>
        <v>0.22460648148148149</v>
      </c>
      <c r="L1300" s="5">
        <f>19 / 86400</f>
        <v>2.199074074074074E-4</v>
      </c>
    </row>
    <row r="1301" spans="1:12" x14ac:dyDescent="0.25">
      <c r="A1301" s="3">
        <v>45712.53601851852</v>
      </c>
      <c r="B1301" t="s">
        <v>125</v>
      </c>
      <c r="C1301" s="3">
        <v>45712.554861111115</v>
      </c>
      <c r="D1301" t="s">
        <v>125</v>
      </c>
      <c r="E1301" s="4">
        <v>2.1999999999999999E-2</v>
      </c>
      <c r="F1301" s="4">
        <v>293812.93900000001</v>
      </c>
      <c r="G1301" s="4">
        <v>293812.96100000001</v>
      </c>
      <c r="H1301" s="5">
        <f>1599 / 86400</f>
        <v>1.8506944444444444E-2</v>
      </c>
      <c r="I1301" t="s">
        <v>92</v>
      </c>
      <c r="J1301" t="s">
        <v>24</v>
      </c>
      <c r="K1301" s="5">
        <f>1628 / 86400</f>
        <v>1.8842592592592591E-2</v>
      </c>
      <c r="L1301" s="5">
        <f>2399 / 86400</f>
        <v>2.7766203703703703E-2</v>
      </c>
    </row>
    <row r="1302" spans="1:12" x14ac:dyDescent="0.25">
      <c r="A1302" s="3">
        <v>45712.582627314812</v>
      </c>
      <c r="B1302" t="s">
        <v>125</v>
      </c>
      <c r="C1302" s="3">
        <v>45712.871307870373</v>
      </c>
      <c r="D1302" t="s">
        <v>93</v>
      </c>
      <c r="E1302" s="4">
        <v>96.789000000000001</v>
      </c>
      <c r="F1302" s="4">
        <v>293812.96100000001</v>
      </c>
      <c r="G1302" s="4">
        <v>293909.75</v>
      </c>
      <c r="H1302" s="5">
        <f>10420 / 86400</f>
        <v>0.12060185185185185</v>
      </c>
      <c r="I1302" t="s">
        <v>80</v>
      </c>
      <c r="J1302" t="s">
        <v>48</v>
      </c>
      <c r="K1302" s="5">
        <f>24942 / 86400</f>
        <v>0.28868055555555555</v>
      </c>
      <c r="L1302" s="5">
        <f>2842 / 86400</f>
        <v>3.2893518518518516E-2</v>
      </c>
    </row>
    <row r="1303" spans="1:12" x14ac:dyDescent="0.25">
      <c r="A1303" s="3">
        <v>45712.90420138889</v>
      </c>
      <c r="B1303" t="s">
        <v>93</v>
      </c>
      <c r="C1303" s="3">
        <v>45712.910613425927</v>
      </c>
      <c r="D1303" t="s">
        <v>125</v>
      </c>
      <c r="E1303" s="4">
        <v>0.85</v>
      </c>
      <c r="F1303" s="4">
        <v>293909.75</v>
      </c>
      <c r="G1303" s="4">
        <v>293910.59999999998</v>
      </c>
      <c r="H1303" s="5">
        <f>280 / 86400</f>
        <v>3.2407407407407406E-3</v>
      </c>
      <c r="I1303" t="s">
        <v>31</v>
      </c>
      <c r="J1303" t="s">
        <v>32</v>
      </c>
      <c r="K1303" s="5">
        <f>553 / 86400</f>
        <v>6.4004629629629628E-3</v>
      </c>
      <c r="L1303" s="5">
        <f>7722 / 86400</f>
        <v>8.9374999999999996E-2</v>
      </c>
    </row>
    <row r="1304" spans="1:12" x14ac:dyDescent="0.25">
      <c r="A1304" s="12"/>
      <c r="B1304" s="12"/>
      <c r="C1304" s="12"/>
      <c r="D1304" s="12"/>
      <c r="E1304" s="12"/>
      <c r="F1304" s="12"/>
      <c r="G1304" s="12"/>
      <c r="H1304" s="12"/>
      <c r="I1304" s="12"/>
      <c r="J1304" s="12"/>
    </row>
    <row r="1305" spans="1:12" x14ac:dyDescent="0.25">
      <c r="A1305" s="12" t="s">
        <v>127</v>
      </c>
      <c r="B1305" s="12"/>
      <c r="C1305" s="12"/>
      <c r="D1305" s="12"/>
      <c r="E1305" s="12"/>
      <c r="F1305" s="12"/>
      <c r="G1305" s="12"/>
      <c r="H1305" s="12"/>
      <c r="I1305" s="12"/>
      <c r="J1305" s="12"/>
    </row>
  </sheetData>
  <mergeCells count="250">
    <mergeCell ref="A1286:J1286"/>
    <mergeCell ref="A1287:J1287"/>
    <mergeCell ref="A1294:J1294"/>
    <mergeCell ref="A1295:J1295"/>
    <mergeCell ref="A1296:J1296"/>
    <mergeCell ref="A1297:J1297"/>
    <mergeCell ref="A1304:J1304"/>
    <mergeCell ref="A1305:J1305"/>
    <mergeCell ref="A1235:J1235"/>
    <mergeCell ref="A1236:J1236"/>
    <mergeCell ref="A1237:J1237"/>
    <mergeCell ref="A1256:J1256"/>
    <mergeCell ref="A1257:J1257"/>
    <mergeCell ref="A1258:J1258"/>
    <mergeCell ref="A1259:J1259"/>
    <mergeCell ref="A1284:J1284"/>
    <mergeCell ref="A1285:J1285"/>
    <mergeCell ref="A1199:J1199"/>
    <mergeCell ref="A1200:J1200"/>
    <mergeCell ref="A1201:J1201"/>
    <mergeCell ref="A1202:J1202"/>
    <mergeCell ref="A1223:J1223"/>
    <mergeCell ref="A1224:J1224"/>
    <mergeCell ref="A1225:J1225"/>
    <mergeCell ref="A1226:J1226"/>
    <mergeCell ref="A1234:J1234"/>
    <mergeCell ref="A1163:J1163"/>
    <mergeCell ref="A1172:J1172"/>
    <mergeCell ref="A1173:J1173"/>
    <mergeCell ref="A1174:J1174"/>
    <mergeCell ref="A1175:J1175"/>
    <mergeCell ref="A1188:J1188"/>
    <mergeCell ref="A1189:J1189"/>
    <mergeCell ref="A1190:J1190"/>
    <mergeCell ref="A1191:J1191"/>
    <mergeCell ref="A1133:J1133"/>
    <mergeCell ref="A1134:J1134"/>
    <mergeCell ref="A1142:J1142"/>
    <mergeCell ref="A1143:J1143"/>
    <mergeCell ref="A1144:J1144"/>
    <mergeCell ref="A1145:J1145"/>
    <mergeCell ref="A1160:J1160"/>
    <mergeCell ref="A1161:J1161"/>
    <mergeCell ref="A1162:J1162"/>
    <mergeCell ref="A1096:J1096"/>
    <mergeCell ref="A1097:J1097"/>
    <mergeCell ref="A1098:J1098"/>
    <mergeCell ref="A1117:J1117"/>
    <mergeCell ref="A1118:J1118"/>
    <mergeCell ref="A1119:J1119"/>
    <mergeCell ref="A1120:J1120"/>
    <mergeCell ref="A1131:J1131"/>
    <mergeCell ref="A1132:J1132"/>
    <mergeCell ref="A1059:J1059"/>
    <mergeCell ref="A1060:J1060"/>
    <mergeCell ref="A1061:J1061"/>
    <mergeCell ref="A1062:J1062"/>
    <mergeCell ref="A1077:J1077"/>
    <mergeCell ref="A1078:J1078"/>
    <mergeCell ref="A1079:J1079"/>
    <mergeCell ref="A1080:J1080"/>
    <mergeCell ref="A1095:J1095"/>
    <mergeCell ref="A1020:J1020"/>
    <mergeCell ref="A1024:J1024"/>
    <mergeCell ref="A1025:J1025"/>
    <mergeCell ref="A1026:J1026"/>
    <mergeCell ref="A1027:J1027"/>
    <mergeCell ref="A1033:J1033"/>
    <mergeCell ref="A1034:J1034"/>
    <mergeCell ref="A1035:J1035"/>
    <mergeCell ref="A1036:J1036"/>
    <mergeCell ref="A984:J984"/>
    <mergeCell ref="A985:J985"/>
    <mergeCell ref="A1000:J1000"/>
    <mergeCell ref="A1001:J1001"/>
    <mergeCell ref="A1002:J1002"/>
    <mergeCell ref="A1003:J1003"/>
    <mergeCell ref="A1017:J1017"/>
    <mergeCell ref="A1018:J1018"/>
    <mergeCell ref="A1019:J1019"/>
    <mergeCell ref="A948:J948"/>
    <mergeCell ref="A949:J949"/>
    <mergeCell ref="A950:J950"/>
    <mergeCell ref="A961:J961"/>
    <mergeCell ref="A962:J962"/>
    <mergeCell ref="A963:J963"/>
    <mergeCell ref="A964:J964"/>
    <mergeCell ref="A982:J982"/>
    <mergeCell ref="A983:J983"/>
    <mergeCell ref="A920:J920"/>
    <mergeCell ref="A921:J921"/>
    <mergeCell ref="A922:J922"/>
    <mergeCell ref="A923:J923"/>
    <mergeCell ref="A935:J935"/>
    <mergeCell ref="A936:J936"/>
    <mergeCell ref="A937:J937"/>
    <mergeCell ref="A938:J938"/>
    <mergeCell ref="A947:J947"/>
    <mergeCell ref="A878:J878"/>
    <mergeCell ref="A893:J893"/>
    <mergeCell ref="A894:J894"/>
    <mergeCell ref="A895:J895"/>
    <mergeCell ref="A896:J896"/>
    <mergeCell ref="A906:J906"/>
    <mergeCell ref="A907:J907"/>
    <mergeCell ref="A908:J908"/>
    <mergeCell ref="A909:J909"/>
    <mergeCell ref="A860:J860"/>
    <mergeCell ref="A861:J861"/>
    <mergeCell ref="A869:J869"/>
    <mergeCell ref="A870:J870"/>
    <mergeCell ref="A871:J871"/>
    <mergeCell ref="A872:J872"/>
    <mergeCell ref="A875:J875"/>
    <mergeCell ref="A876:J876"/>
    <mergeCell ref="A877:J877"/>
    <mergeCell ref="A829:J829"/>
    <mergeCell ref="A830:J830"/>
    <mergeCell ref="A831:J831"/>
    <mergeCell ref="A843:J843"/>
    <mergeCell ref="A844:J844"/>
    <mergeCell ref="A845:J845"/>
    <mergeCell ref="A846:J846"/>
    <mergeCell ref="A858:J858"/>
    <mergeCell ref="A859:J859"/>
    <mergeCell ref="A771:J771"/>
    <mergeCell ref="A772:J772"/>
    <mergeCell ref="A773:J773"/>
    <mergeCell ref="A774:J774"/>
    <mergeCell ref="A798:J798"/>
    <mergeCell ref="A799:J799"/>
    <mergeCell ref="A800:J800"/>
    <mergeCell ref="A801:J801"/>
    <mergeCell ref="A828:J828"/>
    <mergeCell ref="A740:J740"/>
    <mergeCell ref="A751:J751"/>
    <mergeCell ref="A752:J752"/>
    <mergeCell ref="A753:J753"/>
    <mergeCell ref="A754:J754"/>
    <mergeCell ref="A761:J761"/>
    <mergeCell ref="A762:J762"/>
    <mergeCell ref="A763:J763"/>
    <mergeCell ref="A764:J764"/>
    <mergeCell ref="A710:J710"/>
    <mergeCell ref="A711:J711"/>
    <mergeCell ref="A720:J720"/>
    <mergeCell ref="A721:J721"/>
    <mergeCell ref="A722:J722"/>
    <mergeCell ref="A723:J723"/>
    <mergeCell ref="A737:J737"/>
    <mergeCell ref="A738:J738"/>
    <mergeCell ref="A739:J739"/>
    <mergeCell ref="A685:J685"/>
    <mergeCell ref="A686:J686"/>
    <mergeCell ref="A687:J687"/>
    <mergeCell ref="A697:J697"/>
    <mergeCell ref="A698:J698"/>
    <mergeCell ref="A699:J699"/>
    <mergeCell ref="A700:J700"/>
    <mergeCell ref="A708:J708"/>
    <mergeCell ref="A709:J709"/>
    <mergeCell ref="A654:J654"/>
    <mergeCell ref="A655:J655"/>
    <mergeCell ref="A656:J656"/>
    <mergeCell ref="A657:J657"/>
    <mergeCell ref="A673:J673"/>
    <mergeCell ref="A674:J674"/>
    <mergeCell ref="A675:J675"/>
    <mergeCell ref="A676:J676"/>
    <mergeCell ref="A684:J684"/>
    <mergeCell ref="A609:J609"/>
    <mergeCell ref="A629:J629"/>
    <mergeCell ref="A630:J630"/>
    <mergeCell ref="A631:J631"/>
    <mergeCell ref="A632:J632"/>
    <mergeCell ref="A644:J644"/>
    <mergeCell ref="A645:J645"/>
    <mergeCell ref="A646:J646"/>
    <mergeCell ref="A647:J647"/>
    <mergeCell ref="A575:J575"/>
    <mergeCell ref="A576:J576"/>
    <mergeCell ref="A592:J592"/>
    <mergeCell ref="A593:J593"/>
    <mergeCell ref="A594:J594"/>
    <mergeCell ref="A595:J595"/>
    <mergeCell ref="A606:J606"/>
    <mergeCell ref="A607:J607"/>
    <mergeCell ref="A608:J608"/>
    <mergeCell ref="A543:J543"/>
    <mergeCell ref="A544:J544"/>
    <mergeCell ref="A545:J545"/>
    <mergeCell ref="A553:J553"/>
    <mergeCell ref="A554:J554"/>
    <mergeCell ref="A555:J555"/>
    <mergeCell ref="A556:J556"/>
    <mergeCell ref="A573:J573"/>
    <mergeCell ref="A574:J574"/>
    <mergeCell ref="A461:J461"/>
    <mergeCell ref="A462:J462"/>
    <mergeCell ref="A463:J463"/>
    <mergeCell ref="A464:J464"/>
    <mergeCell ref="A476:J476"/>
    <mergeCell ref="A477:J477"/>
    <mergeCell ref="A478:J478"/>
    <mergeCell ref="A479:J479"/>
    <mergeCell ref="A542:J542"/>
    <mergeCell ref="A158:J158"/>
    <mergeCell ref="A166:J166"/>
    <mergeCell ref="A167:J167"/>
    <mergeCell ref="A168:J168"/>
    <mergeCell ref="A169:J169"/>
    <mergeCell ref="A453:J453"/>
    <mergeCell ref="A454:J454"/>
    <mergeCell ref="A455:J455"/>
    <mergeCell ref="A456:J456"/>
    <mergeCell ref="A133:J133"/>
    <mergeCell ref="A134:J134"/>
    <mergeCell ref="A146:J146"/>
    <mergeCell ref="A147:J147"/>
    <mergeCell ref="A148:J148"/>
    <mergeCell ref="A149:J149"/>
    <mergeCell ref="A155:J155"/>
    <mergeCell ref="A156:J156"/>
    <mergeCell ref="A157:J157"/>
    <mergeCell ref="A105:J105"/>
    <mergeCell ref="A106:J106"/>
    <mergeCell ref="A107:J107"/>
    <mergeCell ref="A125:J125"/>
    <mergeCell ref="A126:J126"/>
    <mergeCell ref="A127:J127"/>
    <mergeCell ref="A128:J128"/>
    <mergeCell ref="A131:J131"/>
    <mergeCell ref="A132:J132"/>
    <mergeCell ref="A71:J71"/>
    <mergeCell ref="A72:J72"/>
    <mergeCell ref="A73:J73"/>
    <mergeCell ref="A74:J74"/>
    <mergeCell ref="A89:J89"/>
    <mergeCell ref="A90:J90"/>
    <mergeCell ref="A91:J91"/>
    <mergeCell ref="A92:J92"/>
    <mergeCell ref="A104:J104"/>
    <mergeCell ref="A1:J1"/>
    <mergeCell ref="A2:J2"/>
    <mergeCell ref="A3:J3"/>
    <mergeCell ref="A4:J4"/>
    <mergeCell ref="A5:J5"/>
    <mergeCell ref="A6:J6"/>
    <mergeCell ref="A69:J69"/>
    <mergeCell ref="A70:J70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2025-09-22T19:53:07Z</dcterms:created>
  <dcterms:modified xsi:type="dcterms:W3CDTF">2025-09-23T05:41:57Z</dcterms:modified>
</cp:coreProperties>
</file>