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1D30F9FC-3494-46CD-87AB-18CA364CDDA0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428" i="1" l="1"/>
  <c r="K1428" i="1"/>
  <c r="H1428" i="1"/>
  <c r="L1427" i="1"/>
  <c r="K1427" i="1"/>
  <c r="H1427" i="1"/>
  <c r="L1421" i="1"/>
  <c r="K1421" i="1"/>
  <c r="H1421" i="1"/>
  <c r="L1420" i="1"/>
  <c r="K1420" i="1"/>
  <c r="H1420" i="1"/>
  <c r="L1419" i="1"/>
  <c r="K1419" i="1"/>
  <c r="H1419" i="1"/>
  <c r="L1418" i="1"/>
  <c r="K1418" i="1"/>
  <c r="H1418" i="1"/>
  <c r="L1417" i="1"/>
  <c r="K1417" i="1"/>
  <c r="H1417" i="1"/>
  <c r="L1416" i="1"/>
  <c r="K1416" i="1"/>
  <c r="H1416" i="1"/>
  <c r="L1415" i="1"/>
  <c r="K1415" i="1"/>
  <c r="H1415" i="1"/>
  <c r="L1414" i="1"/>
  <c r="K1414" i="1"/>
  <c r="H1414" i="1"/>
  <c r="L1413" i="1"/>
  <c r="K1413" i="1"/>
  <c r="H1413" i="1"/>
  <c r="L1412" i="1"/>
  <c r="K1412" i="1"/>
  <c r="H1412" i="1"/>
  <c r="L1406" i="1"/>
  <c r="K1406" i="1"/>
  <c r="H1406" i="1"/>
  <c r="L1405" i="1"/>
  <c r="K1405" i="1"/>
  <c r="H1405" i="1"/>
  <c r="L1404" i="1"/>
  <c r="K1404" i="1"/>
  <c r="H1404" i="1"/>
  <c r="L1403" i="1"/>
  <c r="K1403" i="1"/>
  <c r="H1403" i="1"/>
  <c r="L1402" i="1"/>
  <c r="K1402" i="1"/>
  <c r="H1402" i="1"/>
  <c r="L1401" i="1"/>
  <c r="K1401" i="1"/>
  <c r="H1401" i="1"/>
  <c r="L1400" i="1"/>
  <c r="K1400" i="1"/>
  <c r="H1400" i="1"/>
  <c r="L1399" i="1"/>
  <c r="K1399" i="1"/>
  <c r="H1399" i="1"/>
  <c r="L1398" i="1"/>
  <c r="K1398" i="1"/>
  <c r="H1398" i="1"/>
  <c r="L1397" i="1"/>
  <c r="K1397" i="1"/>
  <c r="H1397" i="1"/>
  <c r="L1396" i="1"/>
  <c r="K1396" i="1"/>
  <c r="H1396" i="1"/>
  <c r="L1395" i="1"/>
  <c r="K1395" i="1"/>
  <c r="H1395" i="1"/>
  <c r="L1394" i="1"/>
  <c r="K1394" i="1"/>
  <c r="H1394" i="1"/>
  <c r="L1393" i="1"/>
  <c r="K1393" i="1"/>
  <c r="H1393" i="1"/>
  <c r="L1392" i="1"/>
  <c r="K1392" i="1"/>
  <c r="H1392" i="1"/>
  <c r="L1391" i="1"/>
  <c r="K1391" i="1"/>
  <c r="H1391" i="1"/>
  <c r="L1390" i="1"/>
  <c r="K1390" i="1"/>
  <c r="H1390" i="1"/>
  <c r="L1389" i="1"/>
  <c r="K1389" i="1"/>
  <c r="H1389" i="1"/>
  <c r="L1388" i="1"/>
  <c r="K1388" i="1"/>
  <c r="H1388" i="1"/>
  <c r="L1387" i="1"/>
  <c r="K1387" i="1"/>
  <c r="H1387" i="1"/>
  <c r="L1386" i="1"/>
  <c r="K1386" i="1"/>
  <c r="H1386" i="1"/>
  <c r="L1385" i="1"/>
  <c r="K1385" i="1"/>
  <c r="H1385" i="1"/>
  <c r="L1384" i="1"/>
  <c r="K1384" i="1"/>
  <c r="H1384" i="1"/>
  <c r="L1383" i="1"/>
  <c r="K1383" i="1"/>
  <c r="H1383" i="1"/>
  <c r="L1382" i="1"/>
  <c r="K1382" i="1"/>
  <c r="H1382" i="1"/>
  <c r="L1381" i="1"/>
  <c r="K1381" i="1"/>
  <c r="H1381" i="1"/>
  <c r="L1380" i="1"/>
  <c r="K1380" i="1"/>
  <c r="H1380" i="1"/>
  <c r="L1379" i="1"/>
  <c r="K1379" i="1"/>
  <c r="H1379" i="1"/>
  <c r="L1378" i="1"/>
  <c r="K1378" i="1"/>
  <c r="H1378" i="1"/>
  <c r="L1377" i="1"/>
  <c r="K1377" i="1"/>
  <c r="H1377" i="1"/>
  <c r="L1371" i="1"/>
  <c r="K1371" i="1"/>
  <c r="H1371" i="1"/>
  <c r="L1370" i="1"/>
  <c r="K1370" i="1"/>
  <c r="H1370" i="1"/>
  <c r="L1369" i="1"/>
  <c r="K1369" i="1"/>
  <c r="H1369" i="1"/>
  <c r="L1368" i="1"/>
  <c r="K1368" i="1"/>
  <c r="H1368" i="1"/>
  <c r="L1367" i="1"/>
  <c r="K1367" i="1"/>
  <c r="H1367" i="1"/>
  <c r="L1366" i="1"/>
  <c r="K1366" i="1"/>
  <c r="H1366" i="1"/>
  <c r="L1365" i="1"/>
  <c r="K1365" i="1"/>
  <c r="H1365" i="1"/>
  <c r="L1364" i="1"/>
  <c r="K1364" i="1"/>
  <c r="H1364" i="1"/>
  <c r="L1363" i="1"/>
  <c r="K1363" i="1"/>
  <c r="H1363" i="1"/>
  <c r="L1362" i="1"/>
  <c r="K1362" i="1"/>
  <c r="H1362" i="1"/>
  <c r="L1361" i="1"/>
  <c r="K1361" i="1"/>
  <c r="H1361" i="1"/>
  <c r="L1360" i="1"/>
  <c r="K1360" i="1"/>
  <c r="H1360" i="1"/>
  <c r="L1359" i="1"/>
  <c r="K1359" i="1"/>
  <c r="H1359" i="1"/>
  <c r="L1358" i="1"/>
  <c r="K1358" i="1"/>
  <c r="H1358" i="1"/>
  <c r="L1352" i="1"/>
  <c r="K1352" i="1"/>
  <c r="H1352" i="1"/>
  <c r="L1351" i="1"/>
  <c r="K1351" i="1"/>
  <c r="H1351" i="1"/>
  <c r="L1350" i="1"/>
  <c r="K1350" i="1"/>
  <c r="H1350" i="1"/>
  <c r="L1349" i="1"/>
  <c r="K1349" i="1"/>
  <c r="H1349" i="1"/>
  <c r="L1348" i="1"/>
  <c r="K1348" i="1"/>
  <c r="H1348" i="1"/>
  <c r="L1347" i="1"/>
  <c r="K1347" i="1"/>
  <c r="H1347" i="1"/>
  <c r="L1341" i="1"/>
  <c r="K1341" i="1"/>
  <c r="H1341" i="1"/>
  <c r="L1340" i="1"/>
  <c r="K1340" i="1"/>
  <c r="H1340" i="1"/>
  <c r="L1339" i="1"/>
  <c r="K1339" i="1"/>
  <c r="H1339" i="1"/>
  <c r="L1338" i="1"/>
  <c r="K1338" i="1"/>
  <c r="H1338" i="1"/>
  <c r="L1337" i="1"/>
  <c r="K1337" i="1"/>
  <c r="H1337" i="1"/>
  <c r="L1336" i="1"/>
  <c r="K1336" i="1"/>
  <c r="H1336" i="1"/>
  <c r="L1335" i="1"/>
  <c r="K1335" i="1"/>
  <c r="H1335" i="1"/>
  <c r="L1334" i="1"/>
  <c r="K1334" i="1"/>
  <c r="H1334" i="1"/>
  <c r="L1333" i="1"/>
  <c r="K1333" i="1"/>
  <c r="H1333" i="1"/>
  <c r="L1332" i="1"/>
  <c r="K1332" i="1"/>
  <c r="H1332" i="1"/>
  <c r="L1331" i="1"/>
  <c r="K1331" i="1"/>
  <c r="H1331" i="1"/>
  <c r="L1330" i="1"/>
  <c r="K1330" i="1"/>
  <c r="H1330" i="1"/>
  <c r="L1324" i="1"/>
  <c r="K1324" i="1"/>
  <c r="H1324" i="1"/>
  <c r="L1323" i="1"/>
  <c r="K1323" i="1"/>
  <c r="H1323" i="1"/>
  <c r="L1322" i="1"/>
  <c r="K1322" i="1"/>
  <c r="H1322" i="1"/>
  <c r="L1321" i="1"/>
  <c r="K1321" i="1"/>
  <c r="H1321" i="1"/>
  <c r="L1320" i="1"/>
  <c r="K1320" i="1"/>
  <c r="H1320" i="1"/>
  <c r="L1314" i="1"/>
  <c r="K1314" i="1"/>
  <c r="H1314" i="1"/>
  <c r="L1313" i="1"/>
  <c r="K1313" i="1"/>
  <c r="H1313" i="1"/>
  <c r="L1312" i="1"/>
  <c r="K1312" i="1"/>
  <c r="H1312" i="1"/>
  <c r="L1311" i="1"/>
  <c r="K1311" i="1"/>
  <c r="H1311" i="1"/>
  <c r="L1310" i="1"/>
  <c r="K1310" i="1"/>
  <c r="H1310" i="1"/>
  <c r="L1309" i="1"/>
  <c r="K1309" i="1"/>
  <c r="H1309" i="1"/>
  <c r="L1308" i="1"/>
  <c r="K1308" i="1"/>
  <c r="H1308" i="1"/>
  <c r="L1307" i="1"/>
  <c r="K1307" i="1"/>
  <c r="H1307" i="1"/>
  <c r="L1306" i="1"/>
  <c r="K1306" i="1"/>
  <c r="H1306" i="1"/>
  <c r="L1305" i="1"/>
  <c r="K1305" i="1"/>
  <c r="H1305" i="1"/>
  <c r="L1304" i="1"/>
  <c r="K1304" i="1"/>
  <c r="H1304" i="1"/>
  <c r="L1303" i="1"/>
  <c r="K1303" i="1"/>
  <c r="H1303" i="1"/>
  <c r="L1302" i="1"/>
  <c r="K1302" i="1"/>
  <c r="H1302" i="1"/>
  <c r="L1301" i="1"/>
  <c r="K1301" i="1"/>
  <c r="H1301" i="1"/>
  <c r="L1295" i="1"/>
  <c r="K1295" i="1"/>
  <c r="H1295" i="1"/>
  <c r="L1294" i="1"/>
  <c r="K1294" i="1"/>
  <c r="H1294" i="1"/>
  <c r="L1293" i="1"/>
  <c r="K1293" i="1"/>
  <c r="H1293" i="1"/>
  <c r="L1292" i="1"/>
  <c r="K1292" i="1"/>
  <c r="H1292" i="1"/>
  <c r="L1291" i="1"/>
  <c r="K1291" i="1"/>
  <c r="H1291" i="1"/>
  <c r="L1285" i="1"/>
  <c r="K1285" i="1"/>
  <c r="H1285" i="1"/>
  <c r="L1284" i="1"/>
  <c r="K1284" i="1"/>
  <c r="H1284" i="1"/>
  <c r="L1283" i="1"/>
  <c r="K1283" i="1"/>
  <c r="H1283" i="1"/>
  <c r="L1282" i="1"/>
  <c r="K1282" i="1"/>
  <c r="H1282" i="1"/>
  <c r="L1281" i="1"/>
  <c r="K1281" i="1"/>
  <c r="H1281" i="1"/>
  <c r="L1280" i="1"/>
  <c r="K1280" i="1"/>
  <c r="H1280" i="1"/>
  <c r="L1279" i="1"/>
  <c r="K1279" i="1"/>
  <c r="H1279" i="1"/>
  <c r="L1278" i="1"/>
  <c r="K1278" i="1"/>
  <c r="H1278" i="1"/>
  <c r="L1277" i="1"/>
  <c r="K1277" i="1"/>
  <c r="H1277" i="1"/>
  <c r="L1276" i="1"/>
  <c r="K1276" i="1"/>
  <c r="H1276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65" i="1"/>
  <c r="K1265" i="1"/>
  <c r="H1265" i="1"/>
  <c r="L1264" i="1"/>
  <c r="K1264" i="1"/>
  <c r="H1264" i="1"/>
  <c r="L1263" i="1"/>
  <c r="K1263" i="1"/>
  <c r="H1263" i="1"/>
  <c r="L1262" i="1"/>
  <c r="K1262" i="1"/>
  <c r="H1262" i="1"/>
  <c r="L1261" i="1"/>
  <c r="K1261" i="1"/>
  <c r="H1261" i="1"/>
  <c r="L1255" i="1"/>
  <c r="K1255" i="1"/>
  <c r="H1255" i="1"/>
  <c r="L1254" i="1"/>
  <c r="K1254" i="1"/>
  <c r="H1254" i="1"/>
  <c r="L1253" i="1"/>
  <c r="K1253" i="1"/>
  <c r="H1253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5" i="1"/>
  <c r="K1245" i="1"/>
  <c r="H1245" i="1"/>
  <c r="L1244" i="1"/>
  <c r="K1244" i="1"/>
  <c r="H1244" i="1"/>
  <c r="L1238" i="1"/>
  <c r="K1238" i="1"/>
  <c r="H1238" i="1"/>
  <c r="L1237" i="1"/>
  <c r="K1237" i="1"/>
  <c r="H1237" i="1"/>
  <c r="L1236" i="1"/>
  <c r="K1236" i="1"/>
  <c r="H1236" i="1"/>
  <c r="L1235" i="1"/>
  <c r="K1235" i="1"/>
  <c r="H1235" i="1"/>
  <c r="L1234" i="1"/>
  <c r="K1234" i="1"/>
  <c r="H1234" i="1"/>
  <c r="L1233" i="1"/>
  <c r="K1233" i="1"/>
  <c r="H1233" i="1"/>
  <c r="L1232" i="1"/>
  <c r="K1232" i="1"/>
  <c r="H1232" i="1"/>
  <c r="L1231" i="1"/>
  <c r="K1231" i="1"/>
  <c r="H1231" i="1"/>
  <c r="L1230" i="1"/>
  <c r="K1230" i="1"/>
  <c r="H1230" i="1"/>
  <c r="L1229" i="1"/>
  <c r="K1229" i="1"/>
  <c r="H1229" i="1"/>
  <c r="L1228" i="1"/>
  <c r="K1228" i="1"/>
  <c r="H1228" i="1"/>
  <c r="L1227" i="1"/>
  <c r="K1227" i="1"/>
  <c r="H1227" i="1"/>
  <c r="L1226" i="1"/>
  <c r="K1226" i="1"/>
  <c r="H1226" i="1"/>
  <c r="L1225" i="1"/>
  <c r="K1225" i="1"/>
  <c r="H1225" i="1"/>
  <c r="L1219" i="1"/>
  <c r="K1219" i="1"/>
  <c r="H1219" i="1"/>
  <c r="L1218" i="1"/>
  <c r="K1218" i="1"/>
  <c r="H1218" i="1"/>
  <c r="L1217" i="1"/>
  <c r="K1217" i="1"/>
  <c r="H1217" i="1"/>
  <c r="L1216" i="1"/>
  <c r="K1216" i="1"/>
  <c r="H1216" i="1"/>
  <c r="L1215" i="1"/>
  <c r="K1215" i="1"/>
  <c r="H1215" i="1"/>
  <c r="L1214" i="1"/>
  <c r="K1214" i="1"/>
  <c r="H1214" i="1"/>
  <c r="L1213" i="1"/>
  <c r="K1213" i="1"/>
  <c r="H1213" i="1"/>
  <c r="L1207" i="1"/>
  <c r="K1207" i="1"/>
  <c r="H1207" i="1"/>
  <c r="L1206" i="1"/>
  <c r="K1206" i="1"/>
  <c r="H1206" i="1"/>
  <c r="L1205" i="1"/>
  <c r="K1205" i="1"/>
  <c r="H1205" i="1"/>
  <c r="L1204" i="1"/>
  <c r="K1204" i="1"/>
  <c r="H1204" i="1"/>
  <c r="L1203" i="1"/>
  <c r="K1203" i="1"/>
  <c r="H1203" i="1"/>
  <c r="L1202" i="1"/>
  <c r="K1202" i="1"/>
  <c r="H1202" i="1"/>
  <c r="L1201" i="1"/>
  <c r="K1201" i="1"/>
  <c r="H1201" i="1"/>
  <c r="L1200" i="1"/>
  <c r="K1200" i="1"/>
  <c r="H1200" i="1"/>
  <c r="L1199" i="1"/>
  <c r="K1199" i="1"/>
  <c r="H1199" i="1"/>
  <c r="L1198" i="1"/>
  <c r="K1198" i="1"/>
  <c r="H1198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88" i="1"/>
  <c r="K1188" i="1"/>
  <c r="H1188" i="1"/>
  <c r="L1187" i="1"/>
  <c r="K1187" i="1"/>
  <c r="H1187" i="1"/>
  <c r="L1186" i="1"/>
  <c r="K1186" i="1"/>
  <c r="H1186" i="1"/>
  <c r="L1185" i="1"/>
  <c r="K1185" i="1"/>
  <c r="H1185" i="1"/>
  <c r="L1184" i="1"/>
  <c r="K1184" i="1"/>
  <c r="H1184" i="1"/>
  <c r="L1183" i="1"/>
  <c r="K1183" i="1"/>
  <c r="H1183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72" i="1"/>
  <c r="K1172" i="1"/>
  <c r="H1172" i="1"/>
  <c r="L1171" i="1"/>
  <c r="K1171" i="1"/>
  <c r="H1171" i="1"/>
  <c r="L1170" i="1"/>
  <c r="K1170" i="1"/>
  <c r="H1170" i="1"/>
  <c r="L1169" i="1"/>
  <c r="K1169" i="1"/>
  <c r="H1169" i="1"/>
  <c r="L1168" i="1"/>
  <c r="K1168" i="1"/>
  <c r="H1168" i="1"/>
  <c r="L1167" i="1"/>
  <c r="K1167" i="1"/>
  <c r="H1167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9" i="1"/>
  <c r="K1159" i="1"/>
  <c r="H1159" i="1"/>
  <c r="L1158" i="1"/>
  <c r="K1158" i="1"/>
  <c r="H1158" i="1"/>
  <c r="L1157" i="1"/>
  <c r="K1157" i="1"/>
  <c r="H1157" i="1"/>
  <c r="L1156" i="1"/>
  <c r="K1156" i="1"/>
  <c r="H1156" i="1"/>
  <c r="L1155" i="1"/>
  <c r="K1155" i="1"/>
  <c r="H1155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1" i="1"/>
  <c r="K1141" i="1"/>
  <c r="H1141" i="1"/>
  <c r="L1140" i="1"/>
  <c r="K1140" i="1"/>
  <c r="H1140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32" i="1"/>
  <c r="K1132" i="1"/>
  <c r="H1132" i="1"/>
  <c r="L1126" i="1"/>
  <c r="K1126" i="1"/>
  <c r="H1126" i="1"/>
  <c r="L1125" i="1"/>
  <c r="K1125" i="1"/>
  <c r="H1125" i="1"/>
  <c r="L1124" i="1"/>
  <c r="K1124" i="1"/>
  <c r="H1124" i="1"/>
  <c r="L1123" i="1"/>
  <c r="K1123" i="1"/>
  <c r="H1123" i="1"/>
  <c r="L1122" i="1"/>
  <c r="K1122" i="1"/>
  <c r="H1122" i="1"/>
  <c r="L1121" i="1"/>
  <c r="K1121" i="1"/>
  <c r="H1121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10" i="1"/>
  <c r="K1110" i="1"/>
  <c r="H1110" i="1"/>
  <c r="L1109" i="1"/>
  <c r="K1109" i="1"/>
  <c r="H1109" i="1"/>
  <c r="L1108" i="1"/>
  <c r="K1108" i="1"/>
  <c r="H1108" i="1"/>
  <c r="L1107" i="1"/>
  <c r="K1107" i="1"/>
  <c r="H1107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59" i="1"/>
  <c r="K1059" i="1"/>
  <c r="H1059" i="1"/>
  <c r="L1058" i="1"/>
  <c r="K1058" i="1"/>
  <c r="H1058" i="1"/>
  <c r="L1057" i="1"/>
  <c r="K1057" i="1"/>
  <c r="H1057" i="1"/>
  <c r="L1056" i="1"/>
  <c r="K1056" i="1"/>
  <c r="H1056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41" i="1"/>
  <c r="K1041" i="1"/>
  <c r="H1041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3" i="1"/>
  <c r="K993" i="1"/>
  <c r="H993" i="1"/>
  <c r="L987" i="1"/>
  <c r="K987" i="1"/>
  <c r="H987" i="1"/>
  <c r="L986" i="1"/>
  <c r="K986" i="1"/>
  <c r="H986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51" i="1"/>
  <c r="K951" i="1"/>
  <c r="H951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1" i="1"/>
  <c r="K881" i="1"/>
  <c r="H881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25" i="1"/>
  <c r="K825" i="1"/>
  <c r="H825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801" i="1"/>
  <c r="K801" i="1"/>
  <c r="H801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6" i="1"/>
  <c r="K756" i="1"/>
  <c r="H756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6" i="1"/>
  <c r="K706" i="1"/>
  <c r="H706" i="1"/>
  <c r="L705" i="1"/>
  <c r="K705" i="1"/>
  <c r="H705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91" i="1"/>
  <c r="K691" i="1"/>
  <c r="H691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56" i="1"/>
  <c r="K156" i="1"/>
  <c r="H156" i="1"/>
  <c r="L155" i="1"/>
  <c r="K155" i="1"/>
  <c r="H155" i="1"/>
  <c r="L154" i="1"/>
  <c r="K154" i="1"/>
  <c r="H154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0" i="1"/>
  <c r="K130" i="1"/>
  <c r="H130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5" i="1"/>
  <c r="K105" i="1"/>
  <c r="H105" i="1"/>
  <c r="L104" i="1"/>
  <c r="K104" i="1"/>
  <c r="H104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93" i="1"/>
  <c r="K93" i="1"/>
  <c r="H93" i="1"/>
  <c r="L92" i="1"/>
  <c r="K92" i="1"/>
  <c r="H92" i="1"/>
  <c r="L91" i="1"/>
  <c r="K91" i="1"/>
  <c r="H91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L76" i="1"/>
  <c r="K76" i="1"/>
  <c r="H76" i="1"/>
  <c r="L75" i="1"/>
  <c r="K75" i="1"/>
  <c r="H75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<sst xmlns="http://schemas.openxmlformats.org/spreadsheetml/2006/main" count="5347" uniqueCount="573">
  <si>
    <t>Informe de trayectos</t>
  </si>
  <si>
    <t>Periodo: 27 de febrero de 2025 0:00 - 27 de febrero de 2025 23:59</t>
  </si>
  <si>
    <t>Informe generado</t>
  </si>
  <si>
    <t>a: 22 de septiembre de 2025 14:44</t>
  </si>
  <si>
    <t>Resumen del informe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</si>
  <si>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</si>
  <si>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</si>
  <si>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</si>
  <si>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</si>
  <si>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</si>
  <si>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</si>
  <si>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</si>
  <si>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</si>
  <si>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</si>
  <si>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</si>
  <si>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</si>
  <si>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</si>
  <si>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</si>
  <si>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95 km/h</t>
  </si>
  <si>
    <t>17 km/h</t>
  </si>
  <si>
    <t>Avenida Lima Norte, Chosica, Lima Metropolitana, Lima, 15468, Perú, (Ruta4507nueva era 23-10-23)</t>
  </si>
  <si>
    <t>0 km/h</t>
  </si>
  <si>
    <t>Los Huancas, Ate, Lima Metropolitana, Lima, 15483, Perú</t>
  </si>
  <si>
    <t>78 km/h</t>
  </si>
  <si>
    <t>Ate, Lima Metropolitana, Lima, 15483, Perú</t>
  </si>
  <si>
    <t>77 km/h</t>
  </si>
  <si>
    <t>16 km/h</t>
  </si>
  <si>
    <t>Calle Manantiales de Vida, Ate, Lima Metropolitana, Lima, 15487, Perú</t>
  </si>
  <si>
    <t>10 km/h</t>
  </si>
  <si>
    <t>2 km/h</t>
  </si>
  <si>
    <t>18 km/h</t>
  </si>
  <si>
    <t>Avenida José de la Riva Aguero, Lima, Lima Metropolitana, Lima, 15004, Perú</t>
  </si>
  <si>
    <t>Avenida Nicolás Ayllón, Chaclacayo, Lima Metropolitana, Lima, 15472, Perú, (Ruta4507nueva era 23-10-23)</t>
  </si>
  <si>
    <t>94 km/h</t>
  </si>
  <si>
    <t>22 km/h</t>
  </si>
  <si>
    <t>Carretera Central, Chaclacayo, Lima Metropolitana, Lima, 15476, Perú</t>
  </si>
  <si>
    <t>Avenida Las Retamas, Ricardo Palma, Huarochirí, Lima, 15468, Perú</t>
  </si>
  <si>
    <t>Calle los Alamos, Chosica, Lima Metropolitana, Lima, 15468, Perú</t>
  </si>
  <si>
    <t>71 km/h</t>
  </si>
  <si>
    <t>15 km/h</t>
  </si>
  <si>
    <t>Calle Las Gardenias, Ricardo Palma, Huarochirí, Lima, 15468, Perú</t>
  </si>
  <si>
    <t>14 km/h</t>
  </si>
  <si>
    <t>Capitan Gamarra, Ricardo Palma, Huarochirí, Lima, 15468, Perú, (Ruta4507nueva era 23-10-23)</t>
  </si>
  <si>
    <t>80 km/h</t>
  </si>
  <si>
    <t>Calle A, Chosica, Lima Metropolitana, Lima, 15468, Perú</t>
  </si>
  <si>
    <t>90 km/h</t>
  </si>
  <si>
    <t>Avenida José Carlos Mariátegui, Ricardo Palma, Huarochirí, Lima, 15468, Perú</t>
  </si>
  <si>
    <t>102 km/h</t>
  </si>
  <si>
    <t>Calle Atahualpa, 200, Chaclacayo, Lima Metropolitana, Lima, 15474, Perú</t>
  </si>
  <si>
    <t>Carretera Central, 200, Chaclacayo, Lima Metropolitana, Lima, 15476, Perú</t>
  </si>
  <si>
    <t>82 km/h</t>
  </si>
  <si>
    <t>Calle Nueva Los Alamos, Santa Eulalia, Huarochirí, Lima, 15468, Perú</t>
  </si>
  <si>
    <t>88 km/h</t>
  </si>
  <si>
    <t>Calle Cerro de Pasco, Ate, Lima Metropolitana, Lima, 15498, Perú</t>
  </si>
  <si>
    <t>57 km/h</t>
  </si>
  <si>
    <t>13 km/h</t>
  </si>
  <si>
    <t>74 km/h</t>
  </si>
  <si>
    <t>Avenida Bernard de Balaguer, Lurigancho, Lima Metropolitana, Lima, 15464, Perú</t>
  </si>
  <si>
    <t>85 km/h</t>
  </si>
  <si>
    <t>89 km/h</t>
  </si>
  <si>
    <t>Calle 1, Ate, Lima Metropolitana, Lima, 15483, Perú</t>
  </si>
  <si>
    <t>81 km/h</t>
  </si>
  <si>
    <t>19 km/h</t>
  </si>
  <si>
    <t>Chaclacayo, Lima Metropolitana, Lima, 15474, Perú, (Ruta4507nueva era 23-10-23)</t>
  </si>
  <si>
    <t>Avenida Nicolás de Ayllón, Santa Anita, Lima Metropolitana, Lima, 15008, Perú, (Ruta4507nueva era 23-10-23)</t>
  </si>
  <si>
    <t>64 km/h</t>
  </si>
  <si>
    <t>Calle Leoncio Prado, Santa Eulalia, Huarochirí, Lima, 15468, Perú</t>
  </si>
  <si>
    <t>1 km/h</t>
  </si>
  <si>
    <t>Calle Estocolmo, Ate, Lima Metropolitana, Lima, 15498, Perú</t>
  </si>
  <si>
    <t>Avenida Nicolás de Ayllón, Ate, Lima Metropolitana, Lima, 15002, Perú, (Ruta4507nueva era 23-10-23, RUTA DESVIO TEM.  4507)</t>
  </si>
  <si>
    <t>Avenida Alfonso Cobián, Chaclacayo, Lima Metropolitana, Lima, 15476, Perú</t>
  </si>
  <si>
    <t>79 km/h</t>
  </si>
  <si>
    <t>Avenida Camino Real, Santa Anita, Lima Metropolitana, Lima, 15009, Perú</t>
  </si>
  <si>
    <t>83 km/h</t>
  </si>
  <si>
    <t>Avenida Simón Bolívar, Santa Eulalia, Huarochirí, Lima, 15468, Perú</t>
  </si>
  <si>
    <t>73 km/h</t>
  </si>
  <si>
    <t>Carretera Central, Ate, Lima Metropolitana, Lima, 15474, Perú</t>
  </si>
  <si>
    <t>Ate, Lima Metropolitana, Lima, 15474, Perú</t>
  </si>
  <si>
    <t>Calle Los Álamos, Ate, Lima Metropolitana, Lima, 15483, Perú</t>
  </si>
  <si>
    <t>84 km/h</t>
  </si>
  <si>
    <t>Avenida Enrique Guzmán y Valle, Chosica, Lima Metropolitana, Lima, 15468, Perú</t>
  </si>
  <si>
    <t>87 km/h</t>
  </si>
  <si>
    <t>Carretera Central, Ate, Lima Metropolitana, Lima, 15487, Perú, (Ruta4507nueva era 23-10-23)</t>
  </si>
  <si>
    <t>Avenida José Santos Chocano, Ricardo Palma, Huarochirí, Lima, 15468, Perú</t>
  </si>
  <si>
    <t>Avenida Nicolás de Ayllón, Ate, Lima Metropolitana, Lima, 15487, Perú, (Ruta4507nueva era 23-10-23)</t>
  </si>
  <si>
    <t>12 km/h</t>
  </si>
  <si>
    <t>Ate, Lima Metropolitana, Lima, 15487, Perú</t>
  </si>
  <si>
    <t>Calle 20 de Enero, Santa Eulalia, Huarochirí, Lima, 15468, Perú</t>
  </si>
  <si>
    <t>Corcona, Huarochirí, Lima, Perú</t>
  </si>
  <si>
    <t>68 km/h</t>
  </si>
  <si>
    <t>Avenida Lima Norte, Santa Eulalia, Lima Metropolitana, Lima, 15468, Perú</t>
  </si>
  <si>
    <t>Lurigancho, Lima Metropolitana, Lima, 15468, Perú</t>
  </si>
  <si>
    <t>70 km/h</t>
  </si>
  <si>
    <t>Carretera Central, Chaclacayo, Lima Metropolitana, Lima, 15476, Perú, (Ruta4507nueva era 23-10-23)</t>
  </si>
  <si>
    <t>Plaza Francisco Bolognesi, Lima, Lima Metropolitana, Lima, 15083, Perú, (Ruta4507nueva era 23-10-23)</t>
  </si>
  <si>
    <t>100 km/h</t>
  </si>
  <si>
    <t>Calle Huáscar, Ate, Lima Metropolitana, Lima, 15487, Perú</t>
  </si>
  <si>
    <t>Avenida José Carlos Mariátegui, Ate, Lima Metropolitana, Lima, 15487, Perú</t>
  </si>
  <si>
    <t>26 km/h</t>
  </si>
  <si>
    <t>5 km/h</t>
  </si>
  <si>
    <t>Calle Camino Real, Chosica, Lima Metropolitana, Lima, 15468, Perú</t>
  </si>
  <si>
    <t>Calle 3, Chosica, Lima Metropolitana, Lima, 15468, Perú</t>
  </si>
  <si>
    <t>Alameda E, Chaclacayo, Lima Metropolitana, Lima, 15476, Perú</t>
  </si>
  <si>
    <t>75 km/h</t>
  </si>
  <si>
    <t>Micaela Bastidas, Ate, Lima Metropolitana, Lima, 15498, Perú</t>
  </si>
  <si>
    <t>72 km/h</t>
  </si>
  <si>
    <t>Santa Eulalia, Huarochirí, Lima, 15468, Perú</t>
  </si>
  <si>
    <t>Avenida Lima Norte, Chosica, Lima Metropolitana, Lima, 15468, Perú</t>
  </si>
  <si>
    <t>Avenida Nicolás de Ayllón, 816-818, Ate, Lima Metropolitana, Lima, 15487, Perú, (Ruta4507nueva era 23-10-23)</t>
  </si>
  <si>
    <t>Avenida Nicolás de Ayllón, Ate, Lima Metropolitana, Lima, 15008, Perú, (Ruta4507nueva era 23-10-23)</t>
  </si>
  <si>
    <t>76 km/h</t>
  </si>
  <si>
    <t>Calle 2, Ate, Lima Metropolitana, Lima, 15487, Perú</t>
  </si>
  <si>
    <t>Avenida José Carlos Mariátegui, Ate, Lima Metropolitana, Lima, 15474, Perú, (Horacio Zeballos)</t>
  </si>
  <si>
    <t>Prolongación Javier Prado Este, Ate, Lima Metropolitana, Lima, 15498, Perú, (Ruta4507nueva era 23-10-23)</t>
  </si>
  <si>
    <t>93 km/h</t>
  </si>
  <si>
    <t>103 km/h</t>
  </si>
  <si>
    <t>20 km/h</t>
  </si>
  <si>
    <t>96 km/h</t>
  </si>
  <si>
    <t>Totales:</t>
  </si>
  <si>
    <t/>
  </si>
  <si>
    <t>* Los datos de combustible se calculan de acuerdo con el consumo medio de combustible del vehículo especificado en su configuración</t>
  </si>
  <si>
    <t>Calle Córdova, Ricardo Palma, Huarochirí, Lima, 15468, Perú, (Ruta4507nueva era 23-10-23)</t>
  </si>
  <si>
    <t>Jose Carlos Mariátegui, Ricardo Palma, Lima Metropolitana, Lima, 15468, Perú, (PARADERO RICARDO PALMA)</t>
  </si>
  <si>
    <t>6 km/h</t>
  </si>
  <si>
    <t>Avenida José Carlos Mariátegui, Ricardo Palma, Huarochirí, Lima, 15468, Perú, (Ruta4507nueva era 23-10-23)</t>
  </si>
  <si>
    <t>Ciclovía Colonial, Lima, Lima Metropolitana, Lima, 15082, Perú, (Ruta4507nueva era 23-10-23)</t>
  </si>
  <si>
    <t>Avenida Óscar Raimundo Benavides, 150, Lima, Lima Metropolitana, Lima, 15082, Perú</t>
  </si>
  <si>
    <t>Avenida Metropolitana, Santa Anita, Lima Metropolitana, Lima, 15009, Perú, (RUTA DESVIO TEM.  4507)</t>
  </si>
  <si>
    <t>Avenida Río Perene, Ate, Lima Metropolitana, Lima, 15498, Perú</t>
  </si>
  <si>
    <t>42 km/h</t>
  </si>
  <si>
    <t>Marcos Puente Llanos, Ate, Lima Metropolitana, Lima, 15498, Perú, (RUTA DESVIO TEM.  4507)</t>
  </si>
  <si>
    <t>27 km/h</t>
  </si>
  <si>
    <t>4 km/h</t>
  </si>
  <si>
    <t>Vía Expresa Almirante Miguel Grau, La Victoria, Lima Metropolitana, Lima, 15001, Perú, (Ruta4507nueva era 23-10-23)</t>
  </si>
  <si>
    <t>Avenida Almirante Miguel Grau, 354, Lima, Lima Metropolitana, Lima, 15001, Perú, (Ruta4507nueva era 23-10-23)</t>
  </si>
  <si>
    <t>9 km/h</t>
  </si>
  <si>
    <t>3 km/h</t>
  </si>
  <si>
    <t>Avenida Almirante Miguel Grau, 364, La Victoria, Lima Metropolitana, Lima, 15001, Perú, (Ruta4507nueva era 23-10-23)</t>
  </si>
  <si>
    <t>Avenida Andrés Avelino Cáceres, Ate, Lima Metropolitana, Lima, 15474, Perú</t>
  </si>
  <si>
    <t>21 km/h</t>
  </si>
  <si>
    <t>30 km/h</t>
  </si>
  <si>
    <t>11 km/h</t>
  </si>
  <si>
    <t>Avenida Nicolás Ayllón, 1159, Chaclacayo, Lima Metropolitana, Lima, 15472, Perú, (Ruta4507nueva era 23-10-23)</t>
  </si>
  <si>
    <t>7 km/h</t>
  </si>
  <si>
    <t>54 km/h</t>
  </si>
  <si>
    <t>Jose Carlos Mariátegui, Chosica, Lima Metropolitana, Lima, 15468, Perú, (PARADERO RICARDO PALMA)</t>
  </si>
  <si>
    <t>59 km/h</t>
  </si>
  <si>
    <t>Pasaje Gould, Lima, Lima Metropolitana, Lima, 15082, Perú</t>
  </si>
  <si>
    <t>Ricardo Palma, Huarochirí, Lima, 15468, Perú, (Ruta4507nueva era 23-10-23)</t>
  </si>
  <si>
    <t>69 km/h</t>
  </si>
  <si>
    <t>Ricardo Palma, Huarochirí, Lima, 15468, Perú, (CURVA RICARDO PALMA, Ruta4507nueva era 23-10-23)</t>
  </si>
  <si>
    <t>Avenida José Carlos Mariátegui, Ate, Lima Metropolitana, Lima, 15483, Perú</t>
  </si>
  <si>
    <t>67 km/h</t>
  </si>
  <si>
    <t>24 km/h</t>
  </si>
  <si>
    <t>34 km/h</t>
  </si>
  <si>
    <t>8 km/h</t>
  </si>
  <si>
    <t>Jirón Sánchez Pinillos, Lima, Lima Metropolitana, Lima, 15082, Perú</t>
  </si>
  <si>
    <t>63 km/h</t>
  </si>
  <si>
    <t>Avenida Simón Bolívar, Santa Eulalia, Huarochirí, Lima, 15468, Perú, (Ruta4507nueva era 23-10-23)</t>
  </si>
  <si>
    <t>Carretera Central, Chaclacayo, Lima Metropolitana, Lima, 15474, Perú</t>
  </si>
  <si>
    <t>Carretera Central, Chaclacayo, Lima Metropolitana, Lima, 15474, Perú, (Ruta4507nueva era 23-10-23)</t>
  </si>
  <si>
    <t>Avenida Las Nueces, Ate, Lima Metropolitana, Lima, 15498, Perú</t>
  </si>
  <si>
    <t>65 km/h</t>
  </si>
  <si>
    <t>23 km/h</t>
  </si>
  <si>
    <t>Avenida Nicolás de Ayllón, Santa Anita, Lima Metropolitana, Lima, 15498, Perú, (Ruta4507nueva era 23-10-23)</t>
  </si>
  <si>
    <t>Marcos Puente Llanos, Ate, Lima Metropolitana, Lima, 15498, Perú</t>
  </si>
  <si>
    <t>Calle Berlín, Ate, Lima Metropolitana, Lima, 15498, Perú</t>
  </si>
  <si>
    <t>Avenida Almirante Miguel Grau, 1200, Lima, Lima Metropolitana, Lima, 15011, Perú, (Ruta4507nueva era 23-10-23)</t>
  </si>
  <si>
    <t>51 km/h</t>
  </si>
  <si>
    <t>32 km/h</t>
  </si>
  <si>
    <t>Avenida Almirante Miguel Grau, 1200, Lima, Lima Metropolitana, Lima, 15011, Perú</t>
  </si>
  <si>
    <t>Avenida Almirante Miguel Grau, 1005, Lima, Lima Metropolitana, Lima, 15011, Perú, (Ruta4507nueva era 23-10-23)</t>
  </si>
  <si>
    <t>50 km/h</t>
  </si>
  <si>
    <t>33 km/h</t>
  </si>
  <si>
    <t>Avenida Almirante Miguel Grau, 957, Lima, Lima Metropolitana, Lima, 15001, Perú, (Ruta4507nueva era 23-10-23)</t>
  </si>
  <si>
    <t>Avenida España, 224, Lima, Lima Metropolitana, Lima, 15083, Perú</t>
  </si>
  <si>
    <t>25 km/h</t>
  </si>
  <si>
    <t>Jirón Washington, 1355, Lima, Lima Metropolitana, Lima, 15083, Perú</t>
  </si>
  <si>
    <t>Metropolitano, Lima, Lima Metropolitana, Lima, 15083, Perú</t>
  </si>
  <si>
    <t>31 km/h</t>
  </si>
  <si>
    <t>Avenida Guzmán Blanco, 101, Breña, Lima Metropolitana, Lima, 15046, Perú, (Ruta4507nueva era 23-10-23)</t>
  </si>
  <si>
    <t>Avenida 9 de Diciembre, 371, Lima, Lima Metropolitana, Lima, 15083, Perú, (Ruta4507nueva era 23-10-23)</t>
  </si>
  <si>
    <t>Avenida 9 de Diciembre, 311, Lima, Lima Metropolitana, Lima, 15083, Perú, (Ruta4507nueva era 23-10-23)</t>
  </si>
  <si>
    <t>Jirón Washington, Lima, Lima Metropolitana, Lima, 15083, Perú, (Ruta4507nueva era 23-10-23)</t>
  </si>
  <si>
    <t>Avenida Garcilazo de la Vega, 1420, Lima, Lima Metropolitana, Lima, 15083, Perú</t>
  </si>
  <si>
    <t>Jirón Washington, Lima, Lima Metropolitana, Lima, 15083, Perú</t>
  </si>
  <si>
    <t>Avenida Bolivia, 222, Lima, Lima Metropolitana, Lima, 15001, Perú</t>
  </si>
  <si>
    <t>Avenida Circunvalación, La Victoria, Lima Metropolitana, Lima, 15019, Perú</t>
  </si>
  <si>
    <t>Avenida Huancaray, Santa Anita, Lima Metropolitana, Lima, 15007, Perú, (RUTA DESVIO TEM.  4507)</t>
  </si>
  <si>
    <t>58 km/h</t>
  </si>
  <si>
    <t>Avenida Metropolitana, Ate, Lima Metropolitana, Lima, 15498, Perú, (RUTA DESVIO TEM.  4507)</t>
  </si>
  <si>
    <t>Avenida Nicolás de Ayllón, Ate, Lima Metropolitana, Lima, 15498, Perú, (S05Vitarte/ ALT. Hospital, Ruta4507nueva era 23-10-23)</t>
  </si>
  <si>
    <t>47 km/h</t>
  </si>
  <si>
    <t>Avenida José Carlos Mariátegui, Ate, Lima Metropolitana, Lima, 15498, Perú, (S05Vitarte/ ALT. Hospital, Ruta4507nueva era 23-10-23)</t>
  </si>
  <si>
    <t>Avenida Nicolás de Ayllón, 5818, Ate, Lima Metropolitana, Lima, 15498, Perú, (Ruta4507nueva era 23-10-23)</t>
  </si>
  <si>
    <t>Avenida La Estrella, Ate, Lima Metropolitana, Lima, 15487, Perú, (Ruta4507nueva era 23-10-23)</t>
  </si>
  <si>
    <t>52 km/h</t>
  </si>
  <si>
    <t>Carretera Central, Lurigancho, Lima Metropolitana, Lima, 15483, Perú, (Ruta4507nueva era 23-10-23)</t>
  </si>
  <si>
    <t>45 km/h</t>
  </si>
  <si>
    <t>Carretera Central, Lurigancho, Lima Metropolitana, Lima, 15483, Perú</t>
  </si>
  <si>
    <t>Calle B, Ate, Lima Metropolitana, Lima, 15483, Perú</t>
  </si>
  <si>
    <t>Avenida Andrés Avelino Cáceres, Ate, Lima Metropolitana, Lima, 15474, Perú, (Ruta4507nueva era 23-10-23)</t>
  </si>
  <si>
    <t>39 km/h</t>
  </si>
  <si>
    <t>Carretera Central, Ate, Lima Metropolitana, Lima, 15474, Perú, (Ruta4507nueva era 23-10-23)</t>
  </si>
  <si>
    <t>62 km/h</t>
  </si>
  <si>
    <t>40 km/h</t>
  </si>
  <si>
    <t>Carretera Central, Chaclacayo, Lima Metropolitana, Lima, 15474, Perú, (S07ÑAÑA, Ruta4507nueva era 23-10-23)</t>
  </si>
  <si>
    <t>43 km/h</t>
  </si>
  <si>
    <t>Avenida Nicolás Ayllón, Chaclacayo, Lima Metropolitana, Lima, 15464, Perú, (Ruta4507nueva era 23-10-23)</t>
  </si>
  <si>
    <t>Calle Los Robles, Chaclacayo, Lima Metropolitana, Lima, 15472, Perú, (Ruta4507nueva era 23-10-23)</t>
  </si>
  <si>
    <t>Avenida Malecón Manco Cápac, Chaclacayo, Lima Metropolitana, Lima, 15472, Perú, (Ruta4507nueva era 23-10-23)</t>
  </si>
  <si>
    <t>29 km/h</t>
  </si>
  <si>
    <t>Carretera Central, Chaclacayo, Lima Metropolitana, Lima, 15464, Perú, (Ruta4507nueva era 23-10-23)</t>
  </si>
  <si>
    <t>53 km/h</t>
  </si>
  <si>
    <t>38 km/h</t>
  </si>
  <si>
    <t>Avenida Unión, Chaclacayo, Lima Metropolitana, Lima, 15476, Perú, (Ruta4507nueva era 23-10-23)</t>
  </si>
  <si>
    <t>60 km/h</t>
  </si>
  <si>
    <t>Avenida Unión, Chaclacayo, Lima Metropolitana, Lima, 15474, Perú, (S07ÑAÑA, Ruta4507nueva era 23-10-23)</t>
  </si>
  <si>
    <t>66 km/h</t>
  </si>
  <si>
    <t>28 km/h</t>
  </si>
  <si>
    <t>Carretera Central, Ate, Lima Metropolitana, Lima, 15474, Perú, (Horacio Zeballos, Ruta4507nueva era 23-10-23)</t>
  </si>
  <si>
    <t>35 km/h</t>
  </si>
  <si>
    <t>Ate, Lima Metropolitana, Lima, 15474, Perú, (Ruta4507nueva era 23-10-23)</t>
  </si>
  <si>
    <t>41 km/h</t>
  </si>
  <si>
    <t>Ate, Lima Metropolitana, Lima, 15487, Perú, (Ruta4507nueva era 23-10-23)</t>
  </si>
  <si>
    <t>Carretera Central, Ate, Lima Metropolitana, Lima, 15487, Perú, (S06 SANTA CLARA, Ruta4507nueva era 23-10-23)</t>
  </si>
  <si>
    <t>36 km/h</t>
  </si>
  <si>
    <t>Avenida Central, Ate, Lima Metropolitana, Lima, 15498, Perú</t>
  </si>
  <si>
    <t>Avenida Nicolás de Ayllón, Ate, Lima Metropolitana, Lima, 15498, Perú, (Ruta4507nueva era 23-10-23, RUTA DESVIO TEM.  4507)</t>
  </si>
  <si>
    <t>Avenida Nicolás de Ayllón, Ate, Lima Metropolitana, Lima, 15498, Perú</t>
  </si>
  <si>
    <t>Jirón San Martín de Porres, Ate, Lima Metropolitana, Lima, 15498, Perú</t>
  </si>
  <si>
    <t>Avenida Santa María, Ate, Lima Metropolitana, Lima, 15498, Perú, (Ruta4507nueva era 23-10-23, RUTA DESVIO TEM.  4507)</t>
  </si>
  <si>
    <t>Victor Raul Haya de la Torre, Ate, Lima Metropolitana, Lima, 15498, Perú, (Ruta4507nueva era 23-10-23)</t>
  </si>
  <si>
    <t>Avenida Nicolás de Ayllón, Ate, Lima Metropolitana, Lima, 15498, Perú, (Ruta4507nueva era 23-10-23)</t>
  </si>
  <si>
    <t>Víctor Raúl Haya de la Torre, Ate, Lima Metropolitana, Lima, 15498, Perú, (Ruta4507nueva era 23-10-23)</t>
  </si>
  <si>
    <t>44 km/h</t>
  </si>
  <si>
    <t>56 km/h</t>
  </si>
  <si>
    <t>Avenida Nicolás de Ayllón, Santa Anita, Lima Metropolitana, Lima, 15009, Perú, (Ruta4507nueva era 23-10-23)</t>
  </si>
  <si>
    <t>55 km/h</t>
  </si>
  <si>
    <t>Vía de Evitamiento, Santa Anita, Lima Metropolitana, Lima, 15008, Perú, (Ruta4507nueva era 23-10-23, RUTA DESVIO TEM.  4507)</t>
  </si>
  <si>
    <t>37 km/h</t>
  </si>
  <si>
    <t>Avenida Nicolás de Ayllón, El Agustino, Lima Metropolitana, Lima, 15008, Perú, (Ruta4507nueva era 23-10-23)</t>
  </si>
  <si>
    <t>Vía de Evitamiento, Santa Anita, Lima Metropolitana, Lima, 15008, Perú, (Ruta4507nueva era 23-10-23)</t>
  </si>
  <si>
    <t>Avenida Nicolás de Ayllón, El Agustino, Lima Metropolitana, Lima, 15002, Perú</t>
  </si>
  <si>
    <t>Avenida Nicolás de Ayllón, El Agustino, Lima Metropolitana, Lima, 15002, Perú, (Ruta4507nueva era 23-10-23, RUTA DESVIO TEM.  4507)</t>
  </si>
  <si>
    <t>48 km/h</t>
  </si>
  <si>
    <t>Avenida Andrés Avelino Cáceres, Ate, Lima Metropolitana, Lima, 15019, Perú</t>
  </si>
  <si>
    <t>Avenida Inca Garcilazo de la Vega, El Agustino, Lima Metropolitana, Lima, 15004, Perú, (Ruta4507nueva era 23-10-23)</t>
  </si>
  <si>
    <t>Avenida Inca Garcilazo de la Vega, El Agustino, Lima Metropolitana, Lima, 15004, Perú</t>
  </si>
  <si>
    <t>Avenida José de la Riva Aguero, El Agustino, Lima Metropolitana, Lima, 15004, Perú</t>
  </si>
  <si>
    <t>Avenida Nicolás Ayllón, 137, Lima, Lima Metropolitana, Lima, 15011, Perú, (Ruta4507nueva era 23-10-23)</t>
  </si>
  <si>
    <t>Avenida Almirante Miguel Grau, 1518, Lima, Lima Metropolitana, Lima, 15011, Perú</t>
  </si>
  <si>
    <t>Avenida Almirante Miguel Grau, 1518, Lima, Lima Metropolitana, Lima, 15011, Perú, (Ruta4507nueva era 23-10-23)</t>
  </si>
  <si>
    <t>Avenida Almirante Miguel Grau, 1499, Lima, Lima Metropolitana, Lima, 15011, Perú, (Ruta4507nueva era 23-10-23)</t>
  </si>
  <si>
    <t>Vía Expresa Almirante Miguel Grau, Lima, Lima Metropolitana, Lima, 15011, Perú, (Ruta4507nueva era 23-10-23)</t>
  </si>
  <si>
    <t>Avenida Lucanas, 599, Lima, Lima Metropolitana, Lima, 15011, Perú, (Ruta4507nueva era 23-10-23)</t>
  </si>
  <si>
    <t>Avenida Almirante Miguel Grau, 813, Lima, Lima Metropolitana, Lima, 15001, Perú, (Ruta4507nueva era 23-10-23)</t>
  </si>
  <si>
    <t>Vía Expresa Almirante Miguel Grau, Lima, Lima Metropolitana, Lima, 15001, Perú, (Ruta4507nueva era 23-10-23)</t>
  </si>
  <si>
    <t>Metropolitano, Lima, Lima Metropolitana, Lima, 15001, Perú, (Ruta4507nueva era 23-10-23)</t>
  </si>
  <si>
    <t>Avenida 9 de Diciembre, Lima, Lima Metropolitana, Lima, 15046, Perú</t>
  </si>
  <si>
    <t>Avenida 28 de Julio, Lima, Lima Metropolitana, Lima, 15083, Perú</t>
  </si>
  <si>
    <t>Avenida Alfonso Ugarte, Lima, Lima Metropolitana, Lima, 15083, Perú, (Ruta4507nueva era 23-10-23)</t>
  </si>
  <si>
    <t>Avenida Alfonso Ugarte, 1409, Lima, Lima Metropolitana, Lima, 15083, Perú, (Ruta4507nueva era 23-10-23)</t>
  </si>
  <si>
    <t>Avenida Alfonso Ugarte, 1227, Breña, Lima Metropolitana, Lima, 15083, Perú</t>
  </si>
  <si>
    <t>Avenida Alfonso Ugarte, 1227, Breña, Lima Metropolitana, Lima, 15083, Perú, (Ruta4507nueva era 23-10-23)</t>
  </si>
  <si>
    <t>Avenida Alfonso Ugarte, 1006, Breña, Lima Metropolitana, Lima, 15082, Perú, (Ruta4507nueva era 23-10-23)</t>
  </si>
  <si>
    <t>Avenida Alfonso Ugarte, 873, Lima, Lima Metropolitana, Lima, 15001, Perú, (Ruta4507nueva era 23-10-23)</t>
  </si>
  <si>
    <t>Jirón Huarochirí, Lima, Lima Metropolitana, Lima, 15082, Perú</t>
  </si>
  <si>
    <t>46 km/h</t>
  </si>
  <si>
    <t>Jirón Huarochirí, 643, Lima, Lima Metropolitana, Lima, 15082, Perú</t>
  </si>
  <si>
    <t>Avenida Óscar Raimundo Benavides, 150, Lima, Lima Metropolitana, Lima, 15082, Perú, (Ruta4507nueva era 23-10-23)</t>
  </si>
  <si>
    <t>Avenida Óscar Raimundo Benavides, 153, Lima, Lima Metropolitana, Lima, 15082, Perú</t>
  </si>
  <si>
    <t>Ciclovía Colonial, Lima, Lima Metropolitana, Lima, 15082, Perú</t>
  </si>
  <si>
    <t>Avenida Alfonso Ugarte, 619, Lima, Lima Metropolitana, Lima, 15082, Perú, (Ruta4507nueva era 23-10-23)</t>
  </si>
  <si>
    <t>Avenida Alfonso Ugarte, 619, Lima, Lima Metropolitana, Lima, 15082, Perú</t>
  </si>
  <si>
    <t>Avenida Alfonso Ugarte, 912, Breña, Lima Metropolitana, Lima, 15082, Perú</t>
  </si>
  <si>
    <t>Avenida Alfonso Ugarte, 1006, Lima, Lima Metropolitana, Lima, 15082, Perú</t>
  </si>
  <si>
    <t>Avenida Alfonso Ugarte, Breña, Lima Metropolitana, Lima, 15082, Perú, (S01Alfonso Ugarte/ Metro)</t>
  </si>
  <si>
    <t>Avenida Alfonso Ugarte, 494, Breña, Lima Metropolitana, Lima, 15083, Perú, (Ruta4507nueva era 23-10-23)</t>
  </si>
  <si>
    <t>Jirón Palca, Lima, Lima Metropolitana, Lima, 15083, Perú</t>
  </si>
  <si>
    <t>Avenida Guzmán Blanco, 439, Lima, Lima Metropolitana, Lima, 15046, Perú</t>
  </si>
  <si>
    <t>Avenida Guzmán Blanco, 545, Lima, Lima Metropolitana, Lima, 15046, Perú</t>
  </si>
  <si>
    <t>Avenida Guzmán Blanco, Lima, Lima Metropolitana, Lima, 15083, Perú</t>
  </si>
  <si>
    <t>Avenida Paseo de la República, Lima, Lima Metropolitana, Lima, 15083, Perú</t>
  </si>
  <si>
    <t>Avenida Paseo de la República, 683, La Victoria, Lima Metropolitana, Lima, 15083, Perú</t>
  </si>
  <si>
    <t>Avenida Almirante Miguel Grau, 1294, Lima, Lima Metropolitana, Lima, 15011, Perú, (Ruta4507nueva era 23-10-23)</t>
  </si>
  <si>
    <t>Avenida Almirante Miguel Grau, 1400, Lima, Lima Metropolitana, Lima, 15011, Perú, (Ruta4507nueva era 23-10-23)</t>
  </si>
  <si>
    <t>Avenida Almirante Miguel Grau, Lima, Lima Metropolitana, Lima, 15011, Perú, (Ruta4507nueva era 23-10-23)</t>
  </si>
  <si>
    <t>Calle Lluta, Lima, Lima Metropolitana, Lima, 15011, Perú</t>
  </si>
  <si>
    <t>Prolongación Avenida San Pablo, Lima, Lima Metropolitana, Lima, 15011, Perú</t>
  </si>
  <si>
    <t>Avenida Inca Garcilazo de la Vega, Lima, Lima Metropolitana, Lima, 15004, Perú</t>
  </si>
  <si>
    <t>Calle Angel Cepollini, San Luis, Lima Metropolitana, Lima, 15019, Perú</t>
  </si>
  <si>
    <t>Auxiliar Avenida Circunvalación, La Victoria, Lima Metropolitana, Lima, 15019, Perú</t>
  </si>
  <si>
    <t>Avenida Nicolás Arriola, San Luis, Lima Metropolitana, Lima, 15019, Perú, (RUTA DESVIO TEM.  4507)</t>
  </si>
  <si>
    <t>Avenida Nicolás de Ayllón, Lado d 1820, San Luis, Lima Metropolitana, Lima, 15019, Perú, (RUTA DESVIO TEM.  4507)</t>
  </si>
  <si>
    <t>Avenida De Las Torres, San Luis, Lima Metropolitana, Lima, 15022, Perú, (Ruta4507nueva era 23-10-23, RUTA DESVIO TEM.  4507)</t>
  </si>
  <si>
    <t>49 km/h</t>
  </si>
  <si>
    <t>Avenida Nicolás de Ayllón, 1912, Ate, Lima Metropolitana, Lima, 15002, Perú, (Ruta4507nueva era 23-10-23, RUTA DESVIO TEM.  4507)</t>
  </si>
  <si>
    <t>Avenida Nicolás de Ayllón, Ate, Lima Metropolitana, Lima, 15002, Perú, (Ruta4507nueva era 23-10-23)</t>
  </si>
  <si>
    <t>Avenida Nicolás de Ayllón, Ate, Lima Metropolitana, Lima, 15008, Perú</t>
  </si>
  <si>
    <t>Avenida Nicolás de Ayllón, Ate, Lima Metropolitana, Lima, 15008, Perú, (Ruta4507nueva era 23-10-23, RUTA DESVIO TEM.  4507)</t>
  </si>
  <si>
    <t>Avenida La Molina, Ate, Lima Metropolitana, Lima, 15008, Perú, (Ruta4507nueva era 23-10-23)</t>
  </si>
  <si>
    <t>Avenida Nicolás de Ayllón, Ate, Lima Metropolitana, Lima, 15009, Perú, (Ruta4507nueva era 23-10-23)</t>
  </si>
  <si>
    <t>Ate, Lima Metropolitana, Lima, 15009, Perú, (Ruta4507nueva era 23-10-23)</t>
  </si>
  <si>
    <t>Avenida Simón Bolivar, Ate, Lima Metropolitana, Lima, 15498, Perú, (Ruta4507nueva era 23-10-23)</t>
  </si>
  <si>
    <t>Victor Raul Haya de la Torre, Ate, Lima Metropolitana, Lima, 15498, Perú, (Ruta4507nueva era 23-10-23, RUTA DESVIO TEM.  4507)</t>
  </si>
  <si>
    <t>Avenida José Carlos Mariátegui, Ate, Lima Metropolitana, Lima, 15498, Perú, (S05Vitarte/ ALT. Hospital, Ruta4507nueva era 23-10-23, RUTA DESVIO TEM.  4507)</t>
  </si>
  <si>
    <t>Avenida Nicolás de Ayllón, Ate, Lima Metropolitana, Lima, 15498, Perú, (S05Vitarte/ ALT. Hospital, Ruta4507nueva era 23-10-23, RUTA DESVIO TEM.  4507)</t>
  </si>
  <si>
    <t>Avenida Nicolás de Ayllón, 5880, Ate, Lima Metropolitana, Lima, 15498, Perú, (S05Vitarte/ ALT. Hospital, Ruta4507nueva era 23-10-23)</t>
  </si>
  <si>
    <t>Avenida Nicolás de Ayllón, 6376, Ate, Lima Metropolitana, Lima, 15498, Perú, (Ruta4507nueva era 23-10-23, RUTA DESVIO TEM.  4507)</t>
  </si>
  <si>
    <t>Avenida Nicolás de Ayllón, 836, Ate, Lima Metropolitana, Lima, 15487, Perú, (Ruta4507nueva era 23-10-23)</t>
  </si>
  <si>
    <t>Avenida Jaime Zubieta Calderón, Ate, Lima Metropolitana, Lima, 15483, Perú, (Ruta4507nueva era 23-10-23)</t>
  </si>
  <si>
    <t>Avenida Nicolás Ayllón, 161 C, Chaclacayo, Lima Metropolitana, Lima, 15464, Perú, (Ruta4507nueva era 23-10-23)</t>
  </si>
  <si>
    <t>Avenida Nicolás Ayllón, 161 C, Chaclacayo, Lima Metropolitana, Lima, 15472, Perú, (Ruta4507nueva era 23-10-23)</t>
  </si>
  <si>
    <t>Avenida Nicolás Ayllón, 2274, Chaclacayo, Lima Metropolitana, Lima, 15472, Perú, (Ruta4507nueva era 23-10-23)</t>
  </si>
  <si>
    <t>61 km/h</t>
  </si>
  <si>
    <t>Carretera Central, Lurigancho, Lima Metropolitana, Lima, 15472, Perú, (Ruta4507nueva era 23-10-23)</t>
  </si>
  <si>
    <t>Avenida Las Flores, Chosica, Lima Metropolitana, Lima, 15468, Perú, (Ruta4507nueva era 23-10-23)</t>
  </si>
  <si>
    <t>Avenida Lima Sur, 1471, Chosica, Lima Metropolitana, Lima, 15468, Perú, (Ruta4507nueva era 23-10-23)</t>
  </si>
  <si>
    <t>Avenida Lima Sur, 465, Chosica, Lima Metropolitana, Lima, 15468, Perú, (Ruta4507nueva era 23-10-23)</t>
  </si>
  <si>
    <t>Avenida Lima Sur, 465, Chosica, Lima Metropolitana, Lima, 15468, Perú</t>
  </si>
  <si>
    <t>Avenida Lima Norte, 180, Chosica, Lima Metropolitana, Lima, 15468, Perú, (Ruta4507nueva era 23-10-23)</t>
  </si>
  <si>
    <t>Avenida Lima Norte, 574, Santa Eulalia, Lima Metropolitana, Lima, 15468, Perú, (Ruta4507nueva era 23-10-23)</t>
  </si>
  <si>
    <t>Avenida Lima Norte, Santa Eulalia, Lima Metropolitana, Lima, 15468, Perú, (Ruta4507nueva era 23-10-23)</t>
  </si>
  <si>
    <t>Simón Bolívar, Ricardo Palma, Huarochirí, Lima, 15468, Perú, (Ruta4507nueva era 23-10-23)</t>
  </si>
  <si>
    <t>Avenida 5 de Setiembre, Ricardo Palma, Huarochirí, Lima, 15468, Perú, (Ruta4507nueva era 23-10-23)</t>
  </si>
  <si>
    <t>Avenida Lima Norte, 178, Chosica, Lima Metropolitana, Lima, 15468, Perú, (Ruta4507nueva era 23-10-23)</t>
  </si>
  <si>
    <t>Avenida Lima Sur, 765, Chosica, Lima Metropolitana, Lima, 15468, Perú, (Ruta4507nueva era 23-10-23)</t>
  </si>
  <si>
    <t>Avenida Lima Sur, Chosica, Lima Metropolitana, Lima, 15468, Perú, (Ruta4507nueva era 23-10-23)</t>
  </si>
  <si>
    <t>Avenida Lima Sur, 1254, Chosica, Lima Metropolitana, Lima, 15468, Perú, (Ruta4507nueva era 23-10-23)</t>
  </si>
  <si>
    <t>Avenida Malecón Manco Cápac, Chaclacayo, Lima Metropolitana, Lima, 15472, Perú</t>
  </si>
  <si>
    <t>Carretera Central, Chaclacayo, Lima Metropolitana, Lima, 15464, Perú</t>
  </si>
  <si>
    <t>Avenida Nicolás de Ayllón, 5880, Ate, Lima Metropolitana, Lima, 15498, Perú, (Ruta4507nueva era 23-10-23)</t>
  </si>
  <si>
    <t>Avenida Nicolás de Ayllón, 4351, Ate, Lima Metropolitana, Lima, 15498, Perú, (Ruta4507nueva era 23-10-23)</t>
  </si>
  <si>
    <t>Avenida Nicolás de Ayllón, 111, Santa Anita, Lima Metropolitana, Lima, 15008, Perú</t>
  </si>
  <si>
    <t>Avenida Nicolás de Ayllón, 111, Santa Anita, Lima Metropolitana, Lima, 15008, Perú, (Ruta4507nueva era 23-10-23)</t>
  </si>
  <si>
    <t>Avenida Nicolás de Ayllón, Ate, Lima Metropolitana, Lima, 15022, Perú, (Ruta4507nueva era 23-10-23, RUTA DESVIO TEM.  4507)</t>
  </si>
  <si>
    <t>Calle Ollanta, San Luis, Lima Metropolitana, Lima, 15019, Perú</t>
  </si>
  <si>
    <t>Jirón Junín, El Agustino, Lima Metropolitana, Lima, 15003, Perú</t>
  </si>
  <si>
    <t>Avenida Almirante Miguel Grau, Lima, Lima Metropolitana, Lima, 15003, Perú</t>
  </si>
  <si>
    <t>Avenida Almirante Miguel Grau, 1796, Lima, Lima Metropolitana, Lima, 15003, Perú</t>
  </si>
  <si>
    <t>Jirón Conchucos, 996, Lima, Lima Metropolitana, Lima, 15003, Perú</t>
  </si>
  <si>
    <t>Avenida Almirante Miguel Grau, 1864, Lima, Lima Metropolitana, Lima, 15011, Perú</t>
  </si>
  <si>
    <t>Avenida Almirante Miguel Grau, 1832, Lima, Lima Metropolitana, Lima, 15011, Perú</t>
  </si>
  <si>
    <t>Avenida Almirante Miguel Grau, 1299, Lima, Lima Metropolitana, Lima, 15011, Perú, (Ruta4507nueva era 23-10-23)</t>
  </si>
  <si>
    <t>Avenida Almirante Miguel Grau, La Victoria, Lima Metropolitana, Lima, 15001, Perú, (Ruta4507nueva era 23-10-23)</t>
  </si>
  <si>
    <t>Avenida Almirante Miguel Grau, 113, Lima, Lima Metropolitana, Lima, 15001, Perú, (Ruta4507nueva era 23-10-23)</t>
  </si>
  <si>
    <t>Metropolitano, Lima, Lima Metropolitana, Lima, 15083, Perú, (Ruta4507nueva era 23-10-23)</t>
  </si>
  <si>
    <t>Avenida 28 de Julio, 1056, Jesús María, Lima Metropolitana, Lima, 15083, Perú</t>
  </si>
  <si>
    <t>Avenida 28 de Julio, 772, Lima, Lima Metropolitana, Lima, 15083, Perú</t>
  </si>
  <si>
    <t>Avenida Guzmán Blanco, 445, Lima, Lima Metropolitana, Lima, 15083, Perú</t>
  </si>
  <si>
    <t>Avenida Alfonso Ugarte, 1029, Lima, Lima Metropolitana, Lima, 15082, Perú, (S01Alfonso Ugarte/ Metro)</t>
  </si>
  <si>
    <t>Avenida Alfonso Ugarte, Cdra. 9, Lima, Lima Metropolitana, Lima, 15082, Perú, (Ruta4507nueva era 23-10-23)</t>
  </si>
  <si>
    <t>Jirón Davalos Lisson, Lima, Lima Metropolitana, Lima, 15001, Perú</t>
  </si>
  <si>
    <t>Avenida Alfonso Ugarte, Cdra. 9, Lima, Lima Metropolitana, Lima, 15082, Perú</t>
  </si>
  <si>
    <t>Larraburre, 198, Lima, Lima Metropolitana, Lima, 15082, Perú</t>
  </si>
  <si>
    <t>Avenida Alfonso Ugarte, Lima, Lima Metropolitana, Lima, 15082, Perú, (Ruta4507nueva era 23-10-23)</t>
  </si>
  <si>
    <t>Jirón Huarochirí, 643, Lima, Lima Metropolitana, Lima, 15082, Perú, (Ruta4507nueva era 23-10-23)</t>
  </si>
  <si>
    <t>Avenida Alfonso Ugarte, Lima, Lima Metropolitana, Lima, 15082, Perú</t>
  </si>
  <si>
    <t>Avenida Alfonso Ugarte, Breña, Lima Metropolitana, Lima, 15082, Perú, (Ruta4507nueva era 23-10-23)</t>
  </si>
  <si>
    <t>Avenida Alfonso Ugarte, 1378, Breña, Lima Metropolitana, Lima, 15083, Perú, (Ruta4507nueva era 23-10-23)</t>
  </si>
  <si>
    <t>Plaza Francisco Bolognesi, 590, Jesús María, Lima Metropolitana, Lima, 15083, Perú, (Ruta4507nueva era 23-10-23)</t>
  </si>
  <si>
    <t>Lima, Lima Metropolitana, Lima, 15083, Perú</t>
  </si>
  <si>
    <t>Jirón Chincha, Lima, Lima Metropolitana, Lima, 15083, Perú</t>
  </si>
  <si>
    <t>Avenida Guzmán Blanco, 507, Lima, Lima Metropolitana, Lima, 15046, Perú</t>
  </si>
  <si>
    <t>Avenida República de Chile, Jesús María, Lima Metropolitana, Lima, 15083, Perú</t>
  </si>
  <si>
    <t>Avenida Garcilazo de la Vega, Lima, Lima Metropolitana, Lima, 15083, Perú</t>
  </si>
  <si>
    <t>Avenida Petit Thouars, 115, Lima, Lima Metropolitana, Lima, 15083, Perú</t>
  </si>
  <si>
    <t>Avenida 28 de Julio, 970, Jesús María, Lima Metropolitana, Lima, 15083, Perú</t>
  </si>
  <si>
    <t>Avenida Almirante Miguel Grau, 800, La Victoria, Lima Metropolitana, Lima, 15011, Perú, (Ruta4507nueva era 23-10-23)</t>
  </si>
  <si>
    <t>Avenida Almirante Miguel Grau, 1027, Lima, Lima Metropolitana, Lima, 15011, Perú, (Ruta4507nueva era 23-10-23)</t>
  </si>
  <si>
    <t>Avenida Almirante Miguel Grau, 854, La Victoria, Lima Metropolitana, Lima, 15011, Perú, (Ruta4507nueva era 23-10-23)</t>
  </si>
  <si>
    <t>Vía Expresa Almirante Miguel Grau, La Victoria, Lima Metropolitana, Lima, 15011, Perú, (Ruta4507nueva era 23-10-23)</t>
  </si>
  <si>
    <t>Prolongación Avenida San Pablo, Lima, Lima Metropolitana, Lima, 15011, Perú, (Ruta4507nueva era 23-10-23)</t>
  </si>
  <si>
    <t>Avenida Nicolás de Ayllón, La Victoria, Lima Metropolitana, Lima, 15019, Perú, (S03 Nicolas Ayllon/ Mexico, Ruta4507nueva era 23-10-23)</t>
  </si>
  <si>
    <t>Avenida Circunvalación, San Luis, Lima Metropolitana, Lima, 15019, Perú</t>
  </si>
  <si>
    <t>Avenida Santa Ana, Ate, Lima Metropolitana, Lima, 15022, Perú, (Ruta4507nueva era 23-10-23, RUTA DESVIO TEM.  4507)</t>
  </si>
  <si>
    <t>Vía de Evitamiento, Ate, Lima Metropolitana, Lima, 15008, Perú, (Ruta4507nueva era 23-10-23, RUTA DESVIO TEM.  4507)</t>
  </si>
  <si>
    <t>Vía de Evitamiento, Ate, Lima Metropolitana, Lima, 15008, Perú</t>
  </si>
  <si>
    <t>Avenida Minería, Santa Anita, Lima Metropolitana, Lima, 15008, Perú, (Ruta4507nueva era 23-10-23, RUTA DESVIO TEM.  4507)</t>
  </si>
  <si>
    <t>Avenida Minería, Santa Anita, Lima Metropolitana, Lima, 15008, Perú</t>
  </si>
  <si>
    <t>Pasaje Santa Rosa, Ate, Lima Metropolitana, Lima, 15008, Perú, (Ruta4507nueva era 23-10-23)</t>
  </si>
  <si>
    <t>Avenida Nicolás de Ayllón, C 32, Ate, Lima Metropolitana, Lima, 15008, Perú, (Ruta4507nueva era 23-10-23)</t>
  </si>
  <si>
    <t>Avenida Nicolás de Ayllón, Santa Anita, Lima Metropolitana, Lima, 00051, Perú, (Ruta4507nueva era 23-10-23)</t>
  </si>
  <si>
    <t>Avenida Asturias, Ate, Lima Metropolitana, Lima, 00051, Perú, (Ruta4507nueva era 23-10-23)</t>
  </si>
  <si>
    <t>Avenida José Carlos Mariátegui, 5880, Ate, Lima Metropolitana, Lima, 15498, Perú, (S05Vitarte/ ALT. Hospital)</t>
  </si>
  <si>
    <t>Calle El Trabajo, Ate, Lima Metropolitana, Lima, 15498, Perú, (Ruta4507nueva era 23-10-23, RUTA DESVIO TEM.  4507)</t>
  </si>
  <si>
    <t>Calle El Trabajo, Ate, Lima Metropolitana, Lima, 15498, Perú, (Ruta4507nueva era 23-10-23)</t>
  </si>
  <si>
    <t>Carretera Central, Ate, Lima Metropolitana, Lima, 15474, Perú, (Horacio Zeballos)</t>
  </si>
  <si>
    <t>Carretera Central, Ate, Lima Metropolitana, Lima, 15483, Perú, (Ruta4507nueva era 23-10-23)</t>
  </si>
  <si>
    <t>Avenida Nicolás Ayllón, 2032, Chaclacayo, Lima Metropolitana, Lima, 15472, Perú, (Ruta4507nueva era 23-10-23)</t>
  </si>
  <si>
    <t>Chaclacayo, Lima Metropolitana, Lima, 15472, Perú, (Ruta4507nueva era 23-10-23)</t>
  </si>
  <si>
    <t>Jirón Chucuito, 187, Chosica, Lima Metropolitana, Lima, 15468, Perú, (Ruta4507nueva era 23-10-23)</t>
  </si>
  <si>
    <t>Avenida Lima Sur, 824, Chosica, Lima Metropolitana, Lima, 15468, Perú</t>
  </si>
  <si>
    <t>Avenida Lima Sur, 765, Chosica, Lima Metropolitana, Lima, 15468, Perú</t>
  </si>
  <si>
    <t>Jirón Trujillo Sur, Chosica, Lima Metropolitana, Lima, 15468, Perú</t>
  </si>
  <si>
    <t>Jirón Trujillo Sur, Chosica, Lima Metropolitana, Lima, 15468, Perú, (Ruta4507nueva era 23-10-23)</t>
  </si>
  <si>
    <t>Jirón Tacna, Chosica, Lima Metropolitana, Lima, 15468, Perú</t>
  </si>
  <si>
    <t>Jirón Tacna, Chosica, Lima Metropolitana, Lima, 15468, Perú, (Ruta4507nueva era 23-10-23)</t>
  </si>
  <si>
    <t>Avenida Lima Sur, 824, Chosica, Lima Metropolitana, Lima, 15468, Perú, (Ruta4507nueva era 23-10-23)</t>
  </si>
  <si>
    <t>Avenida Lima Sur, Chosica, Lima Metropolitana, Lima, 15468, Perú, (S09 CHOSICA/ PEDREGAL, Ruta4507nueva era 23-10-23)</t>
  </si>
  <si>
    <t>Avenida Lima Sur, 1205, Chosica, Lima Metropolitana, Lima, 15468, Perú, (Ruta4507nueva era 23-10-23)</t>
  </si>
  <si>
    <t>Calle Los Plátanos, Chosica, Lima Metropolitana, Lima, 15468, Perú, (Ruta4507nueva era 23-10-23)</t>
  </si>
  <si>
    <t>Ate, Lima Metropolitana, Lima, 15498, Perú, (Ruta4507nueva era 23-10-23)</t>
  </si>
  <si>
    <t>Avenida Bernardino Rivadavia, Ate, Lima Metropolitana, Lima, 15498, Perú, (RUTA DESVIO TEM.  4507)</t>
  </si>
  <si>
    <t>Prolongación Javier Prado Este, Ate, Lima Metropolitana, Lima, 15498, Perú, (RUTA DESVIO TEM.  4507)</t>
  </si>
  <si>
    <t>Calle Los Higos, Ate, Lima Metropolitana, Lima, 15498, Perú, (RUTA DESVIO TEM.  4507)</t>
  </si>
  <si>
    <t>Avenida Metropolitana, Ate, Lima Metropolitana, Lima, 15498, Perú</t>
  </si>
  <si>
    <t>Santa Anita, Lima Metropolitana, Lima, 15009, Perú, (RUTA DESVIO TEM.  4507)</t>
  </si>
  <si>
    <t>Avenida Huancaray, Santa Anita, Lima Metropolitana, Lima, 15009, Perú, (RUTA DESVIO TEM.  4507)</t>
  </si>
  <si>
    <t>Avenida Huancaray, Santa Anita, Lima Metropolitana, Lima, 15009, Perú, (S04 AV. Metropolitana / Colectora Industrial, RUTA DESVIO TEM.  4507)</t>
  </si>
  <si>
    <t>Avenida Huancaray, Santa Anita, Lima Metropolitana, Lima, 15008, Perú, (RUTA DESVIO TEM.  4507)</t>
  </si>
  <si>
    <t>Avenida Francisco Bolognesi, Santa Anita, Lima Metropolitana, Lima, 15008, Perú, (RUTA DESVIO TEM.  4507)</t>
  </si>
  <si>
    <t>Avenida Los Cipreses, Santa Anita, Lima Metropolitana, Lima, 15008, Perú, (RUTA DESVIO TEM.  4507)</t>
  </si>
  <si>
    <t>Avenida Nicolás de Ayllón, Santa Anita, Lima Metropolitana, Lima, 15008, Perú, (RUTA DESVIO TEM.  4507)</t>
  </si>
  <si>
    <t>Avenida Nicolás de Ayllón, Santa Anita, Lima Metropolitana, Lima, 15008, Perú, (Ruta4507nueva era 23-10-23, RUTA DESVIO TEM.  4507)</t>
  </si>
  <si>
    <t>Calle Santa Inés, Ate, Lima Metropolitana, Lima, 15008, Perú, (Ruta4507nueva era 23-10-23, RUTA DESVIO TEM.  4507)</t>
  </si>
  <si>
    <t>Avenida 7 de Junio, Santa Anita, Lima Metropolitana, Lima, 15008, Perú</t>
  </si>
  <si>
    <t>Avenida Los Cipreses, Santa Anita, Lima Metropolitana, Lima, 15002, Perú</t>
  </si>
  <si>
    <t>Avenida Los Cipreses, Santa Anita, Lima Metropolitana, Lima, 15002, Perú, (RUTA DESVIO TEM.  4507)</t>
  </si>
  <si>
    <t>Avenida Los Eucaliptos, Santa Anita, Lima Metropolitana, Lima, 15008, Perú, (RUTA DESVIO TEM.  4507)</t>
  </si>
  <si>
    <t>Avenida Santiago de Chuco, Santa Anita, Lima Metropolitana, Lima, 15008, Perú, (RUTA DESVIO TEM.  4507)</t>
  </si>
  <si>
    <t>Avenida Santa Rosa, Santa Anita, Lima Metropolitana, Lima, 15007, Perú, (RUTA DESVIO TEM.  4507)</t>
  </si>
  <si>
    <t>Avenida Huancaray, Santa Anita, Lima Metropolitana, Lima, 15007, Perú, (S04 AV. Metropolitana / Colectora Industrial, RUTA DESVIO TEM.  4507)</t>
  </si>
  <si>
    <t>Calle 50, Santa Anita, Lima Metropolitana, Lima, 15009, Perú, (RUTA DESVIO TEM.  4507)</t>
  </si>
  <si>
    <t>Calle 30, Santa Anita, Lima Metropolitana, Lima, 15009, Perú, (RUTA DESVIO TEM.  4507)</t>
  </si>
  <si>
    <t>Avenida Nicolás de Ayllón, Ate, Lima Metropolitana, Lima, 15487, Perú</t>
  </si>
  <si>
    <t>Avenida Gloria Grande, Ate, Lima Metropolitana, Lima, 15483, Perú, (Ruta4507nueva era 23-10-23)</t>
  </si>
  <si>
    <t>Avenida Nicolás Ayllón, 900, Chaclacayo, Lima Metropolitana, Lima, 15472, Perú, (Ruta4507nueva era 23-10-23)</t>
  </si>
  <si>
    <t>Jirón Sánchez Pinillos, 189, Lima, Lima Metropolitana, Lima, 15082, Perú, (Ruta4507nueva era 23-10-23)</t>
  </si>
  <si>
    <t>Calle Digoberto Ojeda, Ricardo Palma, Huarochirí, Lima, 15468, Perú</t>
  </si>
  <si>
    <t>Avenida Iquitos, Lima, Lima Metropolitana, Lima, 15001, Perú, (Ruta4507nueva era 23-10-23)</t>
  </si>
  <si>
    <t>Simón Bolívar, Ricardo Palma, Huarochirí, Lima, 15468, Perú</t>
  </si>
  <si>
    <t>Pasaje Gould, Lima, Lima Metropolitana, Lima, 15082, Perú, (PARADERO DESTINO ASCOPE)</t>
  </si>
  <si>
    <t>Lurigancho, Lima Metropolitana, Lima, 15472, Perú, (Ruta4507nueva era 23-10-23)</t>
  </si>
  <si>
    <t>Avenida Almirante Miguel Grau, 243, Lima, Lima Metropolitana, Lima, 15001, Perú, (Ruta4507nueva era 23-10-23)</t>
  </si>
  <si>
    <t>Abraham Valdelomar, Ricardo Palma, Huarochirí, Lima, 15468, Perú</t>
  </si>
  <si>
    <t>Avenida Lima Norte, Santa Eulalia, Huarochirí, Lima, 15468, Perú, (Ruta4507nueva era 23-10-23)</t>
  </si>
  <si>
    <t>Jirón Ascope, Lima, Lima Metropolitana, Lima, 15082, Perú, (PARADERO DESTINO ASCOPE, Ruta4507nueva era 23-10-23)</t>
  </si>
  <si>
    <t>Chosica, Lima Metropolitana, Lima, 15468, Perú</t>
  </si>
  <si>
    <t>Carretera Central, Ricardo Palma, Huarochirí, Lima, 15468, Perú</t>
  </si>
  <si>
    <t>Calle Beta, 234, Ate, Lima Metropolitana, Lima, 15498, Perú</t>
  </si>
  <si>
    <t>Calle Arequipa, Ate, Lima Metropolitana, Lima, 15498, Perú</t>
  </si>
  <si>
    <t>Avenida Alfonso Ugarte, 650, Lima, Lima Metropolitana, Lima, 15082, Perú, (Ruta4507nueva era 23-10-23)</t>
  </si>
  <si>
    <t>Avenida Los Incas, Ate, Lima Metropolitana, Lima, 15483, Perú</t>
  </si>
  <si>
    <t>Avenida Los Incas, 205, Ate, Lima Metropolitana, Lima, 15483, Perú</t>
  </si>
  <si>
    <t>Calle Alameda Ñaña, Lurigancho, Lima Metropolitana, Lima, 15474, Perú</t>
  </si>
  <si>
    <t>Jirón Cornelio Borda, Breña, Lima Metropolitana, Lima, 15082, Perú, (Ruta4507nueva era 23-10-23)</t>
  </si>
  <si>
    <t>Jirón Cornelio Borda, Breña, Lima Metropolitana, Lima, 15082, Perú</t>
  </si>
  <si>
    <t>Avenida Óscar Raimundo Benavides, 213, Lima, Lima Metropolitana, Lima, 15082, Perú</t>
  </si>
  <si>
    <t>Carretera Central, Ate, Lima Metropolitana, Lima, 15483, Perú</t>
  </si>
  <si>
    <t>Avenida Las Retamas, Chaclacayo, Lima Metropolitana, Lima, 15474, Perú</t>
  </si>
  <si>
    <t>Vista Alegre, Ate, Lima Metropolitana, Lima, 15498, Perú</t>
  </si>
  <si>
    <t>Pasaje 14, Chaclacayo, Lima Metropolitana, Lima, 15476, Perú</t>
  </si>
  <si>
    <t>Calle Alhelíes, Chaclacayo, Lima Metropolitana, Lima, 15476, Perú</t>
  </si>
  <si>
    <t>Jirón Arequipa, 208, Chosica, Lima Metropolitana, Lima, 15468, Perú</t>
  </si>
  <si>
    <t>Avenida 5 de Setiembre, Ricardo Palma, Huarochirí, Lima, 15468, Perú</t>
  </si>
  <si>
    <t>Avenida Huancaray, Santa Anita, Lima Metropolitana, Lima, 15009, Perú</t>
  </si>
  <si>
    <t>Avenida Metropolitana, Santa Anita, Lima Metropolitana, Lima, 15009, Perú</t>
  </si>
  <si>
    <t>Avenida de La Cultura, Santa Anita, Lima Metropolitana, Lima, 15009, Perú</t>
  </si>
  <si>
    <t>Avenida Ferrocarril, Ate, Lima Metropolitana, Lima, 15498, Perú</t>
  </si>
  <si>
    <t>Avenida Los Rosales, Ate, Lima Metropolitana, Lima, 15008, Perú, (Ruta4507nueva era 23-10-23)</t>
  </si>
  <si>
    <t>Avenida Nicolás Ayllón, Ate, Lima Metropolitana, Lima, 15019, Perú, (Ruta4507nueva era 23-10-23)</t>
  </si>
  <si>
    <t>Jirón Sicaya, 110, Ate, Lima Metropolitana, Lima, 15019, Perú</t>
  </si>
  <si>
    <t>Avenida 26 de Julio, Ate, Lima Metropolitana, Lima, 15019, Perú</t>
  </si>
  <si>
    <t>Calle Ollanta, Ate, Lima Metropolitana, Lima, 15019, Perú</t>
  </si>
  <si>
    <t>Inca Garcilaso de la Vega, Lima, Lima Metropolitana, Lima, 15019, Perú</t>
  </si>
  <si>
    <t>Calle Ollanta, Lima, Lima Metropolitana, Lima, 15019, Perú</t>
  </si>
  <si>
    <t>Avenida Inca Garcilazo de la Vega, Lima, Lima Metropolitana, Lima, 15004, Perú, (Ruta4507nueva era 23-10-23)</t>
  </si>
  <si>
    <t>Avenida Nicolás de Ayllón, Lima, Lima Metropolitana, Lima, 15004, Perú, (Ruta4507nueva era 23-10-23)</t>
  </si>
  <si>
    <t>Calle Andrés Avelino Cáceres, El Agustino, Lima Metropolitana, Lima, 15004, Perú</t>
  </si>
  <si>
    <t>Prolongación Alfonso Ugarte, El Agustino, Lima Metropolitana, Lima, 15004, Perú</t>
  </si>
  <si>
    <t>Jirón Junín, El Agustino, Lima Metropolitana, Lima, 15011, Perú</t>
  </si>
  <si>
    <t>Avenida Almirante Miguel Grau, 1804, Lima, Lima Metropolitana, Lima, 15011, Perú</t>
  </si>
  <si>
    <t>Avenida Almirante Miguel Grau, 650, La Victoria, Lima Metropolitana, Lima, 15001, Perú, (Ruta4507nueva era 23-10-23)</t>
  </si>
  <si>
    <t>Avenida Almirante Miguel Grau, 384, La Victoria, Lima Metropolitana, Lima, 15001, Perú, (Ruta4507nueva era 23-10-23)</t>
  </si>
  <si>
    <t>Avenida 28 de Julio, 715, Jesús María, Lima Metropolitana, Lima, 15083, Perú</t>
  </si>
  <si>
    <t>Jirón Washington, 1938, Lima, Lima Metropolitana, Lima, 15083, Perú</t>
  </si>
  <si>
    <t>Avenida Óscar Raimundo Benavides, 100, Lima, Lima Metropolitana, Lima, 15082, Perú</t>
  </si>
  <si>
    <t>Avenida Alfonso Ugarte, 601, Lima, Lima Metropolitana, Lima, 15082, Perú, (Ruta4507nueva era 23-10-23)</t>
  </si>
  <si>
    <t>Avenida Santa Rosa, El Agustino, Lima Metropolitana, Lima, 15002, Perú, (Ruta4507nueva era 23-10-23, RUTA DESVIO TEM.  4507)</t>
  </si>
  <si>
    <t>Santo Domingo, El Agustino, Lima Metropolitana, Lima, 15004, Perú</t>
  </si>
  <si>
    <t>Avenida Nicolás Ayllón, Chaclacayo, Lima Metropolitana, Lima, 15472, Perú</t>
  </si>
  <si>
    <t>Avenida Lima Sur, Chosica, Lima Metropolitana, Lima, 15468, Perú</t>
  </si>
  <si>
    <t>Avenida Las Flores, Lurigancho, Lima Metropolitana, Lima, 15468, Perú, (Ruta4507nueva era 23-10-23)</t>
  </si>
  <si>
    <t>Avenida Andrés Avelino Cáceres, Ate, Lima Metropolitana, Lima, 15483, Perú</t>
  </si>
  <si>
    <t>Ricardo Palma, Huarochirí, Lima, 15468, Perú</t>
  </si>
  <si>
    <t>Avenida José Carlos Mariátegui, Ricardo Palma, Huarochirí, Lima, 15468, Perú, (CURVA RICARDO PALMA, Ruta4507nueva era 23-10-23)</t>
  </si>
  <si>
    <t>Jirón Cornelio Borda, Lima, Lima Metropolitana, Lima, 15082, Perú</t>
  </si>
  <si>
    <t>Avenida Alfonso Ugarte, 650, Lima, Lima Metropolitana, Lima, 15082, Perú</t>
  </si>
  <si>
    <t>Avenida Primavera, Ate, Lima Metropolitana, Lima, 15483, Perú</t>
  </si>
  <si>
    <t>Jirón Los Próceres, Santa Eulalia, Huarochirí, Lima, 15468, Perú</t>
  </si>
  <si>
    <t>Avenida Lima Norte, Santa Eulalia, Huarochirí, Lima, 15468, Perú</t>
  </si>
  <si>
    <t>Avenida Almirante Miguel Grau, 351, La Victoria, Lima Metropolitana, Lima, 15001, Perú, (Ruta4507nueva era 23-10-23)</t>
  </si>
  <si>
    <t>98 km/h</t>
  </si>
  <si>
    <t>Grifo La Joya, Ate, Lima Metropolitana, Lima, 15487, Perú</t>
  </si>
  <si>
    <t>Calle Junín, Ate, Lima Metropolitana, Lima, 15487, Perú</t>
  </si>
  <si>
    <t>Calle 5, Santa Eulalia, Lima Metropolitana, Lima, 15468, Perú</t>
  </si>
  <si>
    <t>Calle 6, Santa Eulalia, Huarochirí, Lima, 15468, Perú</t>
  </si>
  <si>
    <t>Jirón Huarochirí, Lima, Lima Metropolitana, Lima, 15082, Perú, (Ruta4507nueva era 23-10-23)</t>
  </si>
  <si>
    <t>Jirón Miguel de los Ríos, 149, La Victoria, Lima Metropolitana, Lima, 15001, Perú</t>
  </si>
  <si>
    <t>Chaclacayo, Lima Metropolitana, Lima, 15476, Perú</t>
  </si>
  <si>
    <t>Avenida Zubiate, Ate, Lima Metropolitana, Lima, 15483, Perú</t>
  </si>
  <si>
    <t>Avenida Los Incas, Ate, Lima Metropolitana, Lima, 15474, Perú</t>
  </si>
  <si>
    <t>Avenida Imperial, Santa Anita, Lima Metropolitana, Lima, 15007, Perú</t>
  </si>
  <si>
    <t>Avenida De Las Torres, San Luis, Lima Metropolitana, Lima, 15022, Perú</t>
  </si>
  <si>
    <t>Avenida José Carlos Mariátegui, Ate, Lima Metropolitana, Lima, 15474, Perú</t>
  </si>
  <si>
    <t>Avenida El Pozo, Ate, Lima Metropolitana, Lima, 15474, Perú</t>
  </si>
  <si>
    <t>109 km/h</t>
  </si>
  <si>
    <t>Jirón Arequipa, 214;218, Chosica, Lima Metropolitana, Lima, 15468, Perú</t>
  </si>
  <si>
    <t>99 km/h</t>
  </si>
  <si>
    <t>Avenida Paseo de la República, 385, La Victoria, Lima Metropolitana, Lima, 15001, Perú</t>
  </si>
  <si>
    <t>86 km/h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</si>
  <si>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</si>
  <si>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</si>
  <si>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</si>
  <si>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</si>
  <si>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</si>
  <si>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</si>
  <si>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</si>
  <si>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</si>
  <si>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</si>
  <si>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</si>
  <si>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</si>
  <si>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</si>
  <si>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</si>
  <si>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</si>
  <si>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</si>
  <si>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</si>
  <si>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</si>
  <si>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</si>
  <si>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</si>
  <si>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</si>
  <si>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</si>
  <si>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</si>
  <si>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</si>
  <si>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</si>
  <si>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</si>
  <si>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</si>
  <si>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</si>
  <si>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</si>
  <si>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</si>
  <si>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</si>
  <si>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</si>
  <si>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</si>
  <si>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</si>
  <si>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</si>
  <si>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</si>
  <si>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</si>
  <si>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</si>
  <si>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</si>
  <si>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</si>
  <si>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</si>
  <si>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</si>
  <si>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</si>
  <si>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</si>
  <si>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</si>
  <si>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</si>
  <si>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</si>
  <si>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</si>
  <si>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</si>
  <si>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</si>
  <si>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</si>
  <si>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</si>
  <si>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</si>
  <si>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</si>
  <si>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</si>
  <si>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</si>
  <si>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</si>
  <si>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</si>
  <si>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</si>
  <si>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</si>
  <si>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Nombre de objeto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</si>
</sst>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430"/>
  <sheetViews>
    <sheetView tabSelected="1" workbookViewId="0">
      <selection activeCell="A5" sqref="A5:J5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</row>
    <row r="7" spans="1:13" ht="30" x14ac:dyDescent="0.25">
      <c r="A7" s="2" t="s">
        <v>572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</row>
    <row r="8" spans="1:13" x14ac:dyDescent="0.25">
      <c r="A8" t="s">
        <v>513</v>
      </c>
      <c r="B8" s="3">
        <v>45715.220266203702</v>
      </c>
      <c r="C8" t="s">
        <v>17</v>
      </c>
      <c r="D8" s="3">
        <v>45715.926793981482</v>
      </c>
      <c r="E8" t="s">
        <v>17</v>
      </c>
      <c r="F8" s="4">
        <v>215.23400000000001</v>
      </c>
      <c r="G8" s="4">
        <v>516819.47100000002</v>
      </c>
      <c r="H8" s="4">
        <v>517034.70500000002</v>
      </c>
      <c r="I8" s="5">
        <f>12856 / 86400</f>
        <v>0.14879629629629629</v>
      </c>
      <c r="J8" t="s">
        <v>18</v>
      </c>
      <c r="K8" t="s">
        <v>19</v>
      </c>
      <c r="L8" s="5">
        <f>45035 / 86400</f>
        <v>0.52123842592592595</v>
      </c>
      <c r="M8" s="5">
        <f>41361 / 86400</f>
        <v>0.47871527777777778</v>
      </c>
    </row>
    <row r="9" spans="1:13" x14ac:dyDescent="0.25">
      <c r="A9" t="s">
        <v>514</v>
      </c>
      <c r="B9" s="3">
        <v>45715.009895833333</v>
      </c>
      <c r="C9" t="s">
        <v>20</v>
      </c>
      <c r="D9" s="3">
        <v>45715.92690972222</v>
      </c>
      <c r="E9" t="s">
        <v>20</v>
      </c>
      <c r="F9" s="4">
        <v>0</v>
      </c>
      <c r="G9" s="4">
        <v>20850.677</v>
      </c>
      <c r="H9" s="4">
        <v>20850.677</v>
      </c>
      <c r="I9" s="5">
        <f>59012 / 86400</f>
        <v>0.68300925925925926</v>
      </c>
      <c r="J9" t="s">
        <v>21</v>
      </c>
      <c r="K9" t="s">
        <v>21</v>
      </c>
      <c r="L9" s="5">
        <f>59119 / 86400</f>
        <v>0.68424768518518519</v>
      </c>
      <c r="M9" s="5">
        <f>27278 / 86400</f>
        <v>0.31571759259259258</v>
      </c>
    </row>
    <row r="10" spans="1:13" x14ac:dyDescent="0.25">
      <c r="A10" t="s">
        <v>515</v>
      </c>
      <c r="B10" s="3">
        <v>45715.262210648143</v>
      </c>
      <c r="C10" t="s">
        <v>22</v>
      </c>
      <c r="D10" s="3">
        <v>45715.888483796298</v>
      </c>
      <c r="E10" t="s">
        <v>22</v>
      </c>
      <c r="F10" s="4">
        <v>174.91899999999998</v>
      </c>
      <c r="G10" s="4">
        <v>330762.54300000001</v>
      </c>
      <c r="H10" s="4">
        <v>330937.462</v>
      </c>
      <c r="I10" s="5">
        <f>13023 / 86400</f>
        <v>0.15072916666666666</v>
      </c>
      <c r="J10" t="s">
        <v>23</v>
      </c>
      <c r="K10" t="s">
        <v>19</v>
      </c>
      <c r="L10" s="5">
        <f>38013 / 86400</f>
        <v>0.43996527777777777</v>
      </c>
      <c r="M10" s="5">
        <f>48379 / 86400</f>
        <v>0.55994212962962964</v>
      </c>
    </row>
    <row r="11" spans="1:13" x14ac:dyDescent="0.25">
      <c r="A11" t="s">
        <v>516</v>
      </c>
      <c r="B11" s="3">
        <v>45715.287210648152</v>
      </c>
      <c r="C11" t="s">
        <v>24</v>
      </c>
      <c r="D11" s="3">
        <v>45715.868807870371</v>
      </c>
      <c r="E11" t="s">
        <v>24</v>
      </c>
      <c r="F11" s="4">
        <v>183.18299999999999</v>
      </c>
      <c r="G11" s="4">
        <v>22331.138999999999</v>
      </c>
      <c r="H11" s="4">
        <v>22514.322</v>
      </c>
      <c r="I11" s="5">
        <f>14011 / 86400</f>
        <v>0.16216435185185185</v>
      </c>
      <c r="J11" t="s">
        <v>25</v>
      </c>
      <c r="K11" t="s">
        <v>26</v>
      </c>
      <c r="L11" s="5">
        <f>42154 / 86400</f>
        <v>0.48789351851851853</v>
      </c>
      <c r="M11" s="5">
        <f>44239 / 86400</f>
        <v>0.51202546296296292</v>
      </c>
    </row>
    <row r="12" spans="1:13" x14ac:dyDescent="0.25">
      <c r="A12" t="s">
        <v>517</v>
      </c>
      <c r="B12" s="3">
        <v>45715.247349537036</v>
      </c>
      <c r="C12" t="s">
        <v>27</v>
      </c>
      <c r="D12" s="3">
        <v>45715.940717592588</v>
      </c>
      <c r="E12" t="s">
        <v>27</v>
      </c>
      <c r="F12" s="4">
        <v>218.91800000000001</v>
      </c>
      <c r="G12" s="4">
        <v>515998.59700000001</v>
      </c>
      <c r="H12" s="4">
        <v>516217.51500000001</v>
      </c>
      <c r="I12" s="5">
        <f>15612 / 86400</f>
        <v>0.18069444444444444</v>
      </c>
      <c r="J12" t="s">
        <v>23</v>
      </c>
      <c r="K12" t="s">
        <v>26</v>
      </c>
      <c r="L12" s="5">
        <f>47919 / 86400</f>
        <v>0.55461805555555554</v>
      </c>
      <c r="M12" s="5">
        <f>38473 / 86400</f>
        <v>0.44528935185185187</v>
      </c>
    </row>
    <row r="13" spans="1:13" x14ac:dyDescent="0.25">
      <c r="A13" t="s">
        <v>518</v>
      </c>
      <c r="B13" s="3">
        <v>45715.329780092594</v>
      </c>
      <c r="C13" t="s">
        <v>24</v>
      </c>
      <c r="D13" s="3">
        <v>45715.839178240742</v>
      </c>
      <c r="E13" t="s">
        <v>24</v>
      </c>
      <c r="F13" s="4">
        <v>0.314</v>
      </c>
      <c r="G13" s="4">
        <v>93385.279999999999</v>
      </c>
      <c r="H13" s="4">
        <v>93385.593999999997</v>
      </c>
      <c r="I13" s="5">
        <f>297 / 86400</f>
        <v>3.4375E-3</v>
      </c>
      <c r="J13" t="s">
        <v>28</v>
      </c>
      <c r="K13" t="s">
        <v>29</v>
      </c>
      <c r="L13" s="5">
        <f>580 / 86400</f>
        <v>6.7129629629629631E-3</v>
      </c>
      <c r="M13" s="5">
        <f>85817 / 86400</f>
        <v>0.9932523148148148</v>
      </c>
    </row>
    <row r="14" spans="1:13" x14ac:dyDescent="0.25">
      <c r="A14" t="s">
        <v>519</v>
      </c>
      <c r="B14" s="3">
        <v>45715.2183912037</v>
      </c>
      <c r="C14" t="s">
        <v>17</v>
      </c>
      <c r="D14" s="3">
        <v>45715.932951388888</v>
      </c>
      <c r="E14" t="s">
        <v>17</v>
      </c>
      <c r="F14" s="4">
        <v>244.102</v>
      </c>
      <c r="G14" s="4">
        <v>140992.027</v>
      </c>
      <c r="H14" s="4">
        <v>141236.12899999999</v>
      </c>
      <c r="I14" s="5">
        <f>15015 / 86400</f>
        <v>0.17378472222222222</v>
      </c>
      <c r="J14" t="s">
        <v>25</v>
      </c>
      <c r="K14" t="s">
        <v>30</v>
      </c>
      <c r="L14" s="5">
        <f>49165 / 86400</f>
        <v>0.56903935185185184</v>
      </c>
      <c r="M14" s="5">
        <f>37228 / 86400</f>
        <v>0.43087962962962961</v>
      </c>
    </row>
    <row r="15" spans="1:13" x14ac:dyDescent="0.25">
      <c r="A15" t="s">
        <v>520</v>
      </c>
      <c r="B15" s="3">
        <v>45715</v>
      </c>
      <c r="C15" t="s">
        <v>31</v>
      </c>
      <c r="D15" s="3">
        <v>45715.99998842593</v>
      </c>
      <c r="E15" t="s">
        <v>32</v>
      </c>
      <c r="F15" s="4">
        <v>301.8987538909912</v>
      </c>
      <c r="G15" s="4">
        <v>351010.02262369834</v>
      </c>
      <c r="H15" s="4">
        <v>351331.26277248247</v>
      </c>
      <c r="I15" s="5">
        <f>0 / 86400</f>
        <v>0</v>
      </c>
      <c r="J15" t="s">
        <v>33</v>
      </c>
      <c r="K15" t="s">
        <v>34</v>
      </c>
      <c r="L15" s="5">
        <f>48771 / 86400</f>
        <v>0.56447916666666664</v>
      </c>
      <c r="M15" s="5">
        <f>37628 / 86400</f>
        <v>0.43550925925925926</v>
      </c>
    </row>
    <row r="16" spans="1:13" x14ac:dyDescent="0.25">
      <c r="A16" t="s">
        <v>521</v>
      </c>
      <c r="B16" s="3">
        <v>45715.169027777782</v>
      </c>
      <c r="C16" t="s">
        <v>35</v>
      </c>
      <c r="D16" s="3">
        <v>45715.657905092594</v>
      </c>
      <c r="E16" t="s">
        <v>35</v>
      </c>
      <c r="F16" s="4">
        <v>176.874</v>
      </c>
      <c r="G16" s="4">
        <v>485890.34100000001</v>
      </c>
      <c r="H16" s="4">
        <v>486067.21500000003</v>
      </c>
      <c r="I16" s="5">
        <f>14372 / 86400</f>
        <v>0.1663425925925926</v>
      </c>
      <c r="J16" t="s">
        <v>23</v>
      </c>
      <c r="K16" t="s">
        <v>26</v>
      </c>
      <c r="L16" s="5">
        <f>40262 / 86400</f>
        <v>0.46599537037037037</v>
      </c>
      <c r="M16" s="5">
        <f>46135 / 86400</f>
        <v>0.53396990740740746</v>
      </c>
    </row>
    <row r="17" spans="1:13" x14ac:dyDescent="0.25">
      <c r="A17" t="s">
        <v>522</v>
      </c>
      <c r="B17" s="3">
        <v>45715.275543981479</v>
      </c>
      <c r="C17" t="s">
        <v>36</v>
      </c>
      <c r="D17" s="3">
        <v>45715.88658564815</v>
      </c>
      <c r="E17" t="s">
        <v>37</v>
      </c>
      <c r="F17" s="4">
        <v>200.624</v>
      </c>
      <c r="G17" s="4">
        <v>510682.38500000001</v>
      </c>
      <c r="H17" s="4">
        <v>510883.00900000002</v>
      </c>
      <c r="I17" s="5">
        <f>16698 / 86400</f>
        <v>0.1932638888888889</v>
      </c>
      <c r="J17" t="s">
        <v>38</v>
      </c>
      <c r="K17" t="s">
        <v>39</v>
      </c>
      <c r="L17" s="5">
        <f>48804 / 86400</f>
        <v>0.56486111111111115</v>
      </c>
      <c r="M17" s="5">
        <f>37591 / 86400</f>
        <v>0.43508101851851849</v>
      </c>
    </row>
    <row r="18" spans="1:13" x14ac:dyDescent="0.25">
      <c r="A18" t="s">
        <v>523</v>
      </c>
      <c r="B18" s="3">
        <v>45715.236076388886</v>
      </c>
      <c r="C18" t="s">
        <v>40</v>
      </c>
      <c r="D18" s="3">
        <v>45715.92396990741</v>
      </c>
      <c r="E18" t="s">
        <v>40</v>
      </c>
      <c r="F18" s="4">
        <v>201.245</v>
      </c>
      <c r="G18" s="4">
        <v>409576.97399999999</v>
      </c>
      <c r="H18" s="4">
        <v>409778.24599999998</v>
      </c>
      <c r="I18" s="5">
        <f>20642 / 86400</f>
        <v>0.23891203703703703</v>
      </c>
      <c r="J18" t="s">
        <v>23</v>
      </c>
      <c r="K18" t="s">
        <v>41</v>
      </c>
      <c r="L18" s="5">
        <f>53415 / 86400</f>
        <v>0.61822916666666672</v>
      </c>
      <c r="M18" s="5">
        <f>32977 / 86400</f>
        <v>0.38167824074074075</v>
      </c>
    </row>
    <row r="19" spans="1:13" x14ac:dyDescent="0.25">
      <c r="A19" t="s">
        <v>524</v>
      </c>
      <c r="B19" s="3">
        <v>45715.290648148148</v>
      </c>
      <c r="C19" t="s">
        <v>42</v>
      </c>
      <c r="D19" s="3">
        <v>45715.717199074075</v>
      </c>
      <c r="E19" t="s">
        <v>42</v>
      </c>
      <c r="F19" s="4">
        <v>103.83499999999999</v>
      </c>
      <c r="G19" s="4">
        <v>439413.05800000002</v>
      </c>
      <c r="H19" s="4">
        <v>439516.89299999998</v>
      </c>
      <c r="I19" s="5">
        <f>8393 / 86400</f>
        <v>9.7141203703703702E-2</v>
      </c>
      <c r="J19" t="s">
        <v>43</v>
      </c>
      <c r="K19" t="s">
        <v>26</v>
      </c>
      <c r="L19" s="5">
        <f>23859 / 86400</f>
        <v>0.27614583333333331</v>
      </c>
      <c r="M19" s="5">
        <f>62538 / 86400</f>
        <v>0.72381944444444446</v>
      </c>
    </row>
    <row r="20" spans="1:13" x14ac:dyDescent="0.25">
      <c r="A20" t="s">
        <v>525</v>
      </c>
      <c r="B20" s="3">
        <v>45715.294965277775</v>
      </c>
      <c r="C20" t="s">
        <v>44</v>
      </c>
      <c r="D20" s="3">
        <v>45715.895208333328</v>
      </c>
      <c r="E20" t="s">
        <v>44</v>
      </c>
      <c r="F20" s="4">
        <v>196.79999999999998</v>
      </c>
      <c r="G20" s="4">
        <v>57048.37</v>
      </c>
      <c r="H20" s="4">
        <v>57245.17</v>
      </c>
      <c r="I20" s="5">
        <f>18105 / 86400</f>
        <v>0.20954861111111112</v>
      </c>
      <c r="J20" t="s">
        <v>45</v>
      </c>
      <c r="K20" t="s">
        <v>39</v>
      </c>
      <c r="L20" s="5">
        <f>48185 / 86400</f>
        <v>0.55769675925925921</v>
      </c>
      <c r="M20" s="5">
        <f>38211 / 86400</f>
        <v>0.44225694444444447</v>
      </c>
    </row>
    <row r="21" spans="1:13" x14ac:dyDescent="0.25">
      <c r="A21" t="s">
        <v>526</v>
      </c>
      <c r="B21" s="3">
        <v>45715.255543981482</v>
      </c>
      <c r="C21" t="s">
        <v>46</v>
      </c>
      <c r="D21" s="3">
        <v>45715.964687500003</v>
      </c>
      <c r="E21" t="s">
        <v>46</v>
      </c>
      <c r="F21" s="4">
        <v>265.95099999999996</v>
      </c>
      <c r="G21" s="4">
        <v>217728.10699999999</v>
      </c>
      <c r="H21" s="4">
        <v>217994.05799999999</v>
      </c>
      <c r="I21" s="5">
        <f>20511 / 86400</f>
        <v>0.23739583333333333</v>
      </c>
      <c r="J21" t="s">
        <v>47</v>
      </c>
      <c r="K21" t="s">
        <v>19</v>
      </c>
      <c r="L21" s="5">
        <f>55205 / 86400</f>
        <v>0.63894675925925926</v>
      </c>
      <c r="M21" s="5">
        <f>31192 / 86400</f>
        <v>0.36101851851851852</v>
      </c>
    </row>
    <row r="22" spans="1:13" x14ac:dyDescent="0.25">
      <c r="A22" t="s">
        <v>527</v>
      </c>
      <c r="B22" s="3">
        <v>45715.275381944448</v>
      </c>
      <c r="C22" t="s">
        <v>48</v>
      </c>
      <c r="D22" s="3">
        <v>45715.85428240741</v>
      </c>
      <c r="E22" t="s">
        <v>49</v>
      </c>
      <c r="F22" s="4">
        <v>165.56300000005962</v>
      </c>
      <c r="G22" s="4">
        <v>527607.52399999998</v>
      </c>
      <c r="H22" s="4">
        <v>527773.08700000006</v>
      </c>
      <c r="I22" s="5">
        <f>15858 / 86400</f>
        <v>0.18354166666666666</v>
      </c>
      <c r="J22" t="s">
        <v>50</v>
      </c>
      <c r="K22" t="s">
        <v>41</v>
      </c>
      <c r="L22" s="5">
        <f>43125 / 86400</f>
        <v>0.49913194444444442</v>
      </c>
      <c r="M22" s="5">
        <f>43272 / 86400</f>
        <v>0.50083333333333335</v>
      </c>
    </row>
    <row r="23" spans="1:13" x14ac:dyDescent="0.25">
      <c r="A23" t="s">
        <v>528</v>
      </c>
      <c r="B23" s="3">
        <v>45715.24936342593</v>
      </c>
      <c r="C23" t="s">
        <v>51</v>
      </c>
      <c r="D23" s="3">
        <v>45715.882071759261</v>
      </c>
      <c r="E23" t="s">
        <v>51</v>
      </c>
      <c r="F23" s="4">
        <v>201.101</v>
      </c>
      <c r="G23" s="4">
        <v>346958.18699999998</v>
      </c>
      <c r="H23" s="4">
        <v>347159.288</v>
      </c>
      <c r="I23" s="5">
        <f>17219 / 86400</f>
        <v>0.19929398148148147</v>
      </c>
      <c r="J23" t="s">
        <v>52</v>
      </c>
      <c r="K23" t="s">
        <v>26</v>
      </c>
      <c r="L23" s="5">
        <f>46272 / 86400</f>
        <v>0.53555555555555556</v>
      </c>
      <c r="M23" s="5">
        <f>40124 / 86400</f>
        <v>0.46439814814814817</v>
      </c>
    </row>
    <row r="24" spans="1:13" x14ac:dyDescent="0.25">
      <c r="A24" t="s">
        <v>529</v>
      </c>
      <c r="B24" s="3">
        <v>45715.248356481483</v>
      </c>
      <c r="C24" t="s">
        <v>53</v>
      </c>
      <c r="D24" s="3">
        <v>45715.804027777776</v>
      </c>
      <c r="E24" t="s">
        <v>53</v>
      </c>
      <c r="F24" s="4">
        <v>29.948999999999998</v>
      </c>
      <c r="G24" s="4">
        <v>427703.76</v>
      </c>
      <c r="H24" s="4">
        <v>427733.70899999997</v>
      </c>
      <c r="I24" s="5">
        <f>2714 / 86400</f>
        <v>3.1412037037037037E-2</v>
      </c>
      <c r="J24" t="s">
        <v>54</v>
      </c>
      <c r="K24" t="s">
        <v>55</v>
      </c>
      <c r="L24" s="5">
        <f>7991 / 86400</f>
        <v>9.2488425925925932E-2</v>
      </c>
      <c r="M24" s="5">
        <f>78402 / 86400</f>
        <v>0.90743055555555552</v>
      </c>
    </row>
    <row r="25" spans="1:13" x14ac:dyDescent="0.25">
      <c r="A25" t="s">
        <v>530</v>
      </c>
      <c r="B25" s="3">
        <v>45715.183668981481</v>
      </c>
      <c r="C25" t="s">
        <v>24</v>
      </c>
      <c r="D25" s="3">
        <v>45715.800578703704</v>
      </c>
      <c r="E25" t="s">
        <v>24</v>
      </c>
      <c r="F25" s="4">
        <v>180.834</v>
      </c>
      <c r="G25" s="4">
        <v>15028.987999999999</v>
      </c>
      <c r="H25" s="4">
        <v>15209.822</v>
      </c>
      <c r="I25" s="5">
        <f>17881 / 86400</f>
        <v>0.20695601851851853</v>
      </c>
      <c r="J25" t="s">
        <v>56</v>
      </c>
      <c r="K25" t="s">
        <v>39</v>
      </c>
      <c r="L25" s="5">
        <f>44012 / 86400</f>
        <v>0.5093981481481481</v>
      </c>
      <c r="M25" s="5">
        <f>42379 / 86400</f>
        <v>0.49049768518518516</v>
      </c>
    </row>
    <row r="26" spans="1:13" x14ac:dyDescent="0.25">
      <c r="A26" t="s">
        <v>531</v>
      </c>
      <c r="B26" s="3">
        <v>45715.241967592592</v>
      </c>
      <c r="C26" t="s">
        <v>57</v>
      </c>
      <c r="D26" s="3">
        <v>45715.883090277777</v>
      </c>
      <c r="E26" t="s">
        <v>57</v>
      </c>
      <c r="F26" s="4">
        <v>210.92899999999997</v>
      </c>
      <c r="G26" s="4">
        <v>140214.595</v>
      </c>
      <c r="H26" s="4">
        <v>140425.524</v>
      </c>
      <c r="I26" s="5">
        <f>18795 / 86400</f>
        <v>0.21753472222222223</v>
      </c>
      <c r="J26" t="s">
        <v>50</v>
      </c>
      <c r="K26" t="s">
        <v>39</v>
      </c>
      <c r="L26" s="5">
        <f>50897 / 86400</f>
        <v>0.58908564814814812</v>
      </c>
      <c r="M26" s="5">
        <f>35497 / 86400</f>
        <v>0.41084490740740742</v>
      </c>
    </row>
    <row r="27" spans="1:13" x14ac:dyDescent="0.25">
      <c r="A27" t="s">
        <v>532</v>
      </c>
      <c r="B27" s="3">
        <v>45715.182905092588</v>
      </c>
      <c r="C27" t="s">
        <v>24</v>
      </c>
      <c r="D27" s="3">
        <v>45715.879849537036</v>
      </c>
      <c r="E27" t="s">
        <v>24</v>
      </c>
      <c r="F27" s="4">
        <v>210.18199999999999</v>
      </c>
      <c r="G27" s="4">
        <v>6967.6719999999996</v>
      </c>
      <c r="H27" s="4">
        <v>7177.8540000000003</v>
      </c>
      <c r="I27" s="5">
        <f>22347 / 86400</f>
        <v>0.25864583333333335</v>
      </c>
      <c r="J27" t="s">
        <v>58</v>
      </c>
      <c r="K27" t="s">
        <v>39</v>
      </c>
      <c r="L27" s="5">
        <f>48933 / 86400</f>
        <v>0.56635416666666671</v>
      </c>
      <c r="M27" s="5">
        <f>37452 / 86400</f>
        <v>0.4334722222222222</v>
      </c>
    </row>
    <row r="28" spans="1:13" x14ac:dyDescent="0.25">
      <c r="A28" t="s">
        <v>533</v>
      </c>
      <c r="B28" s="3">
        <v>45715.194444444445</v>
      </c>
      <c r="C28" t="s">
        <v>35</v>
      </c>
      <c r="D28" s="3">
        <v>45715.624618055561</v>
      </c>
      <c r="E28" t="s">
        <v>35</v>
      </c>
      <c r="F28" s="4">
        <v>143.55199999999999</v>
      </c>
      <c r="G28" s="4">
        <v>392962.32400000002</v>
      </c>
      <c r="H28" s="4">
        <v>393105.87599999999</v>
      </c>
      <c r="I28" s="5">
        <f>11713 / 86400</f>
        <v>0.13556712962962963</v>
      </c>
      <c r="J28" t="s">
        <v>59</v>
      </c>
      <c r="K28" t="s">
        <v>26</v>
      </c>
      <c r="L28" s="5">
        <f>32074 / 86400</f>
        <v>0.37122685185185184</v>
      </c>
      <c r="M28" s="5">
        <f>54323 / 86400</f>
        <v>0.62873842592592588</v>
      </c>
    </row>
    <row r="29" spans="1:13" x14ac:dyDescent="0.25">
      <c r="A29" t="s">
        <v>534</v>
      </c>
      <c r="B29" s="3">
        <v>45715.147199074076</v>
      </c>
      <c r="C29" t="s">
        <v>60</v>
      </c>
      <c r="D29" s="3">
        <v>45715.658391203702</v>
      </c>
      <c r="E29" t="s">
        <v>60</v>
      </c>
      <c r="F29" s="4">
        <v>205.58199999994039</v>
      </c>
      <c r="G29" s="4">
        <v>526335.51800000004</v>
      </c>
      <c r="H29" s="4">
        <v>526541.1</v>
      </c>
      <c r="I29" s="5">
        <f>10454 / 86400</f>
        <v>0.12099537037037036</v>
      </c>
      <c r="J29" t="s">
        <v>61</v>
      </c>
      <c r="K29" t="s">
        <v>62</v>
      </c>
      <c r="L29" s="5">
        <f>38867 / 86400</f>
        <v>0.44984953703703706</v>
      </c>
      <c r="M29" s="5">
        <f>47528 / 86400</f>
        <v>0.55009259259259258</v>
      </c>
    </row>
    <row r="30" spans="1:13" x14ac:dyDescent="0.25">
      <c r="A30" t="s">
        <v>535</v>
      </c>
      <c r="B30" s="3">
        <v>45715.025578703702</v>
      </c>
      <c r="C30" t="s">
        <v>63</v>
      </c>
      <c r="D30" s="3">
        <v>45715.99998842593</v>
      </c>
      <c r="E30" t="s">
        <v>64</v>
      </c>
      <c r="F30" s="4">
        <v>189.30600000000001</v>
      </c>
      <c r="G30" s="4">
        <v>413839.44199999998</v>
      </c>
      <c r="H30" s="4">
        <v>414028.74800000002</v>
      </c>
      <c r="I30" s="5">
        <f>13270 / 86400</f>
        <v>0.15358796296296295</v>
      </c>
      <c r="J30" t="s">
        <v>65</v>
      </c>
      <c r="K30" t="s">
        <v>26</v>
      </c>
      <c r="L30" s="5">
        <f>42940 / 86400</f>
        <v>0.49699074074074073</v>
      </c>
      <c r="M30" s="5">
        <f>43456 / 86400</f>
        <v>0.50296296296296295</v>
      </c>
    </row>
    <row r="31" spans="1:13" x14ac:dyDescent="0.25">
      <c r="A31" t="s">
        <v>536</v>
      </c>
      <c r="B31" s="3">
        <v>45715.324386574073</v>
      </c>
      <c r="C31" t="s">
        <v>66</v>
      </c>
      <c r="D31" s="3">
        <v>45715.324884259258</v>
      </c>
      <c r="E31" t="s">
        <v>66</v>
      </c>
      <c r="F31" s="4">
        <v>6.0000000000000001E-3</v>
      </c>
      <c r="G31" s="4">
        <v>404862.21399999998</v>
      </c>
      <c r="H31" s="4">
        <v>404862.22</v>
      </c>
      <c r="I31" s="5">
        <f>39 / 86400</f>
        <v>4.5138888888888887E-4</v>
      </c>
      <c r="J31" t="s">
        <v>21</v>
      </c>
      <c r="K31" t="s">
        <v>67</v>
      </c>
      <c r="L31" s="5">
        <f>43 / 86400</f>
        <v>4.9768518518518521E-4</v>
      </c>
      <c r="M31" s="5">
        <f>86356 / 86400</f>
        <v>0.99949074074074074</v>
      </c>
    </row>
    <row r="32" spans="1:13" x14ac:dyDescent="0.25">
      <c r="A32" t="s">
        <v>537</v>
      </c>
      <c r="B32" s="3">
        <v>45715.272696759261</v>
      </c>
      <c r="C32" t="s">
        <v>68</v>
      </c>
      <c r="D32" s="3">
        <v>45715.787222222221</v>
      </c>
      <c r="E32" t="s">
        <v>68</v>
      </c>
      <c r="F32" s="4">
        <v>173.04599999999999</v>
      </c>
      <c r="G32" s="4">
        <v>408845.55900000001</v>
      </c>
      <c r="H32" s="4">
        <v>409018.60499999998</v>
      </c>
      <c r="I32" s="5">
        <f>11515 / 86400</f>
        <v>0.13327546296296297</v>
      </c>
      <c r="J32" t="s">
        <v>58</v>
      </c>
      <c r="K32" t="s">
        <v>19</v>
      </c>
      <c r="L32" s="5">
        <f>36235 / 86400</f>
        <v>0.41938657407407409</v>
      </c>
      <c r="M32" s="5">
        <f>50159 / 86400</f>
        <v>0.58054398148148145</v>
      </c>
    </row>
    <row r="33" spans="1:13" x14ac:dyDescent="0.25">
      <c r="A33" t="s">
        <v>538</v>
      </c>
      <c r="B33" s="3">
        <v>45715</v>
      </c>
      <c r="C33" t="s">
        <v>69</v>
      </c>
      <c r="D33" s="3">
        <v>45715.994976851856</v>
      </c>
      <c r="E33" t="s">
        <v>70</v>
      </c>
      <c r="F33" s="4">
        <v>348.44399999999996</v>
      </c>
      <c r="G33" s="4">
        <v>183.72499999999999</v>
      </c>
      <c r="H33" s="4">
        <v>532.16899999999998</v>
      </c>
      <c r="I33" s="5">
        <f>22733 / 86400</f>
        <v>0.2631134259259259</v>
      </c>
      <c r="J33" t="s">
        <v>33</v>
      </c>
      <c r="K33" t="s">
        <v>30</v>
      </c>
      <c r="L33" s="5">
        <f>70713 / 86400</f>
        <v>0.81843750000000004</v>
      </c>
      <c r="M33" s="5">
        <f>15681 / 86400</f>
        <v>0.18149305555555556</v>
      </c>
    </row>
    <row r="34" spans="1:13" x14ac:dyDescent="0.25">
      <c r="A34" t="s">
        <v>539</v>
      </c>
      <c r="B34" s="3">
        <v>45715.001643518517</v>
      </c>
      <c r="C34" t="s">
        <v>70</v>
      </c>
      <c r="D34" s="3">
        <v>45715.761863425927</v>
      </c>
      <c r="E34" t="s">
        <v>70</v>
      </c>
      <c r="F34" s="4">
        <v>211.01000000005959</v>
      </c>
      <c r="G34" s="4">
        <v>531798.23100000003</v>
      </c>
      <c r="H34" s="4">
        <v>532009.24100000004</v>
      </c>
      <c r="I34" s="5">
        <f>13352 / 86400</f>
        <v>0.15453703703703703</v>
      </c>
      <c r="J34" t="s">
        <v>71</v>
      </c>
      <c r="K34" t="s">
        <v>30</v>
      </c>
      <c r="L34" s="5">
        <f>42552 / 86400</f>
        <v>0.49249999999999999</v>
      </c>
      <c r="M34" s="5">
        <f>43842 / 86400</f>
        <v>0.50743055555555561</v>
      </c>
    </row>
    <row r="35" spans="1:13" x14ac:dyDescent="0.25">
      <c r="A35" t="s">
        <v>540</v>
      </c>
      <c r="B35" s="3">
        <v>45715.201886574076</v>
      </c>
      <c r="C35" t="s">
        <v>24</v>
      </c>
      <c r="D35" s="3">
        <v>45715.773599537039</v>
      </c>
      <c r="E35" t="s">
        <v>35</v>
      </c>
      <c r="F35" s="4">
        <v>179.89400000000001</v>
      </c>
      <c r="G35" s="4">
        <v>570317.93099999998</v>
      </c>
      <c r="H35" s="4">
        <v>570497.82499999995</v>
      </c>
      <c r="I35" s="5">
        <f>14658 / 86400</f>
        <v>0.16965277777777779</v>
      </c>
      <c r="J35" t="s">
        <v>61</v>
      </c>
      <c r="K35" t="s">
        <v>39</v>
      </c>
      <c r="L35" s="5">
        <f>42641 / 86400</f>
        <v>0.49353009259259262</v>
      </c>
      <c r="M35" s="5">
        <f>43755 / 86400</f>
        <v>0.50642361111111112</v>
      </c>
    </row>
    <row r="36" spans="1:13" x14ac:dyDescent="0.25">
      <c r="A36" t="s">
        <v>541</v>
      </c>
      <c r="B36" s="3">
        <v>45715.231111111112</v>
      </c>
      <c r="C36" t="s">
        <v>72</v>
      </c>
      <c r="D36" s="3">
        <v>45715.992118055554</v>
      </c>
      <c r="E36" t="s">
        <v>72</v>
      </c>
      <c r="F36" s="4">
        <v>215.51500000000001</v>
      </c>
      <c r="G36" s="4">
        <v>437246.41899999999</v>
      </c>
      <c r="H36" s="4">
        <v>437461.93400000001</v>
      </c>
      <c r="I36" s="5">
        <f>15440 / 86400</f>
        <v>0.1787037037037037</v>
      </c>
      <c r="J36" t="s">
        <v>73</v>
      </c>
      <c r="K36" t="s">
        <v>26</v>
      </c>
      <c r="L36" s="5">
        <f>49105 / 86400</f>
        <v>0.5683449074074074</v>
      </c>
      <c r="M36" s="5">
        <f>37288 / 86400</f>
        <v>0.43157407407407405</v>
      </c>
    </row>
    <row r="37" spans="1:13" x14ac:dyDescent="0.25">
      <c r="A37" t="s">
        <v>542</v>
      </c>
      <c r="B37" s="3">
        <v>45715.208055555559</v>
      </c>
      <c r="C37" t="s">
        <v>74</v>
      </c>
      <c r="D37" s="3">
        <v>45715.842256944445</v>
      </c>
      <c r="E37" t="s">
        <v>74</v>
      </c>
      <c r="F37" s="4">
        <v>201.50700000000001</v>
      </c>
      <c r="G37" s="4">
        <v>518272.92700000003</v>
      </c>
      <c r="H37" s="4">
        <v>518475.93900000001</v>
      </c>
      <c r="I37" s="5">
        <f>16607 / 86400</f>
        <v>0.19221064814814814</v>
      </c>
      <c r="J37" t="s">
        <v>75</v>
      </c>
      <c r="K37" t="s">
        <v>39</v>
      </c>
      <c r="L37" s="5">
        <f>46931 / 86400</f>
        <v>0.54318287037037039</v>
      </c>
      <c r="M37" s="5">
        <f>39468 / 86400</f>
        <v>0.45680555555555558</v>
      </c>
    </row>
    <row r="38" spans="1:13" x14ac:dyDescent="0.25">
      <c r="A38" t="s">
        <v>543</v>
      </c>
      <c r="B38" s="3">
        <v>45715.232638888891</v>
      </c>
      <c r="C38" t="s">
        <v>76</v>
      </c>
      <c r="D38" s="3">
        <v>45715.812152777777</v>
      </c>
      <c r="E38" t="s">
        <v>77</v>
      </c>
      <c r="F38" s="4">
        <v>200.13499999999999</v>
      </c>
      <c r="G38" s="4">
        <v>507504.74099999998</v>
      </c>
      <c r="H38" s="4">
        <v>507704.87599999999</v>
      </c>
      <c r="I38" s="5">
        <f>21008 / 86400</f>
        <v>0.24314814814814814</v>
      </c>
      <c r="J38" t="s">
        <v>50</v>
      </c>
      <c r="K38" t="s">
        <v>41</v>
      </c>
      <c r="L38" s="5">
        <f>50070 / 86400</f>
        <v>0.57951388888888888</v>
      </c>
      <c r="M38" s="5">
        <f>36329 / 86400</f>
        <v>0.42047453703703702</v>
      </c>
    </row>
    <row r="39" spans="1:13" x14ac:dyDescent="0.25">
      <c r="A39" t="s">
        <v>544</v>
      </c>
      <c r="B39" s="3">
        <v>45715.215601851851</v>
      </c>
      <c r="C39" t="s">
        <v>78</v>
      </c>
      <c r="D39" s="3">
        <v>45715.852962962963</v>
      </c>
      <c r="E39" t="s">
        <v>78</v>
      </c>
      <c r="F39" s="4">
        <v>19.239000000000001</v>
      </c>
      <c r="G39" s="4">
        <v>413050.30599999998</v>
      </c>
      <c r="H39" s="4">
        <v>413069.54499999998</v>
      </c>
      <c r="I39" s="5">
        <f>956 / 86400</f>
        <v>1.1064814814814816E-2</v>
      </c>
      <c r="J39" t="s">
        <v>38</v>
      </c>
      <c r="K39" t="s">
        <v>34</v>
      </c>
      <c r="L39" s="5">
        <f>3087 / 86400</f>
        <v>3.5729166666666666E-2</v>
      </c>
      <c r="M39" s="5">
        <f>83312 / 86400</f>
        <v>0.96425925925925926</v>
      </c>
    </row>
    <row r="40" spans="1:13" x14ac:dyDescent="0.25">
      <c r="A40" t="s">
        <v>545</v>
      </c>
      <c r="B40" s="3">
        <v>45715.150023148148</v>
      </c>
      <c r="C40" t="s">
        <v>24</v>
      </c>
      <c r="D40" s="3">
        <v>45715.818622685183</v>
      </c>
      <c r="E40" t="s">
        <v>24</v>
      </c>
      <c r="F40" s="4">
        <v>213.821</v>
      </c>
      <c r="G40" s="4">
        <v>443948.348</v>
      </c>
      <c r="H40" s="4">
        <v>444162.16899999999</v>
      </c>
      <c r="I40" s="5">
        <f>11337 / 86400</f>
        <v>0.13121527777777778</v>
      </c>
      <c r="J40" t="s">
        <v>79</v>
      </c>
      <c r="K40" t="s">
        <v>30</v>
      </c>
      <c r="L40" s="5">
        <f>41723 / 86400</f>
        <v>0.48290509259259257</v>
      </c>
      <c r="M40" s="5">
        <f>44672 / 86400</f>
        <v>0.51703703703703707</v>
      </c>
    </row>
    <row r="41" spans="1:13" x14ac:dyDescent="0.25">
      <c r="A41" t="s">
        <v>546</v>
      </c>
      <c r="B41" s="3">
        <v>45715.214247685188</v>
      </c>
      <c r="C41" t="s">
        <v>80</v>
      </c>
      <c r="D41" s="3">
        <v>45715.528356481482</v>
      </c>
      <c r="E41" t="s">
        <v>80</v>
      </c>
      <c r="F41" s="4">
        <v>94.701999999999998</v>
      </c>
      <c r="G41" s="4">
        <v>476249.71399999998</v>
      </c>
      <c r="H41" s="4">
        <v>476344.41600000003</v>
      </c>
      <c r="I41" s="5">
        <f>8774 / 86400</f>
        <v>0.10155092592592592</v>
      </c>
      <c r="J41" t="s">
        <v>56</v>
      </c>
      <c r="K41" t="s">
        <v>39</v>
      </c>
      <c r="L41" s="5">
        <f>23172 / 86400</f>
        <v>0.26819444444444446</v>
      </c>
      <c r="M41" s="5">
        <f>63224 / 86400</f>
        <v>0.73175925925925922</v>
      </c>
    </row>
    <row r="42" spans="1:13" x14ac:dyDescent="0.25">
      <c r="A42" t="s">
        <v>547</v>
      </c>
      <c r="B42" s="3">
        <v>45715.294733796298</v>
      </c>
      <c r="C42" t="s">
        <v>77</v>
      </c>
      <c r="D42" s="3">
        <v>45715.992314814815</v>
      </c>
      <c r="E42" t="s">
        <v>76</v>
      </c>
      <c r="F42" s="4">
        <v>167.44499999999999</v>
      </c>
      <c r="G42" s="4">
        <v>416625.38199999998</v>
      </c>
      <c r="H42" s="4">
        <v>416792.82699999999</v>
      </c>
      <c r="I42" s="5">
        <f>11736 / 86400</f>
        <v>0.13583333333333333</v>
      </c>
      <c r="J42" t="s">
        <v>81</v>
      </c>
      <c r="K42" t="s">
        <v>30</v>
      </c>
      <c r="L42" s="5">
        <f>33880 / 86400</f>
        <v>0.39212962962962961</v>
      </c>
      <c r="M42" s="5">
        <f>52518 / 86400</f>
        <v>0.60784722222222221</v>
      </c>
    </row>
    <row r="43" spans="1:13" x14ac:dyDescent="0.25">
      <c r="A43" t="s">
        <v>548</v>
      </c>
      <c r="B43" s="3">
        <v>45715</v>
      </c>
      <c r="C43" t="s">
        <v>24</v>
      </c>
      <c r="D43" s="3">
        <v>45715.99998842593</v>
      </c>
      <c r="E43" t="s">
        <v>82</v>
      </c>
      <c r="F43" s="4">
        <v>320.39699999999999</v>
      </c>
      <c r="G43" s="4">
        <v>331523.196</v>
      </c>
      <c r="H43" s="4">
        <v>331843.59299999999</v>
      </c>
      <c r="I43" s="5">
        <f>19175 / 86400</f>
        <v>0.22193287037037038</v>
      </c>
      <c r="J43" t="s">
        <v>50</v>
      </c>
      <c r="K43" t="s">
        <v>30</v>
      </c>
      <c r="L43" s="5">
        <f>64265 / 86400</f>
        <v>0.74380787037037033</v>
      </c>
      <c r="M43" s="5">
        <f>22129 / 86400</f>
        <v>0.25612268518518516</v>
      </c>
    </row>
    <row r="44" spans="1:13" x14ac:dyDescent="0.25">
      <c r="A44" t="s">
        <v>549</v>
      </c>
      <c r="B44" s="3">
        <v>45715.287152777775</v>
      </c>
      <c r="C44" t="s">
        <v>24</v>
      </c>
      <c r="D44" s="3">
        <v>45715.922662037032</v>
      </c>
      <c r="E44" t="s">
        <v>24</v>
      </c>
      <c r="F44" s="4">
        <v>169.559</v>
      </c>
      <c r="G44" s="4">
        <v>362074.91100000002</v>
      </c>
      <c r="H44" s="4">
        <v>362244.47</v>
      </c>
      <c r="I44" s="5">
        <f>18699 / 86400</f>
        <v>0.21642361111111111</v>
      </c>
      <c r="J44" t="s">
        <v>61</v>
      </c>
      <c r="K44" t="s">
        <v>55</v>
      </c>
      <c r="L44" s="5">
        <f>45575 / 86400</f>
        <v>0.52748842592592593</v>
      </c>
      <c r="M44" s="5">
        <f>40823 / 86400</f>
        <v>0.47248842592592594</v>
      </c>
    </row>
    <row r="45" spans="1:13" x14ac:dyDescent="0.25">
      <c r="A45" t="s">
        <v>550</v>
      </c>
      <c r="B45" s="3">
        <v>45715.204432870371</v>
      </c>
      <c r="C45" t="s">
        <v>36</v>
      </c>
      <c r="D45" s="3">
        <v>45715.756631944445</v>
      </c>
      <c r="E45" t="s">
        <v>83</v>
      </c>
      <c r="F45" s="4">
        <v>199.572</v>
      </c>
      <c r="G45" s="4">
        <v>472381.48300000001</v>
      </c>
      <c r="H45" s="4">
        <v>472581.05499999999</v>
      </c>
      <c r="I45" s="5">
        <f>13754 / 86400</f>
        <v>0.15918981481481481</v>
      </c>
      <c r="J45" t="s">
        <v>52</v>
      </c>
      <c r="K45" t="s">
        <v>19</v>
      </c>
      <c r="L45" s="5">
        <f>41803 / 86400</f>
        <v>0.48383101851851851</v>
      </c>
      <c r="M45" s="5">
        <f>44594 / 86400</f>
        <v>0.51613425925925926</v>
      </c>
    </row>
    <row r="46" spans="1:13" x14ac:dyDescent="0.25">
      <c r="A46" t="s">
        <v>551</v>
      </c>
      <c r="B46" s="3">
        <v>45715.005671296298</v>
      </c>
      <c r="C46" t="s">
        <v>84</v>
      </c>
      <c r="D46" s="3">
        <v>45715.847916666666</v>
      </c>
      <c r="E46" t="s">
        <v>84</v>
      </c>
      <c r="F46" s="4">
        <v>0</v>
      </c>
      <c r="G46" s="4">
        <v>428213.33600000001</v>
      </c>
      <c r="H46" s="4">
        <v>428213.33600000001</v>
      </c>
      <c r="I46" s="5">
        <f>14018 / 86400</f>
        <v>0.16224537037037037</v>
      </c>
      <c r="J46" t="s">
        <v>21</v>
      </c>
      <c r="K46" t="s">
        <v>21</v>
      </c>
      <c r="L46" s="5">
        <f>14244 / 86400</f>
        <v>0.16486111111111112</v>
      </c>
      <c r="M46" s="5">
        <f>72148 / 86400</f>
        <v>0.83504629629629634</v>
      </c>
    </row>
    <row r="47" spans="1:13" x14ac:dyDescent="0.25">
      <c r="A47" t="s">
        <v>552</v>
      </c>
      <c r="B47" s="3">
        <v>45715.250925925924</v>
      </c>
      <c r="C47" t="s">
        <v>24</v>
      </c>
      <c r="D47" s="3">
        <v>45715.945706018523</v>
      </c>
      <c r="E47" t="s">
        <v>24</v>
      </c>
      <c r="F47" s="4">
        <v>170.209</v>
      </c>
      <c r="G47" s="4">
        <v>577930.03399999999</v>
      </c>
      <c r="H47" s="4">
        <v>578100.24300000002</v>
      </c>
      <c r="I47" s="5">
        <f>22178 / 86400</f>
        <v>0.25668981481481479</v>
      </c>
      <c r="J47" t="s">
        <v>79</v>
      </c>
      <c r="K47" t="s">
        <v>85</v>
      </c>
      <c r="L47" s="5">
        <f>49191 / 86400</f>
        <v>0.56934027777777774</v>
      </c>
      <c r="M47" s="5">
        <f>37204 / 86400</f>
        <v>0.43060185185185185</v>
      </c>
    </row>
    <row r="48" spans="1:13" x14ac:dyDescent="0.25">
      <c r="A48" t="s">
        <v>553</v>
      </c>
      <c r="B48" s="3">
        <v>45715.235208333332</v>
      </c>
      <c r="C48" t="s">
        <v>86</v>
      </c>
      <c r="D48" s="3">
        <v>45715.872743055559</v>
      </c>
      <c r="E48" t="s">
        <v>86</v>
      </c>
      <c r="F48" s="4">
        <v>210.47300000000001</v>
      </c>
      <c r="G48" s="4">
        <v>418587.95600000001</v>
      </c>
      <c r="H48" s="4">
        <v>418798.429</v>
      </c>
      <c r="I48" s="5">
        <f>20456 / 86400</f>
        <v>0.23675925925925925</v>
      </c>
      <c r="J48" t="s">
        <v>25</v>
      </c>
      <c r="K48" t="s">
        <v>41</v>
      </c>
      <c r="L48" s="5">
        <f>52738 / 86400</f>
        <v>0.61039351851851853</v>
      </c>
      <c r="M48" s="5">
        <f>33660 / 86400</f>
        <v>0.38958333333333334</v>
      </c>
    </row>
    <row r="49" spans="1:13" x14ac:dyDescent="0.25">
      <c r="A49" t="s">
        <v>554</v>
      </c>
      <c r="B49" s="3">
        <v>45715.001087962963</v>
      </c>
      <c r="C49" t="s">
        <v>87</v>
      </c>
      <c r="D49" s="3">
        <v>45715.985914351855</v>
      </c>
      <c r="E49" t="s">
        <v>88</v>
      </c>
      <c r="F49" s="4">
        <v>198.52099999999999</v>
      </c>
      <c r="G49" s="4">
        <v>402122.69400000002</v>
      </c>
      <c r="H49" s="4">
        <v>402321.21500000003</v>
      </c>
      <c r="I49" s="5">
        <f>16517 / 86400</f>
        <v>0.19116898148148148</v>
      </c>
      <c r="J49" t="s">
        <v>89</v>
      </c>
      <c r="K49" t="s">
        <v>39</v>
      </c>
      <c r="L49" s="5">
        <f>46584 / 86400</f>
        <v>0.53916666666666668</v>
      </c>
      <c r="M49" s="5">
        <f>39808 / 86400</f>
        <v>0.46074074074074073</v>
      </c>
    </row>
    <row r="50" spans="1:13" x14ac:dyDescent="0.25">
      <c r="A50" t="s">
        <v>555</v>
      </c>
      <c r="B50" s="3">
        <v>45715.268923611111</v>
      </c>
      <c r="C50" t="s">
        <v>24</v>
      </c>
      <c r="D50" s="3">
        <v>45715.732523148152</v>
      </c>
      <c r="E50" t="s">
        <v>24</v>
      </c>
      <c r="F50" s="4">
        <v>54.384</v>
      </c>
      <c r="G50" s="4">
        <v>384336.84700000001</v>
      </c>
      <c r="H50" s="4">
        <v>384391.23100000003</v>
      </c>
      <c r="I50" s="5">
        <f>5436 / 86400</f>
        <v>6.2916666666666662E-2</v>
      </c>
      <c r="J50" t="s">
        <v>23</v>
      </c>
      <c r="K50" t="s">
        <v>41</v>
      </c>
      <c r="L50" s="5">
        <f>14058 / 86400</f>
        <v>0.16270833333333334</v>
      </c>
      <c r="M50" s="5">
        <f>72332 / 86400</f>
        <v>0.83717592592592593</v>
      </c>
    </row>
    <row r="51" spans="1:13" x14ac:dyDescent="0.25">
      <c r="A51" t="s">
        <v>556</v>
      </c>
      <c r="B51" s="3">
        <v>45715.220196759255</v>
      </c>
      <c r="C51" t="s">
        <v>90</v>
      </c>
      <c r="D51" s="3">
        <v>45715.884571759263</v>
      </c>
      <c r="E51" t="s">
        <v>91</v>
      </c>
      <c r="F51" s="4">
        <v>194.529</v>
      </c>
      <c r="G51" s="4">
        <v>548384.57900000003</v>
      </c>
      <c r="H51" s="4">
        <v>548579.10800000001</v>
      </c>
      <c r="I51" s="5">
        <f>13706 / 86400</f>
        <v>0.15863425925925925</v>
      </c>
      <c r="J51" t="s">
        <v>92</v>
      </c>
      <c r="K51" t="s">
        <v>26</v>
      </c>
      <c r="L51" s="5">
        <f>43276 / 86400</f>
        <v>0.50087962962962962</v>
      </c>
      <c r="M51" s="5">
        <f>43120 / 86400</f>
        <v>0.49907407407407406</v>
      </c>
    </row>
    <row r="52" spans="1:13" x14ac:dyDescent="0.25">
      <c r="A52" t="s">
        <v>557</v>
      </c>
      <c r="B52" s="3">
        <v>45715</v>
      </c>
      <c r="C52" t="s">
        <v>93</v>
      </c>
      <c r="D52" s="3">
        <v>45715.989768518513</v>
      </c>
      <c r="E52" t="s">
        <v>94</v>
      </c>
      <c r="F52" s="4">
        <v>311.47300000000001</v>
      </c>
      <c r="G52" s="4">
        <v>107396.424</v>
      </c>
      <c r="H52" s="4">
        <v>107707.897</v>
      </c>
      <c r="I52" s="5">
        <f>19550 / 86400</f>
        <v>0.22627314814814814</v>
      </c>
      <c r="J52" t="s">
        <v>95</v>
      </c>
      <c r="K52" t="s">
        <v>62</v>
      </c>
      <c r="L52" s="5">
        <f>57855 / 86400</f>
        <v>0.66961805555555554</v>
      </c>
      <c r="M52" s="5">
        <f>28544 / 86400</f>
        <v>0.33037037037037037</v>
      </c>
    </row>
    <row r="53" spans="1:13" x14ac:dyDescent="0.25">
      <c r="A53" t="s">
        <v>558</v>
      </c>
      <c r="B53" s="3">
        <v>45715.680428240739</v>
      </c>
      <c r="C53" t="s">
        <v>96</v>
      </c>
      <c r="D53" s="3">
        <v>45715.784664351857</v>
      </c>
      <c r="E53" t="s">
        <v>97</v>
      </c>
      <c r="F53" s="4">
        <v>2.2250000000000001</v>
      </c>
      <c r="G53" s="4">
        <v>54578.572999999997</v>
      </c>
      <c r="H53" s="4">
        <v>54580.798000000003</v>
      </c>
      <c r="I53" s="5">
        <f>926 / 86400</f>
        <v>1.0717592592592593E-2</v>
      </c>
      <c r="J53" t="s">
        <v>98</v>
      </c>
      <c r="K53" t="s">
        <v>99</v>
      </c>
      <c r="L53" s="5">
        <f>1548 / 86400</f>
        <v>1.7916666666666668E-2</v>
      </c>
      <c r="M53" s="5">
        <f>84851 / 86400</f>
        <v>0.98207175925925927</v>
      </c>
    </row>
    <row r="54" spans="1:13" x14ac:dyDescent="0.25">
      <c r="A54" t="s">
        <v>559</v>
      </c>
      <c r="B54" s="3">
        <v>45715.249745370369</v>
      </c>
      <c r="C54" t="s">
        <v>100</v>
      </c>
      <c r="D54" s="3">
        <v>45715.80673611111</v>
      </c>
      <c r="E54" t="s">
        <v>101</v>
      </c>
      <c r="F54" s="4">
        <v>176.51900000000001</v>
      </c>
      <c r="G54" s="4">
        <v>47936.762000000002</v>
      </c>
      <c r="H54" s="4">
        <v>48113.285000000003</v>
      </c>
      <c r="I54" s="5">
        <f>11005 / 86400</f>
        <v>0.12737268518518519</v>
      </c>
      <c r="J54" t="s">
        <v>79</v>
      </c>
      <c r="K54" t="s">
        <v>62</v>
      </c>
      <c r="L54" s="5">
        <f>34289 / 86400</f>
        <v>0.39686342592592594</v>
      </c>
      <c r="M54" s="5">
        <f>52110 / 86400</f>
        <v>0.60312500000000002</v>
      </c>
    </row>
    <row r="55" spans="1:13" x14ac:dyDescent="0.25">
      <c r="A55" t="s">
        <v>560</v>
      </c>
      <c r="B55" s="3">
        <v>45715.16342592593</v>
      </c>
      <c r="C55" t="s">
        <v>90</v>
      </c>
      <c r="D55" s="3">
        <v>45715.870694444442</v>
      </c>
      <c r="E55" t="s">
        <v>90</v>
      </c>
      <c r="F55" s="4">
        <v>292.75800000000004</v>
      </c>
      <c r="G55" s="4">
        <v>81499.001000000004</v>
      </c>
      <c r="H55" s="4">
        <v>81791.759000000005</v>
      </c>
      <c r="I55" s="5">
        <f>17081 / 86400</f>
        <v>0.19769675925925925</v>
      </c>
      <c r="J55" t="s">
        <v>50</v>
      </c>
      <c r="K55" t="s">
        <v>62</v>
      </c>
      <c r="L55" s="5">
        <f>55398 / 86400</f>
        <v>0.64118055555555553</v>
      </c>
      <c r="M55" s="5">
        <f>31001 / 86400</f>
        <v>0.35880787037037037</v>
      </c>
    </row>
    <row r="56" spans="1:13" x14ac:dyDescent="0.25">
      <c r="A56" t="s">
        <v>561</v>
      </c>
      <c r="B56" s="3">
        <v>45715.250127314815</v>
      </c>
      <c r="C56" t="s">
        <v>102</v>
      </c>
      <c r="D56" s="3">
        <v>45715.900405092594</v>
      </c>
      <c r="E56" t="s">
        <v>102</v>
      </c>
      <c r="F56" s="4">
        <v>115.17099999999999</v>
      </c>
      <c r="G56" s="4">
        <v>44215.968999999997</v>
      </c>
      <c r="H56" s="4">
        <v>44331.14</v>
      </c>
      <c r="I56" s="5">
        <f>8625 / 86400</f>
        <v>9.9826388888888895E-2</v>
      </c>
      <c r="J56" t="s">
        <v>103</v>
      </c>
      <c r="K56" t="s">
        <v>26</v>
      </c>
      <c r="L56" s="5">
        <f>25538 / 86400</f>
        <v>0.2955787037037037</v>
      </c>
      <c r="M56" s="5">
        <f>60861 / 86400</f>
        <v>0.7044097222222222</v>
      </c>
    </row>
    <row r="57" spans="1:13" x14ac:dyDescent="0.25">
      <c r="A57" t="s">
        <v>562</v>
      </c>
      <c r="B57" s="3">
        <v>45715.321840277778</v>
      </c>
      <c r="C57" t="s">
        <v>104</v>
      </c>
      <c r="D57" s="3">
        <v>45715.907280092593</v>
      </c>
      <c r="E57" t="s">
        <v>104</v>
      </c>
      <c r="F57" s="4">
        <v>43.095999999999997</v>
      </c>
      <c r="G57" s="4">
        <v>194064.09899999999</v>
      </c>
      <c r="H57" s="4">
        <v>194107.19500000001</v>
      </c>
      <c r="I57" s="5">
        <f>2676 / 86400</f>
        <v>3.0972222222222224E-2</v>
      </c>
      <c r="J57" t="s">
        <v>105</v>
      </c>
      <c r="K57" t="s">
        <v>26</v>
      </c>
      <c r="L57" s="5">
        <f>9922 / 86400</f>
        <v>0.11483796296296296</v>
      </c>
      <c r="M57" s="5">
        <f>76473 / 86400</f>
        <v>0.88510416666666669</v>
      </c>
    </row>
    <row r="58" spans="1:13" x14ac:dyDescent="0.25">
      <c r="A58" t="s">
        <v>563</v>
      </c>
      <c r="B58" s="3">
        <v>45715.211122685185</v>
      </c>
      <c r="C58" t="s">
        <v>106</v>
      </c>
      <c r="D58" s="3">
        <v>45715.99998842593</v>
      </c>
      <c r="E58" t="s">
        <v>20</v>
      </c>
      <c r="F58" s="4">
        <v>297.23600000005962</v>
      </c>
      <c r="G58" s="4">
        <v>525947.84699999995</v>
      </c>
      <c r="H58" s="4">
        <v>526245.08299999998</v>
      </c>
      <c r="I58" s="5">
        <f>22131 / 86400</f>
        <v>0.25614583333333335</v>
      </c>
      <c r="J58" t="s">
        <v>58</v>
      </c>
      <c r="K58" t="s">
        <v>19</v>
      </c>
      <c r="L58" s="5">
        <f>63675 / 86400</f>
        <v>0.73697916666666663</v>
      </c>
      <c r="M58" s="5">
        <f>22723 / 86400</f>
        <v>0.26299768518518518</v>
      </c>
    </row>
    <row r="59" spans="1:13" x14ac:dyDescent="0.25">
      <c r="A59" t="s">
        <v>564</v>
      </c>
      <c r="B59" s="3">
        <v>45715.247766203705</v>
      </c>
      <c r="C59" t="s">
        <v>107</v>
      </c>
      <c r="D59" s="3">
        <v>45715.858854166669</v>
      </c>
      <c r="E59" t="s">
        <v>107</v>
      </c>
      <c r="F59" s="4">
        <v>187.482</v>
      </c>
      <c r="G59" s="4">
        <v>25534.48</v>
      </c>
      <c r="H59" s="4">
        <v>25721.962</v>
      </c>
      <c r="I59" s="5">
        <f>13876 / 86400</f>
        <v>0.16060185185185186</v>
      </c>
      <c r="J59" t="s">
        <v>103</v>
      </c>
      <c r="K59" t="s">
        <v>39</v>
      </c>
      <c r="L59" s="5">
        <f>44483 / 86400</f>
        <v>0.51484953703703706</v>
      </c>
      <c r="M59" s="5">
        <f>41908 / 86400</f>
        <v>0.48504629629629631</v>
      </c>
    </row>
    <row r="60" spans="1:13" x14ac:dyDescent="0.25">
      <c r="A60" t="s">
        <v>565</v>
      </c>
      <c r="B60" s="3">
        <v>45715.223020833335</v>
      </c>
      <c r="C60" t="s">
        <v>35</v>
      </c>
      <c r="D60" s="3">
        <v>45715.790543981479</v>
      </c>
      <c r="E60" t="s">
        <v>35</v>
      </c>
      <c r="F60" s="4">
        <v>218.19399999999999</v>
      </c>
      <c r="G60" s="4">
        <v>66646.75</v>
      </c>
      <c r="H60" s="4">
        <v>66864.944000000003</v>
      </c>
      <c r="I60" s="5">
        <f>15839 / 86400</f>
        <v>0.18332175925925925</v>
      </c>
      <c r="J60" t="s">
        <v>71</v>
      </c>
      <c r="K60" t="s">
        <v>19</v>
      </c>
      <c r="L60" s="5">
        <f>45168 / 86400</f>
        <v>0.52277777777777779</v>
      </c>
      <c r="M60" s="5">
        <f>41228 / 86400</f>
        <v>0.47717592592592595</v>
      </c>
    </row>
    <row r="61" spans="1:13" x14ac:dyDescent="0.25">
      <c r="A61" t="s">
        <v>566</v>
      </c>
      <c r="B61" s="3">
        <v>45715.293206018519</v>
      </c>
      <c r="C61" t="s">
        <v>24</v>
      </c>
      <c r="D61" s="3">
        <v>45715.937476851846</v>
      </c>
      <c r="E61" t="s">
        <v>24</v>
      </c>
      <c r="F61" s="4">
        <v>51.528999999999996</v>
      </c>
      <c r="G61" s="4">
        <v>410588.22600000002</v>
      </c>
      <c r="H61" s="4">
        <v>410639.755</v>
      </c>
      <c r="I61" s="5">
        <f>3168 / 86400</f>
        <v>3.6666666666666667E-2</v>
      </c>
      <c r="J61" t="s">
        <v>52</v>
      </c>
      <c r="K61" t="s">
        <v>30</v>
      </c>
      <c r="L61" s="5">
        <f>10179 / 86400</f>
        <v>0.1178125</v>
      </c>
      <c r="M61" s="5">
        <f>76214 / 86400</f>
        <v>0.88210648148148152</v>
      </c>
    </row>
    <row r="62" spans="1:13" x14ac:dyDescent="0.25">
      <c r="A62" t="s">
        <v>567</v>
      </c>
      <c r="B62" s="3">
        <v>45715</v>
      </c>
      <c r="C62" t="s">
        <v>108</v>
      </c>
      <c r="D62" s="3">
        <v>45715.99998842593</v>
      </c>
      <c r="E62" t="s">
        <v>109</v>
      </c>
      <c r="F62" s="4">
        <v>135.17400000000001</v>
      </c>
      <c r="G62" s="4">
        <v>553461.40899999999</v>
      </c>
      <c r="H62" s="4">
        <v>553596.58299999998</v>
      </c>
      <c r="I62" s="5">
        <f>10436 / 86400</f>
        <v>0.12078703703703704</v>
      </c>
      <c r="J62" t="s">
        <v>110</v>
      </c>
      <c r="K62" t="s">
        <v>26</v>
      </c>
      <c r="L62" s="5">
        <f>30513 / 86400</f>
        <v>0.35315972222222225</v>
      </c>
      <c r="M62" s="5">
        <f>55886 / 86400</f>
        <v>0.64682870370370371</v>
      </c>
    </row>
    <row r="63" spans="1:13" x14ac:dyDescent="0.25">
      <c r="A63" t="s">
        <v>568</v>
      </c>
      <c r="B63" s="3">
        <v>45715.225856481484</v>
      </c>
      <c r="C63" t="s">
        <v>111</v>
      </c>
      <c r="D63" s="3">
        <v>45715.971064814818</v>
      </c>
      <c r="E63" t="s">
        <v>111</v>
      </c>
      <c r="F63" s="4">
        <v>1224.2950000000001</v>
      </c>
      <c r="G63" s="4">
        <v>5980.7049999999999</v>
      </c>
      <c r="H63" s="4">
        <v>7205</v>
      </c>
      <c r="I63" s="5">
        <f>16091 / 86400</f>
        <v>0.18623842592592593</v>
      </c>
      <c r="J63" t="s">
        <v>45</v>
      </c>
      <c r="K63" t="s">
        <v>45</v>
      </c>
      <c r="L63" s="5">
        <f>48826 / 86400</f>
        <v>0.56511574074074078</v>
      </c>
      <c r="M63" s="5">
        <f>37567 / 86400</f>
        <v>0.43480324074074073</v>
      </c>
    </row>
    <row r="64" spans="1:13" x14ac:dyDescent="0.25">
      <c r="A64" t="s">
        <v>569</v>
      </c>
      <c r="B64" s="3">
        <v>45715</v>
      </c>
      <c r="C64" t="s">
        <v>112</v>
      </c>
      <c r="D64" s="3">
        <v>45715.99998842593</v>
      </c>
      <c r="E64" t="s">
        <v>113</v>
      </c>
      <c r="F64" s="4">
        <v>315.92099999999999</v>
      </c>
      <c r="G64" s="4">
        <v>63311.468000000001</v>
      </c>
      <c r="H64" s="4">
        <v>63627.389000000003</v>
      </c>
      <c r="I64" s="5">
        <f>20652 / 86400</f>
        <v>0.23902777777777778</v>
      </c>
      <c r="J64" t="s">
        <v>114</v>
      </c>
      <c r="K64" t="s">
        <v>62</v>
      </c>
      <c r="L64" s="5">
        <f>60721 / 86400</f>
        <v>0.70278935185185187</v>
      </c>
      <c r="M64" s="5">
        <f>25666 / 86400</f>
        <v>0.29706018518518518</v>
      </c>
    </row>
    <row r="65" spans="1:13" x14ac:dyDescent="0.25">
      <c r="A65" t="s">
        <v>570</v>
      </c>
      <c r="B65" s="3">
        <v>45715.003807870366</v>
      </c>
      <c r="C65" t="s">
        <v>91</v>
      </c>
      <c r="D65" s="3">
        <v>45715.994166666671</v>
      </c>
      <c r="E65" t="s">
        <v>91</v>
      </c>
      <c r="F65" s="4">
        <v>361.81899999999257</v>
      </c>
      <c r="G65" s="4">
        <v>67030.676000000007</v>
      </c>
      <c r="H65" s="4">
        <v>67392.494999999995</v>
      </c>
      <c r="I65" s="5">
        <f>22698 / 86400</f>
        <v>0.26270833333333332</v>
      </c>
      <c r="J65" t="s">
        <v>115</v>
      </c>
      <c r="K65" t="s">
        <v>116</v>
      </c>
      <c r="L65" s="5">
        <f>66752 / 86400</f>
        <v>0.77259259259259261</v>
      </c>
      <c r="M65" s="5">
        <f>19641 / 86400</f>
        <v>0.2273263888888889</v>
      </c>
    </row>
    <row r="66" spans="1:13" x14ac:dyDescent="0.25">
      <c r="A66" t="s">
        <v>571</v>
      </c>
      <c r="B66" s="3">
        <v>45715.304340277777</v>
      </c>
      <c r="C66" t="s">
        <v>83</v>
      </c>
      <c r="D66" s="3">
        <v>45715.881076388891</v>
      </c>
      <c r="E66" t="s">
        <v>83</v>
      </c>
      <c r="F66" s="4">
        <v>200.73400000000001</v>
      </c>
      <c r="G66" s="4">
        <v>294320.38900000002</v>
      </c>
      <c r="H66" s="4">
        <v>294521.12300000002</v>
      </c>
      <c r="I66" s="5">
        <f>18378 / 86400</f>
        <v>0.21270833333333333</v>
      </c>
      <c r="J66" t="s">
        <v>117</v>
      </c>
      <c r="K66" t="s">
        <v>39</v>
      </c>
      <c r="L66" s="5">
        <f>47034 / 86400</f>
        <v>0.54437500000000005</v>
      </c>
      <c r="M66" s="5">
        <f>39363 / 86400</f>
        <v>0.45559027777777777</v>
      </c>
    </row>
    <row r="67" spans="1:13" x14ac:dyDescent="0.25">
      <c r="A67" s="6" t="s">
        <v>118</v>
      </c>
      <c r="B67" s="6" t="s">
        <v>119</v>
      </c>
      <c r="C67" s="6" t="s">
        <v>119</v>
      </c>
      <c r="D67" s="6" t="s">
        <v>119</v>
      </c>
      <c r="E67" s="6" t="s">
        <v>119</v>
      </c>
      <c r="F67" s="7">
        <v>11496.929753891103</v>
      </c>
      <c r="G67" s="6" t="s">
        <v>119</v>
      </c>
      <c r="H67" s="6" t="s">
        <v>119</v>
      </c>
      <c r="I67" s="8">
        <f>854024 / 86400</f>
        <v>9.8845370370370365</v>
      </c>
      <c r="J67" s="6" t="s">
        <v>119</v>
      </c>
      <c r="K67" s="6" t="s">
        <v>119</v>
      </c>
      <c r="L67" s="8">
        <f>2369384 / 86400</f>
        <v>27.423425925925926</v>
      </c>
      <c r="M67" s="8">
        <f>2727938 / 86400</f>
        <v>31.573356481481483</v>
      </c>
    </row>
    <row r="68" spans="1:13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 spans="1:13" s="9" customFormat="1" x14ac:dyDescent="0.25">
      <c r="A69" s="15" t="s">
        <v>120</v>
      </c>
      <c r="B69" s="15"/>
      <c r="C69" s="15"/>
      <c r="D69" s="15"/>
      <c r="E69" s="15"/>
      <c r="F69" s="15"/>
      <c r="G69" s="15"/>
      <c r="H69" s="15"/>
      <c r="I69" s="15"/>
      <c r="J69" s="15"/>
    </row>
    <row r="70" spans="1:1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3" s="10" customFormat="1" ht="20.100000000000001" customHeight="1" x14ac:dyDescent="0.35">
      <c r="A72" s="11" t="s">
        <v>513</v>
      </c>
      <c r="B72" s="11"/>
      <c r="C72" s="11"/>
      <c r="D72" s="11"/>
      <c r="E72" s="11"/>
      <c r="F72" s="11"/>
      <c r="G72" s="11"/>
      <c r="H72" s="11"/>
      <c r="I72" s="11"/>
      <c r="J72" s="11"/>
    </row>
    <row r="73" spans="1:1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3" ht="30" x14ac:dyDescent="0.25">
      <c r="A74" s="2" t="s">
        <v>5</v>
      </c>
      <c r="B74" s="2" t="s">
        <v>6</v>
      </c>
      <c r="C74" s="2" t="s">
        <v>7</v>
      </c>
      <c r="D74" s="2" t="s">
        <v>8</v>
      </c>
      <c r="E74" s="2" t="s">
        <v>9</v>
      </c>
      <c r="F74" s="2" t="s">
        <v>10</v>
      </c>
      <c r="G74" s="2" t="s">
        <v>11</v>
      </c>
      <c r="H74" s="2" t="s">
        <v>12</v>
      </c>
      <c r="I74" s="2" t="s">
        <v>13</v>
      </c>
      <c r="J74" s="2" t="s">
        <v>14</v>
      </c>
      <c r="K74" s="2" t="s">
        <v>15</v>
      </c>
      <c r="L74" s="2" t="s">
        <v>16</v>
      </c>
    </row>
    <row r="75" spans="1:13" x14ac:dyDescent="0.25">
      <c r="A75" s="3">
        <v>45715.220266203702</v>
      </c>
      <c r="B75" t="s">
        <v>17</v>
      </c>
      <c r="C75" s="3">
        <v>45715.226782407408</v>
      </c>
      <c r="D75" t="s">
        <v>17</v>
      </c>
      <c r="E75" s="4">
        <v>3.3000000000000002E-2</v>
      </c>
      <c r="F75" s="4">
        <v>516819.47100000002</v>
      </c>
      <c r="G75" s="4">
        <v>516819.50400000002</v>
      </c>
      <c r="H75" s="5">
        <f>499 / 86400</f>
        <v>5.7754629629629631E-3</v>
      </c>
      <c r="I75" t="s">
        <v>67</v>
      </c>
      <c r="J75" t="s">
        <v>21</v>
      </c>
      <c r="K75" s="5">
        <f>563 / 86400</f>
        <v>6.5162037037037037E-3</v>
      </c>
      <c r="L75" s="5">
        <f>23307 / 86400</f>
        <v>0.26975694444444442</v>
      </c>
    </row>
    <row r="76" spans="1:13" x14ac:dyDescent="0.25">
      <c r="A76" s="3">
        <v>45715.276273148149</v>
      </c>
      <c r="B76" t="s">
        <v>17</v>
      </c>
      <c r="C76" s="3">
        <v>45715.34957175926</v>
      </c>
      <c r="D76" t="s">
        <v>121</v>
      </c>
      <c r="E76" s="4">
        <v>38.325000000000003</v>
      </c>
      <c r="F76" s="4">
        <v>516819.50400000002</v>
      </c>
      <c r="G76" s="4">
        <v>516857.82900000003</v>
      </c>
      <c r="H76" s="5">
        <f>1497 / 86400</f>
        <v>1.7326388888888888E-2</v>
      </c>
      <c r="I76" t="s">
        <v>43</v>
      </c>
      <c r="J76" t="s">
        <v>34</v>
      </c>
      <c r="K76" s="5">
        <f>6333 / 86400</f>
        <v>7.3298611111111106E-2</v>
      </c>
      <c r="L76" s="5">
        <f>426 / 86400</f>
        <v>4.9305555555555552E-3</v>
      </c>
    </row>
    <row r="77" spans="1:13" x14ac:dyDescent="0.25">
      <c r="A77" s="3">
        <v>45715.354502314818</v>
      </c>
      <c r="B77" t="s">
        <v>121</v>
      </c>
      <c r="C77" s="3">
        <v>45715.357766203699</v>
      </c>
      <c r="D77" t="s">
        <v>122</v>
      </c>
      <c r="E77" s="4">
        <v>0.47299999999999998</v>
      </c>
      <c r="F77" s="4">
        <v>516857.82900000003</v>
      </c>
      <c r="G77" s="4">
        <v>516858.30200000003</v>
      </c>
      <c r="H77" s="5">
        <f>80 / 86400</f>
        <v>9.2592592592592596E-4</v>
      </c>
      <c r="I77" t="s">
        <v>34</v>
      </c>
      <c r="J77" t="s">
        <v>123</v>
      </c>
      <c r="K77" s="5">
        <f>281 / 86400</f>
        <v>3.2523148148148147E-3</v>
      </c>
      <c r="L77" s="5">
        <f>220 / 86400</f>
        <v>2.5462962962962965E-3</v>
      </c>
    </row>
    <row r="78" spans="1:13" x14ac:dyDescent="0.25">
      <c r="A78" s="3">
        <v>45715.360312500001</v>
      </c>
      <c r="B78" t="s">
        <v>122</v>
      </c>
      <c r="C78" s="3">
        <v>45715.361620370371</v>
      </c>
      <c r="D78" t="s">
        <v>124</v>
      </c>
      <c r="E78" s="4">
        <v>0.38500000000000001</v>
      </c>
      <c r="F78" s="4">
        <v>516858.30200000003</v>
      </c>
      <c r="G78" s="4">
        <v>516858.68699999998</v>
      </c>
      <c r="H78" s="5">
        <f>0 / 86400</f>
        <v>0</v>
      </c>
      <c r="I78" t="s">
        <v>19</v>
      </c>
      <c r="J78" t="s">
        <v>85</v>
      </c>
      <c r="K78" s="5">
        <f>113 / 86400</f>
        <v>1.3078703703703703E-3</v>
      </c>
      <c r="L78" s="5">
        <f>3882 / 86400</f>
        <v>4.4930555555555557E-2</v>
      </c>
    </row>
    <row r="79" spans="1:13" x14ac:dyDescent="0.25">
      <c r="A79" s="3">
        <v>45715.406550925924</v>
      </c>
      <c r="B79" t="s">
        <v>124</v>
      </c>
      <c r="C79" s="3">
        <v>45715.540289351848</v>
      </c>
      <c r="D79" t="s">
        <v>125</v>
      </c>
      <c r="E79" s="4">
        <v>51.103999999999999</v>
      </c>
      <c r="F79" s="4">
        <v>516858.68699999998</v>
      </c>
      <c r="G79" s="4">
        <v>516909.79100000003</v>
      </c>
      <c r="H79" s="5">
        <f>3721 / 86400</f>
        <v>4.3067129629629629E-2</v>
      </c>
      <c r="I79" t="s">
        <v>73</v>
      </c>
      <c r="J79" t="s">
        <v>26</v>
      </c>
      <c r="K79" s="5">
        <f>11554 / 86400</f>
        <v>0.13372685185185185</v>
      </c>
      <c r="L79" s="5">
        <f>106 / 86400</f>
        <v>1.2268518518518518E-3</v>
      </c>
    </row>
    <row r="80" spans="1:13" x14ac:dyDescent="0.25">
      <c r="A80" s="3">
        <v>45715.541516203702</v>
      </c>
      <c r="B80" t="s">
        <v>126</v>
      </c>
      <c r="C80" s="3">
        <v>45715.541631944448</v>
      </c>
      <c r="D80" t="s">
        <v>126</v>
      </c>
      <c r="E80" s="4">
        <v>5.0000000000000001E-3</v>
      </c>
      <c r="F80" s="4">
        <v>516909.79100000003</v>
      </c>
      <c r="G80" s="4">
        <v>516909.79599999997</v>
      </c>
      <c r="H80" s="5">
        <f>0 / 86400</f>
        <v>0</v>
      </c>
      <c r="I80" t="s">
        <v>21</v>
      </c>
      <c r="J80" t="s">
        <v>29</v>
      </c>
      <c r="K80" s="5">
        <f>10 / 86400</f>
        <v>1.1574074074074075E-4</v>
      </c>
      <c r="L80" s="5">
        <f>186 / 86400</f>
        <v>2.1527777777777778E-3</v>
      </c>
    </row>
    <row r="81" spans="1:12" x14ac:dyDescent="0.25">
      <c r="A81" s="3">
        <v>45715.54378472222</v>
      </c>
      <c r="B81" t="s">
        <v>126</v>
      </c>
      <c r="C81" s="3">
        <v>45715.611944444448</v>
      </c>
      <c r="D81" t="s">
        <v>127</v>
      </c>
      <c r="E81" s="4">
        <v>22.337</v>
      </c>
      <c r="F81" s="4">
        <v>516909.79599999997</v>
      </c>
      <c r="G81" s="4">
        <v>516932.13299999997</v>
      </c>
      <c r="H81" s="5">
        <f>1820 / 86400</f>
        <v>2.1064814814814814E-2</v>
      </c>
      <c r="I81" t="s">
        <v>92</v>
      </c>
      <c r="J81" t="s">
        <v>41</v>
      </c>
      <c r="K81" s="5">
        <f>5889 / 86400</f>
        <v>6.8159722222222219E-2</v>
      </c>
      <c r="L81" s="5">
        <f>195 / 86400</f>
        <v>2.2569444444444442E-3</v>
      </c>
    </row>
    <row r="82" spans="1:12" x14ac:dyDescent="0.25">
      <c r="A82" s="3">
        <v>45715.614201388889</v>
      </c>
      <c r="B82" t="s">
        <v>127</v>
      </c>
      <c r="C82" s="3">
        <v>45715.618692129632</v>
      </c>
      <c r="D82" t="s">
        <v>128</v>
      </c>
      <c r="E82" s="4">
        <v>2.1339999999999999</v>
      </c>
      <c r="F82" s="4">
        <v>516932.13299999997</v>
      </c>
      <c r="G82" s="4">
        <v>516934.26699999999</v>
      </c>
      <c r="H82" s="5">
        <f>60 / 86400</f>
        <v>6.9444444444444447E-4</v>
      </c>
      <c r="I82" t="s">
        <v>129</v>
      </c>
      <c r="J82" t="s">
        <v>116</v>
      </c>
      <c r="K82" s="5">
        <f>388 / 86400</f>
        <v>4.4907407407407405E-3</v>
      </c>
      <c r="L82" s="5">
        <f>5881 / 86400</f>
        <v>6.806712962962963E-2</v>
      </c>
    </row>
    <row r="83" spans="1:12" x14ac:dyDescent="0.25">
      <c r="A83" s="3">
        <v>45715.686759259261</v>
      </c>
      <c r="B83" t="s">
        <v>128</v>
      </c>
      <c r="C83" s="3">
        <v>45715.76262731482</v>
      </c>
      <c r="D83" t="s">
        <v>74</v>
      </c>
      <c r="E83" s="4">
        <v>35.972000000000001</v>
      </c>
      <c r="F83" s="4">
        <v>516934.26699999999</v>
      </c>
      <c r="G83" s="4">
        <v>516970.239</v>
      </c>
      <c r="H83" s="5">
        <f>1460 / 86400</f>
        <v>1.6898148148148148E-2</v>
      </c>
      <c r="I83" t="s">
        <v>38</v>
      </c>
      <c r="J83" t="s">
        <v>116</v>
      </c>
      <c r="K83" s="5">
        <f>6554 / 86400</f>
        <v>7.5856481481481483E-2</v>
      </c>
      <c r="L83" s="5">
        <f>356 / 86400</f>
        <v>4.1203703703703706E-3</v>
      </c>
    </row>
    <row r="84" spans="1:12" x14ac:dyDescent="0.25">
      <c r="A84" s="3">
        <v>45715.766747685186</v>
      </c>
      <c r="B84" t="s">
        <v>74</v>
      </c>
      <c r="C84" s="3">
        <v>45715.916099537033</v>
      </c>
      <c r="D84" t="s">
        <v>130</v>
      </c>
      <c r="E84" s="4">
        <v>63.953000000000003</v>
      </c>
      <c r="F84" s="4">
        <v>516970.239</v>
      </c>
      <c r="G84" s="4">
        <v>517034.19199999998</v>
      </c>
      <c r="H84" s="5">
        <f>3459 / 86400</f>
        <v>4.0034722222222222E-2</v>
      </c>
      <c r="I84" t="s">
        <v>18</v>
      </c>
      <c r="J84" t="s">
        <v>30</v>
      </c>
      <c r="K84" s="5">
        <f>12904 / 86400</f>
        <v>0.14935185185185185</v>
      </c>
      <c r="L84" s="5">
        <f>478 / 86400</f>
        <v>5.5324074074074078E-3</v>
      </c>
    </row>
    <row r="85" spans="1:12" x14ac:dyDescent="0.25">
      <c r="A85" s="3">
        <v>45715.921631944446</v>
      </c>
      <c r="B85" t="s">
        <v>130</v>
      </c>
      <c r="C85" s="3">
        <v>45715.926793981482</v>
      </c>
      <c r="D85" t="s">
        <v>17</v>
      </c>
      <c r="E85" s="4">
        <v>0.51300000000000001</v>
      </c>
      <c r="F85" s="4">
        <v>517034.19199999998</v>
      </c>
      <c r="G85" s="4">
        <v>517034.70500000002</v>
      </c>
      <c r="H85" s="5">
        <f>260 / 86400</f>
        <v>3.0092592592592593E-3</v>
      </c>
      <c r="I85" t="s">
        <v>131</v>
      </c>
      <c r="J85" t="s">
        <v>132</v>
      </c>
      <c r="K85" s="5">
        <f>446 / 86400</f>
        <v>5.162037037037037E-3</v>
      </c>
      <c r="L85" s="5">
        <f>6324 / 86400</f>
        <v>7.3194444444444451E-2</v>
      </c>
    </row>
    <row r="86" spans="1:12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</row>
    <row r="87" spans="1:12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</row>
    <row r="88" spans="1:12" s="10" customFormat="1" ht="20.100000000000001" customHeight="1" x14ac:dyDescent="0.35">
      <c r="A88" s="11" t="s">
        <v>514</v>
      </c>
      <c r="B88" s="11"/>
      <c r="C88" s="11"/>
      <c r="D88" s="11"/>
      <c r="E88" s="11"/>
      <c r="F88" s="11"/>
      <c r="G88" s="11"/>
      <c r="H88" s="11"/>
      <c r="I88" s="11"/>
      <c r="J88" s="11"/>
    </row>
    <row r="89" spans="1:1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2" ht="30" x14ac:dyDescent="0.25">
      <c r="A90" s="2" t="s">
        <v>5</v>
      </c>
      <c r="B90" s="2" t="s">
        <v>6</v>
      </c>
      <c r="C90" s="2" t="s">
        <v>7</v>
      </c>
      <c r="D90" s="2" t="s">
        <v>8</v>
      </c>
      <c r="E90" s="2" t="s">
        <v>9</v>
      </c>
      <c r="F90" s="2" t="s">
        <v>10</v>
      </c>
      <c r="G90" s="2" t="s">
        <v>11</v>
      </c>
      <c r="H90" s="2" t="s">
        <v>12</v>
      </c>
      <c r="I90" s="2" t="s">
        <v>13</v>
      </c>
      <c r="J90" s="2" t="s">
        <v>14</v>
      </c>
      <c r="K90" s="2" t="s">
        <v>15</v>
      </c>
      <c r="L90" s="2" t="s">
        <v>16</v>
      </c>
    </row>
    <row r="91" spans="1:12" x14ac:dyDescent="0.25">
      <c r="A91" s="3">
        <v>45715.009895833333</v>
      </c>
      <c r="B91" t="s">
        <v>20</v>
      </c>
      <c r="C91" s="3">
        <v>45715.012719907405</v>
      </c>
      <c r="D91" t="s">
        <v>20</v>
      </c>
      <c r="E91" s="4">
        <v>0</v>
      </c>
      <c r="F91" s="4">
        <v>20850.677</v>
      </c>
      <c r="G91" s="4">
        <v>20850.677</v>
      </c>
      <c r="H91" s="5">
        <f>239 / 86400</f>
        <v>2.7662037037037039E-3</v>
      </c>
      <c r="I91" t="s">
        <v>21</v>
      </c>
      <c r="J91" t="s">
        <v>21</v>
      </c>
      <c r="K91" s="5">
        <f>243 / 86400</f>
        <v>2.8124999999999999E-3</v>
      </c>
      <c r="L91" s="5">
        <f>8223 / 86400</f>
        <v>9.5173611111111112E-2</v>
      </c>
    </row>
    <row r="92" spans="1:12" x14ac:dyDescent="0.25">
      <c r="A92" s="3">
        <v>45715.097997685181</v>
      </c>
      <c r="B92" t="s">
        <v>20</v>
      </c>
      <c r="C92" s="3">
        <v>45715.294837962967</v>
      </c>
      <c r="D92" t="s">
        <v>20</v>
      </c>
      <c r="E92" s="4">
        <v>0</v>
      </c>
      <c r="F92" s="4">
        <v>20850.677</v>
      </c>
      <c r="G92" s="4">
        <v>20850.677</v>
      </c>
      <c r="H92" s="5">
        <f>16989 / 86400</f>
        <v>0.19663194444444446</v>
      </c>
      <c r="I92" t="s">
        <v>21</v>
      </c>
      <c r="J92" t="s">
        <v>21</v>
      </c>
      <c r="K92" s="5">
        <f>17007 / 86400</f>
        <v>0.19684027777777777</v>
      </c>
      <c r="L92" s="5">
        <f>512 / 86400</f>
        <v>5.9259259259259256E-3</v>
      </c>
    </row>
    <row r="93" spans="1:12" x14ac:dyDescent="0.25">
      <c r="A93" s="3">
        <v>45715.300763888888</v>
      </c>
      <c r="B93" t="s">
        <v>20</v>
      </c>
      <c r="C93" s="3">
        <v>45715.306342592594</v>
      </c>
      <c r="D93" t="s">
        <v>20</v>
      </c>
      <c r="E93" s="4">
        <v>0</v>
      </c>
      <c r="F93" s="4">
        <v>20850.677</v>
      </c>
      <c r="G93" s="4">
        <v>20850.677</v>
      </c>
      <c r="H93" s="5">
        <f>479 / 86400</f>
        <v>5.5439814814814813E-3</v>
      </c>
      <c r="I93" t="s">
        <v>21</v>
      </c>
      <c r="J93" t="s">
        <v>21</v>
      </c>
      <c r="K93" s="5">
        <f>482 / 86400</f>
        <v>5.5787037037037038E-3</v>
      </c>
      <c r="L93" s="5">
        <f>10022 / 86400</f>
        <v>0.11599537037037037</v>
      </c>
    </row>
    <row r="94" spans="1:12" x14ac:dyDescent="0.25">
      <c r="A94" s="3">
        <v>45715.422337962962</v>
      </c>
      <c r="B94" t="s">
        <v>20</v>
      </c>
      <c r="C94" s="3">
        <v>45715.651597222226</v>
      </c>
      <c r="D94" t="s">
        <v>20</v>
      </c>
      <c r="E94" s="4">
        <v>0</v>
      </c>
      <c r="F94" s="4">
        <v>20850.677</v>
      </c>
      <c r="G94" s="4">
        <v>20850.677</v>
      </c>
      <c r="H94" s="5">
        <f>19789 / 86400</f>
        <v>0.22903935185185184</v>
      </c>
      <c r="I94" t="s">
        <v>21</v>
      </c>
      <c r="J94" t="s">
        <v>21</v>
      </c>
      <c r="K94" s="5">
        <f>19808 / 86400</f>
        <v>0.22925925925925925</v>
      </c>
      <c r="L94" s="5">
        <f>175 / 86400</f>
        <v>2.0254629629629629E-3</v>
      </c>
    </row>
    <row r="95" spans="1:12" x14ac:dyDescent="0.25">
      <c r="A95" s="3">
        <v>45715.653622685189</v>
      </c>
      <c r="B95" t="s">
        <v>20</v>
      </c>
      <c r="C95" s="3">
        <v>45715.655462962968</v>
      </c>
      <c r="D95" t="s">
        <v>20</v>
      </c>
      <c r="E95" s="4">
        <v>0</v>
      </c>
      <c r="F95" s="4">
        <v>20850.677</v>
      </c>
      <c r="G95" s="4">
        <v>20850.677</v>
      </c>
      <c r="H95" s="5">
        <f>139 / 86400</f>
        <v>1.6087962962962963E-3</v>
      </c>
      <c r="I95" t="s">
        <v>21</v>
      </c>
      <c r="J95" t="s">
        <v>21</v>
      </c>
      <c r="K95" s="5">
        <f>159 / 86400</f>
        <v>1.8402777777777777E-3</v>
      </c>
      <c r="L95" s="5">
        <f>874 / 86400</f>
        <v>1.0115740740740741E-2</v>
      </c>
    </row>
    <row r="96" spans="1:12" x14ac:dyDescent="0.25">
      <c r="A96" s="3">
        <v>45715.665578703702</v>
      </c>
      <c r="B96" t="s">
        <v>20</v>
      </c>
      <c r="C96" s="3">
        <v>45715.909039351856</v>
      </c>
      <c r="D96" t="s">
        <v>20</v>
      </c>
      <c r="E96" s="4">
        <v>0</v>
      </c>
      <c r="F96" s="4">
        <v>20850.677</v>
      </c>
      <c r="G96" s="4">
        <v>20850.677</v>
      </c>
      <c r="H96" s="5">
        <f>21019 / 86400</f>
        <v>0.24327546296296296</v>
      </c>
      <c r="I96" t="s">
        <v>21</v>
      </c>
      <c r="J96" t="s">
        <v>21</v>
      </c>
      <c r="K96" s="5">
        <f>21035 / 86400</f>
        <v>0.24346064814814813</v>
      </c>
      <c r="L96" s="5">
        <f>175 / 86400</f>
        <v>2.0254629629629629E-3</v>
      </c>
    </row>
    <row r="97" spans="1:12" x14ac:dyDescent="0.25">
      <c r="A97" s="3">
        <v>45715.91106481482</v>
      </c>
      <c r="B97" t="s">
        <v>20</v>
      </c>
      <c r="C97" s="3">
        <v>45715.912824074076</v>
      </c>
      <c r="D97" t="s">
        <v>20</v>
      </c>
      <c r="E97" s="4">
        <v>0</v>
      </c>
      <c r="F97" s="4">
        <v>20850.677</v>
      </c>
      <c r="G97" s="4">
        <v>20850.677</v>
      </c>
      <c r="H97" s="5">
        <f>139 / 86400</f>
        <v>1.6087962962962963E-3</v>
      </c>
      <c r="I97" t="s">
        <v>21</v>
      </c>
      <c r="J97" t="s">
        <v>21</v>
      </c>
      <c r="K97" s="5">
        <f>152 / 86400</f>
        <v>1.7592592592592592E-3</v>
      </c>
      <c r="L97" s="5">
        <f>983 / 86400</f>
        <v>1.1377314814814814E-2</v>
      </c>
    </row>
    <row r="98" spans="1:12" x14ac:dyDescent="0.25">
      <c r="A98" s="3">
        <v>45715.924201388887</v>
      </c>
      <c r="B98" t="s">
        <v>20</v>
      </c>
      <c r="C98" s="3">
        <v>45715.92690972222</v>
      </c>
      <c r="D98" t="s">
        <v>20</v>
      </c>
      <c r="E98" s="4">
        <v>0</v>
      </c>
      <c r="F98" s="4">
        <v>20850.677</v>
      </c>
      <c r="G98" s="4">
        <v>20850.677</v>
      </c>
      <c r="H98" s="5">
        <f>219 / 86400</f>
        <v>2.5347222222222221E-3</v>
      </c>
      <c r="I98" t="s">
        <v>21</v>
      </c>
      <c r="J98" t="s">
        <v>21</v>
      </c>
      <c r="K98" s="5">
        <f>233 / 86400</f>
        <v>2.6967592592592594E-3</v>
      </c>
      <c r="L98" s="5">
        <f>6314 / 86400</f>
        <v>7.3078703703703701E-2</v>
      </c>
    </row>
    <row r="99" spans="1:12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</row>
    <row r="100" spans="1:12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1:12" s="10" customFormat="1" ht="20.100000000000001" customHeight="1" x14ac:dyDescent="0.35">
      <c r="A101" s="11" t="s">
        <v>515</v>
      </c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2" ht="30" x14ac:dyDescent="0.25">
      <c r="A103" s="2" t="s">
        <v>5</v>
      </c>
      <c r="B103" s="2" t="s">
        <v>6</v>
      </c>
      <c r="C103" s="2" t="s">
        <v>7</v>
      </c>
      <c r="D103" s="2" t="s">
        <v>8</v>
      </c>
      <c r="E103" s="2" t="s">
        <v>9</v>
      </c>
      <c r="F103" s="2" t="s">
        <v>10</v>
      </c>
      <c r="G103" s="2" t="s">
        <v>11</v>
      </c>
      <c r="H103" s="2" t="s">
        <v>12</v>
      </c>
      <c r="I103" s="2" t="s">
        <v>13</v>
      </c>
      <c r="J103" s="2" t="s">
        <v>14</v>
      </c>
      <c r="K103" s="2" t="s">
        <v>15</v>
      </c>
      <c r="L103" s="2" t="s">
        <v>16</v>
      </c>
    </row>
    <row r="104" spans="1:12" x14ac:dyDescent="0.25">
      <c r="A104" s="3">
        <v>45715.262210648143</v>
      </c>
      <c r="B104" t="s">
        <v>22</v>
      </c>
      <c r="C104" s="3">
        <v>45715.273321759261</v>
      </c>
      <c r="D104" t="s">
        <v>93</v>
      </c>
      <c r="E104" s="4">
        <v>3.7490000000000001</v>
      </c>
      <c r="F104" s="4">
        <v>330762.54300000001</v>
      </c>
      <c r="G104" s="4">
        <v>330766.29200000002</v>
      </c>
      <c r="H104" s="5">
        <f>539 / 86400</f>
        <v>6.2384259259259259E-3</v>
      </c>
      <c r="I104" t="s">
        <v>89</v>
      </c>
      <c r="J104" t="s">
        <v>41</v>
      </c>
      <c r="K104" s="5">
        <f>959 / 86400</f>
        <v>1.1099537037037036E-2</v>
      </c>
      <c r="L104" s="5">
        <f>23901 / 86400</f>
        <v>0.27663194444444444</v>
      </c>
    </row>
    <row r="105" spans="1:12" x14ac:dyDescent="0.25">
      <c r="A105" s="3">
        <v>45715.287743055553</v>
      </c>
      <c r="B105" t="s">
        <v>93</v>
      </c>
      <c r="C105" s="3">
        <v>45715.381782407407</v>
      </c>
      <c r="D105" t="s">
        <v>133</v>
      </c>
      <c r="E105" s="4">
        <v>30.481999999999999</v>
      </c>
      <c r="F105" s="4">
        <v>330766.29200000002</v>
      </c>
      <c r="G105" s="4">
        <v>330796.77399999998</v>
      </c>
      <c r="H105" s="5">
        <f>3360 / 86400</f>
        <v>3.888888888888889E-2</v>
      </c>
      <c r="I105" t="s">
        <v>23</v>
      </c>
      <c r="J105" t="s">
        <v>41</v>
      </c>
      <c r="K105" s="5">
        <f>8124 / 86400</f>
        <v>9.402777777777778E-2</v>
      </c>
      <c r="L105" s="5">
        <f>194 / 86400</f>
        <v>2.2453703703703702E-3</v>
      </c>
    </row>
    <row r="106" spans="1:12" x14ac:dyDescent="0.25">
      <c r="A106" s="3">
        <v>45715.384027777778</v>
      </c>
      <c r="B106" t="s">
        <v>133</v>
      </c>
      <c r="C106" s="3">
        <v>45715.384375000001</v>
      </c>
      <c r="D106" t="s">
        <v>134</v>
      </c>
      <c r="E106" s="4">
        <v>4.2999999999999997E-2</v>
      </c>
      <c r="F106" s="4">
        <v>330796.77399999998</v>
      </c>
      <c r="G106" s="4">
        <v>330796.81699999998</v>
      </c>
      <c r="H106" s="5">
        <f>0 / 86400</f>
        <v>0</v>
      </c>
      <c r="I106" t="s">
        <v>135</v>
      </c>
      <c r="J106" t="s">
        <v>99</v>
      </c>
      <c r="K106" s="5">
        <f>30 / 86400</f>
        <v>3.4722222222222224E-4</v>
      </c>
      <c r="L106" s="5">
        <f>10 / 86400</f>
        <v>1.1574074074074075E-4</v>
      </c>
    </row>
    <row r="107" spans="1:12" x14ac:dyDescent="0.25">
      <c r="A107" s="3">
        <v>45715.38449074074</v>
      </c>
      <c r="B107" t="s">
        <v>134</v>
      </c>
      <c r="C107" s="3">
        <v>45715.384641203702</v>
      </c>
      <c r="D107" t="s">
        <v>134</v>
      </c>
      <c r="E107" s="4">
        <v>1.0999999999999999E-2</v>
      </c>
      <c r="F107" s="4">
        <v>330796.81699999998</v>
      </c>
      <c r="G107" s="4">
        <v>330796.82799999998</v>
      </c>
      <c r="H107" s="5">
        <f>0 / 86400</f>
        <v>0</v>
      </c>
      <c r="I107" t="s">
        <v>21</v>
      </c>
      <c r="J107" t="s">
        <v>136</v>
      </c>
      <c r="K107" s="5">
        <f>12 / 86400</f>
        <v>1.3888888888888889E-4</v>
      </c>
      <c r="L107" s="5">
        <f>64 / 86400</f>
        <v>7.407407407407407E-4</v>
      </c>
    </row>
    <row r="108" spans="1:12" x14ac:dyDescent="0.25">
      <c r="A108" s="3">
        <v>45715.385381944448</v>
      </c>
      <c r="B108" t="s">
        <v>137</v>
      </c>
      <c r="C108" s="3">
        <v>45715.471030092594</v>
      </c>
      <c r="D108" t="s">
        <v>138</v>
      </c>
      <c r="E108" s="4">
        <v>31.396000000000001</v>
      </c>
      <c r="F108" s="4">
        <v>330796.82799999998</v>
      </c>
      <c r="G108" s="4">
        <v>330828.22399999999</v>
      </c>
      <c r="H108" s="5">
        <f>2598 / 86400</f>
        <v>3.0069444444444444E-2</v>
      </c>
      <c r="I108" t="s">
        <v>103</v>
      </c>
      <c r="J108" t="s">
        <v>39</v>
      </c>
      <c r="K108" s="5">
        <f>7399 / 86400</f>
        <v>8.5636574074074073E-2</v>
      </c>
      <c r="L108" s="5">
        <f>908 / 86400</f>
        <v>1.050925925925926E-2</v>
      </c>
    </row>
    <row r="109" spans="1:12" x14ac:dyDescent="0.25">
      <c r="A109" s="3">
        <v>45715.481539351851</v>
      </c>
      <c r="B109" t="s">
        <v>138</v>
      </c>
      <c r="C109" s="3">
        <v>45715.485648148147</v>
      </c>
      <c r="D109" t="s">
        <v>77</v>
      </c>
      <c r="E109" s="4">
        <v>0.98299999999999998</v>
      </c>
      <c r="F109" s="4">
        <v>330828.22399999999</v>
      </c>
      <c r="G109" s="4">
        <v>330829.20699999999</v>
      </c>
      <c r="H109" s="5">
        <f>60 / 86400</f>
        <v>6.9444444444444447E-4</v>
      </c>
      <c r="I109" t="s">
        <v>139</v>
      </c>
      <c r="J109" t="s">
        <v>28</v>
      </c>
      <c r="K109" s="5">
        <f>354 / 86400</f>
        <v>4.0972222222222226E-3</v>
      </c>
      <c r="L109" s="5">
        <f>12394 / 86400</f>
        <v>0.14344907407407406</v>
      </c>
    </row>
    <row r="110" spans="1:12" x14ac:dyDescent="0.25">
      <c r="A110" s="3">
        <v>45715.62909722222</v>
      </c>
      <c r="B110" t="s">
        <v>77</v>
      </c>
      <c r="C110" s="3">
        <v>45715.631435185191</v>
      </c>
      <c r="D110" t="s">
        <v>112</v>
      </c>
      <c r="E110" s="4">
        <v>0.63400000000000001</v>
      </c>
      <c r="F110" s="4">
        <v>330829.20699999999</v>
      </c>
      <c r="G110" s="4">
        <v>330829.84100000001</v>
      </c>
      <c r="H110" s="5">
        <f>59 / 86400</f>
        <v>6.8287037037037036E-4</v>
      </c>
      <c r="I110" t="s">
        <v>140</v>
      </c>
      <c r="J110" t="s">
        <v>141</v>
      </c>
      <c r="K110" s="5">
        <f>202 / 86400</f>
        <v>2.3379629629629631E-3</v>
      </c>
      <c r="L110" s="5">
        <f>719 / 86400</f>
        <v>8.3217592592592596E-3</v>
      </c>
    </row>
    <row r="111" spans="1:12" x14ac:dyDescent="0.25">
      <c r="A111" s="3">
        <v>45715.639756944445</v>
      </c>
      <c r="B111" t="s">
        <v>112</v>
      </c>
      <c r="C111" s="3">
        <v>45715.775104166663</v>
      </c>
      <c r="D111" t="s">
        <v>133</v>
      </c>
      <c r="E111" s="4">
        <v>63.970999999999997</v>
      </c>
      <c r="F111" s="4">
        <v>330829.84100000001</v>
      </c>
      <c r="G111" s="4">
        <v>330893.81199999998</v>
      </c>
      <c r="H111" s="5">
        <f>3608 / 86400</f>
        <v>4.175925925925926E-2</v>
      </c>
      <c r="I111" t="s">
        <v>105</v>
      </c>
      <c r="J111" t="s">
        <v>116</v>
      </c>
      <c r="K111" s="5">
        <f>11694 / 86400</f>
        <v>0.13534722222222223</v>
      </c>
      <c r="L111" s="5">
        <f>23 / 86400</f>
        <v>2.6620370370370372E-4</v>
      </c>
    </row>
    <row r="112" spans="1:12" x14ac:dyDescent="0.25">
      <c r="A112" s="3">
        <v>45715.775370370371</v>
      </c>
      <c r="B112" t="s">
        <v>133</v>
      </c>
      <c r="C112" s="3">
        <v>45715.775601851856</v>
      </c>
      <c r="D112" t="s">
        <v>133</v>
      </c>
      <c r="E112" s="4">
        <v>0</v>
      </c>
      <c r="F112" s="4">
        <v>330893.81199999998</v>
      </c>
      <c r="G112" s="4">
        <v>330893.81199999998</v>
      </c>
      <c r="H112" s="5">
        <f>0 / 86400</f>
        <v>0</v>
      </c>
      <c r="I112" t="s">
        <v>21</v>
      </c>
      <c r="J112" t="s">
        <v>21</v>
      </c>
      <c r="K112" s="5">
        <f>19 / 86400</f>
        <v>2.199074074074074E-4</v>
      </c>
      <c r="L112" s="5">
        <f>67 / 86400</f>
        <v>7.7546296296296293E-4</v>
      </c>
    </row>
    <row r="113" spans="1:12" x14ac:dyDescent="0.25">
      <c r="A113" s="3">
        <v>45715.776377314818</v>
      </c>
      <c r="B113" t="s">
        <v>133</v>
      </c>
      <c r="C113" s="3">
        <v>45715.866724537038</v>
      </c>
      <c r="D113" t="s">
        <v>32</v>
      </c>
      <c r="E113" s="4">
        <v>33.819000000000003</v>
      </c>
      <c r="F113" s="4">
        <v>330893.81199999998</v>
      </c>
      <c r="G113" s="4">
        <v>330927.63099999999</v>
      </c>
      <c r="H113" s="5">
        <f>2519 / 86400</f>
        <v>2.9155092592592594E-2</v>
      </c>
      <c r="I113" t="s">
        <v>92</v>
      </c>
      <c r="J113" t="s">
        <v>26</v>
      </c>
      <c r="K113" s="5">
        <f>7805 / 86400</f>
        <v>9.0335648148148151E-2</v>
      </c>
      <c r="L113" s="5">
        <f>389 / 86400</f>
        <v>4.5023148148148149E-3</v>
      </c>
    </row>
    <row r="114" spans="1:12" x14ac:dyDescent="0.25">
      <c r="A114" s="3">
        <v>45715.87122685185</v>
      </c>
      <c r="B114" t="s">
        <v>32</v>
      </c>
      <c r="C114" s="3">
        <v>45715.871678240743</v>
      </c>
      <c r="D114" t="s">
        <v>142</v>
      </c>
      <c r="E114" s="4">
        <v>2.5999999999999999E-2</v>
      </c>
      <c r="F114" s="4">
        <v>330927.63099999999</v>
      </c>
      <c r="G114" s="4">
        <v>330927.65700000001</v>
      </c>
      <c r="H114" s="5">
        <f>0 / 86400</f>
        <v>0</v>
      </c>
      <c r="I114" t="s">
        <v>143</v>
      </c>
      <c r="J114" t="s">
        <v>29</v>
      </c>
      <c r="K114" s="5">
        <f>39 / 86400</f>
        <v>4.5138888888888887E-4</v>
      </c>
      <c r="L114" s="5">
        <f>43 / 86400</f>
        <v>4.9768518518518521E-4</v>
      </c>
    </row>
    <row r="115" spans="1:12" x14ac:dyDescent="0.25">
      <c r="A115" s="3">
        <v>45715.872175925921</v>
      </c>
      <c r="B115" t="s">
        <v>142</v>
      </c>
      <c r="C115" s="3">
        <v>45715.87226851852</v>
      </c>
      <c r="D115" t="s">
        <v>142</v>
      </c>
      <c r="E115" s="4">
        <v>5.0000000000000001E-3</v>
      </c>
      <c r="F115" s="4">
        <v>330927.65700000001</v>
      </c>
      <c r="G115" s="4">
        <v>330927.66200000001</v>
      </c>
      <c r="H115" s="5">
        <f>0 / 86400</f>
        <v>0</v>
      </c>
      <c r="I115" t="s">
        <v>21</v>
      </c>
      <c r="J115" t="s">
        <v>29</v>
      </c>
      <c r="K115" s="5">
        <f>8 / 86400</f>
        <v>9.2592592592592588E-5</v>
      </c>
      <c r="L115" s="5">
        <f>33 / 86400</f>
        <v>3.8194444444444446E-4</v>
      </c>
    </row>
    <row r="116" spans="1:12" x14ac:dyDescent="0.25">
      <c r="A116" s="3">
        <v>45715.872650462959</v>
      </c>
      <c r="B116" t="s">
        <v>142</v>
      </c>
      <c r="C116" s="3">
        <v>45715.888483796298</v>
      </c>
      <c r="D116" t="s">
        <v>22</v>
      </c>
      <c r="E116" s="4">
        <v>9.8000000000000007</v>
      </c>
      <c r="F116" s="4">
        <v>330927.66200000001</v>
      </c>
      <c r="G116" s="4">
        <v>330937.462</v>
      </c>
      <c r="H116" s="5">
        <f>280 / 86400</f>
        <v>3.2407407407407406E-3</v>
      </c>
      <c r="I116" t="s">
        <v>144</v>
      </c>
      <c r="J116" t="s">
        <v>98</v>
      </c>
      <c r="K116" s="5">
        <f>1368 / 86400</f>
        <v>1.5833333333333335E-2</v>
      </c>
      <c r="L116" s="5">
        <f>9634 / 86400</f>
        <v>0.11150462962962963</v>
      </c>
    </row>
    <row r="117" spans="1:12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1:12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1:12" s="10" customFormat="1" ht="20.100000000000001" customHeight="1" x14ac:dyDescent="0.35">
      <c r="A119" s="11" t="s">
        <v>516</v>
      </c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2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1:12" ht="30" x14ac:dyDescent="0.25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</row>
    <row r="122" spans="1:12" x14ac:dyDescent="0.25">
      <c r="A122" s="3">
        <v>45715.287210648152</v>
      </c>
      <c r="B122" t="s">
        <v>24</v>
      </c>
      <c r="C122" s="3">
        <v>45715.346493055556</v>
      </c>
      <c r="D122" t="s">
        <v>145</v>
      </c>
      <c r="E122" s="4">
        <v>29.431999999999999</v>
      </c>
      <c r="F122" s="4">
        <v>22331.138999999999</v>
      </c>
      <c r="G122" s="4">
        <v>22360.571</v>
      </c>
      <c r="H122" s="5">
        <f>1039 / 86400</f>
        <v>1.2025462962962963E-2</v>
      </c>
      <c r="I122" t="s">
        <v>146</v>
      </c>
      <c r="J122" t="s">
        <v>139</v>
      </c>
      <c r="K122" s="5">
        <f>5122 / 86400</f>
        <v>5.9282407407407409E-2</v>
      </c>
      <c r="L122" s="5">
        <f>25842 / 86400</f>
        <v>0.29909722222222224</v>
      </c>
    </row>
    <row r="123" spans="1:12" x14ac:dyDescent="0.25">
      <c r="A123" s="3">
        <v>45715.35837962963</v>
      </c>
      <c r="B123" t="s">
        <v>145</v>
      </c>
      <c r="C123" s="3">
        <v>45715.497037037036</v>
      </c>
      <c r="D123" t="s">
        <v>147</v>
      </c>
      <c r="E123" s="4">
        <v>51.058999999999997</v>
      </c>
      <c r="F123" s="4">
        <v>22360.571</v>
      </c>
      <c r="G123" s="4">
        <v>22411.63</v>
      </c>
      <c r="H123" s="5">
        <f>4119 / 86400</f>
        <v>4.7673611111111111E-2</v>
      </c>
      <c r="I123" t="s">
        <v>25</v>
      </c>
      <c r="J123" t="s">
        <v>39</v>
      </c>
      <c r="K123" s="5">
        <f>11979 / 86400</f>
        <v>0.13864583333333333</v>
      </c>
      <c r="L123" s="5">
        <f>4924 / 86400</f>
        <v>5.6990740740740738E-2</v>
      </c>
    </row>
    <row r="124" spans="1:12" x14ac:dyDescent="0.25">
      <c r="A124" s="3">
        <v>45715.554027777776</v>
      </c>
      <c r="B124" t="s">
        <v>147</v>
      </c>
      <c r="C124" s="3">
        <v>45715.705555555556</v>
      </c>
      <c r="D124" t="s">
        <v>148</v>
      </c>
      <c r="E124" s="4">
        <v>51.177</v>
      </c>
      <c r="F124" s="4">
        <v>22411.63</v>
      </c>
      <c r="G124" s="4">
        <v>22462.807000000001</v>
      </c>
      <c r="H124" s="5">
        <f>5016 / 86400</f>
        <v>5.8055555555555555E-2</v>
      </c>
      <c r="I124" t="s">
        <v>149</v>
      </c>
      <c r="J124" t="s">
        <v>41</v>
      </c>
      <c r="K124" s="5">
        <f>13092 / 86400</f>
        <v>0.15152777777777779</v>
      </c>
      <c r="L124" s="5">
        <f>281 / 86400</f>
        <v>3.2523148148148147E-3</v>
      </c>
    </row>
    <row r="125" spans="1:12" x14ac:dyDescent="0.25">
      <c r="A125" s="3">
        <v>45715.708807870367</v>
      </c>
      <c r="B125" t="s">
        <v>148</v>
      </c>
      <c r="C125" s="3">
        <v>45715.708993055552</v>
      </c>
      <c r="D125" t="s">
        <v>150</v>
      </c>
      <c r="E125" s="4">
        <v>8.9999999999999993E-3</v>
      </c>
      <c r="F125" s="4">
        <v>22462.807000000001</v>
      </c>
      <c r="G125" s="4">
        <v>22462.815999999999</v>
      </c>
      <c r="H125" s="5">
        <f>0 / 86400</f>
        <v>0</v>
      </c>
      <c r="I125" t="s">
        <v>21</v>
      </c>
      <c r="J125" t="s">
        <v>29</v>
      </c>
      <c r="K125" s="5">
        <f>15 / 86400</f>
        <v>1.7361111111111112E-4</v>
      </c>
      <c r="L125" s="5">
        <f>363 / 86400</f>
        <v>4.2013888888888891E-3</v>
      </c>
    </row>
    <row r="126" spans="1:12" x14ac:dyDescent="0.25">
      <c r="A126" s="3">
        <v>45715.713194444441</v>
      </c>
      <c r="B126" t="s">
        <v>150</v>
      </c>
      <c r="C126" s="3">
        <v>45715.713368055556</v>
      </c>
      <c r="D126" t="s">
        <v>150</v>
      </c>
      <c r="E126" s="4">
        <v>1.2E-2</v>
      </c>
      <c r="F126" s="4">
        <v>22462.815999999999</v>
      </c>
      <c r="G126" s="4">
        <v>22462.828000000001</v>
      </c>
      <c r="H126" s="5">
        <f>0 / 86400</f>
        <v>0</v>
      </c>
      <c r="I126" t="s">
        <v>21</v>
      </c>
      <c r="J126" t="s">
        <v>136</v>
      </c>
      <c r="K126" s="5">
        <f>15 / 86400</f>
        <v>1.7361111111111112E-4</v>
      </c>
      <c r="L126" s="5">
        <f>328 / 86400</f>
        <v>3.7962962962962963E-3</v>
      </c>
    </row>
    <row r="127" spans="1:12" x14ac:dyDescent="0.25">
      <c r="A127" s="3">
        <v>45715.717164351852</v>
      </c>
      <c r="B127" t="s">
        <v>150</v>
      </c>
      <c r="C127" s="3">
        <v>45715.717951388884</v>
      </c>
      <c r="D127" t="s">
        <v>150</v>
      </c>
      <c r="E127" s="4">
        <v>7.0000000000000001E-3</v>
      </c>
      <c r="F127" s="4">
        <v>22462.828000000001</v>
      </c>
      <c r="G127" s="4">
        <v>22462.834999999999</v>
      </c>
      <c r="H127" s="5">
        <f>40 / 86400</f>
        <v>4.6296296296296298E-4</v>
      </c>
      <c r="I127" t="s">
        <v>136</v>
      </c>
      <c r="J127" t="s">
        <v>21</v>
      </c>
      <c r="K127" s="5">
        <f>67 / 86400</f>
        <v>7.7546296296296293E-4</v>
      </c>
      <c r="L127" s="5">
        <f>439 / 86400</f>
        <v>5.0810185185185186E-3</v>
      </c>
    </row>
    <row r="128" spans="1:12" x14ac:dyDescent="0.25">
      <c r="A128" s="3">
        <v>45715.723032407404</v>
      </c>
      <c r="B128" t="s">
        <v>150</v>
      </c>
      <c r="C128" s="3">
        <v>45715.723379629635</v>
      </c>
      <c r="D128" t="s">
        <v>150</v>
      </c>
      <c r="E128" s="4">
        <v>3.0000000000000001E-3</v>
      </c>
      <c r="F128" s="4">
        <v>22462.834999999999</v>
      </c>
      <c r="G128" s="4">
        <v>22462.838</v>
      </c>
      <c r="H128" s="5">
        <f>19 / 86400</f>
        <v>2.199074074074074E-4</v>
      </c>
      <c r="I128" t="s">
        <v>21</v>
      </c>
      <c r="J128" t="s">
        <v>21</v>
      </c>
      <c r="K128" s="5">
        <f>29 / 86400</f>
        <v>3.3564814814814812E-4</v>
      </c>
      <c r="L128" s="5">
        <f>298 / 86400</f>
        <v>3.449074074074074E-3</v>
      </c>
    </row>
    <row r="129" spans="1:12" x14ac:dyDescent="0.25">
      <c r="A129" s="3">
        <v>45715.7268287037</v>
      </c>
      <c r="B129" t="s">
        <v>150</v>
      </c>
      <c r="C129" s="3">
        <v>45715.859293981484</v>
      </c>
      <c r="D129" t="s">
        <v>151</v>
      </c>
      <c r="E129" s="4">
        <v>50.38</v>
      </c>
      <c r="F129" s="4">
        <v>22462.838</v>
      </c>
      <c r="G129" s="4">
        <v>22513.218000000001</v>
      </c>
      <c r="H129" s="5">
        <f>3698 / 86400</f>
        <v>4.2800925925925923E-2</v>
      </c>
      <c r="I129" t="s">
        <v>149</v>
      </c>
      <c r="J129" t="s">
        <v>26</v>
      </c>
      <c r="K129" s="5">
        <f>11444 / 86400</f>
        <v>0.13245370370370371</v>
      </c>
      <c r="L129" s="5">
        <f>430 / 86400</f>
        <v>4.9768518518518521E-3</v>
      </c>
    </row>
    <row r="130" spans="1:12" x14ac:dyDescent="0.25">
      <c r="A130" s="3">
        <v>45715.864270833335</v>
      </c>
      <c r="B130" t="s">
        <v>151</v>
      </c>
      <c r="C130" s="3">
        <v>45715.868807870371</v>
      </c>
      <c r="D130" t="s">
        <v>24</v>
      </c>
      <c r="E130" s="4">
        <v>1.1040000000000001</v>
      </c>
      <c r="F130" s="4">
        <v>22513.218000000001</v>
      </c>
      <c r="G130" s="4">
        <v>22514.322</v>
      </c>
      <c r="H130" s="5">
        <f>80 / 86400</f>
        <v>9.2592592592592596E-4</v>
      </c>
      <c r="I130" t="s">
        <v>34</v>
      </c>
      <c r="J130" t="s">
        <v>28</v>
      </c>
      <c r="K130" s="5">
        <f>391 / 86400</f>
        <v>4.5254629629629629E-3</v>
      </c>
      <c r="L130" s="5">
        <f>11334 / 86400</f>
        <v>0.13118055555555555</v>
      </c>
    </row>
    <row r="131" spans="1:12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1:12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2" s="10" customFormat="1" ht="20.100000000000001" customHeight="1" x14ac:dyDescent="0.35">
      <c r="A133" s="11" t="s">
        <v>517</v>
      </c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2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2" ht="30" x14ac:dyDescent="0.25">
      <c r="A135" s="2" t="s">
        <v>5</v>
      </c>
      <c r="B135" s="2" t="s">
        <v>6</v>
      </c>
      <c r="C135" s="2" t="s">
        <v>7</v>
      </c>
      <c r="D135" s="2" t="s">
        <v>8</v>
      </c>
      <c r="E135" s="2" t="s">
        <v>9</v>
      </c>
      <c r="F135" s="2" t="s">
        <v>10</v>
      </c>
      <c r="G135" s="2" t="s">
        <v>11</v>
      </c>
      <c r="H135" s="2" t="s">
        <v>12</v>
      </c>
      <c r="I135" s="2" t="s">
        <v>13</v>
      </c>
      <c r="J135" s="2" t="s">
        <v>14</v>
      </c>
      <c r="K135" s="2" t="s">
        <v>15</v>
      </c>
      <c r="L135" s="2" t="s">
        <v>16</v>
      </c>
    </row>
    <row r="136" spans="1:12" x14ac:dyDescent="0.25">
      <c r="A136" s="3">
        <v>45715.247349537036</v>
      </c>
      <c r="B136" t="s">
        <v>27</v>
      </c>
      <c r="C136" s="3">
        <v>45715.258263888885</v>
      </c>
      <c r="D136" t="s">
        <v>84</v>
      </c>
      <c r="E136" s="4">
        <v>4.1280000000000001</v>
      </c>
      <c r="F136" s="4">
        <v>515998.59700000001</v>
      </c>
      <c r="G136" s="4">
        <v>516002.72499999998</v>
      </c>
      <c r="H136" s="5">
        <f>439 / 86400</f>
        <v>5.0810185185185186E-3</v>
      </c>
      <c r="I136" t="s">
        <v>23</v>
      </c>
      <c r="J136" t="s">
        <v>26</v>
      </c>
      <c r="K136" s="5">
        <f>943 / 86400</f>
        <v>1.0914351851851852E-2</v>
      </c>
      <c r="L136" s="5">
        <f>21698 / 86400</f>
        <v>0.25113425925925925</v>
      </c>
    </row>
    <row r="137" spans="1:12" x14ac:dyDescent="0.25">
      <c r="A137" s="3">
        <v>45715.262048611112</v>
      </c>
      <c r="B137" t="s">
        <v>84</v>
      </c>
      <c r="C137" s="3">
        <v>45715.31454861111</v>
      </c>
      <c r="D137" t="s">
        <v>124</v>
      </c>
      <c r="E137" s="4">
        <v>29.736000000000001</v>
      </c>
      <c r="F137" s="4">
        <v>516002.72499999998</v>
      </c>
      <c r="G137" s="4">
        <v>516032.46100000001</v>
      </c>
      <c r="H137" s="5">
        <f>878 / 86400</f>
        <v>1.0162037037037037E-2</v>
      </c>
      <c r="I137" t="s">
        <v>152</v>
      </c>
      <c r="J137" t="s">
        <v>153</v>
      </c>
      <c r="K137" s="5">
        <f>4535 / 86400</f>
        <v>5.2488425925925924E-2</v>
      </c>
      <c r="L137" s="5">
        <f>2803 / 86400</f>
        <v>3.2442129629629626E-2</v>
      </c>
    </row>
    <row r="138" spans="1:12" x14ac:dyDescent="0.25">
      <c r="A138" s="3">
        <v>45715.346990740742</v>
      </c>
      <c r="B138" t="s">
        <v>124</v>
      </c>
      <c r="C138" s="3">
        <v>45715.351736111115</v>
      </c>
      <c r="D138" t="s">
        <v>122</v>
      </c>
      <c r="E138" s="4">
        <v>0.91100000000000003</v>
      </c>
      <c r="F138" s="4">
        <v>516032.46100000001</v>
      </c>
      <c r="G138" s="4">
        <v>516033.37199999997</v>
      </c>
      <c r="H138" s="5">
        <f>140 / 86400</f>
        <v>1.6203703703703703E-3</v>
      </c>
      <c r="I138" t="s">
        <v>154</v>
      </c>
      <c r="J138" t="s">
        <v>155</v>
      </c>
      <c r="K138" s="5">
        <f>409 / 86400</f>
        <v>4.7337962962962967E-3</v>
      </c>
      <c r="L138" s="5">
        <f>1732 / 86400</f>
        <v>2.0046296296296295E-2</v>
      </c>
    </row>
    <row r="139" spans="1:12" x14ac:dyDescent="0.25">
      <c r="A139" s="3">
        <v>45715.371782407412</v>
      </c>
      <c r="B139" t="s">
        <v>122</v>
      </c>
      <c r="C139" s="3">
        <v>45715.498379629629</v>
      </c>
      <c r="D139" t="s">
        <v>156</v>
      </c>
      <c r="E139" s="4">
        <v>51.063000000000002</v>
      </c>
      <c r="F139" s="4">
        <v>516033.37199999997</v>
      </c>
      <c r="G139" s="4">
        <v>516084.435</v>
      </c>
      <c r="H139" s="5">
        <f>3660 / 86400</f>
        <v>4.2361111111111113E-2</v>
      </c>
      <c r="I139" t="s">
        <v>23</v>
      </c>
      <c r="J139" t="s">
        <v>19</v>
      </c>
      <c r="K139" s="5">
        <f>10938 / 86400</f>
        <v>0.12659722222222222</v>
      </c>
      <c r="L139" s="5">
        <f>934 / 86400</f>
        <v>1.0810185185185185E-2</v>
      </c>
    </row>
    <row r="140" spans="1:12" x14ac:dyDescent="0.25">
      <c r="A140" s="3">
        <v>45715.509189814809</v>
      </c>
      <c r="B140" t="s">
        <v>156</v>
      </c>
      <c r="C140" s="3">
        <v>45715.638854166667</v>
      </c>
      <c r="D140" t="s">
        <v>124</v>
      </c>
      <c r="E140" s="4">
        <v>51.341999999999999</v>
      </c>
      <c r="F140" s="4">
        <v>516084.435</v>
      </c>
      <c r="G140" s="4">
        <v>516135.777</v>
      </c>
      <c r="H140" s="5">
        <f>3380 / 86400</f>
        <v>3.9120370370370368E-2</v>
      </c>
      <c r="I140" t="s">
        <v>157</v>
      </c>
      <c r="J140" t="s">
        <v>26</v>
      </c>
      <c r="K140" s="5">
        <f>11202 / 86400</f>
        <v>0.12965277777777778</v>
      </c>
      <c r="L140" s="5">
        <f>3796 / 86400</f>
        <v>4.3935185185185188E-2</v>
      </c>
    </row>
    <row r="141" spans="1:12" x14ac:dyDescent="0.25">
      <c r="A141" s="3">
        <v>45715.682789351849</v>
      </c>
      <c r="B141" t="s">
        <v>124</v>
      </c>
      <c r="C141" s="3">
        <v>45715.687384259261</v>
      </c>
      <c r="D141" t="s">
        <v>158</v>
      </c>
      <c r="E141" s="4">
        <v>0.80800000000000005</v>
      </c>
      <c r="F141" s="4">
        <v>516135.777</v>
      </c>
      <c r="G141" s="4">
        <v>516136.58500000002</v>
      </c>
      <c r="H141" s="5">
        <f>100 / 86400</f>
        <v>1.1574074074074073E-3</v>
      </c>
      <c r="I141" t="s">
        <v>116</v>
      </c>
      <c r="J141" t="s">
        <v>143</v>
      </c>
      <c r="K141" s="5">
        <f>396 / 86400</f>
        <v>4.5833333333333334E-3</v>
      </c>
      <c r="L141" s="5">
        <f>244 / 86400</f>
        <v>2.8240740740740739E-3</v>
      </c>
    </row>
    <row r="142" spans="1:12" x14ac:dyDescent="0.25">
      <c r="A142" s="3">
        <v>45715.690208333333</v>
      </c>
      <c r="B142" t="s">
        <v>158</v>
      </c>
      <c r="C142" s="3">
        <v>45715.691261574073</v>
      </c>
      <c r="D142" t="s">
        <v>74</v>
      </c>
      <c r="E142" s="4">
        <v>0.11799999999999999</v>
      </c>
      <c r="F142" s="4">
        <v>516136.58500000002</v>
      </c>
      <c r="G142" s="4">
        <v>516136.70299999998</v>
      </c>
      <c r="H142" s="5">
        <f>0 / 86400</f>
        <v>0</v>
      </c>
      <c r="I142" t="s">
        <v>28</v>
      </c>
      <c r="J142" t="s">
        <v>99</v>
      </c>
      <c r="K142" s="5">
        <f>91 / 86400</f>
        <v>1.0532407407407407E-3</v>
      </c>
      <c r="L142" s="5">
        <f>318 / 86400</f>
        <v>3.6805555555555554E-3</v>
      </c>
    </row>
    <row r="143" spans="1:12" x14ac:dyDescent="0.25">
      <c r="A143" s="3">
        <v>45715.69494212963</v>
      </c>
      <c r="B143" t="s">
        <v>74</v>
      </c>
      <c r="C143" s="3">
        <v>45715.695763888885</v>
      </c>
      <c r="D143" t="s">
        <v>74</v>
      </c>
      <c r="E143" s="4">
        <v>2.7E-2</v>
      </c>
      <c r="F143" s="4">
        <v>516136.70299999998</v>
      </c>
      <c r="G143" s="4">
        <v>516136.73</v>
      </c>
      <c r="H143" s="5">
        <f>39 / 86400</f>
        <v>4.5138888888888887E-4</v>
      </c>
      <c r="I143" t="s">
        <v>123</v>
      </c>
      <c r="J143" t="s">
        <v>67</v>
      </c>
      <c r="K143" s="5">
        <f>71 / 86400</f>
        <v>8.2175925925925927E-4</v>
      </c>
      <c r="L143" s="5">
        <f>661 / 86400</f>
        <v>7.6504629629629631E-3</v>
      </c>
    </row>
    <row r="144" spans="1:12" x14ac:dyDescent="0.25">
      <c r="A144" s="3">
        <v>45715.703414351854</v>
      </c>
      <c r="B144" t="s">
        <v>74</v>
      </c>
      <c r="C144" s="3">
        <v>45715.911099537036</v>
      </c>
      <c r="D144" t="s">
        <v>159</v>
      </c>
      <c r="E144" s="4">
        <v>74.388000000000005</v>
      </c>
      <c r="F144" s="4">
        <v>516136.73</v>
      </c>
      <c r="G144" s="4">
        <v>516211.11800000002</v>
      </c>
      <c r="H144" s="5">
        <f>6498 / 86400</f>
        <v>7.5208333333333335E-2</v>
      </c>
      <c r="I144" t="s">
        <v>110</v>
      </c>
      <c r="J144" t="s">
        <v>39</v>
      </c>
      <c r="K144" s="5">
        <f>17944 / 86400</f>
        <v>0.20768518518518519</v>
      </c>
      <c r="L144" s="5">
        <f>21 / 86400</f>
        <v>2.4305555555555555E-4</v>
      </c>
    </row>
    <row r="145" spans="1:12" x14ac:dyDescent="0.25">
      <c r="A145" s="3">
        <v>45715.91134259259</v>
      </c>
      <c r="B145" t="s">
        <v>159</v>
      </c>
      <c r="C145" s="3">
        <v>45715.911608796298</v>
      </c>
      <c r="D145" t="s">
        <v>159</v>
      </c>
      <c r="E145" s="4">
        <v>1.0999999999999999E-2</v>
      </c>
      <c r="F145" s="4">
        <v>516211.11800000002</v>
      </c>
      <c r="G145" s="4">
        <v>516211.12900000002</v>
      </c>
      <c r="H145" s="5">
        <f>19 / 86400</f>
        <v>2.199074074074074E-4</v>
      </c>
      <c r="I145" t="s">
        <v>21</v>
      </c>
      <c r="J145" t="s">
        <v>29</v>
      </c>
      <c r="K145" s="5">
        <f>22 / 86400</f>
        <v>2.5462962962962961E-4</v>
      </c>
      <c r="L145" s="5">
        <f>381 / 86400</f>
        <v>4.409722222222222E-3</v>
      </c>
    </row>
    <row r="146" spans="1:12" x14ac:dyDescent="0.25">
      <c r="A146" s="3">
        <v>45715.916018518517</v>
      </c>
      <c r="B146" t="s">
        <v>159</v>
      </c>
      <c r="C146" s="3">
        <v>45715.916377314818</v>
      </c>
      <c r="D146" t="s">
        <v>160</v>
      </c>
      <c r="E146" s="4">
        <v>2.1999999999999999E-2</v>
      </c>
      <c r="F146" s="4">
        <v>516211.12900000002</v>
      </c>
      <c r="G146" s="4">
        <v>516211.15100000001</v>
      </c>
      <c r="H146" s="5">
        <f>0 / 86400</f>
        <v>0</v>
      </c>
      <c r="I146" t="s">
        <v>99</v>
      </c>
      <c r="J146" t="s">
        <v>136</v>
      </c>
      <c r="K146" s="5">
        <f>30 / 86400</f>
        <v>3.4722222222222224E-4</v>
      </c>
      <c r="L146" s="5">
        <f>719 / 86400</f>
        <v>8.3217592592592596E-3</v>
      </c>
    </row>
    <row r="147" spans="1:12" x14ac:dyDescent="0.25">
      <c r="A147" s="3">
        <v>45715.924699074079</v>
      </c>
      <c r="B147" t="s">
        <v>160</v>
      </c>
      <c r="C147" s="3">
        <v>45715.938912037032</v>
      </c>
      <c r="D147" t="s">
        <v>27</v>
      </c>
      <c r="E147" s="4">
        <v>6.3540000000000001</v>
      </c>
      <c r="F147" s="4">
        <v>516211.15100000001</v>
      </c>
      <c r="G147" s="4">
        <v>516217.505</v>
      </c>
      <c r="H147" s="5">
        <f>400 / 86400</f>
        <v>4.6296296296296294E-3</v>
      </c>
      <c r="I147" t="s">
        <v>152</v>
      </c>
      <c r="J147" t="s">
        <v>62</v>
      </c>
      <c r="K147" s="5">
        <f>1227 / 86400</f>
        <v>1.4201388888888888E-2</v>
      </c>
      <c r="L147" s="5">
        <f>45 / 86400</f>
        <v>5.2083333333333333E-4</v>
      </c>
    </row>
    <row r="148" spans="1:12" x14ac:dyDescent="0.25">
      <c r="A148" s="3">
        <v>45715.939432870371</v>
      </c>
      <c r="B148" t="s">
        <v>27</v>
      </c>
      <c r="C148" s="3">
        <v>45715.940717592588</v>
      </c>
      <c r="D148" t="s">
        <v>27</v>
      </c>
      <c r="E148" s="4">
        <v>0.01</v>
      </c>
      <c r="F148" s="4">
        <v>516217.505</v>
      </c>
      <c r="G148" s="4">
        <v>516217.51500000001</v>
      </c>
      <c r="H148" s="5">
        <f>59 / 86400</f>
        <v>6.8287037037037036E-4</v>
      </c>
      <c r="I148" t="s">
        <v>67</v>
      </c>
      <c r="J148" t="s">
        <v>21</v>
      </c>
      <c r="K148" s="5">
        <f>111 / 86400</f>
        <v>1.2847222222222223E-3</v>
      </c>
      <c r="L148" s="5">
        <f>5121 / 86400</f>
        <v>5.9270833333333335E-2</v>
      </c>
    </row>
    <row r="149" spans="1:12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2" s="10" customFormat="1" ht="20.100000000000001" customHeight="1" x14ac:dyDescent="0.35">
      <c r="A151" s="11" t="s">
        <v>518</v>
      </c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2" ht="30" x14ac:dyDescent="0.25">
      <c r="A153" s="2" t="s">
        <v>5</v>
      </c>
      <c r="B153" s="2" t="s">
        <v>6</v>
      </c>
      <c r="C153" s="2" t="s">
        <v>7</v>
      </c>
      <c r="D153" s="2" t="s">
        <v>8</v>
      </c>
      <c r="E153" s="2" t="s">
        <v>9</v>
      </c>
      <c r="F153" s="2" t="s">
        <v>10</v>
      </c>
      <c r="G153" s="2" t="s">
        <v>11</v>
      </c>
      <c r="H153" s="2" t="s">
        <v>12</v>
      </c>
      <c r="I153" s="2" t="s">
        <v>13</v>
      </c>
      <c r="J153" s="2" t="s">
        <v>14</v>
      </c>
      <c r="K153" s="2" t="s">
        <v>15</v>
      </c>
      <c r="L153" s="2" t="s">
        <v>16</v>
      </c>
    </row>
    <row r="154" spans="1:12" x14ac:dyDescent="0.25">
      <c r="A154" s="3">
        <v>45715.329780092594</v>
      </c>
      <c r="B154" t="s">
        <v>24</v>
      </c>
      <c r="C154" s="3">
        <v>45715.331342592588</v>
      </c>
      <c r="D154" t="s">
        <v>24</v>
      </c>
      <c r="E154" s="4">
        <v>4.1000000000000002E-2</v>
      </c>
      <c r="F154" s="4">
        <v>93385.279999999999</v>
      </c>
      <c r="G154" s="4">
        <v>93385.320999999996</v>
      </c>
      <c r="H154" s="5">
        <f>99 / 86400</f>
        <v>1.1458333333333333E-3</v>
      </c>
      <c r="I154" t="s">
        <v>99</v>
      </c>
      <c r="J154" t="s">
        <v>67</v>
      </c>
      <c r="K154" s="5">
        <f>134 / 86400</f>
        <v>1.5509259259259259E-3</v>
      </c>
      <c r="L154" s="5">
        <f>38375 / 86400</f>
        <v>0.44415509259259262</v>
      </c>
    </row>
    <row r="155" spans="1:12" x14ac:dyDescent="0.25">
      <c r="A155" s="3">
        <v>45715.445717592593</v>
      </c>
      <c r="B155" t="s">
        <v>24</v>
      </c>
      <c r="C155" s="3">
        <v>45715.44767361111</v>
      </c>
      <c r="D155" t="s">
        <v>24</v>
      </c>
      <c r="E155" s="4">
        <v>0.184</v>
      </c>
      <c r="F155" s="4">
        <v>93385.320999999996</v>
      </c>
      <c r="G155" s="4">
        <v>93385.505000000005</v>
      </c>
      <c r="H155" s="5">
        <f>39 / 86400</f>
        <v>4.5138888888888887E-4</v>
      </c>
      <c r="I155" t="s">
        <v>28</v>
      </c>
      <c r="J155" t="s">
        <v>132</v>
      </c>
      <c r="K155" s="5">
        <f>169 / 86400</f>
        <v>1.9560185185185184E-3</v>
      </c>
      <c r="L155" s="5">
        <f>33548 / 86400</f>
        <v>0.38828703703703704</v>
      </c>
    </row>
    <row r="156" spans="1:12" x14ac:dyDescent="0.25">
      <c r="A156" s="3">
        <v>45715.835960648154</v>
      </c>
      <c r="B156" t="s">
        <v>24</v>
      </c>
      <c r="C156" s="3">
        <v>45715.839178240742</v>
      </c>
      <c r="D156" t="s">
        <v>24</v>
      </c>
      <c r="E156" s="4">
        <v>8.8999999999999996E-2</v>
      </c>
      <c r="F156" s="4">
        <v>93385.505000000005</v>
      </c>
      <c r="G156" s="4">
        <v>93385.593999999997</v>
      </c>
      <c r="H156" s="5">
        <f>159 / 86400</f>
        <v>1.8402777777777777E-3</v>
      </c>
      <c r="I156" t="s">
        <v>99</v>
      </c>
      <c r="J156" t="s">
        <v>67</v>
      </c>
      <c r="K156" s="5">
        <f>277 / 86400</f>
        <v>3.2060185185185186E-3</v>
      </c>
      <c r="L156" s="5">
        <f>13894 / 86400</f>
        <v>0.16081018518518519</v>
      </c>
    </row>
    <row r="157" spans="1:12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1:12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1:12" s="10" customFormat="1" ht="20.100000000000001" customHeight="1" x14ac:dyDescent="0.35">
      <c r="A159" s="11" t="s">
        <v>519</v>
      </c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2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12" ht="30" x14ac:dyDescent="0.25">
      <c r="A161" s="2" t="s">
        <v>5</v>
      </c>
      <c r="B161" s="2" t="s">
        <v>6</v>
      </c>
      <c r="C161" s="2" t="s">
        <v>7</v>
      </c>
      <c r="D161" s="2" t="s">
        <v>8</v>
      </c>
      <c r="E161" s="2" t="s">
        <v>9</v>
      </c>
      <c r="F161" s="2" t="s">
        <v>10</v>
      </c>
      <c r="G161" s="2" t="s">
        <v>11</v>
      </c>
      <c r="H161" s="2" t="s">
        <v>12</v>
      </c>
      <c r="I161" s="2" t="s">
        <v>13</v>
      </c>
      <c r="J161" s="2" t="s">
        <v>14</v>
      </c>
      <c r="K161" s="2" t="s">
        <v>15</v>
      </c>
      <c r="L161" s="2" t="s">
        <v>16</v>
      </c>
    </row>
    <row r="162" spans="1:12" x14ac:dyDescent="0.25">
      <c r="A162" s="3">
        <v>45715.2183912037</v>
      </c>
      <c r="B162" t="s">
        <v>17</v>
      </c>
      <c r="C162" s="3">
        <v>45715.232974537037</v>
      </c>
      <c r="D162" t="s">
        <v>161</v>
      </c>
      <c r="E162" s="4">
        <v>2.6549999999999998</v>
      </c>
      <c r="F162" s="4">
        <v>140992.027</v>
      </c>
      <c r="G162" s="4">
        <v>140994.682</v>
      </c>
      <c r="H162" s="5">
        <f>679 / 86400</f>
        <v>7.858796296296296E-3</v>
      </c>
      <c r="I162" t="s">
        <v>140</v>
      </c>
      <c r="J162" t="s">
        <v>155</v>
      </c>
      <c r="K162" s="5">
        <f>1260 / 86400</f>
        <v>1.4583333333333334E-2</v>
      </c>
      <c r="L162" s="5">
        <f>19283 / 86400</f>
        <v>0.22318287037037038</v>
      </c>
    </row>
    <row r="163" spans="1:12" x14ac:dyDescent="0.25">
      <c r="A163" s="3">
        <v>45715.237766203703</v>
      </c>
      <c r="B163" t="s">
        <v>161</v>
      </c>
      <c r="C163" s="3">
        <v>45715.3278125</v>
      </c>
      <c r="D163" t="s">
        <v>121</v>
      </c>
      <c r="E163" s="4">
        <v>46.747999999999998</v>
      </c>
      <c r="F163" s="4">
        <v>140994.682</v>
      </c>
      <c r="G163" s="4">
        <v>141041.43</v>
      </c>
      <c r="H163" s="5">
        <f>1639 / 86400</f>
        <v>1.8969907407407408E-2</v>
      </c>
      <c r="I163" t="s">
        <v>162</v>
      </c>
      <c r="J163" t="s">
        <v>34</v>
      </c>
      <c r="K163" s="5">
        <f>7779 / 86400</f>
        <v>9.0034722222222224E-2</v>
      </c>
      <c r="L163" s="5">
        <f>492 / 86400</f>
        <v>5.6944444444444447E-3</v>
      </c>
    </row>
    <row r="164" spans="1:12" x14ac:dyDescent="0.25">
      <c r="A164" s="3">
        <v>45715.333506944444</v>
      </c>
      <c r="B164" t="s">
        <v>121</v>
      </c>
      <c r="C164" s="3">
        <v>45715.334826388891</v>
      </c>
      <c r="D164" t="s">
        <v>122</v>
      </c>
      <c r="E164" s="4">
        <v>0.38300000000000001</v>
      </c>
      <c r="F164" s="4">
        <v>141041.43</v>
      </c>
      <c r="G164" s="4">
        <v>141041.81299999999</v>
      </c>
      <c r="H164" s="5">
        <f>20 / 86400</f>
        <v>2.3148148148148149E-4</v>
      </c>
      <c r="I164" t="s">
        <v>163</v>
      </c>
      <c r="J164" t="s">
        <v>85</v>
      </c>
      <c r="K164" s="5">
        <f>114 / 86400</f>
        <v>1.3194444444444445E-3</v>
      </c>
      <c r="L164" s="5">
        <f>1176 / 86400</f>
        <v>1.361111111111111E-2</v>
      </c>
    </row>
    <row r="165" spans="1:12" x14ac:dyDescent="0.25">
      <c r="A165" s="3">
        <v>45715.348437499997</v>
      </c>
      <c r="B165" t="s">
        <v>122</v>
      </c>
      <c r="C165" s="3">
        <v>45715.522905092592</v>
      </c>
      <c r="D165" t="s">
        <v>74</v>
      </c>
      <c r="E165" s="4">
        <v>78.233000000000004</v>
      </c>
      <c r="F165" s="4">
        <v>141041.81299999999</v>
      </c>
      <c r="G165" s="4">
        <v>141120.046</v>
      </c>
      <c r="H165" s="5">
        <f>4619 / 86400</f>
        <v>5.3460648148148146E-2</v>
      </c>
      <c r="I165" t="s">
        <v>38</v>
      </c>
      <c r="J165" t="s">
        <v>62</v>
      </c>
      <c r="K165" s="5">
        <f>15074 / 86400</f>
        <v>0.17446759259259259</v>
      </c>
      <c r="L165" s="5">
        <f>170 / 86400</f>
        <v>1.9675925925925924E-3</v>
      </c>
    </row>
    <row r="166" spans="1:12" x14ac:dyDescent="0.25">
      <c r="A166" s="3">
        <v>45715.524872685186</v>
      </c>
      <c r="B166" t="s">
        <v>74</v>
      </c>
      <c r="C166" s="3">
        <v>45715.525011574078</v>
      </c>
      <c r="D166" t="s">
        <v>74</v>
      </c>
      <c r="E166" s="4">
        <v>1.0999999999999999E-2</v>
      </c>
      <c r="F166" s="4">
        <v>141120.046</v>
      </c>
      <c r="G166" s="4">
        <v>141120.057</v>
      </c>
      <c r="H166" s="5">
        <f>0 / 86400</f>
        <v>0</v>
      </c>
      <c r="I166" t="s">
        <v>143</v>
      </c>
      <c r="J166" t="s">
        <v>136</v>
      </c>
      <c r="K166" s="5">
        <f>12 / 86400</f>
        <v>1.3888888888888889E-4</v>
      </c>
      <c r="L166" s="5">
        <f>294 / 86400</f>
        <v>3.4027777777777776E-3</v>
      </c>
    </row>
    <row r="167" spans="1:12" x14ac:dyDescent="0.25">
      <c r="A167" s="3">
        <v>45715.528414351851</v>
      </c>
      <c r="B167" t="s">
        <v>74</v>
      </c>
      <c r="C167" s="3">
        <v>45715.528865740736</v>
      </c>
      <c r="D167" t="s">
        <v>74</v>
      </c>
      <c r="E167" s="4">
        <v>0.01</v>
      </c>
      <c r="F167" s="4">
        <v>141120.057</v>
      </c>
      <c r="G167" s="4">
        <v>141120.06700000001</v>
      </c>
      <c r="H167" s="5">
        <f>19 / 86400</f>
        <v>2.199074074074074E-4</v>
      </c>
      <c r="I167" t="s">
        <v>21</v>
      </c>
      <c r="J167" t="s">
        <v>67</v>
      </c>
      <c r="K167" s="5">
        <f>38 / 86400</f>
        <v>4.3981481481481481E-4</v>
      </c>
      <c r="L167" s="5">
        <f>941 / 86400</f>
        <v>1.0891203703703703E-2</v>
      </c>
    </row>
    <row r="168" spans="1:12" x14ac:dyDescent="0.25">
      <c r="A168" s="3">
        <v>45715.539756944447</v>
      </c>
      <c r="B168" t="s">
        <v>74</v>
      </c>
      <c r="C168" s="3">
        <v>45715.610509259262</v>
      </c>
      <c r="D168" t="s">
        <v>164</v>
      </c>
      <c r="E168" s="4">
        <v>34.378</v>
      </c>
      <c r="F168" s="4">
        <v>141120.06700000001</v>
      </c>
      <c r="G168" s="4">
        <v>141154.44500000001</v>
      </c>
      <c r="H168" s="5">
        <f>1759 / 86400</f>
        <v>2.0358796296296295E-2</v>
      </c>
      <c r="I168" t="s">
        <v>25</v>
      </c>
      <c r="J168" t="s">
        <v>116</v>
      </c>
      <c r="K168" s="5">
        <f>6112 / 86400</f>
        <v>7.0740740740740743E-2</v>
      </c>
      <c r="L168" s="5">
        <f>565 / 86400</f>
        <v>6.5393518518518517E-3</v>
      </c>
    </row>
    <row r="169" spans="1:12" x14ac:dyDescent="0.25">
      <c r="A169" s="3">
        <v>45715.617048611108</v>
      </c>
      <c r="B169" t="s">
        <v>164</v>
      </c>
      <c r="C169" s="3">
        <v>45715.830532407403</v>
      </c>
      <c r="D169" t="s">
        <v>165</v>
      </c>
      <c r="E169" s="4">
        <v>81.147999999999996</v>
      </c>
      <c r="F169" s="4">
        <v>141154.44500000001</v>
      </c>
      <c r="G169" s="4">
        <v>141235.59299999999</v>
      </c>
      <c r="H169" s="5">
        <f>6241 / 86400</f>
        <v>7.2233796296296296E-2</v>
      </c>
      <c r="I169" t="s">
        <v>75</v>
      </c>
      <c r="J169" t="s">
        <v>26</v>
      </c>
      <c r="K169" s="5">
        <f>18444 / 86400</f>
        <v>0.21347222222222223</v>
      </c>
      <c r="L169" s="5">
        <f>464 / 86400</f>
        <v>5.37037037037037E-3</v>
      </c>
    </row>
    <row r="170" spans="1:12" x14ac:dyDescent="0.25">
      <c r="A170" s="3">
        <v>45715.835902777777</v>
      </c>
      <c r="B170" t="s">
        <v>165</v>
      </c>
      <c r="C170" s="3">
        <v>45715.836099537039</v>
      </c>
      <c r="D170" t="s">
        <v>166</v>
      </c>
      <c r="E170" s="4">
        <v>1.2E-2</v>
      </c>
      <c r="F170" s="4">
        <v>141235.59299999999</v>
      </c>
      <c r="G170" s="4">
        <v>141235.60500000001</v>
      </c>
      <c r="H170" s="5">
        <f>0 / 86400</f>
        <v>0</v>
      </c>
      <c r="I170" t="s">
        <v>99</v>
      </c>
      <c r="J170" t="s">
        <v>136</v>
      </c>
      <c r="K170" s="5">
        <f>16 / 86400</f>
        <v>1.8518518518518518E-4</v>
      </c>
      <c r="L170" s="5">
        <f>189 / 86400</f>
        <v>2.1875000000000002E-3</v>
      </c>
    </row>
    <row r="171" spans="1:12" x14ac:dyDescent="0.25">
      <c r="A171" s="3">
        <v>45715.838287037041</v>
      </c>
      <c r="B171" t="s">
        <v>166</v>
      </c>
      <c r="C171" s="3">
        <v>45715.839016203703</v>
      </c>
      <c r="D171" t="s">
        <v>165</v>
      </c>
      <c r="E171" s="4">
        <v>5.8999999999999997E-2</v>
      </c>
      <c r="F171" s="4">
        <v>141235.60500000001</v>
      </c>
      <c r="G171" s="4">
        <v>141235.66399999999</v>
      </c>
      <c r="H171" s="5">
        <f>0 / 86400</f>
        <v>0</v>
      </c>
      <c r="I171" t="s">
        <v>135</v>
      </c>
      <c r="J171" t="s">
        <v>136</v>
      </c>
      <c r="K171" s="5">
        <f>63 / 86400</f>
        <v>7.291666666666667E-4</v>
      </c>
      <c r="L171" s="5">
        <f>328 / 86400</f>
        <v>3.7962962962962963E-3</v>
      </c>
    </row>
    <row r="172" spans="1:12" x14ac:dyDescent="0.25">
      <c r="A172" s="3">
        <v>45715.842812499999</v>
      </c>
      <c r="B172" t="s">
        <v>165</v>
      </c>
      <c r="C172" s="3">
        <v>45715.844780092593</v>
      </c>
      <c r="D172" t="s">
        <v>17</v>
      </c>
      <c r="E172" s="4">
        <v>0.439</v>
      </c>
      <c r="F172" s="4">
        <v>141235.66399999999</v>
      </c>
      <c r="G172" s="4">
        <v>141236.103</v>
      </c>
      <c r="H172" s="5">
        <f>20 / 86400</f>
        <v>2.3148148148148149E-4</v>
      </c>
      <c r="I172" t="s">
        <v>62</v>
      </c>
      <c r="J172" t="s">
        <v>135</v>
      </c>
      <c r="K172" s="5">
        <f>170 / 86400</f>
        <v>1.9675925925925924E-3</v>
      </c>
      <c r="L172" s="5">
        <f>2372 / 86400</f>
        <v>2.7453703703703702E-2</v>
      </c>
    </row>
    <row r="173" spans="1:12" x14ac:dyDescent="0.25">
      <c r="A173" s="3">
        <v>45715.872233796297</v>
      </c>
      <c r="B173" t="s">
        <v>17</v>
      </c>
      <c r="C173" s="3">
        <v>45715.872337962966</v>
      </c>
      <c r="D173" t="s">
        <v>17</v>
      </c>
      <c r="E173" s="4">
        <v>1E-3</v>
      </c>
      <c r="F173" s="4">
        <v>141236.103</v>
      </c>
      <c r="G173" s="4">
        <v>141236.10399999999</v>
      </c>
      <c r="H173" s="5">
        <f>0 / 86400</f>
        <v>0</v>
      </c>
      <c r="I173" t="s">
        <v>21</v>
      </c>
      <c r="J173" t="s">
        <v>21</v>
      </c>
      <c r="K173" s="5">
        <f>9 / 86400</f>
        <v>1.0416666666666667E-4</v>
      </c>
      <c r="L173" s="5">
        <f>5162 / 86400</f>
        <v>5.9745370370370372E-2</v>
      </c>
    </row>
    <row r="174" spans="1:12" x14ac:dyDescent="0.25">
      <c r="A174" s="3">
        <v>45715.932083333333</v>
      </c>
      <c r="B174" t="s">
        <v>17</v>
      </c>
      <c r="C174" s="3">
        <v>45715.932951388888</v>
      </c>
      <c r="D174" t="s">
        <v>17</v>
      </c>
      <c r="E174" s="4">
        <v>2.5000000000000001E-2</v>
      </c>
      <c r="F174" s="4">
        <v>141236.10399999999</v>
      </c>
      <c r="G174" s="4">
        <v>141236.12899999999</v>
      </c>
      <c r="H174" s="5">
        <f>19 / 86400</f>
        <v>2.199074074074074E-4</v>
      </c>
      <c r="I174" t="s">
        <v>99</v>
      </c>
      <c r="J174" t="s">
        <v>67</v>
      </c>
      <c r="K174" s="5">
        <f>74 / 86400</f>
        <v>8.564814814814815E-4</v>
      </c>
      <c r="L174" s="5">
        <f>5792 / 86400</f>
        <v>6.7037037037037034E-2</v>
      </c>
    </row>
    <row r="175" spans="1:12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1:12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1:12" s="10" customFormat="1" ht="20.100000000000001" customHeight="1" x14ac:dyDescent="0.35">
      <c r="A177" s="11" t="s">
        <v>520</v>
      </c>
      <c r="B177" s="11"/>
      <c r="C177" s="11"/>
      <c r="D177" s="11"/>
      <c r="E177" s="11"/>
      <c r="F177" s="11"/>
      <c r="G177" s="11"/>
      <c r="H177" s="11"/>
      <c r="I177" s="11"/>
      <c r="J177" s="11"/>
    </row>
    <row r="178" spans="1:12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1:12" ht="30" x14ac:dyDescent="0.25">
      <c r="A179" s="2" t="s">
        <v>5</v>
      </c>
      <c r="B179" s="2" t="s">
        <v>6</v>
      </c>
      <c r="C179" s="2" t="s">
        <v>7</v>
      </c>
      <c r="D179" s="2" t="s">
        <v>8</v>
      </c>
      <c r="E179" s="2" t="s">
        <v>9</v>
      </c>
      <c r="F179" s="2" t="s">
        <v>10</v>
      </c>
      <c r="G179" s="2" t="s">
        <v>11</v>
      </c>
      <c r="H179" s="2" t="s">
        <v>12</v>
      </c>
      <c r="I179" s="2" t="s">
        <v>13</v>
      </c>
      <c r="J179" s="2" t="s">
        <v>14</v>
      </c>
      <c r="K179" s="2" t="s">
        <v>15</v>
      </c>
      <c r="L179" s="2" t="s">
        <v>16</v>
      </c>
    </row>
    <row r="180" spans="1:12" x14ac:dyDescent="0.25">
      <c r="A180" s="3">
        <v>45715</v>
      </c>
      <c r="B180" t="s">
        <v>31</v>
      </c>
      <c r="C180" s="3">
        <v>45715.001956018517</v>
      </c>
      <c r="D180" t="s">
        <v>167</v>
      </c>
      <c r="E180" s="4">
        <v>1.4995847781300544</v>
      </c>
      <c r="F180" s="4">
        <v>351010.02262369834</v>
      </c>
      <c r="G180" s="4">
        <v>351011.5222084765</v>
      </c>
      <c r="H180" s="5">
        <f t="shared" ref="H180:H243" si="0">0 / 86400</f>
        <v>0</v>
      </c>
      <c r="I180" t="s">
        <v>168</v>
      </c>
      <c r="J180" t="s">
        <v>169</v>
      </c>
      <c r="K180" s="5">
        <f>169 / 86400</f>
        <v>1.9560185185185184E-3</v>
      </c>
      <c r="L180" s="5">
        <f>20 / 86400</f>
        <v>2.3148148148148149E-4</v>
      </c>
    </row>
    <row r="181" spans="1:12" x14ac:dyDescent="0.25">
      <c r="A181" s="3">
        <v>45715.002187499995</v>
      </c>
      <c r="B181" t="s">
        <v>170</v>
      </c>
      <c r="C181" s="3">
        <v>45715.002650462964</v>
      </c>
      <c r="D181" t="s">
        <v>171</v>
      </c>
      <c r="E181" s="4">
        <v>0.36209241312742235</v>
      </c>
      <c r="F181" s="4">
        <v>351011.52377724706</v>
      </c>
      <c r="G181" s="4">
        <v>351011.88586966018</v>
      </c>
      <c r="H181" s="5">
        <f t="shared" si="0"/>
        <v>0</v>
      </c>
      <c r="I181" t="s">
        <v>172</v>
      </c>
      <c r="J181" t="s">
        <v>173</v>
      </c>
      <c r="K181" s="5">
        <f>40 / 86400</f>
        <v>4.6296296296296298E-4</v>
      </c>
      <c r="L181" s="5">
        <f>20 / 86400</f>
        <v>2.3148148148148149E-4</v>
      </c>
    </row>
    <row r="182" spans="1:12" x14ac:dyDescent="0.25">
      <c r="A182" s="3">
        <v>45715.002881944441</v>
      </c>
      <c r="B182" t="s">
        <v>174</v>
      </c>
      <c r="C182" s="3">
        <v>45715.006863425922</v>
      </c>
      <c r="D182" t="s">
        <v>175</v>
      </c>
      <c r="E182" s="4">
        <v>2.3750772339701651</v>
      </c>
      <c r="F182" s="4">
        <v>351011.92091758334</v>
      </c>
      <c r="G182" s="4">
        <v>351014.29599481734</v>
      </c>
      <c r="H182" s="5">
        <f t="shared" si="0"/>
        <v>0</v>
      </c>
      <c r="I182" t="s">
        <v>168</v>
      </c>
      <c r="J182" t="s">
        <v>176</v>
      </c>
      <c r="K182" s="5">
        <f>344 / 86400</f>
        <v>3.9814814814814817E-3</v>
      </c>
      <c r="L182" s="5">
        <f>20 / 86400</f>
        <v>2.3148148148148149E-4</v>
      </c>
    </row>
    <row r="183" spans="1:12" x14ac:dyDescent="0.25">
      <c r="A183" s="3">
        <v>45715.007094907407</v>
      </c>
      <c r="B183" t="s">
        <v>177</v>
      </c>
      <c r="C183" s="3">
        <v>45715.007557870369</v>
      </c>
      <c r="D183" t="s">
        <v>178</v>
      </c>
      <c r="E183" s="4">
        <v>0.22128487747907638</v>
      </c>
      <c r="F183" s="4">
        <v>351014.34687343147</v>
      </c>
      <c r="G183" s="4">
        <v>351014.56815830892</v>
      </c>
      <c r="H183" s="5">
        <f t="shared" si="0"/>
        <v>0</v>
      </c>
      <c r="I183" t="s">
        <v>179</v>
      </c>
      <c r="J183" t="s">
        <v>116</v>
      </c>
      <c r="K183" s="5">
        <f>40 / 86400</f>
        <v>4.6296296296296298E-4</v>
      </c>
      <c r="L183" s="5">
        <f>35 / 86400</f>
        <v>4.0509259259259258E-4</v>
      </c>
    </row>
    <row r="184" spans="1:12" x14ac:dyDescent="0.25">
      <c r="A184" s="3">
        <v>45715.007962962962</v>
      </c>
      <c r="B184" t="s">
        <v>178</v>
      </c>
      <c r="C184" s="3">
        <v>45715.008726851855</v>
      </c>
      <c r="D184" t="s">
        <v>180</v>
      </c>
      <c r="E184" s="4">
        <v>0.38283916413784025</v>
      </c>
      <c r="F184" s="4">
        <v>351014.58068149822</v>
      </c>
      <c r="G184" s="4">
        <v>351014.96352066239</v>
      </c>
      <c r="H184" s="5">
        <f t="shared" si="0"/>
        <v>0</v>
      </c>
      <c r="I184" t="s">
        <v>173</v>
      </c>
      <c r="J184" t="s">
        <v>139</v>
      </c>
      <c r="K184" s="5">
        <f>66 / 86400</f>
        <v>7.6388888888888893E-4</v>
      </c>
      <c r="L184" s="5">
        <f>20 / 86400</f>
        <v>2.3148148148148149E-4</v>
      </c>
    </row>
    <row r="185" spans="1:12" x14ac:dyDescent="0.25">
      <c r="A185" s="3">
        <v>45715.008958333332</v>
      </c>
      <c r="B185" t="s">
        <v>94</v>
      </c>
      <c r="C185" s="3">
        <v>45715.009189814809</v>
      </c>
      <c r="D185" t="s">
        <v>94</v>
      </c>
      <c r="E185" s="4">
        <v>3.3630372285842897E-3</v>
      </c>
      <c r="F185" s="4">
        <v>351015.02218117844</v>
      </c>
      <c r="G185" s="4">
        <v>351015.02554421569</v>
      </c>
      <c r="H185" s="5">
        <f t="shared" si="0"/>
        <v>0</v>
      </c>
      <c r="I185" t="s">
        <v>136</v>
      </c>
      <c r="J185" t="s">
        <v>67</v>
      </c>
      <c r="K185" s="5">
        <f>20 / 86400</f>
        <v>2.3148148148148149E-4</v>
      </c>
      <c r="L185" s="5">
        <f>1550 / 86400</f>
        <v>1.7939814814814815E-2</v>
      </c>
    </row>
    <row r="186" spans="1:12" x14ac:dyDescent="0.25">
      <c r="A186" s="3">
        <v>45715.027129629627</v>
      </c>
      <c r="B186" t="s">
        <v>181</v>
      </c>
      <c r="C186" s="3">
        <v>45715.027824074074</v>
      </c>
      <c r="D186" t="s">
        <v>182</v>
      </c>
      <c r="E186" s="4">
        <v>0.1699029232263565</v>
      </c>
      <c r="F186" s="4">
        <v>351015.08083577338</v>
      </c>
      <c r="G186" s="4">
        <v>351015.2507386966</v>
      </c>
      <c r="H186" s="5">
        <f t="shared" si="0"/>
        <v>0</v>
      </c>
      <c r="I186" t="s">
        <v>39</v>
      </c>
      <c r="J186" t="s">
        <v>28</v>
      </c>
      <c r="K186" s="5">
        <f>60 / 86400</f>
        <v>6.9444444444444447E-4</v>
      </c>
      <c r="L186" s="5">
        <f>9 / 86400</f>
        <v>1.0416666666666667E-4</v>
      </c>
    </row>
    <row r="187" spans="1:12" x14ac:dyDescent="0.25">
      <c r="A187" s="3">
        <v>45715.027928240743</v>
      </c>
      <c r="B187" t="s">
        <v>183</v>
      </c>
      <c r="C187" s="3">
        <v>45715.02853009259</v>
      </c>
      <c r="D187" t="s">
        <v>184</v>
      </c>
      <c r="E187" s="4">
        <v>0.20300527089834214</v>
      </c>
      <c r="F187" s="4">
        <v>351015.26285368262</v>
      </c>
      <c r="G187" s="4">
        <v>351015.46585895354</v>
      </c>
      <c r="H187" s="5">
        <f t="shared" si="0"/>
        <v>0</v>
      </c>
      <c r="I187" t="s">
        <v>34</v>
      </c>
      <c r="J187" t="s">
        <v>41</v>
      </c>
      <c r="K187" s="5">
        <f>52 / 86400</f>
        <v>6.018518518518519E-4</v>
      </c>
      <c r="L187" s="5">
        <f>8 / 86400</f>
        <v>9.2592592592592588E-5</v>
      </c>
    </row>
    <row r="188" spans="1:12" x14ac:dyDescent="0.25">
      <c r="A188" s="3">
        <v>45715.028622685189</v>
      </c>
      <c r="B188" t="s">
        <v>185</v>
      </c>
      <c r="C188" s="3">
        <v>45715.029085648144</v>
      </c>
      <c r="D188" t="s">
        <v>177</v>
      </c>
      <c r="E188" s="4">
        <v>0.21251449871063233</v>
      </c>
      <c r="F188" s="4">
        <v>351015.47747989814</v>
      </c>
      <c r="G188" s="4">
        <v>351015.68999439687</v>
      </c>
      <c r="H188" s="5">
        <f t="shared" si="0"/>
        <v>0</v>
      </c>
      <c r="I188" t="s">
        <v>140</v>
      </c>
      <c r="J188" t="s">
        <v>62</v>
      </c>
      <c r="K188" s="5">
        <f>40 / 86400</f>
        <v>4.6296296296296298E-4</v>
      </c>
      <c r="L188" s="5">
        <f>11 / 86400</f>
        <v>1.273148148148148E-4</v>
      </c>
    </row>
    <row r="189" spans="1:12" x14ac:dyDescent="0.25">
      <c r="A189" s="3">
        <v>45715.029212962967</v>
      </c>
      <c r="B189" t="s">
        <v>186</v>
      </c>
      <c r="C189" s="3">
        <v>45715.039490740739</v>
      </c>
      <c r="D189" t="s">
        <v>187</v>
      </c>
      <c r="E189" s="4">
        <v>5.8507585621476172</v>
      </c>
      <c r="F189" s="4">
        <v>351015.69589407503</v>
      </c>
      <c r="G189" s="4">
        <v>351021.54665263719</v>
      </c>
      <c r="H189" s="5">
        <f t="shared" si="0"/>
        <v>0</v>
      </c>
      <c r="I189" t="s">
        <v>89</v>
      </c>
      <c r="J189" t="s">
        <v>153</v>
      </c>
      <c r="K189" s="5">
        <f>888 / 86400</f>
        <v>1.0277777777777778E-2</v>
      </c>
      <c r="L189" s="5">
        <f>20 / 86400</f>
        <v>2.3148148148148149E-4</v>
      </c>
    </row>
    <row r="190" spans="1:12" x14ac:dyDescent="0.25">
      <c r="A190" s="3">
        <v>45715.039722222224</v>
      </c>
      <c r="B190" t="s">
        <v>187</v>
      </c>
      <c r="C190" s="3">
        <v>45715.05069444445</v>
      </c>
      <c r="D190" t="s">
        <v>188</v>
      </c>
      <c r="E190" s="4">
        <v>6.5860169708132741</v>
      </c>
      <c r="F190" s="4">
        <v>351021.56694767327</v>
      </c>
      <c r="G190" s="4">
        <v>351028.15296464408</v>
      </c>
      <c r="H190" s="5">
        <f t="shared" si="0"/>
        <v>0</v>
      </c>
      <c r="I190" t="s">
        <v>189</v>
      </c>
      <c r="J190" t="s">
        <v>176</v>
      </c>
      <c r="K190" s="5">
        <f>948 / 86400</f>
        <v>1.0972222222222222E-2</v>
      </c>
      <c r="L190" s="5">
        <f>20 / 86400</f>
        <v>2.3148148148148149E-4</v>
      </c>
    </row>
    <row r="191" spans="1:12" x14ac:dyDescent="0.25">
      <c r="A191" s="3">
        <v>45715.050925925927</v>
      </c>
      <c r="B191" t="s">
        <v>188</v>
      </c>
      <c r="C191" s="3">
        <v>45715.055439814816</v>
      </c>
      <c r="D191" t="s">
        <v>190</v>
      </c>
      <c r="E191" s="4">
        <v>2.8295969597101212</v>
      </c>
      <c r="F191" s="4">
        <v>351028.23415809486</v>
      </c>
      <c r="G191" s="4">
        <v>351031.06375505461</v>
      </c>
      <c r="H191" s="5">
        <f t="shared" si="0"/>
        <v>0</v>
      </c>
      <c r="I191" t="s">
        <v>144</v>
      </c>
      <c r="J191" t="s">
        <v>98</v>
      </c>
      <c r="K191" s="5">
        <f>390 / 86400</f>
        <v>4.5138888888888885E-3</v>
      </c>
      <c r="L191" s="5">
        <f>20 / 86400</f>
        <v>2.3148148148148149E-4</v>
      </c>
    </row>
    <row r="192" spans="1:12" x14ac:dyDescent="0.25">
      <c r="A192" s="3">
        <v>45715.055671296301</v>
      </c>
      <c r="B192" t="s">
        <v>190</v>
      </c>
      <c r="C192" s="3">
        <v>45715.059641203705</v>
      </c>
      <c r="D192" t="s">
        <v>191</v>
      </c>
      <c r="E192" s="4">
        <v>2.0809753739237786</v>
      </c>
      <c r="F192" s="4">
        <v>351031.17535751354</v>
      </c>
      <c r="G192" s="4">
        <v>351033.25633288745</v>
      </c>
      <c r="H192" s="5">
        <f t="shared" si="0"/>
        <v>0</v>
      </c>
      <c r="I192" t="s">
        <v>192</v>
      </c>
      <c r="J192" t="s">
        <v>34</v>
      </c>
      <c r="K192" s="5">
        <f>343 / 86400</f>
        <v>3.9699074074074072E-3</v>
      </c>
      <c r="L192" s="5">
        <f>40 / 86400</f>
        <v>4.6296296296296298E-4</v>
      </c>
    </row>
    <row r="193" spans="1:12" x14ac:dyDescent="0.25">
      <c r="A193" s="3">
        <v>45715.060104166667</v>
      </c>
      <c r="B193" t="s">
        <v>193</v>
      </c>
      <c r="C193" s="3">
        <v>45715.060798611114</v>
      </c>
      <c r="D193" t="s">
        <v>194</v>
      </c>
      <c r="E193" s="4">
        <v>0.15084702187776566</v>
      </c>
      <c r="F193" s="4">
        <v>351033.28498892544</v>
      </c>
      <c r="G193" s="4">
        <v>351033.43583594734</v>
      </c>
      <c r="H193" s="5">
        <f t="shared" si="0"/>
        <v>0</v>
      </c>
      <c r="I193" t="s">
        <v>26</v>
      </c>
      <c r="J193" t="s">
        <v>135</v>
      </c>
      <c r="K193" s="5">
        <f>60 / 86400</f>
        <v>6.9444444444444447E-4</v>
      </c>
      <c r="L193" s="5">
        <f>20 / 86400</f>
        <v>2.3148148148148149E-4</v>
      </c>
    </row>
    <row r="194" spans="1:12" x14ac:dyDescent="0.25">
      <c r="A194" s="3">
        <v>45715.061030092591</v>
      </c>
      <c r="B194" t="s">
        <v>194</v>
      </c>
      <c r="C194" s="3">
        <v>45715.065891203703</v>
      </c>
      <c r="D194" t="s">
        <v>195</v>
      </c>
      <c r="E194" s="4">
        <v>3.8470588667988777</v>
      </c>
      <c r="F194" s="4">
        <v>351033.45498995588</v>
      </c>
      <c r="G194" s="4">
        <v>351037.30204882269</v>
      </c>
      <c r="H194" s="5">
        <f t="shared" si="0"/>
        <v>0</v>
      </c>
      <c r="I194" t="s">
        <v>196</v>
      </c>
      <c r="J194" t="s">
        <v>173</v>
      </c>
      <c r="K194" s="5">
        <f>420 / 86400</f>
        <v>4.8611111111111112E-3</v>
      </c>
      <c r="L194" s="5">
        <f>80 / 86400</f>
        <v>9.2592592592592596E-4</v>
      </c>
    </row>
    <row r="195" spans="1:12" x14ac:dyDescent="0.25">
      <c r="A195" s="3">
        <v>45715.066817129627</v>
      </c>
      <c r="B195" t="s">
        <v>82</v>
      </c>
      <c r="C195" s="3">
        <v>45715.072523148148</v>
      </c>
      <c r="D195" t="s">
        <v>197</v>
      </c>
      <c r="E195" s="4">
        <v>3.6970702004432678</v>
      </c>
      <c r="F195" s="4">
        <v>351037.30717245321</v>
      </c>
      <c r="G195" s="4">
        <v>351041.00424265367</v>
      </c>
      <c r="H195" s="5">
        <f t="shared" si="0"/>
        <v>0</v>
      </c>
      <c r="I195" t="s">
        <v>198</v>
      </c>
      <c r="J195" t="s">
        <v>131</v>
      </c>
      <c r="K195" s="5">
        <f>493 / 86400</f>
        <v>5.7060185185185183E-3</v>
      </c>
      <c r="L195" s="5">
        <f>658 / 86400</f>
        <v>7.6157407407407406E-3</v>
      </c>
    </row>
    <row r="196" spans="1:12" x14ac:dyDescent="0.25">
      <c r="A196" s="3">
        <v>45715.080138888894</v>
      </c>
      <c r="B196" t="s">
        <v>199</v>
      </c>
      <c r="C196" s="3">
        <v>45715.082129629634</v>
      </c>
      <c r="D196" t="s">
        <v>200</v>
      </c>
      <c r="E196" s="4">
        <v>0.42080808055400848</v>
      </c>
      <c r="F196" s="4">
        <v>351041.01857730054</v>
      </c>
      <c r="G196" s="4">
        <v>351041.43938538112</v>
      </c>
      <c r="H196" s="5">
        <f t="shared" si="0"/>
        <v>0</v>
      </c>
      <c r="I196" t="s">
        <v>85</v>
      </c>
      <c r="J196" t="s">
        <v>135</v>
      </c>
      <c r="K196" s="5">
        <f>172 / 86400</f>
        <v>1.9907407407407408E-3</v>
      </c>
      <c r="L196" s="5">
        <f>100 / 86400</f>
        <v>1.1574074074074073E-3</v>
      </c>
    </row>
    <row r="197" spans="1:12" x14ac:dyDescent="0.25">
      <c r="A197" s="3">
        <v>45715.083287037036</v>
      </c>
      <c r="B197" t="s">
        <v>60</v>
      </c>
      <c r="C197" s="3">
        <v>45715.085717592592</v>
      </c>
      <c r="D197" t="s">
        <v>24</v>
      </c>
      <c r="E197" s="4">
        <v>0.51316718673706052</v>
      </c>
      <c r="F197" s="4">
        <v>351041.47770326608</v>
      </c>
      <c r="G197" s="4">
        <v>351041.99087045284</v>
      </c>
      <c r="H197" s="5">
        <f t="shared" si="0"/>
        <v>0</v>
      </c>
      <c r="I197" t="s">
        <v>62</v>
      </c>
      <c r="J197" t="s">
        <v>135</v>
      </c>
      <c r="K197" s="5">
        <f>210 / 86400</f>
        <v>2.4305555555555556E-3</v>
      </c>
      <c r="L197" s="5">
        <f>12272 / 86400</f>
        <v>0.14203703703703704</v>
      </c>
    </row>
    <row r="198" spans="1:12" x14ac:dyDescent="0.25">
      <c r="A198" s="3">
        <v>45715.227754629625</v>
      </c>
      <c r="B198" t="s">
        <v>24</v>
      </c>
      <c r="C198" s="3">
        <v>45715.23055555555</v>
      </c>
      <c r="D198" t="s">
        <v>199</v>
      </c>
      <c r="E198" s="4">
        <v>0.93336537122726437</v>
      </c>
      <c r="F198" s="4">
        <v>351042.01359663019</v>
      </c>
      <c r="G198" s="4">
        <v>351042.94696200144</v>
      </c>
      <c r="H198" s="5">
        <f t="shared" si="0"/>
        <v>0</v>
      </c>
      <c r="I198" t="s">
        <v>176</v>
      </c>
      <c r="J198" t="s">
        <v>41</v>
      </c>
      <c r="K198" s="5">
        <f>242 / 86400</f>
        <v>2.8009259259259259E-3</v>
      </c>
      <c r="L198" s="5">
        <f>123 / 86400</f>
        <v>1.4236111111111112E-3</v>
      </c>
    </row>
    <row r="199" spans="1:12" x14ac:dyDescent="0.25">
      <c r="A199" s="3">
        <v>45715.231979166667</v>
      </c>
      <c r="B199" t="s">
        <v>199</v>
      </c>
      <c r="C199" s="3">
        <v>45715.234375</v>
      </c>
      <c r="D199" t="s">
        <v>201</v>
      </c>
      <c r="E199" s="4">
        <v>2.2600270721316336</v>
      </c>
      <c r="F199" s="4">
        <v>351042.95747338195</v>
      </c>
      <c r="G199" s="4">
        <v>351045.21750045405</v>
      </c>
      <c r="H199" s="5">
        <f t="shared" si="0"/>
        <v>0</v>
      </c>
      <c r="I199" t="s">
        <v>144</v>
      </c>
      <c r="J199" t="s">
        <v>202</v>
      </c>
      <c r="K199" s="5">
        <f>207 / 86400</f>
        <v>2.3958333333333331E-3</v>
      </c>
      <c r="L199" s="5">
        <f>40 / 86400</f>
        <v>4.6296296296296298E-4</v>
      </c>
    </row>
    <row r="200" spans="1:12" x14ac:dyDescent="0.25">
      <c r="A200" s="3">
        <v>45715.234837962962</v>
      </c>
      <c r="B200" t="s">
        <v>203</v>
      </c>
      <c r="C200" s="3">
        <v>45715.236562499995</v>
      </c>
      <c r="D200" t="s">
        <v>159</v>
      </c>
      <c r="E200" s="4">
        <v>1.6613051164150239</v>
      </c>
      <c r="F200" s="4">
        <v>351045.26358871121</v>
      </c>
      <c r="G200" s="4">
        <v>351046.92489382764</v>
      </c>
      <c r="H200" s="5">
        <f t="shared" si="0"/>
        <v>0</v>
      </c>
      <c r="I200" t="s">
        <v>204</v>
      </c>
      <c r="J200" t="s">
        <v>205</v>
      </c>
      <c r="K200" s="5">
        <f>149 / 86400</f>
        <v>1.724537037037037E-3</v>
      </c>
      <c r="L200" s="5">
        <f>61 / 86400</f>
        <v>7.0601851851851847E-4</v>
      </c>
    </row>
    <row r="201" spans="1:12" x14ac:dyDescent="0.25">
      <c r="A201" s="3">
        <v>45715.237268518518</v>
      </c>
      <c r="B201" t="s">
        <v>159</v>
      </c>
      <c r="C201" s="3">
        <v>45715.23810185185</v>
      </c>
      <c r="D201" t="s">
        <v>206</v>
      </c>
      <c r="E201" s="4">
        <v>0.3018267746567726</v>
      </c>
      <c r="F201" s="4">
        <v>351046.93055905058</v>
      </c>
      <c r="G201" s="4">
        <v>351047.23238582519</v>
      </c>
      <c r="H201" s="5">
        <f t="shared" si="0"/>
        <v>0</v>
      </c>
      <c r="I201" t="s">
        <v>173</v>
      </c>
      <c r="J201" t="s">
        <v>39</v>
      </c>
      <c r="K201" s="5">
        <f>72 / 86400</f>
        <v>8.3333333333333339E-4</v>
      </c>
      <c r="L201" s="5">
        <f>20 / 86400</f>
        <v>2.3148148148148149E-4</v>
      </c>
    </row>
    <row r="202" spans="1:12" x14ac:dyDescent="0.25">
      <c r="A202" s="3">
        <v>45715.238333333335</v>
      </c>
      <c r="B202" t="s">
        <v>160</v>
      </c>
      <c r="C202" s="3">
        <v>45715.242268518516</v>
      </c>
      <c r="D202" t="s">
        <v>93</v>
      </c>
      <c r="E202" s="4">
        <v>4.0509869790673259</v>
      </c>
      <c r="F202" s="4">
        <v>351047.3339041603</v>
      </c>
      <c r="G202" s="4">
        <v>351051.3848911394</v>
      </c>
      <c r="H202" s="5">
        <f t="shared" si="0"/>
        <v>0</v>
      </c>
      <c r="I202" t="s">
        <v>204</v>
      </c>
      <c r="J202" t="s">
        <v>207</v>
      </c>
      <c r="K202" s="5">
        <f>340 / 86400</f>
        <v>3.9351851851851848E-3</v>
      </c>
      <c r="L202" s="5">
        <f>20 / 86400</f>
        <v>2.3148148148148149E-4</v>
      </c>
    </row>
    <row r="203" spans="1:12" x14ac:dyDescent="0.25">
      <c r="A203" s="3">
        <v>45715.2425</v>
      </c>
      <c r="B203" t="s">
        <v>208</v>
      </c>
      <c r="C203" s="3">
        <v>45715.244155092594</v>
      </c>
      <c r="D203" t="s">
        <v>209</v>
      </c>
      <c r="E203" s="4">
        <v>1.1850625233650207</v>
      </c>
      <c r="F203" s="4">
        <v>351051.50630036736</v>
      </c>
      <c r="G203" s="4">
        <v>351052.69136289071</v>
      </c>
      <c r="H203" s="5">
        <f t="shared" si="0"/>
        <v>0</v>
      </c>
      <c r="I203" t="s">
        <v>192</v>
      </c>
      <c r="J203" t="s">
        <v>140</v>
      </c>
      <c r="K203" s="5">
        <f>143 / 86400</f>
        <v>1.6550925925925926E-3</v>
      </c>
      <c r="L203" s="5">
        <f>40 / 86400</f>
        <v>4.6296296296296298E-4</v>
      </c>
    </row>
    <row r="204" spans="1:12" x14ac:dyDescent="0.25">
      <c r="A204" s="3">
        <v>45715.244618055556</v>
      </c>
      <c r="B204" t="s">
        <v>209</v>
      </c>
      <c r="C204" s="3">
        <v>45715.245358796295</v>
      </c>
      <c r="D204" t="s">
        <v>210</v>
      </c>
      <c r="E204" s="4">
        <v>0.12568236678838729</v>
      </c>
      <c r="F204" s="4">
        <v>351052.69645739283</v>
      </c>
      <c r="G204" s="4">
        <v>351052.82213975961</v>
      </c>
      <c r="H204" s="5">
        <f t="shared" si="0"/>
        <v>0</v>
      </c>
      <c r="I204" t="s">
        <v>141</v>
      </c>
      <c r="J204" t="s">
        <v>143</v>
      </c>
      <c r="K204" s="5">
        <f>64 / 86400</f>
        <v>7.407407407407407E-4</v>
      </c>
      <c r="L204" s="5">
        <f>20 / 86400</f>
        <v>2.3148148148148149E-4</v>
      </c>
    </row>
    <row r="205" spans="1:12" x14ac:dyDescent="0.25">
      <c r="A205" s="3">
        <v>45715.245590277773</v>
      </c>
      <c r="B205" t="s">
        <v>210</v>
      </c>
      <c r="C205" s="3">
        <v>45715.24628472222</v>
      </c>
      <c r="D205" t="s">
        <v>32</v>
      </c>
      <c r="E205" s="4">
        <v>0.52730050039291387</v>
      </c>
      <c r="F205" s="4">
        <v>351052.9180902816</v>
      </c>
      <c r="G205" s="4">
        <v>351053.44539078197</v>
      </c>
      <c r="H205" s="5">
        <f t="shared" si="0"/>
        <v>0</v>
      </c>
      <c r="I205" t="s">
        <v>172</v>
      </c>
      <c r="J205" t="s">
        <v>169</v>
      </c>
      <c r="K205" s="5">
        <f>60 / 86400</f>
        <v>6.9444444444444447E-4</v>
      </c>
      <c r="L205" s="5">
        <f>34 / 86400</f>
        <v>3.9351851851851852E-4</v>
      </c>
    </row>
    <row r="206" spans="1:12" x14ac:dyDescent="0.25">
      <c r="A206" s="3">
        <v>45715.246678240743</v>
      </c>
      <c r="B206" t="s">
        <v>32</v>
      </c>
      <c r="C206" s="3">
        <v>45715.247604166667</v>
      </c>
      <c r="D206" t="s">
        <v>35</v>
      </c>
      <c r="E206" s="4">
        <v>0.64892857128381731</v>
      </c>
      <c r="F206" s="4">
        <v>351053.45126269461</v>
      </c>
      <c r="G206" s="4">
        <v>351054.10019126587</v>
      </c>
      <c r="H206" s="5">
        <f t="shared" si="0"/>
        <v>0</v>
      </c>
      <c r="I206" t="s">
        <v>162</v>
      </c>
      <c r="J206" t="s">
        <v>211</v>
      </c>
      <c r="K206" s="5">
        <f>80 / 86400</f>
        <v>9.2592592592592596E-4</v>
      </c>
      <c r="L206" s="5">
        <f>100 / 86400</f>
        <v>1.1574074074074073E-3</v>
      </c>
    </row>
    <row r="207" spans="1:12" x14ac:dyDescent="0.25">
      <c r="A207" s="3">
        <v>45715.248761574076</v>
      </c>
      <c r="B207" t="s">
        <v>212</v>
      </c>
      <c r="C207" s="3">
        <v>45715.250150462962</v>
      </c>
      <c r="D207" t="s">
        <v>212</v>
      </c>
      <c r="E207" s="4">
        <v>1.261406337440014</v>
      </c>
      <c r="F207" s="4">
        <v>351054.28136390552</v>
      </c>
      <c r="G207" s="4">
        <v>351055.54277024302</v>
      </c>
      <c r="H207" s="5">
        <f t="shared" si="0"/>
        <v>0</v>
      </c>
      <c r="I207" t="s">
        <v>213</v>
      </c>
      <c r="J207" t="s">
        <v>214</v>
      </c>
      <c r="K207" s="5">
        <f>120 / 86400</f>
        <v>1.3888888888888889E-3</v>
      </c>
      <c r="L207" s="5">
        <f>20 / 86400</f>
        <v>2.3148148148148149E-4</v>
      </c>
    </row>
    <row r="208" spans="1:12" x14ac:dyDescent="0.25">
      <c r="A208" s="3">
        <v>45715.250381944439</v>
      </c>
      <c r="B208" t="s">
        <v>215</v>
      </c>
      <c r="C208" s="3">
        <v>45715.251076388886</v>
      </c>
      <c r="D208" t="s">
        <v>93</v>
      </c>
      <c r="E208" s="4">
        <v>1.0021098639965058</v>
      </c>
      <c r="F208" s="4">
        <v>351055.72320725635</v>
      </c>
      <c r="G208" s="4">
        <v>351056.72531712038</v>
      </c>
      <c r="H208" s="5">
        <f t="shared" si="0"/>
        <v>0</v>
      </c>
      <c r="I208" t="s">
        <v>81</v>
      </c>
      <c r="J208" t="s">
        <v>216</v>
      </c>
      <c r="K208" s="5">
        <f>60 / 86400</f>
        <v>6.9444444444444447E-4</v>
      </c>
      <c r="L208" s="5">
        <f>20 / 86400</f>
        <v>2.3148148148148149E-4</v>
      </c>
    </row>
    <row r="209" spans="1:12" x14ac:dyDescent="0.25">
      <c r="A209" s="3">
        <v>45715.251307870371</v>
      </c>
      <c r="B209" t="s">
        <v>93</v>
      </c>
      <c r="C209" s="3">
        <v>45715.252928240741</v>
      </c>
      <c r="D209" t="s">
        <v>217</v>
      </c>
      <c r="E209" s="4">
        <v>1.0836532108783723</v>
      </c>
      <c r="F209" s="4">
        <v>351056.95112075267</v>
      </c>
      <c r="G209" s="4">
        <v>351058.03477396356</v>
      </c>
      <c r="H209" s="5">
        <f t="shared" si="0"/>
        <v>0</v>
      </c>
      <c r="I209" t="s">
        <v>218</v>
      </c>
      <c r="J209" t="s">
        <v>219</v>
      </c>
      <c r="K209" s="5">
        <f>140 / 86400</f>
        <v>1.6203703703703703E-3</v>
      </c>
      <c r="L209" s="5">
        <f>80 / 86400</f>
        <v>9.2592592592592596E-4</v>
      </c>
    </row>
    <row r="210" spans="1:12" x14ac:dyDescent="0.25">
      <c r="A210" s="3">
        <v>45715.253854166665</v>
      </c>
      <c r="B210" t="s">
        <v>206</v>
      </c>
      <c r="C210" s="3">
        <v>45715.255937499998</v>
      </c>
      <c r="D210" t="s">
        <v>160</v>
      </c>
      <c r="E210" s="4">
        <v>1.1192205067873</v>
      </c>
      <c r="F210" s="4">
        <v>351058.07462669659</v>
      </c>
      <c r="G210" s="4">
        <v>351059.19384720339</v>
      </c>
      <c r="H210" s="5">
        <f t="shared" si="0"/>
        <v>0</v>
      </c>
      <c r="I210" t="s">
        <v>213</v>
      </c>
      <c r="J210" t="s">
        <v>34</v>
      </c>
      <c r="K210" s="5">
        <f>180 / 86400</f>
        <v>2.0833333333333333E-3</v>
      </c>
      <c r="L210" s="5">
        <f>20 / 86400</f>
        <v>2.3148148148148149E-4</v>
      </c>
    </row>
    <row r="211" spans="1:12" x14ac:dyDescent="0.25">
      <c r="A211" s="3">
        <v>45715.256168981483</v>
      </c>
      <c r="B211" t="s">
        <v>160</v>
      </c>
      <c r="C211" s="3">
        <v>45715.257789351846</v>
      </c>
      <c r="D211" t="s">
        <v>220</v>
      </c>
      <c r="E211" s="4">
        <v>1.3574696962237358</v>
      </c>
      <c r="F211" s="4">
        <v>351059.19515316037</v>
      </c>
      <c r="G211" s="4">
        <v>351060.55262285663</v>
      </c>
      <c r="H211" s="5">
        <f t="shared" si="0"/>
        <v>0</v>
      </c>
      <c r="I211" t="s">
        <v>65</v>
      </c>
      <c r="J211" t="s">
        <v>221</v>
      </c>
      <c r="K211" s="5">
        <f>140 / 86400</f>
        <v>1.6203703703703703E-3</v>
      </c>
      <c r="L211" s="5">
        <f>40 / 86400</f>
        <v>4.6296296296296298E-4</v>
      </c>
    </row>
    <row r="212" spans="1:12" x14ac:dyDescent="0.25">
      <c r="A212" s="3">
        <v>45715.258252314816</v>
      </c>
      <c r="B212" t="s">
        <v>203</v>
      </c>
      <c r="C212" s="3">
        <v>45715.25917824074</v>
      </c>
      <c r="D212" t="s">
        <v>203</v>
      </c>
      <c r="E212" s="4">
        <v>0.38498452627658841</v>
      </c>
      <c r="F212" s="4">
        <v>351060.75736158702</v>
      </c>
      <c r="G212" s="4">
        <v>351061.14234611334</v>
      </c>
      <c r="H212" s="5">
        <f t="shared" si="0"/>
        <v>0</v>
      </c>
      <c r="I212" t="s">
        <v>157</v>
      </c>
      <c r="J212" t="s">
        <v>19</v>
      </c>
      <c r="K212" s="5">
        <f>80 / 86400</f>
        <v>9.2592592592592596E-4</v>
      </c>
      <c r="L212" s="5">
        <f>20 / 86400</f>
        <v>2.3148148148148149E-4</v>
      </c>
    </row>
    <row r="213" spans="1:12" x14ac:dyDescent="0.25">
      <c r="A213" s="3">
        <v>45715.259409722217</v>
      </c>
      <c r="B213" t="s">
        <v>203</v>
      </c>
      <c r="C213" s="3">
        <v>45715.260104166664</v>
      </c>
      <c r="D213" t="s">
        <v>203</v>
      </c>
      <c r="E213" s="4">
        <v>8.7364181876182556E-2</v>
      </c>
      <c r="F213" s="4">
        <v>351061.14345233649</v>
      </c>
      <c r="G213" s="4">
        <v>351061.23081651836</v>
      </c>
      <c r="H213" s="5">
        <f t="shared" si="0"/>
        <v>0</v>
      </c>
      <c r="I213" t="s">
        <v>143</v>
      </c>
      <c r="J213" t="s">
        <v>99</v>
      </c>
      <c r="K213" s="5">
        <f>60 / 86400</f>
        <v>6.9444444444444447E-4</v>
      </c>
      <c r="L213" s="5">
        <f>40 / 86400</f>
        <v>4.6296296296296298E-4</v>
      </c>
    </row>
    <row r="214" spans="1:12" x14ac:dyDescent="0.25">
      <c r="A214" s="3">
        <v>45715.260567129633</v>
      </c>
      <c r="B214" t="s">
        <v>203</v>
      </c>
      <c r="C214" s="3">
        <v>45715.260798611111</v>
      </c>
      <c r="D214" t="s">
        <v>222</v>
      </c>
      <c r="E214" s="4">
        <v>3.7880079090595244E-2</v>
      </c>
      <c r="F214" s="4">
        <v>351061.3010964272</v>
      </c>
      <c r="G214" s="4">
        <v>351061.33897650632</v>
      </c>
      <c r="H214" s="5">
        <f t="shared" si="0"/>
        <v>0</v>
      </c>
      <c r="I214" t="s">
        <v>116</v>
      </c>
      <c r="J214" t="s">
        <v>143</v>
      </c>
      <c r="K214" s="5">
        <f>20 / 86400</f>
        <v>2.3148148148148149E-4</v>
      </c>
      <c r="L214" s="5">
        <f>60 / 86400</f>
        <v>6.9444444444444447E-4</v>
      </c>
    </row>
    <row r="215" spans="1:12" x14ac:dyDescent="0.25">
      <c r="A215" s="3">
        <v>45715.261493055557</v>
      </c>
      <c r="B215" t="s">
        <v>222</v>
      </c>
      <c r="C215" s="3">
        <v>45715.261956018519</v>
      </c>
      <c r="D215" t="s">
        <v>203</v>
      </c>
      <c r="E215" s="4">
        <v>4.8173906445503234E-2</v>
      </c>
      <c r="F215" s="4">
        <v>351061.34462565841</v>
      </c>
      <c r="G215" s="4">
        <v>351061.39279956481</v>
      </c>
      <c r="H215" s="5">
        <f t="shared" si="0"/>
        <v>0</v>
      </c>
      <c r="I215" t="s">
        <v>123</v>
      </c>
      <c r="J215" t="s">
        <v>132</v>
      </c>
      <c r="K215" s="5">
        <f>40 / 86400</f>
        <v>4.6296296296296298E-4</v>
      </c>
      <c r="L215" s="5">
        <f>60 / 86400</f>
        <v>6.9444444444444447E-4</v>
      </c>
    </row>
    <row r="216" spans="1:12" x14ac:dyDescent="0.25">
      <c r="A216" s="3">
        <v>45715.262650462959</v>
      </c>
      <c r="B216" t="s">
        <v>203</v>
      </c>
      <c r="C216" s="3">
        <v>45715.264039351852</v>
      </c>
      <c r="D216" t="s">
        <v>203</v>
      </c>
      <c r="E216" s="4">
        <v>0.82862683653831481</v>
      </c>
      <c r="F216" s="4">
        <v>351061.51179844188</v>
      </c>
      <c r="G216" s="4">
        <v>351062.34042527841</v>
      </c>
      <c r="H216" s="5">
        <f t="shared" si="0"/>
        <v>0</v>
      </c>
      <c r="I216" t="s">
        <v>146</v>
      </c>
      <c r="J216" t="s">
        <v>176</v>
      </c>
      <c r="K216" s="5">
        <f>120 / 86400</f>
        <v>1.3888888888888889E-3</v>
      </c>
      <c r="L216" s="5">
        <f>20 / 86400</f>
        <v>2.3148148148148149E-4</v>
      </c>
    </row>
    <row r="217" spans="1:12" x14ac:dyDescent="0.25">
      <c r="A217" s="3">
        <v>45715.26427083333</v>
      </c>
      <c r="B217" t="s">
        <v>82</v>
      </c>
      <c r="C217" s="3">
        <v>45715.266122685185</v>
      </c>
      <c r="D217" t="s">
        <v>82</v>
      </c>
      <c r="E217" s="4">
        <v>1.829825875222683</v>
      </c>
      <c r="F217" s="4">
        <v>351062.40524513903</v>
      </c>
      <c r="G217" s="4">
        <v>351064.23507101421</v>
      </c>
      <c r="H217" s="5">
        <f t="shared" si="0"/>
        <v>0</v>
      </c>
      <c r="I217" t="s">
        <v>114</v>
      </c>
      <c r="J217" t="s">
        <v>223</v>
      </c>
      <c r="K217" s="5">
        <f>160 / 86400</f>
        <v>1.8518518518518519E-3</v>
      </c>
      <c r="L217" s="5">
        <f>19 / 86400</f>
        <v>2.199074074074074E-4</v>
      </c>
    </row>
    <row r="218" spans="1:12" x14ac:dyDescent="0.25">
      <c r="A218" s="3">
        <v>45715.266342592593</v>
      </c>
      <c r="B218" t="s">
        <v>82</v>
      </c>
      <c r="C218" s="3">
        <v>45715.267037037032</v>
      </c>
      <c r="D218" t="s">
        <v>82</v>
      </c>
      <c r="E218" s="4">
        <v>0.78095401132106779</v>
      </c>
      <c r="F218" s="4">
        <v>351064.23745720129</v>
      </c>
      <c r="G218" s="4">
        <v>351065.0184112126</v>
      </c>
      <c r="H218" s="5">
        <f t="shared" si="0"/>
        <v>0</v>
      </c>
      <c r="I218" t="s">
        <v>162</v>
      </c>
      <c r="J218" t="s">
        <v>192</v>
      </c>
      <c r="K218" s="5">
        <f>60 / 86400</f>
        <v>6.9444444444444447E-4</v>
      </c>
      <c r="L218" s="5">
        <f>52 / 86400</f>
        <v>6.018518518518519E-4</v>
      </c>
    </row>
    <row r="219" spans="1:12" x14ac:dyDescent="0.25">
      <c r="A219" s="3">
        <v>45715.267638888894</v>
      </c>
      <c r="B219" t="s">
        <v>82</v>
      </c>
      <c r="C219" s="3">
        <v>45715.268333333333</v>
      </c>
      <c r="D219" t="s">
        <v>82</v>
      </c>
      <c r="E219" s="4">
        <v>0.42990816164016726</v>
      </c>
      <c r="F219" s="4">
        <v>351065.02264494187</v>
      </c>
      <c r="G219" s="4">
        <v>351065.4525531035</v>
      </c>
      <c r="H219" s="5">
        <f t="shared" si="0"/>
        <v>0</v>
      </c>
      <c r="I219" t="s">
        <v>65</v>
      </c>
      <c r="J219" t="s">
        <v>98</v>
      </c>
      <c r="K219" s="5">
        <f>60 / 86400</f>
        <v>6.9444444444444447E-4</v>
      </c>
      <c r="L219" s="5">
        <f>20 / 86400</f>
        <v>2.3148148148148149E-4</v>
      </c>
    </row>
    <row r="220" spans="1:12" x14ac:dyDescent="0.25">
      <c r="A220" s="3">
        <v>45715.268564814818</v>
      </c>
      <c r="B220" t="s">
        <v>224</v>
      </c>
      <c r="C220" s="3">
        <v>45715.269259259258</v>
      </c>
      <c r="D220" t="s">
        <v>82</v>
      </c>
      <c r="E220" s="4">
        <v>0.12871502673625945</v>
      </c>
      <c r="F220" s="4">
        <v>351065.52154150914</v>
      </c>
      <c r="G220" s="4">
        <v>351065.65025653591</v>
      </c>
      <c r="H220" s="5">
        <f t="shared" si="0"/>
        <v>0</v>
      </c>
      <c r="I220" t="s">
        <v>62</v>
      </c>
      <c r="J220" t="s">
        <v>155</v>
      </c>
      <c r="K220" s="5">
        <f>60 / 86400</f>
        <v>6.9444444444444447E-4</v>
      </c>
      <c r="L220" s="5">
        <f>40 / 86400</f>
        <v>4.6296296296296298E-4</v>
      </c>
    </row>
    <row r="221" spans="1:12" x14ac:dyDescent="0.25">
      <c r="A221" s="3">
        <v>45715.26972222222</v>
      </c>
      <c r="B221" t="s">
        <v>82</v>
      </c>
      <c r="C221" s="3">
        <v>45715.271111111113</v>
      </c>
      <c r="D221" t="s">
        <v>225</v>
      </c>
      <c r="E221" s="4">
        <v>0.23047991836071013</v>
      </c>
      <c r="F221" s="4">
        <v>351065.66890760115</v>
      </c>
      <c r="G221" s="4">
        <v>351065.89938751952</v>
      </c>
      <c r="H221" s="5">
        <f t="shared" si="0"/>
        <v>0</v>
      </c>
      <c r="I221" t="s">
        <v>41</v>
      </c>
      <c r="J221" t="s">
        <v>143</v>
      </c>
      <c r="K221" s="5">
        <f>120 / 86400</f>
        <v>1.3888888888888889E-3</v>
      </c>
      <c r="L221" s="5">
        <f>20 / 86400</f>
        <v>2.3148148148148149E-4</v>
      </c>
    </row>
    <row r="222" spans="1:12" x14ac:dyDescent="0.25">
      <c r="A222" s="3">
        <v>45715.27134259259</v>
      </c>
      <c r="B222" t="s">
        <v>225</v>
      </c>
      <c r="C222" s="3">
        <v>45715.271574074075</v>
      </c>
      <c r="D222" t="s">
        <v>225</v>
      </c>
      <c r="E222" s="4">
        <v>2.569897598028183E-2</v>
      </c>
      <c r="F222" s="4">
        <v>351065.92552581039</v>
      </c>
      <c r="G222" s="4">
        <v>351065.9512247864</v>
      </c>
      <c r="H222" s="5">
        <f t="shared" si="0"/>
        <v>0</v>
      </c>
      <c r="I222" t="s">
        <v>132</v>
      </c>
      <c r="J222" t="s">
        <v>99</v>
      </c>
      <c r="K222" s="5">
        <f>20 / 86400</f>
        <v>2.3148148148148149E-4</v>
      </c>
      <c r="L222" s="5">
        <f>40 / 86400</f>
        <v>4.6296296296296298E-4</v>
      </c>
    </row>
    <row r="223" spans="1:12" x14ac:dyDescent="0.25">
      <c r="A223" s="3">
        <v>45715.272037037037</v>
      </c>
      <c r="B223" t="s">
        <v>225</v>
      </c>
      <c r="C223" s="3">
        <v>45715.27412037037</v>
      </c>
      <c r="D223" t="s">
        <v>84</v>
      </c>
      <c r="E223" s="4">
        <v>1.8030753256678582</v>
      </c>
      <c r="F223" s="4">
        <v>351065.96280012734</v>
      </c>
      <c r="G223" s="4">
        <v>351067.76587545301</v>
      </c>
      <c r="H223" s="5">
        <f t="shared" si="0"/>
        <v>0</v>
      </c>
      <c r="I223" t="s">
        <v>152</v>
      </c>
      <c r="J223" t="s">
        <v>226</v>
      </c>
      <c r="K223" s="5">
        <f>180 / 86400</f>
        <v>2.0833333333333333E-3</v>
      </c>
      <c r="L223" s="5">
        <f>20 / 86400</f>
        <v>2.3148148148148149E-4</v>
      </c>
    </row>
    <row r="224" spans="1:12" x14ac:dyDescent="0.25">
      <c r="A224" s="3">
        <v>45715.274351851855</v>
      </c>
      <c r="B224" t="s">
        <v>84</v>
      </c>
      <c r="C224" s="3">
        <v>45715.275277777779</v>
      </c>
      <c r="D224" t="s">
        <v>84</v>
      </c>
      <c r="E224" s="4">
        <v>0.57422569125890732</v>
      </c>
      <c r="F224" s="4">
        <v>351067.81971317431</v>
      </c>
      <c r="G224" s="4">
        <v>351068.39393886557</v>
      </c>
      <c r="H224" s="5">
        <f t="shared" si="0"/>
        <v>0</v>
      </c>
      <c r="I224" t="s">
        <v>204</v>
      </c>
      <c r="J224" t="s">
        <v>98</v>
      </c>
      <c r="K224" s="5">
        <f>80 / 86400</f>
        <v>9.2592592592592596E-4</v>
      </c>
      <c r="L224" s="5">
        <f>20 / 86400</f>
        <v>2.3148148148148149E-4</v>
      </c>
    </row>
    <row r="225" spans="1:12" x14ac:dyDescent="0.25">
      <c r="A225" s="3">
        <v>45715.275509259256</v>
      </c>
      <c r="B225" t="s">
        <v>84</v>
      </c>
      <c r="C225" s="3">
        <v>45715.276203703703</v>
      </c>
      <c r="D225" t="s">
        <v>84</v>
      </c>
      <c r="E225" s="4">
        <v>0.23271438765525818</v>
      </c>
      <c r="F225" s="4">
        <v>351068.4145325264</v>
      </c>
      <c r="G225" s="4">
        <v>351068.64724691404</v>
      </c>
      <c r="H225" s="5">
        <f t="shared" si="0"/>
        <v>0</v>
      </c>
      <c r="I225" t="s">
        <v>226</v>
      </c>
      <c r="J225" t="s">
        <v>41</v>
      </c>
      <c r="K225" s="5">
        <f>60 / 86400</f>
        <v>6.9444444444444447E-4</v>
      </c>
      <c r="L225" s="5">
        <f>4 / 86400</f>
        <v>4.6296296296296294E-5</v>
      </c>
    </row>
    <row r="226" spans="1:12" x14ac:dyDescent="0.25">
      <c r="A226" s="3">
        <v>45715.276249999995</v>
      </c>
      <c r="B226" t="s">
        <v>84</v>
      </c>
      <c r="C226" s="3">
        <v>45715.277175925927</v>
      </c>
      <c r="D226" t="s">
        <v>84</v>
      </c>
      <c r="E226" s="4">
        <v>0.54647965621948247</v>
      </c>
      <c r="F226" s="4">
        <v>351068.65069594246</v>
      </c>
      <c r="G226" s="4">
        <v>351069.1971755987</v>
      </c>
      <c r="H226" s="5">
        <f t="shared" si="0"/>
        <v>0</v>
      </c>
      <c r="I226" t="s">
        <v>129</v>
      </c>
      <c r="J226" t="s">
        <v>176</v>
      </c>
      <c r="K226" s="5">
        <f>80 / 86400</f>
        <v>9.2592592592592596E-4</v>
      </c>
      <c r="L226" s="5">
        <f>20 / 86400</f>
        <v>2.3148148148148149E-4</v>
      </c>
    </row>
    <row r="227" spans="1:12" x14ac:dyDescent="0.25">
      <c r="A227" s="3">
        <v>45715.277407407411</v>
      </c>
      <c r="B227" t="s">
        <v>84</v>
      </c>
      <c r="C227" s="3">
        <v>45715.27925925926</v>
      </c>
      <c r="D227" t="s">
        <v>193</v>
      </c>
      <c r="E227" s="4">
        <v>0.81182972145080567</v>
      </c>
      <c r="F227" s="4">
        <v>351069.19772871106</v>
      </c>
      <c r="G227" s="4">
        <v>351070.0095584325</v>
      </c>
      <c r="H227" s="5">
        <f t="shared" si="0"/>
        <v>0</v>
      </c>
      <c r="I227" t="s">
        <v>154</v>
      </c>
      <c r="J227" t="s">
        <v>30</v>
      </c>
      <c r="K227" s="5">
        <f>160 / 86400</f>
        <v>1.8518518518518519E-3</v>
      </c>
      <c r="L227" s="5">
        <f>40 / 86400</f>
        <v>4.6296296296296298E-4</v>
      </c>
    </row>
    <row r="228" spans="1:12" x14ac:dyDescent="0.25">
      <c r="A228" s="3">
        <v>45715.279722222222</v>
      </c>
      <c r="B228" t="s">
        <v>193</v>
      </c>
      <c r="C228" s="3">
        <v>45715.280416666668</v>
      </c>
      <c r="D228" t="s">
        <v>227</v>
      </c>
      <c r="E228" s="4">
        <v>0.14346275275945664</v>
      </c>
      <c r="F228" s="4">
        <v>351070.02852083993</v>
      </c>
      <c r="G228" s="4">
        <v>351070.17198359268</v>
      </c>
      <c r="H228" s="5">
        <f t="shared" si="0"/>
        <v>0</v>
      </c>
      <c r="I228" t="s">
        <v>173</v>
      </c>
      <c r="J228" t="s">
        <v>135</v>
      </c>
      <c r="K228" s="5">
        <f>60 / 86400</f>
        <v>6.9444444444444447E-4</v>
      </c>
      <c r="L228" s="5">
        <f>60 / 86400</f>
        <v>6.9444444444444447E-4</v>
      </c>
    </row>
    <row r="229" spans="1:12" x14ac:dyDescent="0.25">
      <c r="A229" s="3">
        <v>45715.281111111108</v>
      </c>
      <c r="B229" t="s">
        <v>228</v>
      </c>
      <c r="C229" s="3">
        <v>45715.282037037032</v>
      </c>
      <c r="D229" t="s">
        <v>229</v>
      </c>
      <c r="E229" s="4">
        <v>0.13866889148950576</v>
      </c>
      <c r="F229" s="4">
        <v>351070.19554936327</v>
      </c>
      <c r="G229" s="4">
        <v>351070.33421825472</v>
      </c>
      <c r="H229" s="5">
        <f t="shared" si="0"/>
        <v>0</v>
      </c>
      <c r="I229" t="s">
        <v>155</v>
      </c>
      <c r="J229" t="s">
        <v>123</v>
      </c>
      <c r="K229" s="5">
        <f>80 / 86400</f>
        <v>9.2592592592592596E-4</v>
      </c>
      <c r="L229" s="5">
        <f>20 / 86400</f>
        <v>2.3148148148148149E-4</v>
      </c>
    </row>
    <row r="230" spans="1:12" x14ac:dyDescent="0.25">
      <c r="A230" s="3">
        <v>45715.282268518524</v>
      </c>
      <c r="B230" t="s">
        <v>230</v>
      </c>
      <c r="C230" s="3">
        <v>45715.282731481479</v>
      </c>
      <c r="D230" t="s">
        <v>231</v>
      </c>
      <c r="E230" s="4">
        <v>7.5260378241539E-2</v>
      </c>
      <c r="F230" s="4">
        <v>351070.3855119808</v>
      </c>
      <c r="G230" s="4">
        <v>351070.46077235899</v>
      </c>
      <c r="H230" s="5">
        <f t="shared" si="0"/>
        <v>0</v>
      </c>
      <c r="I230" t="s">
        <v>141</v>
      </c>
      <c r="J230" t="s">
        <v>143</v>
      </c>
      <c r="K230" s="5">
        <f>40 / 86400</f>
        <v>4.6296296296296298E-4</v>
      </c>
      <c r="L230" s="5">
        <f>23 / 86400</f>
        <v>2.6620370370370372E-4</v>
      </c>
    </row>
    <row r="231" spans="1:12" x14ac:dyDescent="0.25">
      <c r="A231" s="3">
        <v>45715.282997685186</v>
      </c>
      <c r="B231" t="s">
        <v>231</v>
      </c>
      <c r="C231" s="3">
        <v>45715.283460648148</v>
      </c>
      <c r="D231" t="s">
        <v>232</v>
      </c>
      <c r="E231" s="4">
        <v>6.358634996414185E-2</v>
      </c>
      <c r="F231" s="4">
        <v>351070.46629404067</v>
      </c>
      <c r="G231" s="4">
        <v>351070.52988039062</v>
      </c>
      <c r="H231" s="5">
        <f t="shared" si="0"/>
        <v>0</v>
      </c>
      <c r="I231" t="s">
        <v>99</v>
      </c>
      <c r="J231" t="s">
        <v>123</v>
      </c>
      <c r="K231" s="5">
        <f>40 / 86400</f>
        <v>4.6296296296296298E-4</v>
      </c>
      <c r="L231" s="5">
        <f>40 / 86400</f>
        <v>4.6296296296296298E-4</v>
      </c>
    </row>
    <row r="232" spans="1:12" x14ac:dyDescent="0.25">
      <c r="A232" s="3">
        <v>45715.28392361111</v>
      </c>
      <c r="B232" t="s">
        <v>232</v>
      </c>
      <c r="C232" s="3">
        <v>45715.285532407404</v>
      </c>
      <c r="D232" t="s">
        <v>233</v>
      </c>
      <c r="E232" s="4">
        <v>1.0749363833665848</v>
      </c>
      <c r="F232" s="4">
        <v>351070.53558815527</v>
      </c>
      <c r="G232" s="4">
        <v>351071.61052453861</v>
      </c>
      <c r="H232" s="5">
        <f t="shared" si="0"/>
        <v>0</v>
      </c>
      <c r="I232" t="s">
        <v>216</v>
      </c>
      <c r="J232" t="s">
        <v>219</v>
      </c>
      <c r="K232" s="5">
        <f>139 / 86400</f>
        <v>1.6087962962962963E-3</v>
      </c>
      <c r="L232" s="5">
        <f>20 / 86400</f>
        <v>2.3148148148148149E-4</v>
      </c>
    </row>
    <row r="233" spans="1:12" x14ac:dyDescent="0.25">
      <c r="A233" s="3">
        <v>45715.285763888889</v>
      </c>
      <c r="B233" t="s">
        <v>234</v>
      </c>
      <c r="C233" s="3">
        <v>45715.285995370374</v>
      </c>
      <c r="D233" t="s">
        <v>233</v>
      </c>
      <c r="E233" s="4">
        <v>0.12837755167484283</v>
      </c>
      <c r="F233" s="4">
        <v>351071.70683989034</v>
      </c>
      <c r="G233" s="4">
        <v>351071.83521744201</v>
      </c>
      <c r="H233" s="5">
        <f t="shared" si="0"/>
        <v>0</v>
      </c>
      <c r="I233" t="s">
        <v>235</v>
      </c>
      <c r="J233" t="s">
        <v>163</v>
      </c>
      <c r="K233" s="5">
        <f>20 / 86400</f>
        <v>2.3148148148148149E-4</v>
      </c>
      <c r="L233" s="5">
        <f>2 / 86400</f>
        <v>2.3148148148148147E-5</v>
      </c>
    </row>
    <row r="234" spans="1:12" x14ac:dyDescent="0.25">
      <c r="A234" s="3">
        <v>45715.28601851852</v>
      </c>
      <c r="B234" t="s">
        <v>233</v>
      </c>
      <c r="C234" s="3">
        <v>45715.287650462968</v>
      </c>
      <c r="D234" t="s">
        <v>233</v>
      </c>
      <c r="E234" s="4">
        <v>0.93841558027267458</v>
      </c>
      <c r="F234" s="4">
        <v>351071.83826887619</v>
      </c>
      <c r="G234" s="4">
        <v>351072.77668445645</v>
      </c>
      <c r="H234" s="5">
        <f t="shared" si="0"/>
        <v>0</v>
      </c>
      <c r="I234" t="s">
        <v>236</v>
      </c>
      <c r="J234" t="s">
        <v>153</v>
      </c>
      <c r="K234" s="5">
        <f>141 / 86400</f>
        <v>1.6319444444444445E-3</v>
      </c>
      <c r="L234" s="5">
        <f>20 / 86400</f>
        <v>2.3148148148148149E-4</v>
      </c>
    </row>
    <row r="235" spans="1:12" x14ac:dyDescent="0.25">
      <c r="A235" s="3">
        <v>45715.287881944445</v>
      </c>
      <c r="B235" t="s">
        <v>233</v>
      </c>
      <c r="C235" s="3">
        <v>45715.2887962963</v>
      </c>
      <c r="D235" t="s">
        <v>164</v>
      </c>
      <c r="E235" s="4">
        <v>0.66787856727838513</v>
      </c>
      <c r="F235" s="4">
        <v>351072.84018120135</v>
      </c>
      <c r="G235" s="4">
        <v>351073.50805976859</v>
      </c>
      <c r="H235" s="5">
        <f t="shared" si="0"/>
        <v>0</v>
      </c>
      <c r="I235" t="s">
        <v>198</v>
      </c>
      <c r="J235" t="s">
        <v>140</v>
      </c>
      <c r="K235" s="5">
        <f>79 / 86400</f>
        <v>9.1435185185185185E-4</v>
      </c>
      <c r="L235" s="5">
        <f>20 / 86400</f>
        <v>2.3148148148148149E-4</v>
      </c>
    </row>
    <row r="236" spans="1:12" x14ac:dyDescent="0.25">
      <c r="A236" s="3">
        <v>45715.289027777777</v>
      </c>
      <c r="B236" t="s">
        <v>164</v>
      </c>
      <c r="C236" s="3">
        <v>45715.289837962962</v>
      </c>
      <c r="D236" t="s">
        <v>237</v>
      </c>
      <c r="E236" s="4">
        <v>0.42240240812301638</v>
      </c>
      <c r="F236" s="4">
        <v>351073.51139770437</v>
      </c>
      <c r="G236" s="4">
        <v>351073.93380011251</v>
      </c>
      <c r="H236" s="5">
        <f t="shared" si="0"/>
        <v>0</v>
      </c>
      <c r="I236" t="s">
        <v>189</v>
      </c>
      <c r="J236" t="s">
        <v>34</v>
      </c>
      <c r="K236" s="5">
        <f>70 / 86400</f>
        <v>8.1018518518518516E-4</v>
      </c>
      <c r="L236" s="5">
        <f>20 / 86400</f>
        <v>2.3148148148148149E-4</v>
      </c>
    </row>
    <row r="237" spans="1:12" x14ac:dyDescent="0.25">
      <c r="A237" s="3">
        <v>45715.29006944444</v>
      </c>
      <c r="B237" t="s">
        <v>237</v>
      </c>
      <c r="C237" s="3">
        <v>45715.291921296295</v>
      </c>
      <c r="D237" t="s">
        <v>64</v>
      </c>
      <c r="E237" s="4">
        <v>1.5662434066534043</v>
      </c>
      <c r="F237" s="4">
        <v>351073.98724292044</v>
      </c>
      <c r="G237" s="4">
        <v>351075.55348632712</v>
      </c>
      <c r="H237" s="5">
        <f t="shared" si="0"/>
        <v>0</v>
      </c>
      <c r="I237" t="s">
        <v>196</v>
      </c>
      <c r="J237" t="s">
        <v>221</v>
      </c>
      <c r="K237" s="5">
        <f>160 / 86400</f>
        <v>1.8518518518518519E-3</v>
      </c>
      <c r="L237" s="5">
        <f>25 / 86400</f>
        <v>2.8935185185185184E-4</v>
      </c>
    </row>
    <row r="238" spans="1:12" x14ac:dyDescent="0.25">
      <c r="A238" s="3">
        <v>45715.292210648149</v>
      </c>
      <c r="B238" t="s">
        <v>64</v>
      </c>
      <c r="C238" s="3">
        <v>45715.293368055558</v>
      </c>
      <c r="D238" t="s">
        <v>64</v>
      </c>
      <c r="E238" s="4">
        <v>0.75503137195110326</v>
      </c>
      <c r="F238" s="4">
        <v>351075.5586012532</v>
      </c>
      <c r="G238" s="4">
        <v>351076.31363262516</v>
      </c>
      <c r="H238" s="5">
        <f t="shared" si="0"/>
        <v>0</v>
      </c>
      <c r="I238" t="s">
        <v>238</v>
      </c>
      <c r="J238" t="s">
        <v>131</v>
      </c>
      <c r="K238" s="5">
        <f>100 / 86400</f>
        <v>1.1574074074074073E-3</v>
      </c>
      <c r="L238" s="5">
        <f>31 / 86400</f>
        <v>3.5879629629629629E-4</v>
      </c>
    </row>
    <row r="239" spans="1:12" x14ac:dyDescent="0.25">
      <c r="A239" s="3">
        <v>45715.293726851851</v>
      </c>
      <c r="B239" t="s">
        <v>64</v>
      </c>
      <c r="C239" s="3">
        <v>45715.295891203699</v>
      </c>
      <c r="D239" t="s">
        <v>239</v>
      </c>
      <c r="E239" s="4">
        <v>0.73584095376729963</v>
      </c>
      <c r="F239" s="4">
        <v>351076.31984155288</v>
      </c>
      <c r="G239" s="4">
        <v>351077.05568250665</v>
      </c>
      <c r="H239" s="5">
        <f t="shared" si="0"/>
        <v>0</v>
      </c>
      <c r="I239" t="s">
        <v>240</v>
      </c>
      <c r="J239" t="s">
        <v>41</v>
      </c>
      <c r="K239" s="5">
        <f>187 / 86400</f>
        <v>2.1643518518518518E-3</v>
      </c>
      <c r="L239" s="5">
        <f>40 / 86400</f>
        <v>4.6296296296296298E-4</v>
      </c>
    </row>
    <row r="240" spans="1:12" x14ac:dyDescent="0.25">
      <c r="A240" s="3">
        <v>45715.296354166669</v>
      </c>
      <c r="B240" t="s">
        <v>241</v>
      </c>
      <c r="C240" s="3">
        <v>45715.296817129631</v>
      </c>
      <c r="D240" t="s">
        <v>242</v>
      </c>
      <c r="E240" s="4">
        <v>6.9168669879436498E-2</v>
      </c>
      <c r="F240" s="4">
        <v>351077.11819757347</v>
      </c>
      <c r="G240" s="4">
        <v>351077.18736624334</v>
      </c>
      <c r="H240" s="5">
        <f t="shared" si="0"/>
        <v>0</v>
      </c>
      <c r="I240" t="s">
        <v>136</v>
      </c>
      <c r="J240" t="s">
        <v>123</v>
      </c>
      <c r="K240" s="5">
        <f>40 / 86400</f>
        <v>4.6296296296296298E-4</v>
      </c>
      <c r="L240" s="5">
        <f>20 / 86400</f>
        <v>2.3148148148148149E-4</v>
      </c>
    </row>
    <row r="241" spans="1:12" x14ac:dyDescent="0.25">
      <c r="A241" s="3">
        <v>45715.297048611115</v>
      </c>
      <c r="B241" t="s">
        <v>242</v>
      </c>
      <c r="C241" s="3">
        <v>45715.298460648148</v>
      </c>
      <c r="D241" t="s">
        <v>241</v>
      </c>
      <c r="E241" s="4">
        <v>0.12067453539371491</v>
      </c>
      <c r="F241" s="4">
        <v>351077.19401220762</v>
      </c>
      <c r="G241" s="4">
        <v>351077.31468674302</v>
      </c>
      <c r="H241" s="5">
        <f t="shared" si="0"/>
        <v>0</v>
      </c>
      <c r="I241" t="s">
        <v>143</v>
      </c>
      <c r="J241" t="s">
        <v>132</v>
      </c>
      <c r="K241" s="5">
        <f>122 / 86400</f>
        <v>1.4120370370370369E-3</v>
      </c>
      <c r="L241" s="5">
        <f>44 / 86400</f>
        <v>5.0925925925925921E-4</v>
      </c>
    </row>
    <row r="242" spans="1:12" x14ac:dyDescent="0.25">
      <c r="A242" s="3">
        <v>45715.29896990741</v>
      </c>
      <c r="B242" t="s">
        <v>243</v>
      </c>
      <c r="C242" s="3">
        <v>45715.299467592587</v>
      </c>
      <c r="D242" t="s">
        <v>244</v>
      </c>
      <c r="E242" s="4">
        <v>0.33582089895009992</v>
      </c>
      <c r="F242" s="4">
        <v>351077.51155616459</v>
      </c>
      <c r="G242" s="4">
        <v>351077.84737706359</v>
      </c>
      <c r="H242" s="5">
        <f t="shared" si="0"/>
        <v>0</v>
      </c>
      <c r="I242" t="s">
        <v>245</v>
      </c>
      <c r="J242" t="s">
        <v>219</v>
      </c>
      <c r="K242" s="5">
        <f>43 / 86400</f>
        <v>4.9768518518518521E-4</v>
      </c>
      <c r="L242" s="5">
        <f>20 / 86400</f>
        <v>2.3148148148148149E-4</v>
      </c>
    </row>
    <row r="243" spans="1:12" x14ac:dyDescent="0.25">
      <c r="A243" s="3">
        <v>45715.299699074079</v>
      </c>
      <c r="B243" t="s">
        <v>244</v>
      </c>
      <c r="C243" s="3">
        <v>45715.300162037034</v>
      </c>
      <c r="D243" t="s">
        <v>69</v>
      </c>
      <c r="E243" s="4">
        <v>0.40823417061567308</v>
      </c>
      <c r="F243" s="4">
        <v>351077.85193499335</v>
      </c>
      <c r="G243" s="4">
        <v>351078.26016916393</v>
      </c>
      <c r="H243" s="5">
        <f t="shared" si="0"/>
        <v>0</v>
      </c>
      <c r="I243" t="s">
        <v>144</v>
      </c>
      <c r="J243" t="s">
        <v>240</v>
      </c>
      <c r="K243" s="5">
        <f>40 / 86400</f>
        <v>4.6296296296296298E-4</v>
      </c>
      <c r="L243" s="5">
        <f>6 / 86400</f>
        <v>6.9444444444444444E-5</v>
      </c>
    </row>
    <row r="244" spans="1:12" x14ac:dyDescent="0.25">
      <c r="A244" s="3">
        <v>45715.30023148148</v>
      </c>
      <c r="B244" t="s">
        <v>69</v>
      </c>
      <c r="C244" s="3">
        <v>45715.303749999999</v>
      </c>
      <c r="D244" t="s">
        <v>246</v>
      </c>
      <c r="E244" s="4">
        <v>1.7217715818285941</v>
      </c>
      <c r="F244" s="4">
        <v>351078.26303290261</v>
      </c>
      <c r="G244" s="4">
        <v>351079.98480448441</v>
      </c>
      <c r="H244" s="5">
        <f t="shared" ref="H244:H307" si="1">0 / 86400</f>
        <v>0</v>
      </c>
      <c r="I244" t="s">
        <v>207</v>
      </c>
      <c r="J244" t="s">
        <v>116</v>
      </c>
      <c r="K244" s="5">
        <f>304 / 86400</f>
        <v>3.5185185185185185E-3</v>
      </c>
      <c r="L244" s="5">
        <f>20 / 86400</f>
        <v>2.3148148148148149E-4</v>
      </c>
    </row>
    <row r="245" spans="1:12" x14ac:dyDescent="0.25">
      <c r="A245" s="3">
        <v>45715.303981481484</v>
      </c>
      <c r="B245" t="s">
        <v>246</v>
      </c>
      <c r="C245" s="3">
        <v>45715.308240740742</v>
      </c>
      <c r="D245" t="s">
        <v>247</v>
      </c>
      <c r="E245" s="4">
        <v>1.1898306015133857</v>
      </c>
      <c r="F245" s="4">
        <v>351080.04511254007</v>
      </c>
      <c r="G245" s="4">
        <v>351081.23494314158</v>
      </c>
      <c r="H245" s="5">
        <f t="shared" si="1"/>
        <v>0</v>
      </c>
      <c r="I245" t="s">
        <v>211</v>
      </c>
      <c r="J245" t="s">
        <v>85</v>
      </c>
      <c r="K245" s="5">
        <f>368 / 86400</f>
        <v>4.2592592592592595E-3</v>
      </c>
      <c r="L245" s="5">
        <f>20 / 86400</f>
        <v>2.3148148148148149E-4</v>
      </c>
    </row>
    <row r="246" spans="1:12" x14ac:dyDescent="0.25">
      <c r="A246" s="3">
        <v>45715.308472222227</v>
      </c>
      <c r="B246" t="s">
        <v>248</v>
      </c>
      <c r="C246" s="3">
        <v>45715.309918981482</v>
      </c>
      <c r="D246" t="s">
        <v>249</v>
      </c>
      <c r="E246" s="4">
        <v>0.21588325965404512</v>
      </c>
      <c r="F246" s="4">
        <v>351081.26410531771</v>
      </c>
      <c r="G246" s="4">
        <v>351081.47998857737</v>
      </c>
      <c r="H246" s="5">
        <f t="shared" si="1"/>
        <v>0</v>
      </c>
      <c r="I246" t="s">
        <v>41</v>
      </c>
      <c r="J246" t="s">
        <v>123</v>
      </c>
      <c r="K246" s="5">
        <f>125 / 86400</f>
        <v>1.4467592592592592E-3</v>
      </c>
      <c r="L246" s="5">
        <f>20 / 86400</f>
        <v>2.3148148148148149E-4</v>
      </c>
    </row>
    <row r="247" spans="1:12" x14ac:dyDescent="0.25">
      <c r="A247" s="3">
        <v>45715.310150462959</v>
      </c>
      <c r="B247" t="s">
        <v>249</v>
      </c>
      <c r="C247" s="3">
        <v>45715.312442129631</v>
      </c>
      <c r="D247" t="s">
        <v>31</v>
      </c>
      <c r="E247" s="4">
        <v>0.69226894479990009</v>
      </c>
      <c r="F247" s="4">
        <v>351081.48674922605</v>
      </c>
      <c r="G247" s="4">
        <v>351082.17901817081</v>
      </c>
      <c r="H247" s="5">
        <f t="shared" si="1"/>
        <v>0</v>
      </c>
      <c r="I247" t="s">
        <v>223</v>
      </c>
      <c r="J247" t="s">
        <v>55</v>
      </c>
      <c r="K247" s="5">
        <f>198 / 86400</f>
        <v>2.2916666666666667E-3</v>
      </c>
      <c r="L247" s="5">
        <f>12 / 86400</f>
        <v>1.3888888888888889E-4</v>
      </c>
    </row>
    <row r="248" spans="1:12" x14ac:dyDescent="0.25">
      <c r="A248" s="3">
        <v>45715.312581018516</v>
      </c>
      <c r="B248" t="s">
        <v>31</v>
      </c>
      <c r="C248" s="3">
        <v>45715.313969907409</v>
      </c>
      <c r="D248" t="s">
        <v>250</v>
      </c>
      <c r="E248" s="4">
        <v>0.72320306330919271</v>
      </c>
      <c r="F248" s="4">
        <v>351082.19555183646</v>
      </c>
      <c r="G248" s="4">
        <v>351082.91875489976</v>
      </c>
      <c r="H248" s="5">
        <f t="shared" si="1"/>
        <v>0</v>
      </c>
      <c r="I248" t="s">
        <v>235</v>
      </c>
      <c r="J248" t="s">
        <v>34</v>
      </c>
      <c r="K248" s="5">
        <f>120 / 86400</f>
        <v>1.3888888888888889E-3</v>
      </c>
      <c r="L248" s="5">
        <f>160 / 86400</f>
        <v>1.8518518518518519E-3</v>
      </c>
    </row>
    <row r="249" spans="1:12" x14ac:dyDescent="0.25">
      <c r="A249" s="3">
        <v>45715.315821759257</v>
      </c>
      <c r="B249" t="s">
        <v>250</v>
      </c>
      <c r="C249" s="3">
        <v>45715.316053240742</v>
      </c>
      <c r="D249" t="s">
        <v>250</v>
      </c>
      <c r="E249" s="4">
        <v>2.600616943836212E-2</v>
      </c>
      <c r="F249" s="4">
        <v>351082.98898694338</v>
      </c>
      <c r="G249" s="4">
        <v>351083.01499311283</v>
      </c>
      <c r="H249" s="5">
        <f t="shared" si="1"/>
        <v>0</v>
      </c>
      <c r="I249" t="s">
        <v>67</v>
      </c>
      <c r="J249" t="s">
        <v>99</v>
      </c>
      <c r="K249" s="5">
        <f>20 / 86400</f>
        <v>2.3148148148148149E-4</v>
      </c>
      <c r="L249" s="5">
        <f>160 / 86400</f>
        <v>1.8518518518518519E-3</v>
      </c>
    </row>
    <row r="250" spans="1:12" x14ac:dyDescent="0.25">
      <c r="A250" s="3">
        <v>45715.317905092597</v>
      </c>
      <c r="B250" t="s">
        <v>250</v>
      </c>
      <c r="C250" s="3">
        <v>45715.318368055552</v>
      </c>
      <c r="D250" t="s">
        <v>250</v>
      </c>
      <c r="E250" s="4">
        <v>8.1384480595588678E-3</v>
      </c>
      <c r="F250" s="4">
        <v>351083.05551339942</v>
      </c>
      <c r="G250" s="4">
        <v>351083.06365184748</v>
      </c>
      <c r="H250" s="5">
        <f t="shared" si="1"/>
        <v>0</v>
      </c>
      <c r="I250" t="s">
        <v>132</v>
      </c>
      <c r="J250" t="s">
        <v>67</v>
      </c>
      <c r="K250" s="5">
        <f>40 / 86400</f>
        <v>4.6296296296296298E-4</v>
      </c>
      <c r="L250" s="5">
        <f>100 / 86400</f>
        <v>1.1574074074074073E-3</v>
      </c>
    </row>
    <row r="251" spans="1:12" x14ac:dyDescent="0.25">
      <c r="A251" s="3">
        <v>45715.319525462968</v>
      </c>
      <c r="B251" t="s">
        <v>250</v>
      </c>
      <c r="C251" s="3">
        <v>45715.320891203708</v>
      </c>
      <c r="D251" t="s">
        <v>251</v>
      </c>
      <c r="E251" s="4">
        <v>0.31660471886396407</v>
      </c>
      <c r="F251" s="4">
        <v>351083.09764894127</v>
      </c>
      <c r="G251" s="4">
        <v>351083.41425366013</v>
      </c>
      <c r="H251" s="5">
        <f t="shared" si="1"/>
        <v>0</v>
      </c>
      <c r="I251" t="s">
        <v>131</v>
      </c>
      <c r="J251" t="s">
        <v>28</v>
      </c>
      <c r="K251" s="5">
        <f>118 / 86400</f>
        <v>1.3657407407407407E-3</v>
      </c>
      <c r="L251" s="5">
        <f>20 / 86400</f>
        <v>2.3148148148148149E-4</v>
      </c>
    </row>
    <row r="252" spans="1:12" x14ac:dyDescent="0.25">
      <c r="A252" s="3">
        <v>45715.321122685185</v>
      </c>
      <c r="B252" t="s">
        <v>252</v>
      </c>
      <c r="C252" s="3">
        <v>45715.321817129632</v>
      </c>
      <c r="D252" t="s">
        <v>253</v>
      </c>
      <c r="E252" s="4">
        <v>3.3864067196846009E-2</v>
      </c>
      <c r="F252" s="4">
        <v>351083.42317050154</v>
      </c>
      <c r="G252" s="4">
        <v>351083.45703456871</v>
      </c>
      <c r="H252" s="5">
        <f t="shared" si="1"/>
        <v>0</v>
      </c>
      <c r="I252" t="s">
        <v>99</v>
      </c>
      <c r="J252" t="s">
        <v>29</v>
      </c>
      <c r="K252" s="5">
        <f>60 / 86400</f>
        <v>6.9444444444444447E-4</v>
      </c>
      <c r="L252" s="5">
        <f>20 / 86400</f>
        <v>2.3148148148148149E-4</v>
      </c>
    </row>
    <row r="253" spans="1:12" x14ac:dyDescent="0.25">
      <c r="A253" s="3">
        <v>45715.322048611109</v>
      </c>
      <c r="B253" t="s">
        <v>254</v>
      </c>
      <c r="C253" s="3">
        <v>45715.322743055556</v>
      </c>
      <c r="D253" t="s">
        <v>255</v>
      </c>
      <c r="E253" s="4">
        <v>0.47611626988649369</v>
      </c>
      <c r="F253" s="4">
        <v>351083.52830691042</v>
      </c>
      <c r="G253" s="4">
        <v>351084.0044231803</v>
      </c>
      <c r="H253" s="5">
        <f t="shared" si="1"/>
        <v>0</v>
      </c>
      <c r="I253" t="s">
        <v>172</v>
      </c>
      <c r="J253" t="s">
        <v>211</v>
      </c>
      <c r="K253" s="5">
        <f>60 / 86400</f>
        <v>6.9444444444444447E-4</v>
      </c>
      <c r="L253" s="5">
        <f>40 / 86400</f>
        <v>4.6296296296296298E-4</v>
      </c>
    </row>
    <row r="254" spans="1:12" x14ac:dyDescent="0.25">
      <c r="A254" s="3">
        <v>45715.323206018518</v>
      </c>
      <c r="B254" t="s">
        <v>254</v>
      </c>
      <c r="C254" s="3">
        <v>45715.323749999996</v>
      </c>
      <c r="D254" t="s">
        <v>256</v>
      </c>
      <c r="E254" s="4">
        <v>0.41618472105264664</v>
      </c>
      <c r="F254" s="4">
        <v>351084.02203607716</v>
      </c>
      <c r="G254" s="4">
        <v>351084.43822079821</v>
      </c>
      <c r="H254" s="5">
        <f t="shared" si="1"/>
        <v>0</v>
      </c>
      <c r="I254" t="s">
        <v>218</v>
      </c>
      <c r="J254" t="s">
        <v>169</v>
      </c>
      <c r="K254" s="5">
        <f>47 / 86400</f>
        <v>5.4398148148148144E-4</v>
      </c>
      <c r="L254" s="5">
        <f>16 / 86400</f>
        <v>1.8518518518518518E-4</v>
      </c>
    </row>
    <row r="255" spans="1:12" x14ac:dyDescent="0.25">
      <c r="A255" s="3">
        <v>45715.323935185181</v>
      </c>
      <c r="B255" t="s">
        <v>256</v>
      </c>
      <c r="C255" s="3">
        <v>45715.32439814815</v>
      </c>
      <c r="D255" t="s">
        <v>257</v>
      </c>
      <c r="E255" s="4">
        <v>0.32148332530260088</v>
      </c>
      <c r="F255" s="4">
        <v>351084.44347966672</v>
      </c>
      <c r="G255" s="4">
        <v>351084.76496299199</v>
      </c>
      <c r="H255" s="5">
        <f t="shared" si="1"/>
        <v>0</v>
      </c>
      <c r="I255" t="s">
        <v>54</v>
      </c>
      <c r="J255" t="s">
        <v>211</v>
      </c>
      <c r="K255" s="5">
        <f>40 / 86400</f>
        <v>4.6296296296296298E-4</v>
      </c>
      <c r="L255" s="5">
        <f>20 / 86400</f>
        <v>2.3148148148148149E-4</v>
      </c>
    </row>
    <row r="256" spans="1:12" x14ac:dyDescent="0.25">
      <c r="A256" s="3">
        <v>45715.324629629627</v>
      </c>
      <c r="B256" t="s">
        <v>133</v>
      </c>
      <c r="C256" s="3">
        <v>45715.325555555552</v>
      </c>
      <c r="D256" t="s">
        <v>258</v>
      </c>
      <c r="E256" s="4">
        <v>0.59912836778163914</v>
      </c>
      <c r="F256" s="4">
        <v>351084.90951540851</v>
      </c>
      <c r="G256" s="4">
        <v>351085.50864377629</v>
      </c>
      <c r="H256" s="5">
        <f t="shared" si="1"/>
        <v>0</v>
      </c>
      <c r="I256" t="s">
        <v>54</v>
      </c>
      <c r="J256" t="s">
        <v>131</v>
      </c>
      <c r="K256" s="5">
        <f>80 / 86400</f>
        <v>9.2592592592592596E-4</v>
      </c>
      <c r="L256" s="5">
        <f>49 / 86400</f>
        <v>5.6712962962962967E-4</v>
      </c>
    </row>
    <row r="257" spans="1:12" x14ac:dyDescent="0.25">
      <c r="A257" s="3">
        <v>45715.32612268519</v>
      </c>
      <c r="B257" t="s">
        <v>259</v>
      </c>
      <c r="C257" s="3">
        <v>45715.327303240745</v>
      </c>
      <c r="D257" t="s">
        <v>260</v>
      </c>
      <c r="E257" s="4">
        <v>0.62363936084508897</v>
      </c>
      <c r="F257" s="4">
        <v>351085.9200328791</v>
      </c>
      <c r="G257" s="4">
        <v>351086.54367223993</v>
      </c>
      <c r="H257" s="5">
        <f t="shared" si="1"/>
        <v>0</v>
      </c>
      <c r="I257" t="s">
        <v>129</v>
      </c>
      <c r="J257" t="s">
        <v>34</v>
      </c>
      <c r="K257" s="5">
        <f>102 / 86400</f>
        <v>1.1805555555555556E-3</v>
      </c>
      <c r="L257" s="5">
        <f>13 / 86400</f>
        <v>1.5046296296296297E-4</v>
      </c>
    </row>
    <row r="258" spans="1:12" x14ac:dyDescent="0.25">
      <c r="A258" s="3">
        <v>45715.327453703707</v>
      </c>
      <c r="B258" t="s">
        <v>260</v>
      </c>
      <c r="C258" s="3">
        <v>45715.329317129625</v>
      </c>
      <c r="D258" t="s">
        <v>261</v>
      </c>
      <c r="E258" s="4">
        <v>1.0346915408372879</v>
      </c>
      <c r="F258" s="4">
        <v>351086.54458770115</v>
      </c>
      <c r="G258" s="4">
        <v>351087.57927924197</v>
      </c>
      <c r="H258" s="5">
        <f t="shared" si="1"/>
        <v>0</v>
      </c>
      <c r="I258" t="s">
        <v>207</v>
      </c>
      <c r="J258" t="s">
        <v>163</v>
      </c>
      <c r="K258" s="5">
        <f>161 / 86400</f>
        <v>1.8634259259259259E-3</v>
      </c>
      <c r="L258" s="5">
        <f>40 / 86400</f>
        <v>4.6296296296296298E-4</v>
      </c>
    </row>
    <row r="259" spans="1:12" x14ac:dyDescent="0.25">
      <c r="A259" s="3">
        <v>45715.329780092594</v>
      </c>
      <c r="B259" t="s">
        <v>262</v>
      </c>
      <c r="C259" s="3">
        <v>45715.330011574071</v>
      </c>
      <c r="D259" t="s">
        <v>262</v>
      </c>
      <c r="E259" s="4">
        <v>1.5614732503890991E-3</v>
      </c>
      <c r="F259" s="4">
        <v>351087.6300408938</v>
      </c>
      <c r="G259" s="4">
        <v>351087.63160236704</v>
      </c>
      <c r="H259" s="5">
        <f t="shared" si="1"/>
        <v>0</v>
      </c>
      <c r="I259" t="s">
        <v>67</v>
      </c>
      <c r="J259" t="s">
        <v>21</v>
      </c>
      <c r="K259" s="5">
        <f>20 / 86400</f>
        <v>2.3148148148148149E-4</v>
      </c>
      <c r="L259" s="5">
        <f>73 / 86400</f>
        <v>8.4490740740740739E-4</v>
      </c>
    </row>
    <row r="260" spans="1:12" x14ac:dyDescent="0.25">
      <c r="A260" s="3">
        <v>45715.33085648148</v>
      </c>
      <c r="B260" t="s">
        <v>262</v>
      </c>
      <c r="C260" s="3">
        <v>45715.331550925926</v>
      </c>
      <c r="D260" t="s">
        <v>263</v>
      </c>
      <c r="E260" s="4">
        <v>0.4160729292035103</v>
      </c>
      <c r="F260" s="4">
        <v>351087.64558547648</v>
      </c>
      <c r="G260" s="4">
        <v>351088.06165840564</v>
      </c>
      <c r="H260" s="5">
        <f t="shared" si="1"/>
        <v>0</v>
      </c>
      <c r="I260" t="s">
        <v>129</v>
      </c>
      <c r="J260" t="s">
        <v>176</v>
      </c>
      <c r="K260" s="5">
        <f>60 / 86400</f>
        <v>6.9444444444444447E-4</v>
      </c>
      <c r="L260" s="5">
        <f>20 / 86400</f>
        <v>2.3148148148148149E-4</v>
      </c>
    </row>
    <row r="261" spans="1:12" x14ac:dyDescent="0.25">
      <c r="A261" s="3">
        <v>45715.331782407404</v>
      </c>
      <c r="B261" t="s">
        <v>264</v>
      </c>
      <c r="C261" s="3">
        <v>45715.332800925928</v>
      </c>
      <c r="D261" t="s">
        <v>265</v>
      </c>
      <c r="E261" s="4">
        <v>0.40789154428243635</v>
      </c>
      <c r="F261" s="4">
        <v>351088.06676439644</v>
      </c>
      <c r="G261" s="4">
        <v>351088.47465594072</v>
      </c>
      <c r="H261" s="5">
        <f t="shared" si="1"/>
        <v>0</v>
      </c>
      <c r="I261" t="s">
        <v>169</v>
      </c>
      <c r="J261" t="s">
        <v>19</v>
      </c>
      <c r="K261" s="5">
        <f>88 / 86400</f>
        <v>1.0185185185185184E-3</v>
      </c>
      <c r="L261" s="5">
        <f>20 / 86400</f>
        <v>2.3148148148148149E-4</v>
      </c>
    </row>
    <row r="262" spans="1:12" x14ac:dyDescent="0.25">
      <c r="A262" s="3">
        <v>45715.333032407405</v>
      </c>
      <c r="B262" t="s">
        <v>266</v>
      </c>
      <c r="C262" s="3">
        <v>45715.333923611106</v>
      </c>
      <c r="D262" t="s">
        <v>267</v>
      </c>
      <c r="E262" s="4">
        <v>0.46249288332462313</v>
      </c>
      <c r="F262" s="4">
        <v>351088.5951578354</v>
      </c>
      <c r="G262" s="4">
        <v>351089.05765071872</v>
      </c>
      <c r="H262" s="5">
        <f t="shared" si="1"/>
        <v>0</v>
      </c>
      <c r="I262" t="s">
        <v>268</v>
      </c>
      <c r="J262" t="s">
        <v>34</v>
      </c>
      <c r="K262" s="5">
        <f>77 / 86400</f>
        <v>8.9120370370370373E-4</v>
      </c>
      <c r="L262" s="5">
        <f>80 / 86400</f>
        <v>9.2592592592592596E-4</v>
      </c>
    </row>
    <row r="263" spans="1:12" x14ac:dyDescent="0.25">
      <c r="A263" s="3">
        <v>45715.334849537037</v>
      </c>
      <c r="B263" t="s">
        <v>269</v>
      </c>
      <c r="C263" s="3">
        <v>45715.335312499999</v>
      </c>
      <c r="D263" t="s">
        <v>269</v>
      </c>
      <c r="E263" s="4">
        <v>5.4590723574161532E-2</v>
      </c>
      <c r="F263" s="4">
        <v>351089.11680210597</v>
      </c>
      <c r="G263" s="4">
        <v>351089.17139282956</v>
      </c>
      <c r="H263" s="5">
        <f t="shared" si="1"/>
        <v>0</v>
      </c>
      <c r="I263" t="s">
        <v>41</v>
      </c>
      <c r="J263" t="s">
        <v>99</v>
      </c>
      <c r="K263" s="5">
        <f>40 / 86400</f>
        <v>4.6296296296296298E-4</v>
      </c>
      <c r="L263" s="5">
        <f>160 / 86400</f>
        <v>1.8518518518518519E-3</v>
      </c>
    </row>
    <row r="264" spans="1:12" x14ac:dyDescent="0.25">
      <c r="A264" s="3">
        <v>45715.337164351848</v>
      </c>
      <c r="B264" t="s">
        <v>269</v>
      </c>
      <c r="C264" s="3">
        <v>45715.337395833332</v>
      </c>
      <c r="D264" t="s">
        <v>270</v>
      </c>
      <c r="E264" s="4">
        <v>1.4133351802825928E-2</v>
      </c>
      <c r="F264" s="4">
        <v>351089.20344457729</v>
      </c>
      <c r="G264" s="4">
        <v>351089.21757792908</v>
      </c>
      <c r="H264" s="5">
        <f t="shared" si="1"/>
        <v>0</v>
      </c>
      <c r="I264" t="s">
        <v>99</v>
      </c>
      <c r="J264" t="s">
        <v>136</v>
      </c>
      <c r="K264" s="5">
        <f>20 / 86400</f>
        <v>2.3148148148148149E-4</v>
      </c>
      <c r="L264" s="5">
        <f>20 / 86400</f>
        <v>2.3148148148148149E-4</v>
      </c>
    </row>
    <row r="265" spans="1:12" x14ac:dyDescent="0.25">
      <c r="A265" s="3">
        <v>45715.337627314817</v>
      </c>
      <c r="B265" t="s">
        <v>270</v>
      </c>
      <c r="C265" s="3">
        <v>45715.337858796294</v>
      </c>
      <c r="D265" t="s">
        <v>126</v>
      </c>
      <c r="E265" s="4">
        <v>2.1490565180778503E-2</v>
      </c>
      <c r="F265" s="4">
        <v>351089.22279897449</v>
      </c>
      <c r="G265" s="4">
        <v>351089.2442895397</v>
      </c>
      <c r="H265" s="5">
        <f t="shared" si="1"/>
        <v>0</v>
      </c>
      <c r="I265" t="s">
        <v>29</v>
      </c>
      <c r="J265" t="s">
        <v>132</v>
      </c>
      <c r="K265" s="5">
        <f>20 / 86400</f>
        <v>2.3148148148148149E-4</v>
      </c>
      <c r="L265" s="5">
        <f>20 / 86400</f>
        <v>2.3148148148148149E-4</v>
      </c>
    </row>
    <row r="266" spans="1:12" x14ac:dyDescent="0.25">
      <c r="A266" s="3">
        <v>45715.338090277779</v>
      </c>
      <c r="B266" t="s">
        <v>271</v>
      </c>
      <c r="C266" s="3">
        <v>45715.338321759264</v>
      </c>
      <c r="D266" t="s">
        <v>126</v>
      </c>
      <c r="E266" s="4">
        <v>8.1643958091735837E-3</v>
      </c>
      <c r="F266" s="4">
        <v>351089.25664045656</v>
      </c>
      <c r="G266" s="4">
        <v>351089.26480485237</v>
      </c>
      <c r="H266" s="5">
        <f t="shared" si="1"/>
        <v>0</v>
      </c>
      <c r="I266" t="s">
        <v>67</v>
      </c>
      <c r="J266" t="s">
        <v>67</v>
      </c>
      <c r="K266" s="5">
        <f>20 / 86400</f>
        <v>2.3148148148148149E-4</v>
      </c>
      <c r="L266" s="5">
        <f>60 / 86400</f>
        <v>6.9444444444444447E-4</v>
      </c>
    </row>
    <row r="267" spans="1:12" x14ac:dyDescent="0.25">
      <c r="A267" s="3">
        <v>45715.339016203703</v>
      </c>
      <c r="B267" t="s">
        <v>126</v>
      </c>
      <c r="C267" s="3">
        <v>45715.339479166665</v>
      </c>
      <c r="D267" t="s">
        <v>272</v>
      </c>
      <c r="E267" s="4">
        <v>2.1854656159877778E-2</v>
      </c>
      <c r="F267" s="4">
        <v>351089.27304053213</v>
      </c>
      <c r="G267" s="4">
        <v>351089.2948951883</v>
      </c>
      <c r="H267" s="5">
        <f t="shared" si="1"/>
        <v>0</v>
      </c>
      <c r="I267" t="s">
        <v>29</v>
      </c>
      <c r="J267" t="s">
        <v>29</v>
      </c>
      <c r="K267" s="5">
        <f>40 / 86400</f>
        <v>4.6296296296296298E-4</v>
      </c>
      <c r="L267" s="5">
        <f>100 / 86400</f>
        <v>1.1574074074074073E-3</v>
      </c>
    </row>
    <row r="268" spans="1:12" x14ac:dyDescent="0.25">
      <c r="A268" s="3">
        <v>45715.340636574074</v>
      </c>
      <c r="B268" t="s">
        <v>126</v>
      </c>
      <c r="C268" s="3">
        <v>45715.341099537036</v>
      </c>
      <c r="D268" t="s">
        <v>126</v>
      </c>
      <c r="E268" s="4">
        <v>2.1355578005313874E-2</v>
      </c>
      <c r="F268" s="4">
        <v>351089.34516899229</v>
      </c>
      <c r="G268" s="4">
        <v>351089.36652457027</v>
      </c>
      <c r="H268" s="5">
        <f t="shared" si="1"/>
        <v>0</v>
      </c>
      <c r="I268" t="s">
        <v>29</v>
      </c>
      <c r="J268" t="s">
        <v>29</v>
      </c>
      <c r="K268" s="5">
        <f>40 / 86400</f>
        <v>4.6296296296296298E-4</v>
      </c>
      <c r="L268" s="5">
        <f>40 / 86400</f>
        <v>4.6296296296296298E-4</v>
      </c>
    </row>
    <row r="269" spans="1:12" x14ac:dyDescent="0.25">
      <c r="A269" s="3">
        <v>45715.341562500005</v>
      </c>
      <c r="B269" t="s">
        <v>126</v>
      </c>
      <c r="C269" s="3">
        <v>45715.342141203699</v>
      </c>
      <c r="D269" t="s">
        <v>273</v>
      </c>
      <c r="E269" s="4">
        <v>0.12646614706516265</v>
      </c>
      <c r="F269" s="4">
        <v>351089.3725527986</v>
      </c>
      <c r="G269" s="4">
        <v>351089.49901894561</v>
      </c>
      <c r="H269" s="5">
        <f t="shared" si="1"/>
        <v>0</v>
      </c>
      <c r="I269" t="s">
        <v>39</v>
      </c>
      <c r="J269" t="s">
        <v>135</v>
      </c>
      <c r="K269" s="5">
        <f>50 / 86400</f>
        <v>5.7870370370370367E-4</v>
      </c>
      <c r="L269" s="5">
        <f>15 / 86400</f>
        <v>1.7361111111111112E-4</v>
      </c>
    </row>
    <row r="270" spans="1:12" x14ac:dyDescent="0.25">
      <c r="A270" s="3">
        <v>45715.342314814814</v>
      </c>
      <c r="B270" t="s">
        <v>274</v>
      </c>
      <c r="C270" s="3">
        <v>45715.342546296291</v>
      </c>
      <c r="D270" t="s">
        <v>274</v>
      </c>
      <c r="E270" s="4">
        <v>0</v>
      </c>
      <c r="F270" s="4">
        <v>351089.50961539953</v>
      </c>
      <c r="G270" s="4">
        <v>351089.50961539953</v>
      </c>
      <c r="H270" s="5">
        <f t="shared" si="1"/>
        <v>0</v>
      </c>
      <c r="I270" t="s">
        <v>123</v>
      </c>
      <c r="J270" t="s">
        <v>21</v>
      </c>
      <c r="K270" s="5">
        <f>20 / 86400</f>
        <v>2.3148148148148149E-4</v>
      </c>
      <c r="L270" s="5">
        <f>120 / 86400</f>
        <v>1.3888888888888889E-3</v>
      </c>
    </row>
    <row r="271" spans="1:12" x14ac:dyDescent="0.25">
      <c r="A271" s="3">
        <v>45715.343935185185</v>
      </c>
      <c r="B271" t="s">
        <v>275</v>
      </c>
      <c r="C271" s="3">
        <v>45715.344733796301</v>
      </c>
      <c r="D271" t="s">
        <v>276</v>
      </c>
      <c r="E271" s="4">
        <v>0.18288266843557358</v>
      </c>
      <c r="F271" s="4">
        <v>351089.96158409084</v>
      </c>
      <c r="G271" s="4">
        <v>351090.14446675929</v>
      </c>
      <c r="H271" s="5">
        <f t="shared" si="1"/>
        <v>0</v>
      </c>
      <c r="I271" t="s">
        <v>98</v>
      </c>
      <c r="J271" t="s">
        <v>28</v>
      </c>
      <c r="K271" s="5">
        <f>69 / 86400</f>
        <v>7.9861111111111116E-4</v>
      </c>
      <c r="L271" s="5">
        <f>20 / 86400</f>
        <v>2.3148148148148149E-4</v>
      </c>
    </row>
    <row r="272" spans="1:12" x14ac:dyDescent="0.25">
      <c r="A272" s="3">
        <v>45715.344965277778</v>
      </c>
      <c r="B272" t="s">
        <v>277</v>
      </c>
      <c r="C272" s="3">
        <v>45715.346851851849</v>
      </c>
      <c r="D272" t="s">
        <v>278</v>
      </c>
      <c r="E272" s="4">
        <v>0.67186062306165695</v>
      </c>
      <c r="F272" s="4">
        <v>351090.19822624268</v>
      </c>
      <c r="G272" s="4">
        <v>351090.87008686573</v>
      </c>
      <c r="H272" s="5">
        <f t="shared" si="1"/>
        <v>0</v>
      </c>
      <c r="I272" t="s">
        <v>173</v>
      </c>
      <c r="J272" t="s">
        <v>39</v>
      </c>
      <c r="K272" s="5">
        <f>163 / 86400</f>
        <v>1.8865740740740742E-3</v>
      </c>
      <c r="L272" s="5">
        <f>48 / 86400</f>
        <v>5.5555555555555556E-4</v>
      </c>
    </row>
    <row r="273" spans="1:12" x14ac:dyDescent="0.25">
      <c r="A273" s="3">
        <v>45715.347407407404</v>
      </c>
      <c r="B273" t="s">
        <v>278</v>
      </c>
      <c r="C273" s="3">
        <v>45715.348576388889</v>
      </c>
      <c r="D273" t="s">
        <v>279</v>
      </c>
      <c r="E273" s="4">
        <v>0.45588299137353899</v>
      </c>
      <c r="F273" s="4">
        <v>351090.88793796662</v>
      </c>
      <c r="G273" s="4">
        <v>351091.34382095799</v>
      </c>
      <c r="H273" s="5">
        <f t="shared" si="1"/>
        <v>0</v>
      </c>
      <c r="I273" t="s">
        <v>226</v>
      </c>
      <c r="J273" t="s">
        <v>26</v>
      </c>
      <c r="K273" s="5">
        <f>101 / 86400</f>
        <v>1.1689814814814816E-3</v>
      </c>
      <c r="L273" s="5">
        <f>40 / 86400</f>
        <v>4.6296296296296298E-4</v>
      </c>
    </row>
    <row r="274" spans="1:12" x14ac:dyDescent="0.25">
      <c r="A274" s="3">
        <v>45715.349039351851</v>
      </c>
      <c r="B274" t="s">
        <v>280</v>
      </c>
      <c r="C274" s="3">
        <v>45715.349270833336</v>
      </c>
      <c r="D274" t="s">
        <v>280</v>
      </c>
      <c r="E274" s="4">
        <v>5.1010971665382387E-3</v>
      </c>
      <c r="F274" s="4">
        <v>351091.36875988095</v>
      </c>
      <c r="G274" s="4">
        <v>351091.37386097811</v>
      </c>
      <c r="H274" s="5">
        <f t="shared" si="1"/>
        <v>0</v>
      </c>
      <c r="I274" t="s">
        <v>67</v>
      </c>
      <c r="J274" t="s">
        <v>67</v>
      </c>
      <c r="K274" s="5">
        <f>20 / 86400</f>
        <v>2.3148148148148149E-4</v>
      </c>
      <c r="L274" s="5">
        <f>13 / 86400</f>
        <v>1.5046296296296297E-4</v>
      </c>
    </row>
    <row r="275" spans="1:12" x14ac:dyDescent="0.25">
      <c r="A275" s="3">
        <v>45715.349421296298</v>
      </c>
      <c r="B275" t="s">
        <v>280</v>
      </c>
      <c r="C275" s="3">
        <v>45715.34988425926</v>
      </c>
      <c r="D275" t="s">
        <v>281</v>
      </c>
      <c r="E275" s="4">
        <v>9.13492117524147E-2</v>
      </c>
      <c r="F275" s="4">
        <v>351091.38068588084</v>
      </c>
      <c r="G275" s="4">
        <v>351091.47203509259</v>
      </c>
      <c r="H275" s="5">
        <f t="shared" si="1"/>
        <v>0</v>
      </c>
      <c r="I275" t="s">
        <v>143</v>
      </c>
      <c r="J275" t="s">
        <v>155</v>
      </c>
      <c r="K275" s="5">
        <f>40 / 86400</f>
        <v>4.6296296296296298E-4</v>
      </c>
      <c r="L275" s="5">
        <f>67 / 86400</f>
        <v>7.7546296296296293E-4</v>
      </c>
    </row>
    <row r="276" spans="1:12" x14ac:dyDescent="0.25">
      <c r="A276" s="3">
        <v>45715.350659722222</v>
      </c>
      <c r="B276" t="s">
        <v>282</v>
      </c>
      <c r="C276" s="3">
        <v>45715.352187500001</v>
      </c>
      <c r="D276" t="s">
        <v>260</v>
      </c>
      <c r="E276" s="4">
        <v>0.37364862042665481</v>
      </c>
      <c r="F276" s="4">
        <v>351091.50440258638</v>
      </c>
      <c r="G276" s="4">
        <v>351091.87805120682</v>
      </c>
      <c r="H276" s="5">
        <f t="shared" si="1"/>
        <v>0</v>
      </c>
      <c r="I276" t="s">
        <v>39</v>
      </c>
      <c r="J276" t="s">
        <v>28</v>
      </c>
      <c r="K276" s="5">
        <f>132 / 86400</f>
        <v>1.5277777777777779E-3</v>
      </c>
      <c r="L276" s="5">
        <f>20 / 86400</f>
        <v>2.3148148148148149E-4</v>
      </c>
    </row>
    <row r="277" spans="1:12" x14ac:dyDescent="0.25">
      <c r="A277" s="3">
        <v>45715.352418981478</v>
      </c>
      <c r="B277" t="s">
        <v>260</v>
      </c>
      <c r="C277" s="3">
        <v>45715.353946759264</v>
      </c>
      <c r="D277" t="s">
        <v>283</v>
      </c>
      <c r="E277" s="4">
        <v>0.30948354780673981</v>
      </c>
      <c r="F277" s="4">
        <v>351091.88332338294</v>
      </c>
      <c r="G277" s="4">
        <v>351092.19280693075</v>
      </c>
      <c r="H277" s="5">
        <f t="shared" si="1"/>
        <v>0</v>
      </c>
      <c r="I277" t="s">
        <v>163</v>
      </c>
      <c r="J277" t="s">
        <v>155</v>
      </c>
      <c r="K277" s="5">
        <f>132 / 86400</f>
        <v>1.5277777777777779E-3</v>
      </c>
      <c r="L277" s="5">
        <f>40 / 86400</f>
        <v>4.6296296296296298E-4</v>
      </c>
    </row>
    <row r="278" spans="1:12" x14ac:dyDescent="0.25">
      <c r="A278" s="3">
        <v>45715.354409722218</v>
      </c>
      <c r="B278" t="s">
        <v>283</v>
      </c>
      <c r="C278" s="3">
        <v>45715.354780092588</v>
      </c>
      <c r="D278" t="s">
        <v>284</v>
      </c>
      <c r="E278" s="4">
        <v>5.7479449391365053E-2</v>
      </c>
      <c r="F278" s="4">
        <v>351092.20138620719</v>
      </c>
      <c r="G278" s="4">
        <v>351092.25886565656</v>
      </c>
      <c r="H278" s="5">
        <f t="shared" si="1"/>
        <v>0</v>
      </c>
      <c r="I278" t="s">
        <v>143</v>
      </c>
      <c r="J278" t="s">
        <v>123</v>
      </c>
      <c r="K278" s="5">
        <f>32 / 86400</f>
        <v>3.7037037037037035E-4</v>
      </c>
      <c r="L278" s="5">
        <f>9 / 86400</f>
        <v>1.0416666666666667E-4</v>
      </c>
    </row>
    <row r="279" spans="1:12" x14ac:dyDescent="0.25">
      <c r="A279" s="3">
        <v>45715.354884259257</v>
      </c>
      <c r="B279" t="s">
        <v>284</v>
      </c>
      <c r="C279" s="3">
        <v>45715.356585648144</v>
      </c>
      <c r="D279" t="s">
        <v>133</v>
      </c>
      <c r="E279" s="4">
        <v>1.0049423204064369</v>
      </c>
      <c r="F279" s="4">
        <v>351092.26557702105</v>
      </c>
      <c r="G279" s="4">
        <v>351093.27051934146</v>
      </c>
      <c r="H279" s="5">
        <f t="shared" si="1"/>
        <v>0</v>
      </c>
      <c r="I279" t="s">
        <v>213</v>
      </c>
      <c r="J279" t="s">
        <v>176</v>
      </c>
      <c r="K279" s="5">
        <f>147 / 86400</f>
        <v>1.7013888888888888E-3</v>
      </c>
      <c r="L279" s="5">
        <f>49 / 86400</f>
        <v>5.6712962962962967E-4</v>
      </c>
    </row>
    <row r="280" spans="1:12" x14ac:dyDescent="0.25">
      <c r="A280" s="3">
        <v>45715.357152777782</v>
      </c>
      <c r="B280" t="s">
        <v>133</v>
      </c>
      <c r="C280" s="3">
        <v>45715.359629629631</v>
      </c>
      <c r="D280" t="s">
        <v>285</v>
      </c>
      <c r="E280" s="4">
        <v>1.4472305237650871</v>
      </c>
      <c r="F280" s="4">
        <v>351093.30275655811</v>
      </c>
      <c r="G280" s="4">
        <v>351094.74998708186</v>
      </c>
      <c r="H280" s="5">
        <f t="shared" si="1"/>
        <v>0</v>
      </c>
      <c r="I280" t="s">
        <v>236</v>
      </c>
      <c r="J280" t="s">
        <v>153</v>
      </c>
      <c r="K280" s="5">
        <f>214 / 86400</f>
        <v>2.476851851851852E-3</v>
      </c>
      <c r="L280" s="5">
        <f>20 / 86400</f>
        <v>2.3148148148148149E-4</v>
      </c>
    </row>
    <row r="281" spans="1:12" x14ac:dyDescent="0.25">
      <c r="A281" s="3">
        <v>45715.359861111108</v>
      </c>
      <c r="B281" t="s">
        <v>254</v>
      </c>
      <c r="C281" s="3">
        <v>45715.360092592593</v>
      </c>
      <c r="D281" t="s">
        <v>254</v>
      </c>
      <c r="E281" s="4">
        <v>0</v>
      </c>
      <c r="F281" s="4">
        <v>351095.02193554456</v>
      </c>
      <c r="G281" s="4">
        <v>351095.02193554456</v>
      </c>
      <c r="H281" s="5">
        <f t="shared" si="1"/>
        <v>0</v>
      </c>
      <c r="I281" t="s">
        <v>29</v>
      </c>
      <c r="J281" t="s">
        <v>21</v>
      </c>
      <c r="K281" s="5">
        <f>20 / 86400</f>
        <v>2.3148148148148149E-4</v>
      </c>
      <c r="L281" s="5">
        <f>52 / 86400</f>
        <v>6.018518518518519E-4</v>
      </c>
    </row>
    <row r="282" spans="1:12" x14ac:dyDescent="0.25">
      <c r="A282" s="3">
        <v>45715.360694444447</v>
      </c>
      <c r="B282" t="s">
        <v>286</v>
      </c>
      <c r="C282" s="3">
        <v>45715.361041666663</v>
      </c>
      <c r="D282" t="s">
        <v>287</v>
      </c>
      <c r="E282" s="4">
        <v>5.2917139470577239E-2</v>
      </c>
      <c r="F282" s="4">
        <v>351095.05690562294</v>
      </c>
      <c r="G282" s="4">
        <v>351095.10982276243</v>
      </c>
      <c r="H282" s="5">
        <f t="shared" si="1"/>
        <v>0</v>
      </c>
      <c r="I282" t="s">
        <v>19</v>
      </c>
      <c r="J282" t="s">
        <v>123</v>
      </c>
      <c r="K282" s="5">
        <f>30 / 86400</f>
        <v>3.4722222222222224E-4</v>
      </c>
      <c r="L282" s="5">
        <f>146 / 86400</f>
        <v>1.6898148148148148E-3</v>
      </c>
    </row>
    <row r="283" spans="1:12" x14ac:dyDescent="0.25">
      <c r="A283" s="3">
        <v>45715.36273148148</v>
      </c>
      <c r="B283" t="s">
        <v>288</v>
      </c>
      <c r="C283" s="3">
        <v>45715.363321759258</v>
      </c>
      <c r="D283" t="s">
        <v>287</v>
      </c>
      <c r="E283" s="4">
        <v>8.3160805404186244E-2</v>
      </c>
      <c r="F283" s="4">
        <v>351095.21953256294</v>
      </c>
      <c r="G283" s="4">
        <v>351095.3026933684</v>
      </c>
      <c r="H283" s="5">
        <f t="shared" si="1"/>
        <v>0</v>
      </c>
      <c r="I283" t="s">
        <v>143</v>
      </c>
      <c r="J283" t="s">
        <v>123</v>
      </c>
      <c r="K283" s="5">
        <f>51 / 86400</f>
        <v>5.9027777777777778E-4</v>
      </c>
      <c r="L283" s="5">
        <f>80 / 86400</f>
        <v>9.2592592592592596E-4</v>
      </c>
    </row>
    <row r="284" spans="1:12" x14ac:dyDescent="0.25">
      <c r="A284" s="3">
        <v>45715.364247685182</v>
      </c>
      <c r="B284" t="s">
        <v>289</v>
      </c>
      <c r="C284" s="3">
        <v>45715.368703703702</v>
      </c>
      <c r="D284" t="s">
        <v>290</v>
      </c>
      <c r="E284" s="4">
        <v>0.8904752319455147</v>
      </c>
      <c r="F284" s="4">
        <v>351095.33048347029</v>
      </c>
      <c r="G284" s="4">
        <v>351096.22095870221</v>
      </c>
      <c r="H284" s="5">
        <f t="shared" si="1"/>
        <v>0</v>
      </c>
      <c r="I284" t="s">
        <v>169</v>
      </c>
      <c r="J284" t="s">
        <v>155</v>
      </c>
      <c r="K284" s="5">
        <f>385 / 86400</f>
        <v>4.4560185185185189E-3</v>
      </c>
      <c r="L284" s="5">
        <f>60 / 86400</f>
        <v>6.9444444444444447E-4</v>
      </c>
    </row>
    <row r="285" spans="1:12" x14ac:dyDescent="0.25">
      <c r="A285" s="3">
        <v>45715.369398148148</v>
      </c>
      <c r="B285" t="s">
        <v>290</v>
      </c>
      <c r="C285" s="3">
        <v>45715.37290509259</v>
      </c>
      <c r="D285" t="s">
        <v>291</v>
      </c>
      <c r="E285" s="4">
        <v>1.0312032687664032</v>
      </c>
      <c r="F285" s="4">
        <v>351096.24567353277</v>
      </c>
      <c r="G285" s="4">
        <v>351097.27687680157</v>
      </c>
      <c r="H285" s="5">
        <f t="shared" si="1"/>
        <v>0</v>
      </c>
      <c r="I285" t="s">
        <v>131</v>
      </c>
      <c r="J285" t="s">
        <v>85</v>
      </c>
      <c r="K285" s="5">
        <f>303 / 86400</f>
        <v>3.5069444444444445E-3</v>
      </c>
      <c r="L285" s="5">
        <f>35 / 86400</f>
        <v>4.0509259259259258E-4</v>
      </c>
    </row>
    <row r="286" spans="1:12" x14ac:dyDescent="0.25">
      <c r="A286" s="3">
        <v>45715.373310185183</v>
      </c>
      <c r="B286" t="s">
        <v>291</v>
      </c>
      <c r="C286" s="3">
        <v>45715.374872685185</v>
      </c>
      <c r="D286" t="s">
        <v>187</v>
      </c>
      <c r="E286" s="4">
        <v>0.52671105891466141</v>
      </c>
      <c r="F286" s="4">
        <v>351097.28908937069</v>
      </c>
      <c r="G286" s="4">
        <v>351097.81580042955</v>
      </c>
      <c r="H286" s="5">
        <f t="shared" si="1"/>
        <v>0</v>
      </c>
      <c r="I286" t="s">
        <v>219</v>
      </c>
      <c r="J286" t="s">
        <v>41</v>
      </c>
      <c r="K286" s="5">
        <f>135 / 86400</f>
        <v>1.5625000000000001E-3</v>
      </c>
      <c r="L286" s="5">
        <f>40 / 86400</f>
        <v>4.6296296296296298E-4</v>
      </c>
    </row>
    <row r="287" spans="1:12" x14ac:dyDescent="0.25">
      <c r="A287" s="3">
        <v>45715.375335648147</v>
      </c>
      <c r="B287" t="s">
        <v>187</v>
      </c>
      <c r="C287" s="3">
        <v>45715.375798611116</v>
      </c>
      <c r="D287" t="s">
        <v>187</v>
      </c>
      <c r="E287" s="4">
        <v>4.3985040605068207E-2</v>
      </c>
      <c r="F287" s="4">
        <v>351097.8351310885</v>
      </c>
      <c r="G287" s="4">
        <v>351097.87911612907</v>
      </c>
      <c r="H287" s="5">
        <f t="shared" si="1"/>
        <v>0</v>
      </c>
      <c r="I287" t="s">
        <v>132</v>
      </c>
      <c r="J287" t="s">
        <v>132</v>
      </c>
      <c r="K287" s="5">
        <f>40 / 86400</f>
        <v>4.6296296296296298E-4</v>
      </c>
      <c r="L287" s="5">
        <f>98 / 86400</f>
        <v>1.1342592592592593E-3</v>
      </c>
    </row>
    <row r="288" spans="1:12" x14ac:dyDescent="0.25">
      <c r="A288" s="3">
        <v>45715.376932870371</v>
      </c>
      <c r="B288" t="s">
        <v>292</v>
      </c>
      <c r="C288" s="3">
        <v>45715.378541666665</v>
      </c>
      <c r="D288" t="s">
        <v>293</v>
      </c>
      <c r="E288" s="4">
        <v>1.1900512816309929</v>
      </c>
      <c r="F288" s="4">
        <v>351097.8890437556</v>
      </c>
      <c r="G288" s="4">
        <v>351099.07909503725</v>
      </c>
      <c r="H288" s="5">
        <f t="shared" si="1"/>
        <v>0</v>
      </c>
      <c r="I288" t="s">
        <v>89</v>
      </c>
      <c r="J288" t="s">
        <v>179</v>
      </c>
      <c r="K288" s="5">
        <f>139 / 86400</f>
        <v>1.6087962962962963E-3</v>
      </c>
      <c r="L288" s="5">
        <f>20 / 86400</f>
        <v>2.3148148148148149E-4</v>
      </c>
    </row>
    <row r="289" spans="1:12" x14ac:dyDescent="0.25">
      <c r="A289" s="3">
        <v>45715.37877314815</v>
      </c>
      <c r="B289" t="s">
        <v>294</v>
      </c>
      <c r="C289" s="3">
        <v>45715.379467592589</v>
      </c>
      <c r="D289" t="s">
        <v>295</v>
      </c>
      <c r="E289" s="4">
        <v>0.22361407762765884</v>
      </c>
      <c r="F289" s="4">
        <v>351099.2169140703</v>
      </c>
      <c r="G289" s="4">
        <v>351099.44052814791</v>
      </c>
      <c r="H289" s="5">
        <f t="shared" si="1"/>
        <v>0</v>
      </c>
      <c r="I289" t="s">
        <v>296</v>
      </c>
      <c r="J289" t="s">
        <v>55</v>
      </c>
      <c r="K289" s="5">
        <f>60 / 86400</f>
        <v>6.9444444444444447E-4</v>
      </c>
      <c r="L289" s="5">
        <f>40 / 86400</f>
        <v>4.6296296296296298E-4</v>
      </c>
    </row>
    <row r="290" spans="1:12" x14ac:dyDescent="0.25">
      <c r="A290" s="3">
        <v>45715.379930555559</v>
      </c>
      <c r="B290" t="s">
        <v>297</v>
      </c>
      <c r="C290" s="3">
        <v>45715.380925925929</v>
      </c>
      <c r="D290" t="s">
        <v>298</v>
      </c>
      <c r="E290" s="4">
        <v>0.90411734133958821</v>
      </c>
      <c r="F290" s="4">
        <v>351099.44814741559</v>
      </c>
      <c r="G290" s="4">
        <v>351100.35226475692</v>
      </c>
      <c r="H290" s="5">
        <f t="shared" si="1"/>
        <v>0</v>
      </c>
      <c r="I290" t="s">
        <v>218</v>
      </c>
      <c r="J290" t="s">
        <v>214</v>
      </c>
      <c r="K290" s="5">
        <f>86 / 86400</f>
        <v>9.9537037037037042E-4</v>
      </c>
      <c r="L290" s="5">
        <f>48 / 86400</f>
        <v>5.5555555555555556E-4</v>
      </c>
    </row>
    <row r="291" spans="1:12" x14ac:dyDescent="0.25">
      <c r="A291" s="3">
        <v>45715.381481481483</v>
      </c>
      <c r="B291" t="s">
        <v>298</v>
      </c>
      <c r="C291" s="3">
        <v>45715.38217592593</v>
      </c>
      <c r="D291" t="s">
        <v>69</v>
      </c>
      <c r="E291" s="4">
        <v>0.29375144743919374</v>
      </c>
      <c r="F291" s="4">
        <v>351100.36230767157</v>
      </c>
      <c r="G291" s="4">
        <v>351100.65605911898</v>
      </c>
      <c r="H291" s="5">
        <f t="shared" si="1"/>
        <v>0</v>
      </c>
      <c r="I291" t="s">
        <v>54</v>
      </c>
      <c r="J291" t="s">
        <v>30</v>
      </c>
      <c r="K291" s="5">
        <f>60 / 86400</f>
        <v>6.9444444444444447E-4</v>
      </c>
      <c r="L291" s="5">
        <f>20 / 86400</f>
        <v>2.3148148148148149E-4</v>
      </c>
    </row>
    <row r="292" spans="1:12" x14ac:dyDescent="0.25">
      <c r="A292" s="3">
        <v>45715.382407407407</v>
      </c>
      <c r="B292" t="s">
        <v>299</v>
      </c>
      <c r="C292" s="3">
        <v>45715.382638888885</v>
      </c>
      <c r="D292" t="s">
        <v>299</v>
      </c>
      <c r="E292" s="4">
        <v>0</v>
      </c>
      <c r="F292" s="4">
        <v>351100.98293323215</v>
      </c>
      <c r="G292" s="4">
        <v>351100.98293323215</v>
      </c>
      <c r="H292" s="5">
        <f t="shared" si="1"/>
        <v>0</v>
      </c>
      <c r="I292" t="s">
        <v>55</v>
      </c>
      <c r="J292" t="s">
        <v>21</v>
      </c>
      <c r="K292" s="5">
        <f>20 / 86400</f>
        <v>2.3148148148148149E-4</v>
      </c>
      <c r="L292" s="5">
        <f>120 / 86400</f>
        <v>1.3888888888888889E-3</v>
      </c>
    </row>
    <row r="293" spans="1:12" x14ac:dyDescent="0.25">
      <c r="A293" s="3">
        <v>45715.384027777778</v>
      </c>
      <c r="B293" t="s">
        <v>300</v>
      </c>
      <c r="C293" s="3">
        <v>45715.387280092589</v>
      </c>
      <c r="D293" t="s">
        <v>109</v>
      </c>
      <c r="E293" s="4">
        <v>0.98692910802364353</v>
      </c>
      <c r="F293" s="4">
        <v>351101.10836442752</v>
      </c>
      <c r="G293" s="4">
        <v>351102.0952935355</v>
      </c>
      <c r="H293" s="5">
        <f t="shared" si="1"/>
        <v>0</v>
      </c>
      <c r="I293" t="s">
        <v>202</v>
      </c>
      <c r="J293" t="s">
        <v>55</v>
      </c>
      <c r="K293" s="5">
        <f>281 / 86400</f>
        <v>3.2523148148148147E-3</v>
      </c>
      <c r="L293" s="5">
        <f>96 / 86400</f>
        <v>1.1111111111111111E-3</v>
      </c>
    </row>
    <row r="294" spans="1:12" x14ac:dyDescent="0.25">
      <c r="A294" s="3">
        <v>45715.388391203705</v>
      </c>
      <c r="B294" t="s">
        <v>109</v>
      </c>
      <c r="C294" s="3">
        <v>45715.38862268519</v>
      </c>
      <c r="D294" t="s">
        <v>109</v>
      </c>
      <c r="E294" s="4">
        <v>1.9318588733673096E-2</v>
      </c>
      <c r="F294" s="4">
        <v>351102.12259435153</v>
      </c>
      <c r="G294" s="4">
        <v>351102.14191294025</v>
      </c>
      <c r="H294" s="5">
        <f t="shared" si="1"/>
        <v>0</v>
      </c>
      <c r="I294" t="s">
        <v>99</v>
      </c>
      <c r="J294" t="s">
        <v>136</v>
      </c>
      <c r="K294" s="5">
        <f>20 / 86400</f>
        <v>2.3148148148148149E-4</v>
      </c>
      <c r="L294" s="5">
        <f>20 / 86400</f>
        <v>2.3148148148148149E-4</v>
      </c>
    </row>
    <row r="295" spans="1:12" x14ac:dyDescent="0.25">
      <c r="A295" s="3">
        <v>45715.388854166667</v>
      </c>
      <c r="B295" t="s">
        <v>301</v>
      </c>
      <c r="C295" s="3">
        <v>45715.389085648145</v>
      </c>
      <c r="D295" t="s">
        <v>301</v>
      </c>
      <c r="E295" s="4">
        <v>4.8208017349243163E-3</v>
      </c>
      <c r="F295" s="4">
        <v>351102.14924271096</v>
      </c>
      <c r="G295" s="4">
        <v>351102.15406351269</v>
      </c>
      <c r="H295" s="5">
        <f t="shared" si="1"/>
        <v>0</v>
      </c>
      <c r="I295" t="s">
        <v>136</v>
      </c>
      <c r="J295" t="s">
        <v>67</v>
      </c>
      <c r="K295" s="5">
        <f>20 / 86400</f>
        <v>2.3148148148148149E-4</v>
      </c>
      <c r="L295" s="5">
        <f>105 / 86400</f>
        <v>1.2152777777777778E-3</v>
      </c>
    </row>
    <row r="296" spans="1:12" x14ac:dyDescent="0.25">
      <c r="A296" s="3">
        <v>45715.390300925923</v>
      </c>
      <c r="B296" t="s">
        <v>301</v>
      </c>
      <c r="C296" s="3">
        <v>45715.392152777778</v>
      </c>
      <c r="D296" t="s">
        <v>302</v>
      </c>
      <c r="E296" s="4">
        <v>1.0120432319045067</v>
      </c>
      <c r="F296" s="4">
        <v>351102.1869307016</v>
      </c>
      <c r="G296" s="4">
        <v>351103.19897393353</v>
      </c>
      <c r="H296" s="5">
        <f t="shared" si="1"/>
        <v>0</v>
      </c>
      <c r="I296" t="s">
        <v>205</v>
      </c>
      <c r="J296" t="s">
        <v>163</v>
      </c>
      <c r="K296" s="5">
        <f>160 / 86400</f>
        <v>1.8518518518518519E-3</v>
      </c>
      <c r="L296" s="5">
        <f>20 / 86400</f>
        <v>2.3148148148148149E-4</v>
      </c>
    </row>
    <row r="297" spans="1:12" x14ac:dyDescent="0.25">
      <c r="A297" s="3">
        <v>45715.392384259263</v>
      </c>
      <c r="B297" t="s">
        <v>303</v>
      </c>
      <c r="C297" s="3">
        <v>45715.39261574074</v>
      </c>
      <c r="D297" t="s">
        <v>303</v>
      </c>
      <c r="E297" s="4">
        <v>0.15555601799488067</v>
      </c>
      <c r="F297" s="4">
        <v>351103.32500785892</v>
      </c>
      <c r="G297" s="4">
        <v>351103.48056387692</v>
      </c>
      <c r="H297" s="5">
        <f t="shared" si="1"/>
        <v>0</v>
      </c>
      <c r="I297" t="s">
        <v>169</v>
      </c>
      <c r="J297" t="s">
        <v>219</v>
      </c>
      <c r="K297" s="5">
        <f>20 / 86400</f>
        <v>2.3148148148148149E-4</v>
      </c>
      <c r="L297" s="5">
        <f>20 / 86400</f>
        <v>2.3148148148148149E-4</v>
      </c>
    </row>
    <row r="298" spans="1:12" x14ac:dyDescent="0.25">
      <c r="A298" s="3">
        <v>45715.392847222218</v>
      </c>
      <c r="B298" t="s">
        <v>302</v>
      </c>
      <c r="C298" s="3">
        <v>45715.393773148149</v>
      </c>
      <c r="D298" t="s">
        <v>302</v>
      </c>
      <c r="E298" s="4">
        <v>0.64877039796113967</v>
      </c>
      <c r="F298" s="4">
        <v>351103.50607257755</v>
      </c>
      <c r="G298" s="4">
        <v>351104.15484297549</v>
      </c>
      <c r="H298" s="5">
        <f t="shared" si="1"/>
        <v>0</v>
      </c>
      <c r="I298" t="s">
        <v>223</v>
      </c>
      <c r="J298" t="s">
        <v>211</v>
      </c>
      <c r="K298" s="5">
        <f>80 / 86400</f>
        <v>9.2592592592592596E-4</v>
      </c>
      <c r="L298" s="5">
        <f>30 / 86400</f>
        <v>3.4722222222222224E-4</v>
      </c>
    </row>
    <row r="299" spans="1:12" x14ac:dyDescent="0.25">
      <c r="A299" s="3">
        <v>45715.394120370373</v>
      </c>
      <c r="B299" t="s">
        <v>302</v>
      </c>
      <c r="C299" s="3">
        <v>45715.395740740743</v>
      </c>
      <c r="D299" t="s">
        <v>233</v>
      </c>
      <c r="E299" s="4">
        <v>1.2318080869317054</v>
      </c>
      <c r="F299" s="4">
        <v>351104.16136187507</v>
      </c>
      <c r="G299" s="4">
        <v>351105.39316996199</v>
      </c>
      <c r="H299" s="5">
        <f t="shared" si="1"/>
        <v>0</v>
      </c>
      <c r="I299" t="s">
        <v>216</v>
      </c>
      <c r="J299" t="s">
        <v>169</v>
      </c>
      <c r="K299" s="5">
        <f>140 / 86400</f>
        <v>1.6203703703703703E-3</v>
      </c>
      <c r="L299" s="5">
        <f>40 / 86400</f>
        <v>4.6296296296296298E-4</v>
      </c>
    </row>
    <row r="300" spans="1:12" x14ac:dyDescent="0.25">
      <c r="A300" s="3">
        <v>45715.396203703705</v>
      </c>
      <c r="B300" t="s">
        <v>304</v>
      </c>
      <c r="C300" s="3">
        <v>45715.397129629629</v>
      </c>
      <c r="D300" t="s">
        <v>234</v>
      </c>
      <c r="E300" s="4">
        <v>0.66350657600164409</v>
      </c>
      <c r="F300" s="4">
        <v>351105.55865337985</v>
      </c>
      <c r="G300" s="4">
        <v>351106.22215995588</v>
      </c>
      <c r="H300" s="5">
        <f t="shared" si="1"/>
        <v>0</v>
      </c>
      <c r="I300" t="s">
        <v>129</v>
      </c>
      <c r="J300" t="s">
        <v>140</v>
      </c>
      <c r="K300" s="5">
        <f>80 / 86400</f>
        <v>9.2592592592592596E-4</v>
      </c>
      <c r="L300" s="5">
        <f>40 / 86400</f>
        <v>4.6296296296296298E-4</v>
      </c>
    </row>
    <row r="301" spans="1:12" x14ac:dyDescent="0.25">
      <c r="A301" s="3">
        <v>45715.397592592592</v>
      </c>
      <c r="B301" t="s">
        <v>234</v>
      </c>
      <c r="C301" s="3">
        <v>45715.40048611111</v>
      </c>
      <c r="D301" t="s">
        <v>233</v>
      </c>
      <c r="E301" s="4">
        <v>1.3749895784258843</v>
      </c>
      <c r="F301" s="4">
        <v>351106.27396566578</v>
      </c>
      <c r="G301" s="4">
        <v>351107.64895524416</v>
      </c>
      <c r="H301" s="5">
        <f t="shared" si="1"/>
        <v>0</v>
      </c>
      <c r="I301" t="s">
        <v>144</v>
      </c>
      <c r="J301" t="s">
        <v>116</v>
      </c>
      <c r="K301" s="5">
        <f>250 / 86400</f>
        <v>2.8935185185185184E-3</v>
      </c>
      <c r="L301" s="5">
        <f>20 / 86400</f>
        <v>2.3148148148148149E-4</v>
      </c>
    </row>
    <row r="302" spans="1:12" x14ac:dyDescent="0.25">
      <c r="A302" s="3">
        <v>45715.400717592594</v>
      </c>
      <c r="B302" t="s">
        <v>228</v>
      </c>
      <c r="C302" s="3">
        <v>45715.401643518519</v>
      </c>
      <c r="D302" t="s">
        <v>228</v>
      </c>
      <c r="E302" s="4">
        <v>0.27829166722297666</v>
      </c>
      <c r="F302" s="4">
        <v>351107.65949253924</v>
      </c>
      <c r="G302" s="4">
        <v>351107.93778420647</v>
      </c>
      <c r="H302" s="5">
        <f t="shared" si="1"/>
        <v>0</v>
      </c>
      <c r="I302" t="s">
        <v>169</v>
      </c>
      <c r="J302" t="s">
        <v>55</v>
      </c>
      <c r="K302" s="5">
        <f>80 / 86400</f>
        <v>9.2592592592592596E-4</v>
      </c>
      <c r="L302" s="5">
        <f>20 / 86400</f>
        <v>2.3148148148148149E-4</v>
      </c>
    </row>
    <row r="303" spans="1:12" x14ac:dyDescent="0.25">
      <c r="A303" s="3">
        <v>45715.401874999996</v>
      </c>
      <c r="B303" t="s">
        <v>305</v>
      </c>
      <c r="C303" s="3">
        <v>45715.402337962965</v>
      </c>
      <c r="D303" t="s">
        <v>306</v>
      </c>
      <c r="E303" s="4">
        <v>0.13083060139417649</v>
      </c>
      <c r="F303" s="4">
        <v>351107.97832289559</v>
      </c>
      <c r="G303" s="4">
        <v>351108.10915349697</v>
      </c>
      <c r="H303" s="5">
        <f t="shared" si="1"/>
        <v>0</v>
      </c>
      <c r="I303" t="s">
        <v>19</v>
      </c>
      <c r="J303" t="s">
        <v>85</v>
      </c>
      <c r="K303" s="5">
        <f>40 / 86400</f>
        <v>4.6296296296296298E-4</v>
      </c>
      <c r="L303" s="5">
        <f>14 / 86400</f>
        <v>1.6203703703703703E-4</v>
      </c>
    </row>
    <row r="304" spans="1:12" x14ac:dyDescent="0.25">
      <c r="A304" s="3">
        <v>45715.402499999997</v>
      </c>
      <c r="B304" t="s">
        <v>307</v>
      </c>
      <c r="C304" s="3">
        <v>45715.402731481481</v>
      </c>
      <c r="D304" t="s">
        <v>193</v>
      </c>
      <c r="E304" s="4">
        <v>2.0942192375659942E-2</v>
      </c>
      <c r="F304" s="4">
        <v>351108.11383875011</v>
      </c>
      <c r="G304" s="4">
        <v>351108.13478094252</v>
      </c>
      <c r="H304" s="5">
        <f t="shared" si="1"/>
        <v>0</v>
      </c>
      <c r="I304" t="s">
        <v>99</v>
      </c>
      <c r="J304" t="s">
        <v>132</v>
      </c>
      <c r="K304" s="5">
        <f>20 / 86400</f>
        <v>2.3148148148148149E-4</v>
      </c>
      <c r="L304" s="5">
        <f>20 / 86400</f>
        <v>2.3148148148148149E-4</v>
      </c>
    </row>
    <row r="305" spans="1:12" x14ac:dyDescent="0.25">
      <c r="A305" s="3">
        <v>45715.402962962966</v>
      </c>
      <c r="B305" t="s">
        <v>308</v>
      </c>
      <c r="C305" s="3">
        <v>45715.403194444443</v>
      </c>
      <c r="D305" t="s">
        <v>194</v>
      </c>
      <c r="E305" s="4">
        <v>8.6695412576198574E-2</v>
      </c>
      <c r="F305" s="4">
        <v>351108.19982442836</v>
      </c>
      <c r="G305" s="4">
        <v>351108.28651984094</v>
      </c>
      <c r="H305" s="5">
        <f t="shared" si="1"/>
        <v>0</v>
      </c>
      <c r="I305" t="s">
        <v>19</v>
      </c>
      <c r="J305" t="s">
        <v>26</v>
      </c>
      <c r="K305" s="5">
        <f>20 / 86400</f>
        <v>2.3148148148148149E-4</v>
      </c>
      <c r="L305" s="5">
        <f>20 / 86400</f>
        <v>2.3148148148148149E-4</v>
      </c>
    </row>
    <row r="306" spans="1:12" x14ac:dyDescent="0.25">
      <c r="A306" s="3">
        <v>45715.403425925921</v>
      </c>
      <c r="B306" t="s">
        <v>194</v>
      </c>
      <c r="C306" s="3">
        <v>45715.404849537037</v>
      </c>
      <c r="D306" t="s">
        <v>233</v>
      </c>
      <c r="E306" s="4">
        <v>0.53533433490991589</v>
      </c>
      <c r="F306" s="4">
        <v>351108.28809025738</v>
      </c>
      <c r="G306" s="4">
        <v>351108.82342459232</v>
      </c>
      <c r="H306" s="5">
        <f t="shared" si="1"/>
        <v>0</v>
      </c>
      <c r="I306" t="s">
        <v>221</v>
      </c>
      <c r="J306" t="s">
        <v>26</v>
      </c>
      <c r="K306" s="5">
        <f>123 / 86400</f>
        <v>1.4236111111111112E-3</v>
      </c>
      <c r="L306" s="5">
        <f>20 / 86400</f>
        <v>2.3148148148148149E-4</v>
      </c>
    </row>
    <row r="307" spans="1:12" x14ac:dyDescent="0.25">
      <c r="A307" s="3">
        <v>45715.405081018514</v>
      </c>
      <c r="B307" t="s">
        <v>309</v>
      </c>
      <c r="C307" s="3">
        <v>45715.405312499999</v>
      </c>
      <c r="D307" t="s">
        <v>108</v>
      </c>
      <c r="E307" s="4">
        <v>6.8180825531482692E-2</v>
      </c>
      <c r="F307" s="4">
        <v>351108.85573047854</v>
      </c>
      <c r="G307" s="4">
        <v>351108.92391130404</v>
      </c>
      <c r="H307" s="5">
        <f t="shared" si="1"/>
        <v>0</v>
      </c>
      <c r="I307" t="s">
        <v>85</v>
      </c>
      <c r="J307" t="s">
        <v>85</v>
      </c>
      <c r="K307" s="5">
        <f>20 / 86400</f>
        <v>2.3148148148148149E-4</v>
      </c>
      <c r="L307" s="5">
        <f>20 / 86400</f>
        <v>2.3148148148148149E-4</v>
      </c>
    </row>
    <row r="308" spans="1:12" x14ac:dyDescent="0.25">
      <c r="A308" s="3">
        <v>45715.405543981484</v>
      </c>
      <c r="B308" t="s">
        <v>310</v>
      </c>
      <c r="C308" s="3">
        <v>45715.40623842593</v>
      </c>
      <c r="D308" t="s">
        <v>84</v>
      </c>
      <c r="E308" s="4">
        <v>0.2864111449122429</v>
      </c>
      <c r="F308" s="4">
        <v>351109.03584298986</v>
      </c>
      <c r="G308" s="4">
        <v>351109.32225413475</v>
      </c>
      <c r="H308" s="5">
        <f t="shared" ref="H308:H371" si="2">0 / 86400</f>
        <v>0</v>
      </c>
      <c r="I308" t="s">
        <v>202</v>
      </c>
      <c r="J308" t="s">
        <v>19</v>
      </c>
      <c r="K308" s="5">
        <f>60 / 86400</f>
        <v>6.9444444444444447E-4</v>
      </c>
      <c r="L308" s="5">
        <f>20 / 86400</f>
        <v>2.3148148148148149E-4</v>
      </c>
    </row>
    <row r="309" spans="1:12" x14ac:dyDescent="0.25">
      <c r="A309" s="3">
        <v>45715.406469907408</v>
      </c>
      <c r="B309" t="s">
        <v>84</v>
      </c>
      <c r="C309" s="3">
        <v>45715.40693287037</v>
      </c>
      <c r="D309" t="s">
        <v>84</v>
      </c>
      <c r="E309" s="4">
        <v>7.59464852809906E-2</v>
      </c>
      <c r="F309" s="4">
        <v>351109.39629479282</v>
      </c>
      <c r="G309" s="4">
        <v>351109.4722412781</v>
      </c>
      <c r="H309" s="5">
        <f t="shared" si="2"/>
        <v>0</v>
      </c>
      <c r="I309" t="s">
        <v>41</v>
      </c>
      <c r="J309" t="s">
        <v>143</v>
      </c>
      <c r="K309" s="5">
        <f>40 / 86400</f>
        <v>4.6296296296296298E-4</v>
      </c>
      <c r="L309" s="5">
        <f>20 / 86400</f>
        <v>2.3148148148148149E-4</v>
      </c>
    </row>
    <row r="310" spans="1:12" x14ac:dyDescent="0.25">
      <c r="A310" s="3">
        <v>45715.407164351855</v>
      </c>
      <c r="B310" t="s">
        <v>84</v>
      </c>
      <c r="C310" s="3">
        <v>45715.407395833332</v>
      </c>
      <c r="D310" t="s">
        <v>84</v>
      </c>
      <c r="E310" s="4">
        <v>4.8587498724460602E-2</v>
      </c>
      <c r="F310" s="4">
        <v>351109.54293633305</v>
      </c>
      <c r="G310" s="4">
        <v>351109.59152383177</v>
      </c>
      <c r="H310" s="5">
        <f t="shared" si="2"/>
        <v>0</v>
      </c>
      <c r="I310" t="s">
        <v>153</v>
      </c>
      <c r="J310" t="s">
        <v>135</v>
      </c>
      <c r="K310" s="5">
        <f>20 / 86400</f>
        <v>2.3148148148148149E-4</v>
      </c>
      <c r="L310" s="5">
        <f>20 / 86400</f>
        <v>2.3148148148148149E-4</v>
      </c>
    </row>
    <row r="311" spans="1:12" x14ac:dyDescent="0.25">
      <c r="A311" s="3">
        <v>45715.407627314809</v>
      </c>
      <c r="B311" t="s">
        <v>84</v>
      </c>
      <c r="C311" s="3">
        <v>45715.407905092594</v>
      </c>
      <c r="D311" t="s">
        <v>84</v>
      </c>
      <c r="E311" s="4">
        <v>5.7341416835784913E-2</v>
      </c>
      <c r="F311" s="4">
        <v>351109.59302016068</v>
      </c>
      <c r="G311" s="4">
        <v>351109.65036157751</v>
      </c>
      <c r="H311" s="5">
        <f t="shared" si="2"/>
        <v>0</v>
      </c>
      <c r="I311" t="s">
        <v>155</v>
      </c>
      <c r="J311" t="s">
        <v>135</v>
      </c>
      <c r="K311" s="5">
        <f>24 / 86400</f>
        <v>2.7777777777777778E-4</v>
      </c>
      <c r="L311" s="5">
        <f>16 / 86400</f>
        <v>1.8518518518518518E-4</v>
      </c>
    </row>
    <row r="312" spans="1:12" x14ac:dyDescent="0.25">
      <c r="A312" s="3">
        <v>45715.408090277779</v>
      </c>
      <c r="B312" t="s">
        <v>84</v>
      </c>
      <c r="C312" s="3">
        <v>45715.410752314812</v>
      </c>
      <c r="D312" t="s">
        <v>84</v>
      </c>
      <c r="E312" s="4">
        <v>1.1501601892709732</v>
      </c>
      <c r="F312" s="4">
        <v>351109.65275351889</v>
      </c>
      <c r="G312" s="4">
        <v>351110.80291370815</v>
      </c>
      <c r="H312" s="5">
        <f t="shared" si="2"/>
        <v>0</v>
      </c>
      <c r="I312" t="s">
        <v>192</v>
      </c>
      <c r="J312" t="s">
        <v>30</v>
      </c>
      <c r="K312" s="5">
        <f>230 / 86400</f>
        <v>2.662037037037037E-3</v>
      </c>
      <c r="L312" s="5">
        <f>17 / 86400</f>
        <v>1.9675925925925926E-4</v>
      </c>
    </row>
    <row r="313" spans="1:12" x14ac:dyDescent="0.25">
      <c r="A313" s="3">
        <v>45715.410949074074</v>
      </c>
      <c r="B313" t="s">
        <v>84</v>
      </c>
      <c r="C313" s="3">
        <v>45715.413460648153</v>
      </c>
      <c r="D313" t="s">
        <v>82</v>
      </c>
      <c r="E313" s="4">
        <v>1.8786334320306779</v>
      </c>
      <c r="F313" s="4">
        <v>351110.8152263838</v>
      </c>
      <c r="G313" s="4">
        <v>351112.69385981583</v>
      </c>
      <c r="H313" s="5">
        <f t="shared" si="2"/>
        <v>0</v>
      </c>
      <c r="I313" t="s">
        <v>162</v>
      </c>
      <c r="J313" t="s">
        <v>179</v>
      </c>
      <c r="K313" s="5">
        <f>217 / 86400</f>
        <v>2.5115740740740741E-3</v>
      </c>
      <c r="L313" s="5">
        <f>20 / 86400</f>
        <v>2.3148148148148149E-4</v>
      </c>
    </row>
    <row r="314" spans="1:12" x14ac:dyDescent="0.25">
      <c r="A314" s="3">
        <v>45715.41369212963</v>
      </c>
      <c r="B314" t="s">
        <v>82</v>
      </c>
      <c r="C314" s="3">
        <v>45715.415312500001</v>
      </c>
      <c r="D314" t="s">
        <v>224</v>
      </c>
      <c r="E314" s="4">
        <v>1.1344573738574981</v>
      </c>
      <c r="F314" s="4">
        <v>351112.78861301695</v>
      </c>
      <c r="G314" s="4">
        <v>351113.92307039083</v>
      </c>
      <c r="H314" s="5">
        <f t="shared" si="2"/>
        <v>0</v>
      </c>
      <c r="I314" t="s">
        <v>192</v>
      </c>
      <c r="J314" t="s">
        <v>211</v>
      </c>
      <c r="K314" s="5">
        <f>140 / 86400</f>
        <v>1.6203703703703703E-3</v>
      </c>
      <c r="L314" s="5">
        <f>20 / 86400</f>
        <v>2.3148148148148149E-4</v>
      </c>
    </row>
    <row r="315" spans="1:12" x14ac:dyDescent="0.25">
      <c r="A315" s="3">
        <v>45715.415543981479</v>
      </c>
      <c r="B315" t="s">
        <v>82</v>
      </c>
      <c r="C315" s="3">
        <v>45715.419016203705</v>
      </c>
      <c r="D315" t="s">
        <v>311</v>
      </c>
      <c r="E315" s="4">
        <v>2.7133065905570986</v>
      </c>
      <c r="F315" s="4">
        <v>351114.02756802546</v>
      </c>
      <c r="G315" s="4">
        <v>351116.74087461602</v>
      </c>
      <c r="H315" s="5">
        <f t="shared" si="2"/>
        <v>0</v>
      </c>
      <c r="I315" t="s">
        <v>144</v>
      </c>
      <c r="J315" t="s">
        <v>173</v>
      </c>
      <c r="K315" s="5">
        <f>300 / 86400</f>
        <v>3.472222222222222E-3</v>
      </c>
      <c r="L315" s="5">
        <f>46 / 86400</f>
        <v>5.3240740740740744E-4</v>
      </c>
    </row>
    <row r="316" spans="1:12" x14ac:dyDescent="0.25">
      <c r="A316" s="3">
        <v>45715.419548611113</v>
      </c>
      <c r="B316" t="s">
        <v>311</v>
      </c>
      <c r="C316" s="3">
        <v>45715.420902777776</v>
      </c>
      <c r="D316" t="s">
        <v>112</v>
      </c>
      <c r="E316" s="4">
        <v>0.80424486267566686</v>
      </c>
      <c r="F316" s="4">
        <v>351116.74539816496</v>
      </c>
      <c r="G316" s="4">
        <v>351117.54964302765</v>
      </c>
      <c r="H316" s="5">
        <f t="shared" si="2"/>
        <v>0</v>
      </c>
      <c r="I316" t="s">
        <v>162</v>
      </c>
      <c r="J316" t="s">
        <v>176</v>
      </c>
      <c r="K316" s="5">
        <f>117 / 86400</f>
        <v>1.3541666666666667E-3</v>
      </c>
      <c r="L316" s="5">
        <f>20 / 86400</f>
        <v>2.3148148148148149E-4</v>
      </c>
    </row>
    <row r="317" spans="1:12" x14ac:dyDescent="0.25">
      <c r="A317" s="3">
        <v>45715.421134259261</v>
      </c>
      <c r="B317" t="s">
        <v>220</v>
      </c>
      <c r="C317" s="3">
        <v>45715.421828703707</v>
      </c>
      <c r="D317" t="s">
        <v>112</v>
      </c>
      <c r="E317" s="4">
        <v>5.2199858963489533E-2</v>
      </c>
      <c r="F317" s="4">
        <v>351117.55911852012</v>
      </c>
      <c r="G317" s="4">
        <v>351117.61131837912</v>
      </c>
      <c r="H317" s="5">
        <f t="shared" si="2"/>
        <v>0</v>
      </c>
      <c r="I317" t="s">
        <v>67</v>
      </c>
      <c r="J317" t="s">
        <v>136</v>
      </c>
      <c r="K317" s="5">
        <f>60 / 86400</f>
        <v>6.9444444444444447E-4</v>
      </c>
      <c r="L317" s="5">
        <f>18 / 86400</f>
        <v>2.0833333333333335E-4</v>
      </c>
    </row>
    <row r="318" spans="1:12" x14ac:dyDescent="0.25">
      <c r="A318" s="3">
        <v>45715.422037037039</v>
      </c>
      <c r="B318" t="s">
        <v>112</v>
      </c>
      <c r="C318" s="3">
        <v>45715.424120370371</v>
      </c>
      <c r="D318" t="s">
        <v>160</v>
      </c>
      <c r="E318" s="4">
        <v>1.3989968095421792</v>
      </c>
      <c r="F318" s="4">
        <v>351117.62285042607</v>
      </c>
      <c r="G318" s="4">
        <v>351119.02184723562</v>
      </c>
      <c r="H318" s="5">
        <f t="shared" si="2"/>
        <v>0</v>
      </c>
      <c r="I318" t="s">
        <v>216</v>
      </c>
      <c r="J318" t="s">
        <v>219</v>
      </c>
      <c r="K318" s="5">
        <f>180 / 86400</f>
        <v>2.0833333333333333E-3</v>
      </c>
      <c r="L318" s="5">
        <f>20 / 86400</f>
        <v>2.3148148148148149E-4</v>
      </c>
    </row>
    <row r="319" spans="1:12" x14ac:dyDescent="0.25">
      <c r="A319" s="3">
        <v>45715.424351851849</v>
      </c>
      <c r="B319" t="s">
        <v>160</v>
      </c>
      <c r="C319" s="3">
        <v>45715.42597222222</v>
      </c>
      <c r="D319" t="s">
        <v>160</v>
      </c>
      <c r="E319" s="4">
        <v>1.0071402231454849</v>
      </c>
      <c r="F319" s="4">
        <v>351119.09578884195</v>
      </c>
      <c r="G319" s="4">
        <v>351120.10292906512</v>
      </c>
      <c r="H319" s="5">
        <f t="shared" si="2"/>
        <v>0</v>
      </c>
      <c r="I319" t="s">
        <v>238</v>
      </c>
      <c r="J319" t="s">
        <v>98</v>
      </c>
      <c r="K319" s="5">
        <f>140 / 86400</f>
        <v>1.6203703703703703E-3</v>
      </c>
      <c r="L319" s="5">
        <f>80 / 86400</f>
        <v>9.2592592592592596E-4</v>
      </c>
    </row>
    <row r="320" spans="1:12" x14ac:dyDescent="0.25">
      <c r="A320" s="3">
        <v>45715.426898148144</v>
      </c>
      <c r="B320" t="s">
        <v>206</v>
      </c>
      <c r="C320" s="3">
        <v>45715.427361111113</v>
      </c>
      <c r="D320" t="s">
        <v>35</v>
      </c>
      <c r="E320" s="4">
        <v>0.39205669218301775</v>
      </c>
      <c r="F320" s="4">
        <v>351120.15506575693</v>
      </c>
      <c r="G320" s="4">
        <v>351120.54712244909</v>
      </c>
      <c r="H320" s="5">
        <f t="shared" si="2"/>
        <v>0</v>
      </c>
      <c r="I320" t="s">
        <v>172</v>
      </c>
      <c r="J320" t="s">
        <v>221</v>
      </c>
      <c r="K320" s="5">
        <f>40 / 86400</f>
        <v>4.6296296296296298E-4</v>
      </c>
      <c r="L320" s="5">
        <f>20 / 86400</f>
        <v>2.3148148148148149E-4</v>
      </c>
    </row>
    <row r="321" spans="1:12" x14ac:dyDescent="0.25">
      <c r="A321" s="3">
        <v>45715.42759259259</v>
      </c>
      <c r="B321" t="s">
        <v>35</v>
      </c>
      <c r="C321" s="3">
        <v>45715.427824074075</v>
      </c>
      <c r="D321" t="s">
        <v>35</v>
      </c>
      <c r="E321" s="4">
        <v>7.3436621129512783E-2</v>
      </c>
      <c r="F321" s="4">
        <v>351120.71397669212</v>
      </c>
      <c r="G321" s="4">
        <v>351120.78741331329</v>
      </c>
      <c r="H321" s="5">
        <f t="shared" si="2"/>
        <v>0</v>
      </c>
      <c r="I321" t="s">
        <v>296</v>
      </c>
      <c r="J321" t="s">
        <v>55</v>
      </c>
      <c r="K321" s="5">
        <f>20 / 86400</f>
        <v>2.3148148148148149E-4</v>
      </c>
      <c r="L321" s="5">
        <f>20 / 86400</f>
        <v>2.3148148148148149E-4</v>
      </c>
    </row>
    <row r="322" spans="1:12" x14ac:dyDescent="0.25">
      <c r="A322" s="3">
        <v>45715.42805555556</v>
      </c>
      <c r="B322" t="s">
        <v>93</v>
      </c>
      <c r="C322" s="3">
        <v>45715.428981481484</v>
      </c>
      <c r="D322" t="s">
        <v>93</v>
      </c>
      <c r="E322" s="4">
        <v>0.62872937881946567</v>
      </c>
      <c r="F322" s="4">
        <v>351120.81571124785</v>
      </c>
      <c r="G322" s="4">
        <v>351121.44444062666</v>
      </c>
      <c r="H322" s="5">
        <f t="shared" si="2"/>
        <v>0</v>
      </c>
      <c r="I322" t="s">
        <v>296</v>
      </c>
      <c r="J322" t="s">
        <v>219</v>
      </c>
      <c r="K322" s="5">
        <f>80 / 86400</f>
        <v>9.2592592592592596E-4</v>
      </c>
      <c r="L322" s="5">
        <f>20 / 86400</f>
        <v>2.3148148148148149E-4</v>
      </c>
    </row>
    <row r="323" spans="1:12" x14ac:dyDescent="0.25">
      <c r="A323" s="3">
        <v>45715.429212962961</v>
      </c>
      <c r="B323" t="s">
        <v>93</v>
      </c>
      <c r="C323" s="3">
        <v>45715.431990740741</v>
      </c>
      <c r="D323" t="s">
        <v>35</v>
      </c>
      <c r="E323" s="4">
        <v>2.5531237247586249</v>
      </c>
      <c r="F323" s="4">
        <v>351121.48998823325</v>
      </c>
      <c r="G323" s="4">
        <v>351124.04311195802</v>
      </c>
      <c r="H323" s="5">
        <f t="shared" si="2"/>
        <v>0</v>
      </c>
      <c r="I323" t="s">
        <v>110</v>
      </c>
      <c r="J323" t="s">
        <v>214</v>
      </c>
      <c r="K323" s="5">
        <f>240 / 86400</f>
        <v>2.7777777777777779E-3</v>
      </c>
      <c r="L323" s="5">
        <f>6 / 86400</f>
        <v>6.9444444444444444E-5</v>
      </c>
    </row>
    <row r="324" spans="1:12" x14ac:dyDescent="0.25">
      <c r="A324" s="3">
        <v>45715.432060185187</v>
      </c>
      <c r="B324" t="s">
        <v>35</v>
      </c>
      <c r="C324" s="3">
        <v>45715.432754629626</v>
      </c>
      <c r="D324" t="s">
        <v>312</v>
      </c>
      <c r="E324" s="4">
        <v>0.67315983861684803</v>
      </c>
      <c r="F324" s="4">
        <v>351124.0466084627</v>
      </c>
      <c r="G324" s="4">
        <v>351124.71976830129</v>
      </c>
      <c r="H324" s="5">
        <f t="shared" si="2"/>
        <v>0</v>
      </c>
      <c r="I324" t="s">
        <v>149</v>
      </c>
      <c r="J324" t="s">
        <v>205</v>
      </c>
      <c r="K324" s="5">
        <f>60 / 86400</f>
        <v>6.9444444444444447E-4</v>
      </c>
      <c r="L324" s="5">
        <f>20 / 86400</f>
        <v>2.3148148148148149E-4</v>
      </c>
    </row>
    <row r="325" spans="1:12" x14ac:dyDescent="0.25">
      <c r="A325" s="3">
        <v>45715.432986111111</v>
      </c>
      <c r="B325" t="s">
        <v>313</v>
      </c>
      <c r="C325" s="3">
        <v>45715.435972222222</v>
      </c>
      <c r="D325" t="s">
        <v>32</v>
      </c>
      <c r="E325" s="4">
        <v>1.8540483376979828</v>
      </c>
      <c r="F325" s="4">
        <v>351124.84992666251</v>
      </c>
      <c r="G325" s="4">
        <v>351126.70397500019</v>
      </c>
      <c r="H325" s="5">
        <f t="shared" si="2"/>
        <v>0</v>
      </c>
      <c r="I325" t="s">
        <v>196</v>
      </c>
      <c r="J325" t="s">
        <v>98</v>
      </c>
      <c r="K325" s="5">
        <f>258 / 86400</f>
        <v>2.9861111111111113E-3</v>
      </c>
      <c r="L325" s="5">
        <f>16 / 86400</f>
        <v>1.8518518518518518E-4</v>
      </c>
    </row>
    <row r="326" spans="1:12" x14ac:dyDescent="0.25">
      <c r="A326" s="3">
        <v>45715.436157407406</v>
      </c>
      <c r="B326" t="s">
        <v>32</v>
      </c>
      <c r="C326" s="3">
        <v>45715.437314814815</v>
      </c>
      <c r="D326" t="s">
        <v>314</v>
      </c>
      <c r="E326" s="4">
        <v>0.87207693290710453</v>
      </c>
      <c r="F326" s="4">
        <v>351126.71320867055</v>
      </c>
      <c r="G326" s="4">
        <v>351127.58528560348</v>
      </c>
      <c r="H326" s="5">
        <f t="shared" si="2"/>
        <v>0</v>
      </c>
      <c r="I326" t="s">
        <v>146</v>
      </c>
      <c r="J326" t="s">
        <v>179</v>
      </c>
      <c r="K326" s="5">
        <f>100 / 86400</f>
        <v>1.1574074074074073E-3</v>
      </c>
      <c r="L326" s="5">
        <f>6 / 86400</f>
        <v>6.9444444444444444E-5</v>
      </c>
    </row>
    <row r="327" spans="1:12" x14ac:dyDescent="0.25">
      <c r="A327" s="3">
        <v>45715.437384259261</v>
      </c>
      <c r="B327" t="s">
        <v>32</v>
      </c>
      <c r="C327" s="3">
        <v>45715.438078703708</v>
      </c>
      <c r="D327" t="s">
        <v>32</v>
      </c>
      <c r="E327" s="4">
        <v>0.65227172654867172</v>
      </c>
      <c r="F327" s="4">
        <v>351127.59596025513</v>
      </c>
      <c r="G327" s="4">
        <v>351128.24823198171</v>
      </c>
      <c r="H327" s="5">
        <f t="shared" si="2"/>
        <v>0</v>
      </c>
      <c r="I327" t="s">
        <v>315</v>
      </c>
      <c r="J327" t="s">
        <v>202</v>
      </c>
      <c r="K327" s="5">
        <f>60 / 86400</f>
        <v>6.9444444444444447E-4</v>
      </c>
      <c r="L327" s="5">
        <f>20 / 86400</f>
        <v>2.3148148148148149E-4</v>
      </c>
    </row>
    <row r="328" spans="1:12" x14ac:dyDescent="0.25">
      <c r="A328" s="3">
        <v>45715.438310185185</v>
      </c>
      <c r="B328" t="s">
        <v>32</v>
      </c>
      <c r="C328" s="3">
        <v>45715.43886574074</v>
      </c>
      <c r="D328" t="s">
        <v>316</v>
      </c>
      <c r="E328" s="4">
        <v>0.71295683896541595</v>
      </c>
      <c r="F328" s="4">
        <v>351128.38258331281</v>
      </c>
      <c r="G328" s="4">
        <v>351129.09554015176</v>
      </c>
      <c r="H328" s="5">
        <f t="shared" si="2"/>
        <v>0</v>
      </c>
      <c r="I328" t="s">
        <v>103</v>
      </c>
      <c r="J328" t="s">
        <v>213</v>
      </c>
      <c r="K328" s="5">
        <f>48 / 86400</f>
        <v>5.5555555555555556E-4</v>
      </c>
      <c r="L328" s="5">
        <f>8 / 86400</f>
        <v>9.2592592592592588E-5</v>
      </c>
    </row>
    <row r="329" spans="1:12" x14ac:dyDescent="0.25">
      <c r="A329" s="3">
        <v>45715.438958333332</v>
      </c>
      <c r="B329" t="s">
        <v>316</v>
      </c>
      <c r="C329" s="3">
        <v>45715.439189814817</v>
      </c>
      <c r="D329" t="s">
        <v>316</v>
      </c>
      <c r="E329" s="4">
        <v>1.0226880967617034E-2</v>
      </c>
      <c r="F329" s="4">
        <v>351129.11282012518</v>
      </c>
      <c r="G329" s="4">
        <v>351129.12304700614</v>
      </c>
      <c r="H329" s="5">
        <f t="shared" si="2"/>
        <v>0</v>
      </c>
      <c r="I329" t="s">
        <v>55</v>
      </c>
      <c r="J329" t="s">
        <v>29</v>
      </c>
      <c r="K329" s="5">
        <f>20 / 86400</f>
        <v>2.3148148148148149E-4</v>
      </c>
      <c r="L329" s="5">
        <f>20 / 86400</f>
        <v>2.3148148148148149E-4</v>
      </c>
    </row>
    <row r="330" spans="1:12" x14ac:dyDescent="0.25">
      <c r="A330" s="3">
        <v>45715.439421296294</v>
      </c>
      <c r="B330" t="s">
        <v>316</v>
      </c>
      <c r="C330" s="3">
        <v>45715.441724537042</v>
      </c>
      <c r="D330" t="s">
        <v>317</v>
      </c>
      <c r="E330" s="4">
        <v>2.423288290977478</v>
      </c>
      <c r="F330" s="4">
        <v>351129.24935532594</v>
      </c>
      <c r="G330" s="4">
        <v>351131.67264361691</v>
      </c>
      <c r="H330" s="5">
        <f t="shared" si="2"/>
        <v>0</v>
      </c>
      <c r="I330" t="s">
        <v>162</v>
      </c>
      <c r="J330" t="s">
        <v>235</v>
      </c>
      <c r="K330" s="5">
        <f>199 / 86400</f>
        <v>2.3032407407407407E-3</v>
      </c>
      <c r="L330" s="5">
        <f>2 / 86400</f>
        <v>2.3148148148148147E-5</v>
      </c>
    </row>
    <row r="331" spans="1:12" x14ac:dyDescent="0.25">
      <c r="A331" s="3">
        <v>45715.441747685181</v>
      </c>
      <c r="B331" t="s">
        <v>317</v>
      </c>
      <c r="C331" s="3">
        <v>45715.444467592592</v>
      </c>
      <c r="D331" t="s">
        <v>318</v>
      </c>
      <c r="E331" s="4">
        <v>1.9966736992001533</v>
      </c>
      <c r="F331" s="4">
        <v>351131.67439003458</v>
      </c>
      <c r="G331" s="4">
        <v>351133.67106373375</v>
      </c>
      <c r="H331" s="5">
        <f t="shared" si="2"/>
        <v>0</v>
      </c>
      <c r="I331" t="s">
        <v>296</v>
      </c>
      <c r="J331" t="s">
        <v>179</v>
      </c>
      <c r="K331" s="5">
        <f>235 / 86400</f>
        <v>2.7199074074074074E-3</v>
      </c>
      <c r="L331" s="5">
        <f>26 / 86400</f>
        <v>3.0092592592592595E-4</v>
      </c>
    </row>
    <row r="332" spans="1:12" x14ac:dyDescent="0.25">
      <c r="A332" s="3">
        <v>45715.444768518515</v>
      </c>
      <c r="B332" t="s">
        <v>318</v>
      </c>
      <c r="C332" s="3">
        <v>45715.448136574079</v>
      </c>
      <c r="D332" t="s">
        <v>319</v>
      </c>
      <c r="E332" s="4">
        <v>1.4317423236966134</v>
      </c>
      <c r="F332" s="4">
        <v>351133.67506010534</v>
      </c>
      <c r="G332" s="4">
        <v>351135.10680242901</v>
      </c>
      <c r="H332" s="5">
        <f t="shared" si="2"/>
        <v>0</v>
      </c>
      <c r="I332" t="s">
        <v>198</v>
      </c>
      <c r="J332" t="s">
        <v>30</v>
      </c>
      <c r="K332" s="5">
        <f>291 / 86400</f>
        <v>3.3680555555555556E-3</v>
      </c>
      <c r="L332" s="5">
        <f>40 / 86400</f>
        <v>4.6296296296296298E-4</v>
      </c>
    </row>
    <row r="333" spans="1:12" x14ac:dyDescent="0.25">
      <c r="A333" s="3">
        <v>45715.448599537034</v>
      </c>
      <c r="B333" t="s">
        <v>319</v>
      </c>
      <c r="C333" s="3">
        <v>45715.448831018519</v>
      </c>
      <c r="D333" t="s">
        <v>319</v>
      </c>
      <c r="E333" s="4">
        <v>4.4575169742107394E-2</v>
      </c>
      <c r="F333" s="4">
        <v>351135.12263803621</v>
      </c>
      <c r="G333" s="4">
        <v>351135.16721320595</v>
      </c>
      <c r="H333" s="5">
        <f t="shared" si="2"/>
        <v>0</v>
      </c>
      <c r="I333" t="s">
        <v>29</v>
      </c>
      <c r="J333" t="s">
        <v>155</v>
      </c>
      <c r="K333" s="5">
        <f>20 / 86400</f>
        <v>2.3148148148148149E-4</v>
      </c>
      <c r="L333" s="5">
        <f>30 / 86400</f>
        <v>3.4722222222222224E-4</v>
      </c>
    </row>
    <row r="334" spans="1:12" x14ac:dyDescent="0.25">
      <c r="A334" s="3">
        <v>45715.449178240742</v>
      </c>
      <c r="B334" t="s">
        <v>320</v>
      </c>
      <c r="C334" s="3">
        <v>45715.452476851853</v>
      </c>
      <c r="D334" t="s">
        <v>107</v>
      </c>
      <c r="E334" s="4">
        <v>1.449079029917717</v>
      </c>
      <c r="F334" s="4">
        <v>351135.18084169959</v>
      </c>
      <c r="G334" s="4">
        <v>351136.62992072949</v>
      </c>
      <c r="H334" s="5">
        <f t="shared" si="2"/>
        <v>0</v>
      </c>
      <c r="I334" t="s">
        <v>223</v>
      </c>
      <c r="J334" t="s">
        <v>30</v>
      </c>
      <c r="K334" s="5">
        <f>285 / 86400</f>
        <v>3.2986111111111111E-3</v>
      </c>
      <c r="L334" s="5">
        <f>40 / 86400</f>
        <v>4.6296296296296298E-4</v>
      </c>
    </row>
    <row r="335" spans="1:12" x14ac:dyDescent="0.25">
      <c r="A335" s="3">
        <v>45715.452939814815</v>
      </c>
      <c r="B335" t="s">
        <v>20</v>
      </c>
      <c r="C335" s="3">
        <v>45715.454537037032</v>
      </c>
      <c r="D335" t="s">
        <v>20</v>
      </c>
      <c r="E335" s="4">
        <v>0.97495984852313999</v>
      </c>
      <c r="F335" s="4">
        <v>351136.72622364922</v>
      </c>
      <c r="G335" s="4">
        <v>351137.70118349773</v>
      </c>
      <c r="H335" s="5">
        <f t="shared" si="2"/>
        <v>0</v>
      </c>
      <c r="I335" t="s">
        <v>129</v>
      </c>
      <c r="J335" t="s">
        <v>176</v>
      </c>
      <c r="K335" s="5">
        <f>138 / 86400</f>
        <v>1.5972222222222223E-3</v>
      </c>
      <c r="L335" s="5">
        <f>20 / 86400</f>
        <v>2.3148148148148149E-4</v>
      </c>
    </row>
    <row r="336" spans="1:12" x14ac:dyDescent="0.25">
      <c r="A336" s="3">
        <v>45715.454768518517</v>
      </c>
      <c r="B336" t="s">
        <v>321</v>
      </c>
      <c r="C336" s="3">
        <v>45715.455694444448</v>
      </c>
      <c r="D336" t="s">
        <v>322</v>
      </c>
      <c r="E336" s="4">
        <v>0.48728625530004499</v>
      </c>
      <c r="F336" s="4">
        <v>351137.72303760011</v>
      </c>
      <c r="G336" s="4">
        <v>351138.2103238554</v>
      </c>
      <c r="H336" s="5">
        <f t="shared" si="2"/>
        <v>0</v>
      </c>
      <c r="I336" t="s">
        <v>173</v>
      </c>
      <c r="J336" t="s">
        <v>34</v>
      </c>
      <c r="K336" s="5">
        <f>80 / 86400</f>
        <v>9.2592592592592596E-4</v>
      </c>
      <c r="L336" s="5">
        <f>20 / 86400</f>
        <v>2.3148148148148149E-4</v>
      </c>
    </row>
    <row r="337" spans="1:12" x14ac:dyDescent="0.25">
      <c r="A337" s="3">
        <v>45715.455925925926</v>
      </c>
      <c r="B337" t="s">
        <v>322</v>
      </c>
      <c r="C337" s="3">
        <v>45715.45685185185</v>
      </c>
      <c r="D337" t="s">
        <v>323</v>
      </c>
      <c r="E337" s="4">
        <v>0.53052125948667528</v>
      </c>
      <c r="F337" s="4">
        <v>351138.30012619332</v>
      </c>
      <c r="G337" s="4">
        <v>351138.83064745285</v>
      </c>
      <c r="H337" s="5">
        <f t="shared" si="2"/>
        <v>0</v>
      </c>
      <c r="I337" t="s">
        <v>179</v>
      </c>
      <c r="J337" t="s">
        <v>153</v>
      </c>
      <c r="K337" s="5">
        <f>80 / 86400</f>
        <v>9.2592592592592596E-4</v>
      </c>
      <c r="L337" s="5">
        <f>20 / 86400</f>
        <v>2.3148148148148149E-4</v>
      </c>
    </row>
    <row r="338" spans="1:12" x14ac:dyDescent="0.25">
      <c r="A338" s="3">
        <v>45715.457083333335</v>
      </c>
      <c r="B338" t="s">
        <v>323</v>
      </c>
      <c r="C338" s="3">
        <v>45715.45893518519</v>
      </c>
      <c r="D338" t="s">
        <v>158</v>
      </c>
      <c r="E338" s="4">
        <v>0.77676302969455724</v>
      </c>
      <c r="F338" s="4">
        <v>351138.85583293915</v>
      </c>
      <c r="G338" s="4">
        <v>351139.63259596884</v>
      </c>
      <c r="H338" s="5">
        <f t="shared" si="2"/>
        <v>0</v>
      </c>
      <c r="I338" t="s">
        <v>153</v>
      </c>
      <c r="J338" t="s">
        <v>19</v>
      </c>
      <c r="K338" s="5">
        <f>160 / 86400</f>
        <v>1.8518518518518519E-3</v>
      </c>
      <c r="L338" s="5">
        <f>20 / 86400</f>
        <v>2.3148148148148149E-4</v>
      </c>
    </row>
    <row r="339" spans="1:12" x14ac:dyDescent="0.25">
      <c r="A339" s="3">
        <v>45715.459166666667</v>
      </c>
      <c r="B339" t="s">
        <v>324</v>
      </c>
      <c r="C339" s="3">
        <v>45715.459988425922</v>
      </c>
      <c r="D339" t="s">
        <v>46</v>
      </c>
      <c r="E339" s="4">
        <v>0.28953228330612185</v>
      </c>
      <c r="F339" s="4">
        <v>351139.78133915947</v>
      </c>
      <c r="G339" s="4">
        <v>351140.07087144279</v>
      </c>
      <c r="H339" s="5">
        <f t="shared" si="2"/>
        <v>0</v>
      </c>
      <c r="I339" t="s">
        <v>169</v>
      </c>
      <c r="J339" t="s">
        <v>39</v>
      </c>
      <c r="K339" s="5">
        <f>71 / 86400</f>
        <v>8.2175925925925927E-4</v>
      </c>
      <c r="L339" s="5">
        <f>3306 / 86400</f>
        <v>3.8263888888888889E-2</v>
      </c>
    </row>
    <row r="340" spans="1:12" x14ac:dyDescent="0.25">
      <c r="A340" s="3">
        <v>45715.498252314814</v>
      </c>
      <c r="B340" t="s">
        <v>46</v>
      </c>
      <c r="C340" s="3">
        <v>45715.499756944446</v>
      </c>
      <c r="D340" t="s">
        <v>83</v>
      </c>
      <c r="E340" s="4">
        <v>0.3426472994685173</v>
      </c>
      <c r="F340" s="4">
        <v>351140.09054281865</v>
      </c>
      <c r="G340" s="4">
        <v>351140.43319011811</v>
      </c>
      <c r="H340" s="5">
        <f t="shared" si="2"/>
        <v>0</v>
      </c>
      <c r="I340" t="s">
        <v>39</v>
      </c>
      <c r="J340" t="s">
        <v>135</v>
      </c>
      <c r="K340" s="5">
        <f>130 / 86400</f>
        <v>1.5046296296296296E-3</v>
      </c>
      <c r="L340" s="5">
        <f>6 / 86400</f>
        <v>6.9444444444444444E-5</v>
      </c>
    </row>
    <row r="341" spans="1:12" x14ac:dyDescent="0.25">
      <c r="A341" s="3">
        <v>45715.499826388885</v>
      </c>
      <c r="B341" t="s">
        <v>83</v>
      </c>
      <c r="C341" s="3">
        <v>45715.499942129631</v>
      </c>
      <c r="D341" t="s">
        <v>83</v>
      </c>
      <c r="E341" s="4">
        <v>1.3401688754558563E-2</v>
      </c>
      <c r="F341" s="4">
        <v>351140.43737313367</v>
      </c>
      <c r="G341" s="4">
        <v>351140.45077482244</v>
      </c>
      <c r="H341" s="5">
        <f t="shared" si="2"/>
        <v>0</v>
      </c>
      <c r="I341" t="s">
        <v>99</v>
      </c>
      <c r="J341" t="s">
        <v>99</v>
      </c>
      <c r="K341" s="5">
        <f>10 / 86400</f>
        <v>1.1574074074074075E-4</v>
      </c>
      <c r="L341" s="5">
        <f>151 / 86400</f>
        <v>1.7476851851851852E-3</v>
      </c>
    </row>
    <row r="342" spans="1:12" x14ac:dyDescent="0.25">
      <c r="A342" s="3">
        <v>45715.501689814817</v>
      </c>
      <c r="B342" t="s">
        <v>83</v>
      </c>
      <c r="C342" s="3">
        <v>45715.503831018519</v>
      </c>
      <c r="D342" t="s">
        <v>325</v>
      </c>
      <c r="E342" s="4">
        <v>0.73210436087846753</v>
      </c>
      <c r="F342" s="4">
        <v>351140.45162203861</v>
      </c>
      <c r="G342" s="4">
        <v>351141.1837263995</v>
      </c>
      <c r="H342" s="5">
        <f t="shared" si="2"/>
        <v>0</v>
      </c>
      <c r="I342" t="s">
        <v>131</v>
      </c>
      <c r="J342" t="s">
        <v>41</v>
      </c>
      <c r="K342" s="5">
        <f>185 / 86400</f>
        <v>2.1412037037037038E-3</v>
      </c>
      <c r="L342" s="5">
        <f>3 / 86400</f>
        <v>3.4722222222222222E-5</v>
      </c>
    </row>
    <row r="343" spans="1:12" x14ac:dyDescent="0.25">
      <c r="A343" s="3">
        <v>45715.503865740742</v>
      </c>
      <c r="B343" t="s">
        <v>325</v>
      </c>
      <c r="C343" s="3">
        <v>45715.505173611113</v>
      </c>
      <c r="D343" t="s">
        <v>122</v>
      </c>
      <c r="E343" s="4">
        <v>0.45893679755926131</v>
      </c>
      <c r="F343" s="4">
        <v>351141.18595548387</v>
      </c>
      <c r="G343" s="4">
        <v>351141.64489228139</v>
      </c>
      <c r="H343" s="5">
        <f t="shared" si="2"/>
        <v>0</v>
      </c>
      <c r="I343" t="s">
        <v>163</v>
      </c>
      <c r="J343" t="s">
        <v>39</v>
      </c>
      <c r="K343" s="5">
        <f>113 / 86400</f>
        <v>1.3078703703703703E-3</v>
      </c>
      <c r="L343" s="5">
        <f>1120 / 86400</f>
        <v>1.2962962962962963E-2</v>
      </c>
    </row>
    <row r="344" spans="1:12" x14ac:dyDescent="0.25">
      <c r="A344" s="3">
        <v>45715.518136574072</v>
      </c>
      <c r="B344" t="s">
        <v>122</v>
      </c>
      <c r="C344" s="3">
        <v>45715.519861111112</v>
      </c>
      <c r="D344" t="s">
        <v>150</v>
      </c>
      <c r="E344" s="4">
        <v>0.75604083859920501</v>
      </c>
      <c r="F344" s="4">
        <v>351141.6610798742</v>
      </c>
      <c r="G344" s="4">
        <v>351142.41712071281</v>
      </c>
      <c r="H344" s="5">
        <f t="shared" si="2"/>
        <v>0</v>
      </c>
      <c r="I344" t="s">
        <v>131</v>
      </c>
      <c r="J344" t="s">
        <v>30</v>
      </c>
      <c r="K344" s="5">
        <f>149 / 86400</f>
        <v>1.724537037037037E-3</v>
      </c>
      <c r="L344" s="5">
        <f>11 / 86400</f>
        <v>1.273148148148148E-4</v>
      </c>
    </row>
    <row r="345" spans="1:12" x14ac:dyDescent="0.25">
      <c r="A345" s="3">
        <v>45715.519988425927</v>
      </c>
      <c r="B345" t="s">
        <v>150</v>
      </c>
      <c r="C345" s="3">
        <v>45715.526828703703</v>
      </c>
      <c r="D345" t="s">
        <v>326</v>
      </c>
      <c r="E345" s="4">
        <v>3.9149195601344107</v>
      </c>
      <c r="F345" s="4">
        <v>351142.43015885242</v>
      </c>
      <c r="G345" s="4">
        <v>351146.34507841256</v>
      </c>
      <c r="H345" s="5">
        <f t="shared" si="2"/>
        <v>0</v>
      </c>
      <c r="I345" t="s">
        <v>196</v>
      </c>
      <c r="J345" t="s">
        <v>153</v>
      </c>
      <c r="K345" s="5">
        <f>591 / 86400</f>
        <v>6.8402777777777776E-3</v>
      </c>
      <c r="L345" s="5">
        <f>35 / 86400</f>
        <v>4.0509259259259258E-4</v>
      </c>
    </row>
    <row r="346" spans="1:12" x14ac:dyDescent="0.25">
      <c r="A346" s="3">
        <v>45715.527233796296</v>
      </c>
      <c r="B346" t="s">
        <v>326</v>
      </c>
      <c r="C346" s="3">
        <v>45715.529953703706</v>
      </c>
      <c r="D346" t="s">
        <v>327</v>
      </c>
      <c r="E346" s="4">
        <v>1.0290952615141868</v>
      </c>
      <c r="F346" s="4">
        <v>351146.38947072608</v>
      </c>
      <c r="G346" s="4">
        <v>351147.41856598761</v>
      </c>
      <c r="H346" s="5">
        <f t="shared" si="2"/>
        <v>0</v>
      </c>
      <c r="I346" t="s">
        <v>205</v>
      </c>
      <c r="J346" t="s">
        <v>26</v>
      </c>
      <c r="K346" s="5">
        <f>235 / 86400</f>
        <v>2.7199074074074074E-3</v>
      </c>
      <c r="L346" s="5">
        <f>20 / 86400</f>
        <v>2.3148148148148149E-4</v>
      </c>
    </row>
    <row r="347" spans="1:12" x14ac:dyDescent="0.25">
      <c r="A347" s="3">
        <v>45715.530185185184</v>
      </c>
      <c r="B347" t="s">
        <v>327</v>
      </c>
      <c r="C347" s="3">
        <v>45715.531111111108</v>
      </c>
      <c r="D347" t="s">
        <v>328</v>
      </c>
      <c r="E347" s="4">
        <v>0.62692510926723477</v>
      </c>
      <c r="F347" s="4">
        <v>351147.52365029632</v>
      </c>
      <c r="G347" s="4">
        <v>351148.15057540557</v>
      </c>
      <c r="H347" s="5">
        <f t="shared" si="2"/>
        <v>0</v>
      </c>
      <c r="I347" t="s">
        <v>198</v>
      </c>
      <c r="J347" t="s">
        <v>219</v>
      </c>
      <c r="K347" s="5">
        <f>80 / 86400</f>
        <v>9.2592592592592596E-4</v>
      </c>
      <c r="L347" s="5">
        <f>20 / 86400</f>
        <v>2.3148148148148149E-4</v>
      </c>
    </row>
    <row r="348" spans="1:12" x14ac:dyDescent="0.25">
      <c r="A348" s="3">
        <v>45715.531342592592</v>
      </c>
      <c r="B348" t="s">
        <v>329</v>
      </c>
      <c r="C348" s="3">
        <v>45715.535462962958</v>
      </c>
      <c r="D348" t="s">
        <v>316</v>
      </c>
      <c r="E348" s="4">
        <v>4.2601240111589433</v>
      </c>
      <c r="F348" s="4">
        <v>351148.29268015944</v>
      </c>
      <c r="G348" s="4">
        <v>351152.55280417058</v>
      </c>
      <c r="H348" s="5">
        <f t="shared" si="2"/>
        <v>0</v>
      </c>
      <c r="I348" t="s">
        <v>33</v>
      </c>
      <c r="J348" t="s">
        <v>207</v>
      </c>
      <c r="K348" s="5">
        <f>356 / 86400</f>
        <v>4.1203703703703706E-3</v>
      </c>
      <c r="L348" s="5">
        <f>16 / 86400</f>
        <v>1.8518518518518518E-4</v>
      </c>
    </row>
    <row r="349" spans="1:12" x14ac:dyDescent="0.25">
      <c r="A349" s="3">
        <v>45715.535648148143</v>
      </c>
      <c r="B349" t="s">
        <v>316</v>
      </c>
      <c r="C349" s="3">
        <v>45715.539942129632</v>
      </c>
      <c r="D349" t="s">
        <v>210</v>
      </c>
      <c r="E349" s="4">
        <v>4.2999576061964033</v>
      </c>
      <c r="F349" s="4">
        <v>351152.55681732547</v>
      </c>
      <c r="G349" s="4">
        <v>351156.85677493166</v>
      </c>
      <c r="H349" s="5">
        <f t="shared" si="2"/>
        <v>0</v>
      </c>
      <c r="I349" t="s">
        <v>73</v>
      </c>
      <c r="J349" t="s">
        <v>129</v>
      </c>
      <c r="K349" s="5">
        <f>371 / 86400</f>
        <v>4.2939814814814811E-3</v>
      </c>
      <c r="L349" s="5">
        <f>20 / 86400</f>
        <v>2.3148148148148149E-4</v>
      </c>
    </row>
    <row r="350" spans="1:12" x14ac:dyDescent="0.25">
      <c r="A350" s="3">
        <v>45715.540173611109</v>
      </c>
      <c r="B350" t="s">
        <v>330</v>
      </c>
      <c r="C350" s="3">
        <v>45715.540868055556</v>
      </c>
      <c r="D350" t="s">
        <v>32</v>
      </c>
      <c r="E350" s="4">
        <v>0.57890700656175609</v>
      </c>
      <c r="F350" s="4">
        <v>351156.90270790929</v>
      </c>
      <c r="G350" s="4">
        <v>351157.48161491583</v>
      </c>
      <c r="H350" s="5">
        <f t="shared" si="2"/>
        <v>0</v>
      </c>
      <c r="I350" t="s">
        <v>238</v>
      </c>
      <c r="J350" t="s">
        <v>221</v>
      </c>
      <c r="K350" s="5">
        <f>60 / 86400</f>
        <v>6.9444444444444447E-4</v>
      </c>
      <c r="L350" s="5">
        <f>20 / 86400</f>
        <v>2.3148148148148149E-4</v>
      </c>
    </row>
    <row r="351" spans="1:12" x14ac:dyDescent="0.25">
      <c r="A351" s="3">
        <v>45715.541099537033</v>
      </c>
      <c r="B351" t="s">
        <v>208</v>
      </c>
      <c r="C351" s="3">
        <v>45715.541562500002</v>
      </c>
      <c r="D351" t="s">
        <v>35</v>
      </c>
      <c r="E351" s="4">
        <v>0.55054894369840623</v>
      </c>
      <c r="F351" s="4">
        <v>351157.59534453956</v>
      </c>
      <c r="G351" s="4">
        <v>351158.14589348331</v>
      </c>
      <c r="H351" s="5">
        <f t="shared" si="2"/>
        <v>0</v>
      </c>
      <c r="I351" t="s">
        <v>56</v>
      </c>
      <c r="J351" t="s">
        <v>172</v>
      </c>
      <c r="K351" s="5">
        <f>40 / 86400</f>
        <v>4.6296296296296298E-4</v>
      </c>
      <c r="L351" s="5">
        <f>20 / 86400</f>
        <v>2.3148148148148149E-4</v>
      </c>
    </row>
    <row r="352" spans="1:12" x14ac:dyDescent="0.25">
      <c r="A352" s="3">
        <v>45715.54179398148</v>
      </c>
      <c r="B352" t="s">
        <v>331</v>
      </c>
      <c r="C352" s="3">
        <v>45715.54387731482</v>
      </c>
      <c r="D352" t="s">
        <v>93</v>
      </c>
      <c r="E352" s="4">
        <v>2.2831691594719885</v>
      </c>
      <c r="F352" s="4">
        <v>351158.18035728752</v>
      </c>
      <c r="G352" s="4">
        <v>351160.46352644701</v>
      </c>
      <c r="H352" s="5">
        <f t="shared" si="2"/>
        <v>0</v>
      </c>
      <c r="I352" t="s">
        <v>58</v>
      </c>
      <c r="J352" t="s">
        <v>268</v>
      </c>
      <c r="K352" s="5">
        <f>180 / 86400</f>
        <v>2.0833333333333333E-3</v>
      </c>
      <c r="L352" s="5">
        <f>7 / 86400</f>
        <v>8.1018518518518516E-5</v>
      </c>
    </row>
    <row r="353" spans="1:12" x14ac:dyDescent="0.25">
      <c r="A353" s="3">
        <v>45715.543958333335</v>
      </c>
      <c r="B353" t="s">
        <v>93</v>
      </c>
      <c r="C353" s="3">
        <v>45715.545347222222</v>
      </c>
      <c r="D353" t="s">
        <v>93</v>
      </c>
      <c r="E353" s="4">
        <v>1.3733494869470597</v>
      </c>
      <c r="F353" s="4">
        <v>351160.46542747412</v>
      </c>
      <c r="G353" s="4">
        <v>351161.83877696109</v>
      </c>
      <c r="H353" s="5">
        <f t="shared" si="2"/>
        <v>0</v>
      </c>
      <c r="I353" t="s">
        <v>75</v>
      </c>
      <c r="J353" t="s">
        <v>223</v>
      </c>
      <c r="K353" s="5">
        <f>120 / 86400</f>
        <v>1.3888888888888889E-3</v>
      </c>
      <c r="L353" s="5">
        <f>20 / 86400</f>
        <v>2.3148148148148149E-4</v>
      </c>
    </row>
    <row r="354" spans="1:12" x14ac:dyDescent="0.25">
      <c r="A354" s="3">
        <v>45715.545578703706</v>
      </c>
      <c r="B354" t="s">
        <v>93</v>
      </c>
      <c r="C354" s="3">
        <v>45715.54650462963</v>
      </c>
      <c r="D354" t="s">
        <v>35</v>
      </c>
      <c r="E354" s="4">
        <v>3.3877751290798189E-2</v>
      </c>
      <c r="F354" s="4">
        <v>351161.89372110134</v>
      </c>
      <c r="G354" s="4">
        <v>351161.92759885261</v>
      </c>
      <c r="H354" s="5">
        <f t="shared" si="2"/>
        <v>0</v>
      </c>
      <c r="I354" t="s">
        <v>155</v>
      </c>
      <c r="J354" t="s">
        <v>29</v>
      </c>
      <c r="K354" s="5">
        <f>80 / 86400</f>
        <v>9.2592592592592596E-4</v>
      </c>
      <c r="L354" s="5">
        <f>12 / 86400</f>
        <v>1.3888888888888889E-4</v>
      </c>
    </row>
    <row r="355" spans="1:12" x14ac:dyDescent="0.25">
      <c r="A355" s="3">
        <v>45715.546643518523</v>
      </c>
      <c r="B355" t="s">
        <v>35</v>
      </c>
      <c r="C355" s="3">
        <v>45715.547106481477</v>
      </c>
      <c r="D355" t="s">
        <v>160</v>
      </c>
      <c r="E355" s="4">
        <v>0.10530533623695373</v>
      </c>
      <c r="F355" s="4">
        <v>351161.93305600295</v>
      </c>
      <c r="G355" s="4">
        <v>351162.03836133919</v>
      </c>
      <c r="H355" s="5">
        <f t="shared" si="2"/>
        <v>0</v>
      </c>
      <c r="I355" t="s">
        <v>143</v>
      </c>
      <c r="J355" t="s">
        <v>135</v>
      </c>
      <c r="K355" s="5">
        <f>40 / 86400</f>
        <v>4.6296296296296298E-4</v>
      </c>
      <c r="L355" s="5">
        <f>40 / 86400</f>
        <v>4.6296296296296298E-4</v>
      </c>
    </row>
    <row r="356" spans="1:12" x14ac:dyDescent="0.25">
      <c r="A356" s="3">
        <v>45715.547569444447</v>
      </c>
      <c r="B356" t="s">
        <v>160</v>
      </c>
      <c r="C356" s="3">
        <v>45715.547800925924</v>
      </c>
      <c r="D356" t="s">
        <v>160</v>
      </c>
      <c r="E356" s="4">
        <v>2.3308789134025574E-3</v>
      </c>
      <c r="F356" s="4">
        <v>351162.04796234594</v>
      </c>
      <c r="G356" s="4">
        <v>351162.05029322486</v>
      </c>
      <c r="H356" s="5">
        <f t="shared" si="2"/>
        <v>0</v>
      </c>
      <c r="I356" t="s">
        <v>99</v>
      </c>
      <c r="J356" t="s">
        <v>21</v>
      </c>
      <c r="K356" s="5">
        <f>20 / 86400</f>
        <v>2.3148148148148149E-4</v>
      </c>
      <c r="L356" s="5">
        <f>20 / 86400</f>
        <v>2.3148148148148149E-4</v>
      </c>
    </row>
    <row r="357" spans="1:12" x14ac:dyDescent="0.25">
      <c r="A357" s="3">
        <v>45715.548032407409</v>
      </c>
      <c r="B357" t="s">
        <v>160</v>
      </c>
      <c r="C357" s="3">
        <v>45715.548495370371</v>
      </c>
      <c r="D357" t="s">
        <v>206</v>
      </c>
      <c r="E357" s="4">
        <v>4.032104128599167E-2</v>
      </c>
      <c r="F357" s="4">
        <v>351162.05610886001</v>
      </c>
      <c r="G357" s="4">
        <v>351162.09642990131</v>
      </c>
      <c r="H357" s="5">
        <f t="shared" si="2"/>
        <v>0</v>
      </c>
      <c r="I357" t="s">
        <v>123</v>
      </c>
      <c r="J357" t="s">
        <v>132</v>
      </c>
      <c r="K357" s="5">
        <f>40 / 86400</f>
        <v>4.6296296296296298E-4</v>
      </c>
      <c r="L357" s="5">
        <f>80 / 86400</f>
        <v>9.2592592592592596E-4</v>
      </c>
    </row>
    <row r="358" spans="1:12" x14ac:dyDescent="0.25">
      <c r="A358" s="3">
        <v>45715.549421296295</v>
      </c>
      <c r="B358" t="s">
        <v>206</v>
      </c>
      <c r="C358" s="3">
        <v>45715.551041666666</v>
      </c>
      <c r="D358" t="s">
        <v>160</v>
      </c>
      <c r="E358" s="4">
        <v>1.0944143400192261</v>
      </c>
      <c r="F358" s="4">
        <v>351162.1158981456</v>
      </c>
      <c r="G358" s="4">
        <v>351163.21031248564</v>
      </c>
      <c r="H358" s="5">
        <f t="shared" si="2"/>
        <v>0</v>
      </c>
      <c r="I358" t="s">
        <v>146</v>
      </c>
      <c r="J358" t="s">
        <v>219</v>
      </c>
      <c r="K358" s="5">
        <f>140 / 86400</f>
        <v>1.6203703703703703E-3</v>
      </c>
      <c r="L358" s="5">
        <f>20 / 86400</f>
        <v>2.3148148148148149E-4</v>
      </c>
    </row>
    <row r="359" spans="1:12" x14ac:dyDescent="0.25">
      <c r="A359" s="3">
        <v>45715.551273148143</v>
      </c>
      <c r="B359" t="s">
        <v>160</v>
      </c>
      <c r="C359" s="3">
        <v>45715.553124999999</v>
      </c>
      <c r="D359" t="s">
        <v>203</v>
      </c>
      <c r="E359" s="4">
        <v>2.1466954691410063</v>
      </c>
      <c r="F359" s="4">
        <v>351163.24411508208</v>
      </c>
      <c r="G359" s="4">
        <v>351165.39081055124</v>
      </c>
      <c r="H359" s="5">
        <f t="shared" si="2"/>
        <v>0</v>
      </c>
      <c r="I359" t="s">
        <v>149</v>
      </c>
      <c r="J359" t="s">
        <v>245</v>
      </c>
      <c r="K359" s="5">
        <f>160 / 86400</f>
        <v>1.8518518518518519E-3</v>
      </c>
      <c r="L359" s="5">
        <f>40 / 86400</f>
        <v>4.6296296296296298E-4</v>
      </c>
    </row>
    <row r="360" spans="1:12" x14ac:dyDescent="0.25">
      <c r="A360" s="3">
        <v>45715.553587962961</v>
      </c>
      <c r="B360" t="s">
        <v>203</v>
      </c>
      <c r="C360" s="3">
        <v>45715.553819444445</v>
      </c>
      <c r="D360" t="s">
        <v>203</v>
      </c>
      <c r="E360" s="4">
        <v>1.141335642337799E-2</v>
      </c>
      <c r="F360" s="4">
        <v>351165.39360247098</v>
      </c>
      <c r="G360" s="4">
        <v>351165.40501582739</v>
      </c>
      <c r="H360" s="5">
        <f t="shared" si="2"/>
        <v>0</v>
      </c>
      <c r="I360" t="s">
        <v>67</v>
      </c>
      <c r="J360" t="s">
        <v>29</v>
      </c>
      <c r="K360" s="5">
        <f>20 / 86400</f>
        <v>2.3148148148148149E-4</v>
      </c>
      <c r="L360" s="5">
        <f>20 / 86400</f>
        <v>2.3148148148148149E-4</v>
      </c>
    </row>
    <row r="361" spans="1:12" x14ac:dyDescent="0.25">
      <c r="A361" s="3">
        <v>45715.55405092593</v>
      </c>
      <c r="B361" t="s">
        <v>203</v>
      </c>
      <c r="C361" s="3">
        <v>45715.554282407407</v>
      </c>
      <c r="D361" t="s">
        <v>203</v>
      </c>
      <c r="E361" s="4">
        <v>1.4285389184951782E-3</v>
      </c>
      <c r="F361" s="4">
        <v>351165.41873191489</v>
      </c>
      <c r="G361" s="4">
        <v>351165.42016045382</v>
      </c>
      <c r="H361" s="5">
        <f t="shared" si="2"/>
        <v>0</v>
      </c>
      <c r="I361" t="s">
        <v>132</v>
      </c>
      <c r="J361" t="s">
        <v>21</v>
      </c>
      <c r="K361" s="5">
        <f>20 / 86400</f>
        <v>2.3148148148148149E-4</v>
      </c>
      <c r="L361" s="5">
        <f>40 / 86400</f>
        <v>4.6296296296296298E-4</v>
      </c>
    </row>
    <row r="362" spans="1:12" x14ac:dyDescent="0.25">
      <c r="A362" s="3">
        <v>45715.554745370369</v>
      </c>
      <c r="B362" t="s">
        <v>203</v>
      </c>
      <c r="C362" s="3">
        <v>45715.556168981479</v>
      </c>
      <c r="D362" t="s">
        <v>203</v>
      </c>
      <c r="E362" s="4">
        <v>0.9481175181865692</v>
      </c>
      <c r="F362" s="4">
        <v>351165.42426732281</v>
      </c>
      <c r="G362" s="4">
        <v>351166.37238484103</v>
      </c>
      <c r="H362" s="5">
        <f t="shared" si="2"/>
        <v>0</v>
      </c>
      <c r="I362" t="s">
        <v>65</v>
      </c>
      <c r="J362" t="s">
        <v>219</v>
      </c>
      <c r="K362" s="5">
        <f>123 / 86400</f>
        <v>1.4236111111111112E-3</v>
      </c>
      <c r="L362" s="5">
        <f>27 / 86400</f>
        <v>3.1250000000000001E-4</v>
      </c>
    </row>
    <row r="363" spans="1:12" x14ac:dyDescent="0.25">
      <c r="A363" s="3">
        <v>45715.556481481486</v>
      </c>
      <c r="B363" t="s">
        <v>203</v>
      </c>
      <c r="C363" s="3">
        <v>45715.558796296296</v>
      </c>
      <c r="D363" t="s">
        <v>82</v>
      </c>
      <c r="E363" s="4">
        <v>1.9013475515246392</v>
      </c>
      <c r="F363" s="4">
        <v>351166.37951251114</v>
      </c>
      <c r="G363" s="4">
        <v>351168.28086006263</v>
      </c>
      <c r="H363" s="5">
        <f t="shared" si="2"/>
        <v>0</v>
      </c>
      <c r="I363" t="s">
        <v>92</v>
      </c>
      <c r="J363" t="s">
        <v>154</v>
      </c>
      <c r="K363" s="5">
        <f>200 / 86400</f>
        <v>2.3148148148148147E-3</v>
      </c>
      <c r="L363" s="5">
        <f>20 / 86400</f>
        <v>2.3148148148148149E-4</v>
      </c>
    </row>
    <row r="364" spans="1:12" x14ac:dyDescent="0.25">
      <c r="A364" s="3">
        <v>45715.559027777781</v>
      </c>
      <c r="B364" t="s">
        <v>82</v>
      </c>
      <c r="C364" s="3">
        <v>45715.560185185182</v>
      </c>
      <c r="D364" t="s">
        <v>82</v>
      </c>
      <c r="E364" s="4">
        <v>1.0427675113081931</v>
      </c>
      <c r="F364" s="4">
        <v>351168.46375191602</v>
      </c>
      <c r="G364" s="4">
        <v>351169.50651942729</v>
      </c>
      <c r="H364" s="5">
        <f t="shared" si="2"/>
        <v>0</v>
      </c>
      <c r="I364" t="s">
        <v>315</v>
      </c>
      <c r="J364" t="s">
        <v>214</v>
      </c>
      <c r="K364" s="5">
        <f>100 / 86400</f>
        <v>1.1574074074074073E-3</v>
      </c>
      <c r="L364" s="5">
        <f>20 / 86400</f>
        <v>2.3148148148148149E-4</v>
      </c>
    </row>
    <row r="365" spans="1:12" x14ac:dyDescent="0.25">
      <c r="A365" s="3">
        <v>45715.560416666667</v>
      </c>
      <c r="B365" t="s">
        <v>82</v>
      </c>
      <c r="C365" s="3">
        <v>45715.561574074076</v>
      </c>
      <c r="D365" t="s">
        <v>225</v>
      </c>
      <c r="E365" s="4">
        <v>0.34012832939624787</v>
      </c>
      <c r="F365" s="4">
        <v>351169.64091713872</v>
      </c>
      <c r="G365" s="4">
        <v>351169.98104546807</v>
      </c>
      <c r="H365" s="5">
        <f t="shared" si="2"/>
        <v>0</v>
      </c>
      <c r="I365" t="s">
        <v>226</v>
      </c>
      <c r="J365" t="s">
        <v>85</v>
      </c>
      <c r="K365" s="5">
        <f>100 / 86400</f>
        <v>1.1574074074074073E-3</v>
      </c>
      <c r="L365" s="5">
        <f>60 / 86400</f>
        <v>6.9444444444444447E-4</v>
      </c>
    </row>
    <row r="366" spans="1:12" x14ac:dyDescent="0.25">
      <c r="A366" s="3">
        <v>45715.562268518523</v>
      </c>
      <c r="B366" t="s">
        <v>82</v>
      </c>
      <c r="C366" s="3">
        <v>45715.563657407409</v>
      </c>
      <c r="D366" t="s">
        <v>84</v>
      </c>
      <c r="E366" s="4">
        <v>1.7987807111144065</v>
      </c>
      <c r="F366" s="4">
        <v>351170.01901119878</v>
      </c>
      <c r="G366" s="4">
        <v>351171.81779190985</v>
      </c>
      <c r="H366" s="5">
        <f t="shared" si="2"/>
        <v>0</v>
      </c>
      <c r="I366" t="s">
        <v>73</v>
      </c>
      <c r="J366" t="s">
        <v>144</v>
      </c>
      <c r="K366" s="5">
        <f>120 / 86400</f>
        <v>1.3888888888888889E-3</v>
      </c>
      <c r="L366" s="5">
        <f>11 / 86400</f>
        <v>1.273148148148148E-4</v>
      </c>
    </row>
    <row r="367" spans="1:12" x14ac:dyDescent="0.25">
      <c r="A367" s="3">
        <v>45715.563784722224</v>
      </c>
      <c r="B367" t="s">
        <v>84</v>
      </c>
      <c r="C367" s="3">
        <v>45715.564479166671</v>
      </c>
      <c r="D367" t="s">
        <v>84</v>
      </c>
      <c r="E367" s="4">
        <v>0.70493005186319346</v>
      </c>
      <c r="F367" s="4">
        <v>351171.81902486744</v>
      </c>
      <c r="G367" s="4">
        <v>351172.52395491931</v>
      </c>
      <c r="H367" s="5">
        <f t="shared" si="2"/>
        <v>0</v>
      </c>
      <c r="I367" t="s">
        <v>146</v>
      </c>
      <c r="J367" t="s">
        <v>129</v>
      </c>
      <c r="K367" s="5">
        <f>60 / 86400</f>
        <v>6.9444444444444447E-4</v>
      </c>
      <c r="L367" s="5">
        <f>40 / 86400</f>
        <v>4.6296296296296298E-4</v>
      </c>
    </row>
    <row r="368" spans="1:12" x14ac:dyDescent="0.25">
      <c r="A368" s="3">
        <v>45715.564942129626</v>
      </c>
      <c r="B368" t="s">
        <v>84</v>
      </c>
      <c r="C368" s="3">
        <v>45715.565405092595</v>
      </c>
      <c r="D368" t="s">
        <v>84</v>
      </c>
      <c r="E368" s="4">
        <v>0.15659693652391435</v>
      </c>
      <c r="F368" s="4">
        <v>351172.70083851711</v>
      </c>
      <c r="G368" s="4">
        <v>351172.85743545362</v>
      </c>
      <c r="H368" s="5">
        <f t="shared" si="2"/>
        <v>0</v>
      </c>
      <c r="I368" t="s">
        <v>207</v>
      </c>
      <c r="J368" t="s">
        <v>41</v>
      </c>
      <c r="K368" s="5">
        <f>40 / 86400</f>
        <v>4.6296296296296298E-4</v>
      </c>
      <c r="L368" s="5">
        <f>20 / 86400</f>
        <v>2.3148148148148149E-4</v>
      </c>
    </row>
    <row r="369" spans="1:12" x14ac:dyDescent="0.25">
      <c r="A369" s="3">
        <v>45715.565636574072</v>
      </c>
      <c r="B369" t="s">
        <v>84</v>
      </c>
      <c r="C369" s="3">
        <v>45715.566365740742</v>
      </c>
      <c r="D369" t="s">
        <v>84</v>
      </c>
      <c r="E369" s="4">
        <v>0.15090882056951524</v>
      </c>
      <c r="F369" s="4">
        <v>351172.86688358255</v>
      </c>
      <c r="G369" s="4">
        <v>351173.01779240312</v>
      </c>
      <c r="H369" s="5">
        <f t="shared" si="2"/>
        <v>0</v>
      </c>
      <c r="I369" t="s">
        <v>39</v>
      </c>
      <c r="J369" t="s">
        <v>135</v>
      </c>
      <c r="K369" s="5">
        <f>63 / 86400</f>
        <v>7.291666666666667E-4</v>
      </c>
      <c r="L369" s="5">
        <f>20 / 86400</f>
        <v>2.3148148148148149E-4</v>
      </c>
    </row>
    <row r="370" spans="1:12" x14ac:dyDescent="0.25">
      <c r="A370" s="3">
        <v>45715.56659722222</v>
      </c>
      <c r="B370" t="s">
        <v>84</v>
      </c>
      <c r="C370" s="3">
        <v>45715.567060185189</v>
      </c>
      <c r="D370" t="s">
        <v>84</v>
      </c>
      <c r="E370" s="4">
        <v>0.14741780120134354</v>
      </c>
      <c r="F370" s="4">
        <v>351173.02904590481</v>
      </c>
      <c r="G370" s="4">
        <v>351173.17646370601</v>
      </c>
      <c r="H370" s="5">
        <f t="shared" si="2"/>
        <v>0</v>
      </c>
      <c r="I370" t="s">
        <v>39</v>
      </c>
      <c r="J370" t="s">
        <v>55</v>
      </c>
      <c r="K370" s="5">
        <f>40 / 86400</f>
        <v>4.6296296296296298E-4</v>
      </c>
      <c r="L370" s="5">
        <f>40 / 86400</f>
        <v>4.6296296296296298E-4</v>
      </c>
    </row>
    <row r="371" spans="1:12" x14ac:dyDescent="0.25">
      <c r="A371" s="3">
        <v>45715.567523148144</v>
      </c>
      <c r="B371" t="s">
        <v>310</v>
      </c>
      <c r="C371" s="3">
        <v>45715.569374999999</v>
      </c>
      <c r="D371" t="s">
        <v>194</v>
      </c>
      <c r="E371" s="4">
        <v>0.77864606469869613</v>
      </c>
      <c r="F371" s="4">
        <v>351173.1884354733</v>
      </c>
      <c r="G371" s="4">
        <v>351173.96708153799</v>
      </c>
      <c r="H371" s="5">
        <f t="shared" si="2"/>
        <v>0</v>
      </c>
      <c r="I371" t="s">
        <v>202</v>
      </c>
      <c r="J371" t="s">
        <v>30</v>
      </c>
      <c r="K371" s="5">
        <f>160 / 86400</f>
        <v>1.8518518518518519E-3</v>
      </c>
      <c r="L371" s="5">
        <f>60 / 86400</f>
        <v>6.9444444444444447E-4</v>
      </c>
    </row>
    <row r="372" spans="1:12" x14ac:dyDescent="0.25">
      <c r="A372" s="3">
        <v>45715.570069444446</v>
      </c>
      <c r="B372" t="s">
        <v>332</v>
      </c>
      <c r="C372" s="3">
        <v>45715.571192129632</v>
      </c>
      <c r="D372" t="s">
        <v>233</v>
      </c>
      <c r="E372" s="4">
        <v>0.50225040858983994</v>
      </c>
      <c r="F372" s="4">
        <v>351174.01816682157</v>
      </c>
      <c r="G372" s="4">
        <v>351174.52041723015</v>
      </c>
      <c r="H372" s="5">
        <f t="shared" ref="H372:H435" si="3">0 / 86400</f>
        <v>0</v>
      </c>
      <c r="I372" t="s">
        <v>179</v>
      </c>
      <c r="J372" t="s">
        <v>62</v>
      </c>
      <c r="K372" s="5">
        <f>97 / 86400</f>
        <v>1.1226851851851851E-3</v>
      </c>
      <c r="L372" s="5">
        <f>2 / 86400</f>
        <v>2.3148148148148147E-5</v>
      </c>
    </row>
    <row r="373" spans="1:12" x14ac:dyDescent="0.25">
      <c r="A373" s="3">
        <v>45715.571215277778</v>
      </c>
      <c r="B373" t="s">
        <v>233</v>
      </c>
      <c r="C373" s="3">
        <v>45715.57167824074</v>
      </c>
      <c r="D373" t="s">
        <v>232</v>
      </c>
      <c r="E373" s="4">
        <v>2.9607193052768706E-2</v>
      </c>
      <c r="F373" s="4">
        <v>351174.5229648673</v>
      </c>
      <c r="G373" s="4">
        <v>351174.55257206032</v>
      </c>
      <c r="H373" s="5">
        <f t="shared" si="3"/>
        <v>0</v>
      </c>
      <c r="I373" t="s">
        <v>123</v>
      </c>
      <c r="J373" t="s">
        <v>136</v>
      </c>
      <c r="K373" s="5">
        <f>40 / 86400</f>
        <v>4.6296296296296298E-4</v>
      </c>
      <c r="L373" s="5">
        <f>20 / 86400</f>
        <v>2.3148148148148149E-4</v>
      </c>
    </row>
    <row r="374" spans="1:12" x14ac:dyDescent="0.25">
      <c r="A374" s="3">
        <v>45715.571909722217</v>
      </c>
      <c r="B374" t="s">
        <v>233</v>
      </c>
      <c r="C374" s="3">
        <v>45715.572604166664</v>
      </c>
      <c r="D374" t="s">
        <v>234</v>
      </c>
      <c r="E374" s="4">
        <v>0.38585804903507231</v>
      </c>
      <c r="F374" s="4">
        <v>351174.58077594545</v>
      </c>
      <c r="G374" s="4">
        <v>351174.96663399448</v>
      </c>
      <c r="H374" s="5">
        <f t="shared" si="3"/>
        <v>0</v>
      </c>
      <c r="I374" t="s">
        <v>213</v>
      </c>
      <c r="J374" t="s">
        <v>163</v>
      </c>
      <c r="K374" s="5">
        <f>60 / 86400</f>
        <v>6.9444444444444447E-4</v>
      </c>
      <c r="L374" s="5">
        <f>20 / 86400</f>
        <v>2.3148148148148149E-4</v>
      </c>
    </row>
    <row r="375" spans="1:12" x14ac:dyDescent="0.25">
      <c r="A375" s="3">
        <v>45715.572835648149</v>
      </c>
      <c r="B375" t="s">
        <v>233</v>
      </c>
      <c r="C375" s="3">
        <v>45715.573761574073</v>
      </c>
      <c r="D375" t="s">
        <v>233</v>
      </c>
      <c r="E375" s="4">
        <v>0.39426186352968218</v>
      </c>
      <c r="F375" s="4">
        <v>351175.43835975014</v>
      </c>
      <c r="G375" s="4">
        <v>351175.83262161369</v>
      </c>
      <c r="H375" s="5">
        <f t="shared" si="3"/>
        <v>0</v>
      </c>
      <c r="I375" t="s">
        <v>34</v>
      </c>
      <c r="J375" t="s">
        <v>30</v>
      </c>
      <c r="K375" s="5">
        <f>80 / 86400</f>
        <v>9.2592592592592596E-4</v>
      </c>
      <c r="L375" s="5">
        <f>60 / 86400</f>
        <v>6.9444444444444447E-4</v>
      </c>
    </row>
    <row r="376" spans="1:12" x14ac:dyDescent="0.25">
      <c r="A376" s="3">
        <v>45715.574456018519</v>
      </c>
      <c r="B376" t="s">
        <v>333</v>
      </c>
      <c r="C376" s="3">
        <v>45715.575844907406</v>
      </c>
      <c r="D376" t="s">
        <v>233</v>
      </c>
      <c r="E376" s="4">
        <v>0.79650567513704296</v>
      </c>
      <c r="F376" s="4">
        <v>351175.95490449719</v>
      </c>
      <c r="G376" s="4">
        <v>351176.75141017232</v>
      </c>
      <c r="H376" s="5">
        <f t="shared" si="3"/>
        <v>0</v>
      </c>
      <c r="I376" t="s">
        <v>221</v>
      </c>
      <c r="J376" t="s">
        <v>153</v>
      </c>
      <c r="K376" s="5">
        <f>120 / 86400</f>
        <v>1.3888888888888889E-3</v>
      </c>
      <c r="L376" s="5">
        <f>40 / 86400</f>
        <v>4.6296296296296298E-4</v>
      </c>
    </row>
    <row r="377" spans="1:12" x14ac:dyDescent="0.25">
      <c r="A377" s="3">
        <v>45715.576307870375</v>
      </c>
      <c r="B377" t="s">
        <v>233</v>
      </c>
      <c r="C377" s="3">
        <v>45715.577245370368</v>
      </c>
      <c r="D377" t="s">
        <v>164</v>
      </c>
      <c r="E377" s="4">
        <v>0.77630838859081264</v>
      </c>
      <c r="F377" s="4">
        <v>351176.80543595908</v>
      </c>
      <c r="G377" s="4">
        <v>351177.5817443477</v>
      </c>
      <c r="H377" s="5">
        <f t="shared" si="3"/>
        <v>0</v>
      </c>
      <c r="I377" t="s">
        <v>54</v>
      </c>
      <c r="J377" t="s">
        <v>221</v>
      </c>
      <c r="K377" s="5">
        <f>81 / 86400</f>
        <v>9.3749999999999997E-4</v>
      </c>
      <c r="L377" s="5">
        <f>60 / 86400</f>
        <v>6.9444444444444447E-4</v>
      </c>
    </row>
    <row r="378" spans="1:12" x14ac:dyDescent="0.25">
      <c r="A378" s="3">
        <v>45715.577939814815</v>
      </c>
      <c r="B378" t="s">
        <v>164</v>
      </c>
      <c r="C378" s="3">
        <v>45715.583391203705</v>
      </c>
      <c r="D378" t="s">
        <v>109</v>
      </c>
      <c r="E378" s="4">
        <v>2.4383710294365883</v>
      </c>
      <c r="F378" s="4">
        <v>351177.59341245017</v>
      </c>
      <c r="G378" s="4">
        <v>351180.03178347962</v>
      </c>
      <c r="H378" s="5">
        <f t="shared" si="3"/>
        <v>0</v>
      </c>
      <c r="I378" t="s">
        <v>54</v>
      </c>
      <c r="J378" t="s">
        <v>62</v>
      </c>
      <c r="K378" s="5">
        <f>471 / 86400</f>
        <v>5.4513888888888893E-3</v>
      </c>
      <c r="L378" s="5">
        <f>80 / 86400</f>
        <v>9.2592592592592596E-4</v>
      </c>
    </row>
    <row r="379" spans="1:12" x14ac:dyDescent="0.25">
      <c r="A379" s="3">
        <v>45715.584317129629</v>
      </c>
      <c r="B379" t="s">
        <v>109</v>
      </c>
      <c r="C379" s="3">
        <v>45715.585706018523</v>
      </c>
      <c r="D379" t="s">
        <v>64</v>
      </c>
      <c r="E379" s="4">
        <v>0.52058341872692104</v>
      </c>
      <c r="F379" s="4">
        <v>351180.04839545267</v>
      </c>
      <c r="G379" s="4">
        <v>351180.56897887139</v>
      </c>
      <c r="H379" s="5">
        <f t="shared" si="3"/>
        <v>0</v>
      </c>
      <c r="I379" t="s">
        <v>235</v>
      </c>
      <c r="J379" t="s">
        <v>26</v>
      </c>
      <c r="K379" s="5">
        <f>120 / 86400</f>
        <v>1.3888888888888889E-3</v>
      </c>
      <c r="L379" s="5">
        <f>20 / 86400</f>
        <v>2.3148148148148149E-4</v>
      </c>
    </row>
    <row r="380" spans="1:12" x14ac:dyDescent="0.25">
      <c r="A380" s="3">
        <v>45715.5859375</v>
      </c>
      <c r="B380" t="s">
        <v>334</v>
      </c>
      <c r="C380" s="3">
        <v>45715.586168981477</v>
      </c>
      <c r="D380" t="s">
        <v>335</v>
      </c>
      <c r="E380" s="4">
        <v>1.0212803959846497E-2</v>
      </c>
      <c r="F380" s="4">
        <v>351180.84336893249</v>
      </c>
      <c r="G380" s="4">
        <v>351180.85358173645</v>
      </c>
      <c r="H380" s="5">
        <f t="shared" si="3"/>
        <v>0</v>
      </c>
      <c r="I380" t="s">
        <v>29</v>
      </c>
      <c r="J380" t="s">
        <v>29</v>
      </c>
      <c r="K380" s="5">
        <f>20 / 86400</f>
        <v>2.3148148148148149E-4</v>
      </c>
      <c r="L380" s="5">
        <f>45 / 86400</f>
        <v>5.2083333333333333E-4</v>
      </c>
    </row>
    <row r="381" spans="1:12" x14ac:dyDescent="0.25">
      <c r="A381" s="3">
        <v>45715.586689814816</v>
      </c>
      <c r="B381" t="s">
        <v>335</v>
      </c>
      <c r="C381" s="3">
        <v>45715.590451388889</v>
      </c>
      <c r="D381" t="s">
        <v>336</v>
      </c>
      <c r="E381" s="4">
        <v>1.8625264298319817</v>
      </c>
      <c r="F381" s="4">
        <v>351180.87436143652</v>
      </c>
      <c r="G381" s="4">
        <v>351182.7368878664</v>
      </c>
      <c r="H381" s="5">
        <f t="shared" si="3"/>
        <v>0</v>
      </c>
      <c r="I381" t="s">
        <v>196</v>
      </c>
      <c r="J381" t="s">
        <v>139</v>
      </c>
      <c r="K381" s="5">
        <f>325 / 86400</f>
        <v>3.7615740740740739E-3</v>
      </c>
      <c r="L381" s="5">
        <f>27 / 86400</f>
        <v>3.1250000000000001E-4</v>
      </c>
    </row>
    <row r="382" spans="1:12" x14ac:dyDescent="0.25">
      <c r="A382" s="3">
        <v>45715.590763888889</v>
      </c>
      <c r="B382" t="s">
        <v>336</v>
      </c>
      <c r="C382" s="3">
        <v>45715.595092592594</v>
      </c>
      <c r="D382" t="s">
        <v>337</v>
      </c>
      <c r="E382" s="4">
        <v>1.5291130806207658</v>
      </c>
      <c r="F382" s="4">
        <v>351182.74025988323</v>
      </c>
      <c r="G382" s="4">
        <v>351184.26937296387</v>
      </c>
      <c r="H382" s="5">
        <f t="shared" si="3"/>
        <v>0</v>
      </c>
      <c r="I382" t="s">
        <v>140</v>
      </c>
      <c r="J382" t="s">
        <v>39</v>
      </c>
      <c r="K382" s="5">
        <f>374 / 86400</f>
        <v>4.3287037037037035E-3</v>
      </c>
      <c r="L382" s="5">
        <f>40 / 86400</f>
        <v>4.6296296296296298E-4</v>
      </c>
    </row>
    <row r="383" spans="1:12" x14ac:dyDescent="0.25">
      <c r="A383" s="3">
        <v>45715.595555555556</v>
      </c>
      <c r="B383" t="s">
        <v>337</v>
      </c>
      <c r="C383" s="3">
        <v>45715.597175925926</v>
      </c>
      <c r="D383" t="s">
        <v>290</v>
      </c>
      <c r="E383" s="4">
        <v>0.53850196564197539</v>
      </c>
      <c r="F383" s="4">
        <v>351184.28127242962</v>
      </c>
      <c r="G383" s="4">
        <v>351184.81977439526</v>
      </c>
      <c r="H383" s="5">
        <f t="shared" si="3"/>
        <v>0</v>
      </c>
      <c r="I383" t="s">
        <v>154</v>
      </c>
      <c r="J383" t="s">
        <v>41</v>
      </c>
      <c r="K383" s="5">
        <f>140 / 86400</f>
        <v>1.6203703703703703E-3</v>
      </c>
      <c r="L383" s="5">
        <f>20 / 86400</f>
        <v>2.3148148148148149E-4</v>
      </c>
    </row>
    <row r="384" spans="1:12" x14ac:dyDescent="0.25">
      <c r="A384" s="3">
        <v>45715.597407407404</v>
      </c>
      <c r="B384" t="s">
        <v>248</v>
      </c>
      <c r="C384" s="3">
        <v>45715.601180555561</v>
      </c>
      <c r="D384" t="s">
        <v>338</v>
      </c>
      <c r="E384" s="4">
        <v>1.2578214052915573</v>
      </c>
      <c r="F384" s="4">
        <v>351184.88474218937</v>
      </c>
      <c r="G384" s="4">
        <v>351186.14256359462</v>
      </c>
      <c r="H384" s="5">
        <f t="shared" si="3"/>
        <v>0</v>
      </c>
      <c r="I384" t="s">
        <v>179</v>
      </c>
      <c r="J384" t="s">
        <v>41</v>
      </c>
      <c r="K384" s="5">
        <f>326 / 86400</f>
        <v>3.7731481481481483E-3</v>
      </c>
      <c r="L384" s="5">
        <f>36 / 86400</f>
        <v>4.1666666666666669E-4</v>
      </c>
    </row>
    <row r="385" spans="1:12" x14ac:dyDescent="0.25">
      <c r="A385" s="3">
        <v>45715.601597222223</v>
      </c>
      <c r="B385" t="s">
        <v>339</v>
      </c>
      <c r="C385" s="3">
        <v>45715.6018287037</v>
      </c>
      <c r="D385" t="s">
        <v>338</v>
      </c>
      <c r="E385" s="4">
        <v>3.5310324430465698E-3</v>
      </c>
      <c r="F385" s="4">
        <v>351186.15570411738</v>
      </c>
      <c r="G385" s="4">
        <v>351186.1592351498</v>
      </c>
      <c r="H385" s="5">
        <f t="shared" si="3"/>
        <v>0</v>
      </c>
      <c r="I385" t="s">
        <v>123</v>
      </c>
      <c r="J385" t="s">
        <v>67</v>
      </c>
      <c r="K385" s="5">
        <f>20 / 86400</f>
        <v>2.3148148148148149E-4</v>
      </c>
      <c r="L385" s="5">
        <f>72 / 86400</f>
        <v>8.3333333333333339E-4</v>
      </c>
    </row>
    <row r="386" spans="1:12" x14ac:dyDescent="0.25">
      <c r="A386" s="3">
        <v>45715.602662037039</v>
      </c>
      <c r="B386" t="s">
        <v>338</v>
      </c>
      <c r="C386" s="3">
        <v>45715.603113425925</v>
      </c>
      <c r="D386" t="s">
        <v>340</v>
      </c>
      <c r="E386" s="4">
        <v>3.7876508474349972E-2</v>
      </c>
      <c r="F386" s="4">
        <v>351186.19318437268</v>
      </c>
      <c r="G386" s="4">
        <v>351186.23106088111</v>
      </c>
      <c r="H386" s="5">
        <f t="shared" si="3"/>
        <v>0</v>
      </c>
      <c r="I386" t="s">
        <v>143</v>
      </c>
      <c r="J386" t="s">
        <v>136</v>
      </c>
      <c r="K386" s="5">
        <f>39 / 86400</f>
        <v>4.5138888888888887E-4</v>
      </c>
      <c r="L386" s="5">
        <f>262 / 86400</f>
        <v>3.0324074074074073E-3</v>
      </c>
    </row>
    <row r="387" spans="1:12" x14ac:dyDescent="0.25">
      <c r="A387" s="3">
        <v>45715.606145833328</v>
      </c>
      <c r="B387" t="s">
        <v>341</v>
      </c>
      <c r="C387" s="3">
        <v>45715.60637731482</v>
      </c>
      <c r="D387" t="s">
        <v>342</v>
      </c>
      <c r="E387" s="4">
        <v>5.2175753593444826E-2</v>
      </c>
      <c r="F387" s="4">
        <v>351186.29125852278</v>
      </c>
      <c r="G387" s="4">
        <v>351186.34343427635</v>
      </c>
      <c r="H387" s="5">
        <f t="shared" si="3"/>
        <v>0</v>
      </c>
      <c r="I387" t="s">
        <v>99</v>
      </c>
      <c r="J387" t="s">
        <v>135</v>
      </c>
      <c r="K387" s="5">
        <f>20 / 86400</f>
        <v>2.3148148148148149E-4</v>
      </c>
      <c r="L387" s="5">
        <f>6 / 86400</f>
        <v>6.9444444444444444E-5</v>
      </c>
    </row>
    <row r="388" spans="1:12" x14ac:dyDescent="0.25">
      <c r="A388" s="3">
        <v>45715.606446759259</v>
      </c>
      <c r="B388" t="s">
        <v>342</v>
      </c>
      <c r="C388" s="3">
        <v>45715.606909722221</v>
      </c>
      <c r="D388" t="s">
        <v>343</v>
      </c>
      <c r="E388" s="4">
        <v>1.5562525391578675E-2</v>
      </c>
      <c r="F388" s="4">
        <v>351186.35120539414</v>
      </c>
      <c r="G388" s="4">
        <v>351186.36676791956</v>
      </c>
      <c r="H388" s="5">
        <f t="shared" si="3"/>
        <v>0</v>
      </c>
      <c r="I388" t="s">
        <v>99</v>
      </c>
      <c r="J388" t="s">
        <v>67</v>
      </c>
      <c r="K388" s="5">
        <f>40 / 86400</f>
        <v>4.6296296296296298E-4</v>
      </c>
      <c r="L388" s="5">
        <f>80 / 86400</f>
        <v>9.2592592592592596E-4</v>
      </c>
    </row>
    <row r="389" spans="1:12" x14ac:dyDescent="0.25">
      <c r="A389" s="3">
        <v>45715.607835648145</v>
      </c>
      <c r="B389" t="s">
        <v>343</v>
      </c>
      <c r="C389" s="3">
        <v>45715.608530092592</v>
      </c>
      <c r="D389" t="s">
        <v>343</v>
      </c>
      <c r="E389" s="4">
        <v>2.2383492410182951E-2</v>
      </c>
      <c r="F389" s="4">
        <v>351186.3902873646</v>
      </c>
      <c r="G389" s="4">
        <v>351186.41267085704</v>
      </c>
      <c r="H389" s="5">
        <f t="shared" si="3"/>
        <v>0</v>
      </c>
      <c r="I389" t="s">
        <v>136</v>
      </c>
      <c r="J389" t="s">
        <v>67</v>
      </c>
      <c r="K389" s="5">
        <f>60 / 86400</f>
        <v>6.9444444444444447E-4</v>
      </c>
      <c r="L389" s="5">
        <f>9 / 86400</f>
        <v>1.0416666666666667E-4</v>
      </c>
    </row>
    <row r="390" spans="1:12" x14ac:dyDescent="0.25">
      <c r="A390" s="3">
        <v>45715.608634259261</v>
      </c>
      <c r="B390" t="s">
        <v>343</v>
      </c>
      <c r="C390" s="3">
        <v>45715.609328703707</v>
      </c>
      <c r="D390" t="s">
        <v>339</v>
      </c>
      <c r="E390" s="4">
        <v>4.0892009735107419E-2</v>
      </c>
      <c r="F390" s="4">
        <v>351186.41845008428</v>
      </c>
      <c r="G390" s="4">
        <v>351186.45934209402</v>
      </c>
      <c r="H390" s="5">
        <f t="shared" si="3"/>
        <v>0</v>
      </c>
      <c r="I390" t="s">
        <v>99</v>
      </c>
      <c r="J390" t="s">
        <v>29</v>
      </c>
      <c r="K390" s="5">
        <f>60 / 86400</f>
        <v>6.9444444444444447E-4</v>
      </c>
      <c r="L390" s="5">
        <f>67 / 86400</f>
        <v>7.7546296296296293E-4</v>
      </c>
    </row>
    <row r="391" spans="1:12" x14ac:dyDescent="0.25">
      <c r="A391" s="3">
        <v>45715.61010416667</v>
      </c>
      <c r="B391" t="s">
        <v>339</v>
      </c>
      <c r="C391" s="3">
        <v>45715.61241898148</v>
      </c>
      <c r="D391" t="s">
        <v>344</v>
      </c>
      <c r="E391" s="4">
        <v>0.62559926176071168</v>
      </c>
      <c r="F391" s="4">
        <v>351186.47856824915</v>
      </c>
      <c r="G391" s="4">
        <v>351187.10416751093</v>
      </c>
      <c r="H391" s="5">
        <f t="shared" si="3"/>
        <v>0</v>
      </c>
      <c r="I391" t="s">
        <v>214</v>
      </c>
      <c r="J391" t="s">
        <v>141</v>
      </c>
      <c r="K391" s="5">
        <f>200 / 86400</f>
        <v>2.3148148148148147E-3</v>
      </c>
      <c r="L391" s="5">
        <f>60 / 86400</f>
        <v>6.9444444444444447E-4</v>
      </c>
    </row>
    <row r="392" spans="1:12" x14ac:dyDescent="0.25">
      <c r="A392" s="3">
        <v>45715.613113425927</v>
      </c>
      <c r="B392" t="s">
        <v>344</v>
      </c>
      <c r="C392" s="3">
        <v>45715.616053240738</v>
      </c>
      <c r="D392" t="s">
        <v>345</v>
      </c>
      <c r="E392" s="4">
        <v>1.9133192688822747</v>
      </c>
      <c r="F392" s="4">
        <v>351187.11438866163</v>
      </c>
      <c r="G392" s="4">
        <v>351189.02770793048</v>
      </c>
      <c r="H392" s="5">
        <f t="shared" si="3"/>
        <v>0</v>
      </c>
      <c r="I392" t="s">
        <v>157</v>
      </c>
      <c r="J392" t="s">
        <v>131</v>
      </c>
      <c r="K392" s="5">
        <f>254 / 86400</f>
        <v>2.9398148148148148E-3</v>
      </c>
      <c r="L392" s="5">
        <f>26 / 86400</f>
        <v>3.0092592592592595E-4</v>
      </c>
    </row>
    <row r="393" spans="1:12" x14ac:dyDescent="0.25">
      <c r="A393" s="3">
        <v>45715.616354166668</v>
      </c>
      <c r="B393" t="s">
        <v>346</v>
      </c>
      <c r="C393" s="3">
        <v>45715.616793981477</v>
      </c>
      <c r="D393" t="s">
        <v>347</v>
      </c>
      <c r="E393" s="4">
        <v>9.7496388196945186E-2</v>
      </c>
      <c r="F393" s="4">
        <v>351189.11444988381</v>
      </c>
      <c r="G393" s="4">
        <v>351189.211946272</v>
      </c>
      <c r="H393" s="5">
        <f t="shared" si="3"/>
        <v>0</v>
      </c>
      <c r="I393" t="s">
        <v>19</v>
      </c>
      <c r="J393" t="s">
        <v>135</v>
      </c>
      <c r="K393" s="5">
        <f>38 / 86400</f>
        <v>4.3981481481481481E-4</v>
      </c>
      <c r="L393" s="5">
        <f>5 / 86400</f>
        <v>5.7870370370370373E-5</v>
      </c>
    </row>
    <row r="394" spans="1:12" x14ac:dyDescent="0.25">
      <c r="A394" s="3">
        <v>45715.616851851853</v>
      </c>
      <c r="B394" t="s">
        <v>347</v>
      </c>
      <c r="C394" s="3">
        <v>45715.617777777778</v>
      </c>
      <c r="D394" t="s">
        <v>283</v>
      </c>
      <c r="E394" s="4">
        <v>0.43470162099599841</v>
      </c>
      <c r="F394" s="4">
        <v>351189.21350774082</v>
      </c>
      <c r="G394" s="4">
        <v>351189.64820936177</v>
      </c>
      <c r="H394" s="5">
        <f t="shared" si="3"/>
        <v>0</v>
      </c>
      <c r="I394" t="s">
        <v>226</v>
      </c>
      <c r="J394" t="s">
        <v>116</v>
      </c>
      <c r="K394" s="5">
        <f>80 / 86400</f>
        <v>9.2592592592592596E-4</v>
      </c>
      <c r="L394" s="5">
        <f>40 / 86400</f>
        <v>4.6296296296296298E-4</v>
      </c>
    </row>
    <row r="395" spans="1:12" x14ac:dyDescent="0.25">
      <c r="A395" s="3">
        <v>45715.61824074074</v>
      </c>
      <c r="B395" t="s">
        <v>283</v>
      </c>
      <c r="C395" s="3">
        <v>45715.618668981479</v>
      </c>
      <c r="D395" t="s">
        <v>348</v>
      </c>
      <c r="E395" s="4">
        <v>0.12688511240482331</v>
      </c>
      <c r="F395" s="4">
        <v>351189.67285347619</v>
      </c>
      <c r="G395" s="4">
        <v>351189.79973858857</v>
      </c>
      <c r="H395" s="5">
        <f t="shared" si="3"/>
        <v>0</v>
      </c>
      <c r="I395" t="s">
        <v>62</v>
      </c>
      <c r="J395" t="s">
        <v>85</v>
      </c>
      <c r="K395" s="5">
        <f>37 / 86400</f>
        <v>4.2824074074074075E-4</v>
      </c>
      <c r="L395" s="5">
        <f>60 / 86400</f>
        <v>6.9444444444444447E-4</v>
      </c>
    </row>
    <row r="396" spans="1:12" x14ac:dyDescent="0.25">
      <c r="A396" s="3">
        <v>45715.619363425925</v>
      </c>
      <c r="B396" t="s">
        <v>260</v>
      </c>
      <c r="C396" s="3">
        <v>45715.619826388887</v>
      </c>
      <c r="D396" t="s">
        <v>349</v>
      </c>
      <c r="E396" s="4">
        <v>0.23504074108600617</v>
      </c>
      <c r="F396" s="4">
        <v>351189.91655031947</v>
      </c>
      <c r="G396" s="4">
        <v>351190.15159106057</v>
      </c>
      <c r="H396" s="5">
        <f t="shared" si="3"/>
        <v>0</v>
      </c>
      <c r="I396" t="s">
        <v>169</v>
      </c>
      <c r="J396" t="s">
        <v>139</v>
      </c>
      <c r="K396" s="5">
        <f>40 / 86400</f>
        <v>4.6296296296296298E-4</v>
      </c>
      <c r="L396" s="5">
        <f>39 / 86400</f>
        <v>4.5138888888888887E-4</v>
      </c>
    </row>
    <row r="397" spans="1:12" x14ac:dyDescent="0.25">
      <c r="A397" s="3">
        <v>45715.62027777778</v>
      </c>
      <c r="B397" t="s">
        <v>349</v>
      </c>
      <c r="C397" s="3">
        <v>45715.621064814812</v>
      </c>
      <c r="D397" t="s">
        <v>350</v>
      </c>
      <c r="E397" s="4">
        <v>0.28813704413175584</v>
      </c>
      <c r="F397" s="4">
        <v>351190.15902867052</v>
      </c>
      <c r="G397" s="4">
        <v>351190.44716571464</v>
      </c>
      <c r="H397" s="5">
        <f t="shared" si="3"/>
        <v>0</v>
      </c>
      <c r="I397" t="s">
        <v>179</v>
      </c>
      <c r="J397" t="s">
        <v>39</v>
      </c>
      <c r="K397" s="5">
        <f>68 / 86400</f>
        <v>7.8703703703703705E-4</v>
      </c>
      <c r="L397" s="5">
        <f>5 / 86400</f>
        <v>5.7870370370370373E-5</v>
      </c>
    </row>
    <row r="398" spans="1:12" x14ac:dyDescent="0.25">
      <c r="A398" s="3">
        <v>45715.621122685188</v>
      </c>
      <c r="B398" t="s">
        <v>350</v>
      </c>
      <c r="C398" s="3">
        <v>45715.623472222222</v>
      </c>
      <c r="D398" t="s">
        <v>351</v>
      </c>
      <c r="E398" s="4">
        <v>1.1042637460231781</v>
      </c>
      <c r="F398" s="4">
        <v>351190.44931753271</v>
      </c>
      <c r="G398" s="4">
        <v>351191.55358127871</v>
      </c>
      <c r="H398" s="5">
        <f t="shared" si="3"/>
        <v>0</v>
      </c>
      <c r="I398" t="s">
        <v>207</v>
      </c>
      <c r="J398" t="s">
        <v>116</v>
      </c>
      <c r="K398" s="5">
        <f>203 / 86400</f>
        <v>2.3495370370370371E-3</v>
      </c>
      <c r="L398" s="5">
        <f>15 / 86400</f>
        <v>1.7361111111111112E-4</v>
      </c>
    </row>
    <row r="399" spans="1:12" x14ac:dyDescent="0.25">
      <c r="A399" s="3">
        <v>45715.62364583333</v>
      </c>
      <c r="B399" t="s">
        <v>351</v>
      </c>
      <c r="C399" s="3">
        <v>45715.624803240746</v>
      </c>
      <c r="D399" t="s">
        <v>352</v>
      </c>
      <c r="E399" s="4">
        <v>0.1864970109462738</v>
      </c>
      <c r="F399" s="4">
        <v>351191.5605209418</v>
      </c>
      <c r="G399" s="4">
        <v>351191.74701795273</v>
      </c>
      <c r="H399" s="5">
        <f t="shared" si="3"/>
        <v>0</v>
      </c>
      <c r="I399" t="s">
        <v>85</v>
      </c>
      <c r="J399" t="s">
        <v>143</v>
      </c>
      <c r="K399" s="5">
        <f>100 / 86400</f>
        <v>1.1574074074074073E-3</v>
      </c>
      <c r="L399" s="5">
        <f>20 / 86400</f>
        <v>2.3148148148148149E-4</v>
      </c>
    </row>
    <row r="400" spans="1:12" x14ac:dyDescent="0.25">
      <c r="A400" s="3">
        <v>45715.625034722223</v>
      </c>
      <c r="B400" t="s">
        <v>353</v>
      </c>
      <c r="C400" s="3">
        <v>45715.625497685185</v>
      </c>
      <c r="D400" t="s">
        <v>354</v>
      </c>
      <c r="E400" s="4">
        <v>6.3470543622970582E-2</v>
      </c>
      <c r="F400" s="4">
        <v>351191.75508512306</v>
      </c>
      <c r="G400" s="4">
        <v>351191.81855566666</v>
      </c>
      <c r="H400" s="5">
        <f t="shared" si="3"/>
        <v>0</v>
      </c>
      <c r="I400" t="s">
        <v>19</v>
      </c>
      <c r="J400" t="s">
        <v>123</v>
      </c>
      <c r="K400" s="5">
        <f>40 / 86400</f>
        <v>4.6296296296296298E-4</v>
      </c>
      <c r="L400" s="5">
        <f>19 / 86400</f>
        <v>2.199074074074074E-4</v>
      </c>
    </row>
    <row r="401" spans="1:12" x14ac:dyDescent="0.25">
      <c r="A401" s="3">
        <v>45715.625717592593</v>
      </c>
      <c r="B401" t="s">
        <v>355</v>
      </c>
      <c r="C401" s="3">
        <v>45715.626597222217</v>
      </c>
      <c r="D401" t="s">
        <v>356</v>
      </c>
      <c r="E401" s="4">
        <v>7.7799534261226655E-2</v>
      </c>
      <c r="F401" s="4">
        <v>351192.14195159613</v>
      </c>
      <c r="G401" s="4">
        <v>351192.21975113038</v>
      </c>
      <c r="H401" s="5">
        <f t="shared" si="3"/>
        <v>0</v>
      </c>
      <c r="I401" t="s">
        <v>143</v>
      </c>
      <c r="J401" t="s">
        <v>132</v>
      </c>
      <c r="K401" s="5">
        <f>76 / 86400</f>
        <v>8.7962962962962962E-4</v>
      </c>
      <c r="L401" s="5">
        <f>10 / 86400</f>
        <v>1.1574074074074075E-4</v>
      </c>
    </row>
    <row r="402" spans="1:12" x14ac:dyDescent="0.25">
      <c r="A402" s="3">
        <v>45715.626712962963</v>
      </c>
      <c r="B402" t="s">
        <v>356</v>
      </c>
      <c r="C402" s="3">
        <v>45715.627303240741</v>
      </c>
      <c r="D402" t="s">
        <v>267</v>
      </c>
      <c r="E402" s="4">
        <v>0.14020330798625946</v>
      </c>
      <c r="F402" s="4">
        <v>351192.23377386882</v>
      </c>
      <c r="G402" s="4">
        <v>351192.37397717679</v>
      </c>
      <c r="H402" s="5">
        <f t="shared" si="3"/>
        <v>0</v>
      </c>
      <c r="I402" t="s">
        <v>176</v>
      </c>
      <c r="J402" t="s">
        <v>28</v>
      </c>
      <c r="K402" s="5">
        <f>51 / 86400</f>
        <v>5.9027777777777778E-4</v>
      </c>
      <c r="L402" s="5">
        <f>215 / 86400</f>
        <v>2.488425925925926E-3</v>
      </c>
    </row>
    <row r="403" spans="1:12" x14ac:dyDescent="0.25">
      <c r="A403" s="3">
        <v>45715.629791666666</v>
      </c>
      <c r="B403" t="s">
        <v>267</v>
      </c>
      <c r="C403" s="3">
        <v>45715.630740740744</v>
      </c>
      <c r="D403" t="s">
        <v>125</v>
      </c>
      <c r="E403" s="4">
        <v>0.15485303473472595</v>
      </c>
      <c r="F403" s="4">
        <v>351192.43400436826</v>
      </c>
      <c r="G403" s="4">
        <v>351192.58885740297</v>
      </c>
      <c r="H403" s="5">
        <f t="shared" si="3"/>
        <v>0</v>
      </c>
      <c r="I403" t="s">
        <v>26</v>
      </c>
      <c r="J403" t="s">
        <v>143</v>
      </c>
      <c r="K403" s="5">
        <f>82 / 86400</f>
        <v>9.4907407407407408E-4</v>
      </c>
      <c r="L403" s="5">
        <f>20 / 86400</f>
        <v>2.3148148148148149E-4</v>
      </c>
    </row>
    <row r="404" spans="1:12" x14ac:dyDescent="0.25">
      <c r="A404" s="3">
        <v>45715.630972222221</v>
      </c>
      <c r="B404" t="s">
        <v>357</v>
      </c>
      <c r="C404" s="3">
        <v>45715.631203703699</v>
      </c>
      <c r="D404" t="s">
        <v>270</v>
      </c>
      <c r="E404" s="4">
        <v>1.30600705742836E-2</v>
      </c>
      <c r="F404" s="4">
        <v>351192.59377075807</v>
      </c>
      <c r="G404" s="4">
        <v>351192.60683082865</v>
      </c>
      <c r="H404" s="5">
        <f t="shared" si="3"/>
        <v>0</v>
      </c>
      <c r="I404" t="s">
        <v>67</v>
      </c>
      <c r="J404" t="s">
        <v>29</v>
      </c>
      <c r="K404" s="5">
        <f>20 / 86400</f>
        <v>2.3148148148148149E-4</v>
      </c>
      <c r="L404" s="5">
        <f>20 / 86400</f>
        <v>2.3148148148148149E-4</v>
      </c>
    </row>
    <row r="405" spans="1:12" x14ac:dyDescent="0.25">
      <c r="A405" s="3">
        <v>45715.631435185191</v>
      </c>
      <c r="B405" t="s">
        <v>270</v>
      </c>
      <c r="C405" s="3">
        <v>45715.631898148145</v>
      </c>
      <c r="D405" t="s">
        <v>126</v>
      </c>
      <c r="E405" s="4">
        <v>2.0662564873695374E-2</v>
      </c>
      <c r="F405" s="4">
        <v>351192.60737524822</v>
      </c>
      <c r="G405" s="4">
        <v>351192.62803781306</v>
      </c>
      <c r="H405" s="5">
        <f t="shared" si="3"/>
        <v>0</v>
      </c>
      <c r="I405" t="s">
        <v>136</v>
      </c>
      <c r="J405" t="s">
        <v>29</v>
      </c>
      <c r="K405" s="5">
        <f>40 / 86400</f>
        <v>4.6296296296296298E-4</v>
      </c>
      <c r="L405" s="5">
        <f>160 / 86400</f>
        <v>1.8518518518518519E-3</v>
      </c>
    </row>
    <row r="406" spans="1:12" x14ac:dyDescent="0.25">
      <c r="A406" s="3">
        <v>45715.633750000001</v>
      </c>
      <c r="B406" t="s">
        <v>271</v>
      </c>
      <c r="C406" s="3">
        <v>45715.633981481486</v>
      </c>
      <c r="D406" t="s">
        <v>126</v>
      </c>
      <c r="E406" s="4">
        <v>6.1063616275787358E-3</v>
      </c>
      <c r="F406" s="4">
        <v>351192.66187759681</v>
      </c>
      <c r="G406" s="4">
        <v>351192.66798395844</v>
      </c>
      <c r="H406" s="5">
        <f t="shared" si="3"/>
        <v>0</v>
      </c>
      <c r="I406" t="s">
        <v>67</v>
      </c>
      <c r="J406" t="s">
        <v>67</v>
      </c>
      <c r="K406" s="5">
        <f>20 / 86400</f>
        <v>2.3148148148148149E-4</v>
      </c>
      <c r="L406" s="5">
        <f>683 / 86400</f>
        <v>7.905092592592592E-3</v>
      </c>
    </row>
    <row r="407" spans="1:12" x14ac:dyDescent="0.25">
      <c r="A407" s="3">
        <v>45715.641886574071</v>
      </c>
      <c r="B407" t="s">
        <v>126</v>
      </c>
      <c r="C407" s="3">
        <v>45715.642118055555</v>
      </c>
      <c r="D407" t="s">
        <v>126</v>
      </c>
      <c r="E407" s="4">
        <v>1.1631190776824952E-3</v>
      </c>
      <c r="F407" s="4">
        <v>351192.84139560047</v>
      </c>
      <c r="G407" s="4">
        <v>351192.84255871951</v>
      </c>
      <c r="H407" s="5">
        <f t="shared" si="3"/>
        <v>0</v>
      </c>
      <c r="I407" t="s">
        <v>99</v>
      </c>
      <c r="J407" t="s">
        <v>21</v>
      </c>
      <c r="K407" s="5">
        <f>20 / 86400</f>
        <v>2.3148148148148149E-4</v>
      </c>
      <c r="L407" s="5">
        <f>300 / 86400</f>
        <v>3.472222222222222E-3</v>
      </c>
    </row>
    <row r="408" spans="1:12" x14ac:dyDescent="0.25">
      <c r="A408" s="3">
        <v>45715.645590277782</v>
      </c>
      <c r="B408" t="s">
        <v>126</v>
      </c>
      <c r="C408" s="3">
        <v>45715.647627314815</v>
      </c>
      <c r="D408" t="s">
        <v>358</v>
      </c>
      <c r="E408" s="4">
        <v>0.5214545550942421</v>
      </c>
      <c r="F408" s="4">
        <v>351192.92769300879</v>
      </c>
      <c r="G408" s="4">
        <v>351193.44914756389</v>
      </c>
      <c r="H408" s="5">
        <f t="shared" si="3"/>
        <v>0</v>
      </c>
      <c r="I408" t="s">
        <v>211</v>
      </c>
      <c r="J408" t="s">
        <v>141</v>
      </c>
      <c r="K408" s="5">
        <f>176 / 86400</f>
        <v>2.0370370370370369E-3</v>
      </c>
      <c r="L408" s="5">
        <f>11 / 86400</f>
        <v>1.273148148148148E-4</v>
      </c>
    </row>
    <row r="409" spans="1:12" x14ac:dyDescent="0.25">
      <c r="A409" s="3">
        <v>45715.64775462963</v>
      </c>
      <c r="B409" t="s">
        <v>358</v>
      </c>
      <c r="C409" s="3">
        <v>45715.648518518516</v>
      </c>
      <c r="D409" t="s">
        <v>276</v>
      </c>
      <c r="E409" s="4">
        <v>0.2779348067045212</v>
      </c>
      <c r="F409" s="4">
        <v>351193.45431508834</v>
      </c>
      <c r="G409" s="4">
        <v>351193.73224989505</v>
      </c>
      <c r="H409" s="5">
        <f t="shared" si="3"/>
        <v>0</v>
      </c>
      <c r="I409" t="s">
        <v>34</v>
      </c>
      <c r="J409" t="s">
        <v>39</v>
      </c>
      <c r="K409" s="5">
        <f>66 / 86400</f>
        <v>7.6388888888888893E-4</v>
      </c>
      <c r="L409" s="5">
        <f>6 / 86400</f>
        <v>6.9444444444444444E-5</v>
      </c>
    </row>
    <row r="410" spans="1:12" x14ac:dyDescent="0.25">
      <c r="A410" s="3">
        <v>45715.648587962962</v>
      </c>
      <c r="B410" t="s">
        <v>276</v>
      </c>
      <c r="C410" s="3">
        <v>45715.649201388893</v>
      </c>
      <c r="D410" t="s">
        <v>359</v>
      </c>
      <c r="E410" s="4">
        <v>0.1291861287355423</v>
      </c>
      <c r="F410" s="4">
        <v>351193.74080491043</v>
      </c>
      <c r="G410" s="4">
        <v>351193.86999103916</v>
      </c>
      <c r="H410" s="5">
        <f t="shared" si="3"/>
        <v>0</v>
      </c>
      <c r="I410" t="s">
        <v>85</v>
      </c>
      <c r="J410" t="s">
        <v>135</v>
      </c>
      <c r="K410" s="5">
        <f>53 / 86400</f>
        <v>6.134259259259259E-4</v>
      </c>
      <c r="L410" s="5">
        <f>120 / 86400</f>
        <v>1.3888888888888889E-3</v>
      </c>
    </row>
    <row r="411" spans="1:12" x14ac:dyDescent="0.25">
      <c r="A411" s="3">
        <v>45715.650590277779</v>
      </c>
      <c r="B411" t="s">
        <v>359</v>
      </c>
      <c r="C411" s="3">
        <v>45715.651423611111</v>
      </c>
      <c r="D411" t="s">
        <v>360</v>
      </c>
      <c r="E411" s="4">
        <v>0.3957197251319885</v>
      </c>
      <c r="F411" s="4">
        <v>351193.89791154355</v>
      </c>
      <c r="G411" s="4">
        <v>351194.29363126867</v>
      </c>
      <c r="H411" s="5">
        <f t="shared" si="3"/>
        <v>0</v>
      </c>
      <c r="I411" t="s">
        <v>202</v>
      </c>
      <c r="J411" t="s">
        <v>116</v>
      </c>
      <c r="K411" s="5">
        <f>72 / 86400</f>
        <v>8.3333333333333339E-4</v>
      </c>
      <c r="L411" s="5">
        <f>19 / 86400</f>
        <v>2.199074074074074E-4</v>
      </c>
    </row>
    <row r="412" spans="1:12" x14ac:dyDescent="0.25">
      <c r="A412" s="3">
        <v>45715.651643518519</v>
      </c>
      <c r="B412" t="s">
        <v>360</v>
      </c>
      <c r="C412" s="3">
        <v>45715.652546296296</v>
      </c>
      <c r="D412" t="s">
        <v>361</v>
      </c>
      <c r="E412" s="4">
        <v>0.20962062138319015</v>
      </c>
      <c r="F412" s="4">
        <v>351194.30830067548</v>
      </c>
      <c r="G412" s="4">
        <v>351194.51792129682</v>
      </c>
      <c r="H412" s="5">
        <f t="shared" si="3"/>
        <v>0</v>
      </c>
      <c r="I412" t="s">
        <v>39</v>
      </c>
      <c r="J412" t="s">
        <v>28</v>
      </c>
      <c r="K412" s="5">
        <f>78 / 86400</f>
        <v>9.0277777777777774E-4</v>
      </c>
      <c r="L412" s="5">
        <f>51 / 86400</f>
        <v>5.9027777777777778E-4</v>
      </c>
    </row>
    <row r="413" spans="1:12" x14ac:dyDescent="0.25">
      <c r="A413" s="3">
        <v>45715.653136574074</v>
      </c>
      <c r="B413" t="s">
        <v>278</v>
      </c>
      <c r="C413" s="3">
        <v>45715.654456018514</v>
      </c>
      <c r="D413" t="s">
        <v>362</v>
      </c>
      <c r="E413" s="4">
        <v>0.47488362312316895</v>
      </c>
      <c r="F413" s="4">
        <v>351194.53614909924</v>
      </c>
      <c r="G413" s="4">
        <v>351195.01103272237</v>
      </c>
      <c r="H413" s="5">
        <f t="shared" si="3"/>
        <v>0</v>
      </c>
      <c r="I413" t="s">
        <v>214</v>
      </c>
      <c r="J413" t="s">
        <v>39</v>
      </c>
      <c r="K413" s="5">
        <f>114 / 86400</f>
        <v>1.3194444444444445E-3</v>
      </c>
      <c r="L413" s="5">
        <f>14 / 86400</f>
        <v>1.6203703703703703E-4</v>
      </c>
    </row>
    <row r="414" spans="1:12" x14ac:dyDescent="0.25">
      <c r="A414" s="3">
        <v>45715.65461805556</v>
      </c>
      <c r="B414" t="s">
        <v>363</v>
      </c>
      <c r="C414" s="3">
        <v>45715.654849537037</v>
      </c>
      <c r="D414" t="s">
        <v>364</v>
      </c>
      <c r="E414" s="4">
        <v>9.776030784845352E-2</v>
      </c>
      <c r="F414" s="4">
        <v>351195.07817588135</v>
      </c>
      <c r="G414" s="4">
        <v>351195.17593618919</v>
      </c>
      <c r="H414" s="5">
        <f t="shared" si="3"/>
        <v>0</v>
      </c>
      <c r="I414" t="s">
        <v>98</v>
      </c>
      <c r="J414" t="s">
        <v>30</v>
      </c>
      <c r="K414" s="5">
        <f>20 / 86400</f>
        <v>2.3148148148148149E-4</v>
      </c>
      <c r="L414" s="5">
        <f>88 / 86400</f>
        <v>1.0185185185185184E-3</v>
      </c>
    </row>
    <row r="415" spans="1:12" x14ac:dyDescent="0.25">
      <c r="A415" s="3">
        <v>45715.655868055561</v>
      </c>
      <c r="B415" t="s">
        <v>260</v>
      </c>
      <c r="C415" s="3">
        <v>45715.657291666663</v>
      </c>
      <c r="D415" t="s">
        <v>365</v>
      </c>
      <c r="E415" s="4">
        <v>0.21964387714862824</v>
      </c>
      <c r="F415" s="4">
        <v>351195.24294573982</v>
      </c>
      <c r="G415" s="4">
        <v>351195.46258961695</v>
      </c>
      <c r="H415" s="5">
        <f t="shared" si="3"/>
        <v>0</v>
      </c>
      <c r="I415" t="s">
        <v>30</v>
      </c>
      <c r="J415" t="s">
        <v>123</v>
      </c>
      <c r="K415" s="5">
        <f>123 / 86400</f>
        <v>1.4236111111111112E-3</v>
      </c>
      <c r="L415" s="5">
        <f>40 / 86400</f>
        <v>4.6296296296296298E-4</v>
      </c>
    </row>
    <row r="416" spans="1:12" x14ac:dyDescent="0.25">
      <c r="A416" s="3">
        <v>45715.657754629632</v>
      </c>
      <c r="B416" t="s">
        <v>365</v>
      </c>
      <c r="C416" s="3">
        <v>45715.657986111109</v>
      </c>
      <c r="D416" t="s">
        <v>366</v>
      </c>
      <c r="E416" s="4">
        <v>1.2046162009239197E-2</v>
      </c>
      <c r="F416" s="4">
        <v>351195.48200016044</v>
      </c>
      <c r="G416" s="4">
        <v>351195.49404632248</v>
      </c>
      <c r="H416" s="5">
        <f t="shared" si="3"/>
        <v>0</v>
      </c>
      <c r="I416" t="s">
        <v>39</v>
      </c>
      <c r="J416" t="s">
        <v>29</v>
      </c>
      <c r="K416" s="5">
        <f>20 / 86400</f>
        <v>2.3148148148148149E-4</v>
      </c>
      <c r="L416" s="5">
        <f>20 / 86400</f>
        <v>2.3148148148148149E-4</v>
      </c>
    </row>
    <row r="417" spans="1:12" x14ac:dyDescent="0.25">
      <c r="A417" s="3">
        <v>45715.658217592594</v>
      </c>
      <c r="B417" t="s">
        <v>260</v>
      </c>
      <c r="C417" s="3">
        <v>45715.658449074079</v>
      </c>
      <c r="D417" t="s">
        <v>260</v>
      </c>
      <c r="E417" s="4">
        <v>2.1191886961460113E-2</v>
      </c>
      <c r="F417" s="4">
        <v>351195.55555512127</v>
      </c>
      <c r="G417" s="4">
        <v>351195.57674700825</v>
      </c>
      <c r="H417" s="5">
        <f t="shared" si="3"/>
        <v>0</v>
      </c>
      <c r="I417" t="s">
        <v>139</v>
      </c>
      <c r="J417" t="s">
        <v>132</v>
      </c>
      <c r="K417" s="5">
        <f>20 / 86400</f>
        <v>2.3148148148148149E-4</v>
      </c>
      <c r="L417" s="5">
        <f>60 / 86400</f>
        <v>6.9444444444444447E-4</v>
      </c>
    </row>
    <row r="418" spans="1:12" x14ac:dyDescent="0.25">
      <c r="A418" s="3">
        <v>45715.659143518518</v>
      </c>
      <c r="B418" t="s">
        <v>260</v>
      </c>
      <c r="C418" s="3">
        <v>45715.659375000003</v>
      </c>
      <c r="D418" t="s">
        <v>260</v>
      </c>
      <c r="E418" s="4">
        <v>1.0343285501003266E-2</v>
      </c>
      <c r="F418" s="4">
        <v>351195.5923681758</v>
      </c>
      <c r="G418" s="4">
        <v>351195.60271146131</v>
      </c>
      <c r="H418" s="5">
        <f t="shared" si="3"/>
        <v>0</v>
      </c>
      <c r="I418" t="s">
        <v>67</v>
      </c>
      <c r="J418" t="s">
        <v>29</v>
      </c>
      <c r="K418" s="5">
        <f>20 / 86400</f>
        <v>2.3148148148148149E-4</v>
      </c>
      <c r="L418" s="5">
        <f>20 / 86400</f>
        <v>2.3148148148148149E-4</v>
      </c>
    </row>
    <row r="419" spans="1:12" x14ac:dyDescent="0.25">
      <c r="A419" s="3">
        <v>45715.65960648148</v>
      </c>
      <c r="B419" t="s">
        <v>260</v>
      </c>
      <c r="C419" s="3">
        <v>45715.659837962958</v>
      </c>
      <c r="D419" t="s">
        <v>367</v>
      </c>
      <c r="E419" s="4">
        <v>3.2958875298500064E-2</v>
      </c>
      <c r="F419" s="4">
        <v>351195.63633902947</v>
      </c>
      <c r="G419" s="4">
        <v>351195.66929790477</v>
      </c>
      <c r="H419" s="5">
        <f t="shared" si="3"/>
        <v>0</v>
      </c>
      <c r="I419" t="s">
        <v>143</v>
      </c>
      <c r="J419" t="s">
        <v>123</v>
      </c>
      <c r="K419" s="5">
        <f>20 / 86400</f>
        <v>2.3148148148148149E-4</v>
      </c>
      <c r="L419" s="5">
        <f>72 / 86400</f>
        <v>8.3333333333333339E-4</v>
      </c>
    </row>
    <row r="420" spans="1:12" x14ac:dyDescent="0.25">
      <c r="A420" s="3">
        <v>45715.660671296297</v>
      </c>
      <c r="B420" t="s">
        <v>367</v>
      </c>
      <c r="C420" s="3">
        <v>45715.661006944443</v>
      </c>
      <c r="D420" t="s">
        <v>260</v>
      </c>
      <c r="E420" s="4">
        <v>5.6415435850620269E-2</v>
      </c>
      <c r="F420" s="4">
        <v>351195.68084920925</v>
      </c>
      <c r="G420" s="4">
        <v>351195.73726464511</v>
      </c>
      <c r="H420" s="5">
        <f t="shared" si="3"/>
        <v>0</v>
      </c>
      <c r="I420" t="s">
        <v>28</v>
      </c>
      <c r="J420" t="s">
        <v>143</v>
      </c>
      <c r="K420" s="5">
        <f>29 / 86400</f>
        <v>3.3564814814814812E-4</v>
      </c>
      <c r="L420" s="5">
        <f>20 / 86400</f>
        <v>2.3148148148148149E-4</v>
      </c>
    </row>
    <row r="421" spans="1:12" x14ac:dyDescent="0.25">
      <c r="A421" s="3">
        <v>45715.661238425921</v>
      </c>
      <c r="B421" t="s">
        <v>260</v>
      </c>
      <c r="C421" s="3">
        <v>45715.66170138889</v>
      </c>
      <c r="D421" t="s">
        <v>368</v>
      </c>
      <c r="E421" s="4">
        <v>2.2335738897323609E-2</v>
      </c>
      <c r="F421" s="4">
        <v>351195.74078459479</v>
      </c>
      <c r="G421" s="4">
        <v>351195.76312033366</v>
      </c>
      <c r="H421" s="5">
        <f t="shared" si="3"/>
        <v>0</v>
      </c>
      <c r="I421" t="s">
        <v>67</v>
      </c>
      <c r="J421" t="s">
        <v>29</v>
      </c>
      <c r="K421" s="5">
        <f>40 / 86400</f>
        <v>4.6296296296296298E-4</v>
      </c>
      <c r="L421" s="5">
        <f>60 / 86400</f>
        <v>6.9444444444444447E-4</v>
      </c>
    </row>
    <row r="422" spans="1:12" x14ac:dyDescent="0.25">
      <c r="A422" s="3">
        <v>45715.662395833337</v>
      </c>
      <c r="B422" t="s">
        <v>260</v>
      </c>
      <c r="C422" s="3">
        <v>45715.662905092591</v>
      </c>
      <c r="D422" t="s">
        <v>348</v>
      </c>
      <c r="E422" s="4">
        <v>3.1546919167041776E-2</v>
      </c>
      <c r="F422" s="4">
        <v>351195.82477592019</v>
      </c>
      <c r="G422" s="4">
        <v>351195.85632283939</v>
      </c>
      <c r="H422" s="5">
        <f t="shared" si="3"/>
        <v>0</v>
      </c>
      <c r="I422" t="s">
        <v>135</v>
      </c>
      <c r="J422" t="s">
        <v>136</v>
      </c>
      <c r="K422" s="5">
        <f>44 / 86400</f>
        <v>5.0925925925925921E-4</v>
      </c>
      <c r="L422" s="5">
        <f>14 / 86400</f>
        <v>1.6203703703703703E-4</v>
      </c>
    </row>
    <row r="423" spans="1:12" x14ac:dyDescent="0.25">
      <c r="A423" s="3">
        <v>45715.66306712963</v>
      </c>
      <c r="B423" t="s">
        <v>348</v>
      </c>
      <c r="C423" s="3">
        <v>45715.66541666667</v>
      </c>
      <c r="D423" t="s">
        <v>345</v>
      </c>
      <c r="E423" s="4">
        <v>0.5759772416353226</v>
      </c>
      <c r="F423" s="4">
        <v>351195.87074169877</v>
      </c>
      <c r="G423" s="4">
        <v>351196.44671894045</v>
      </c>
      <c r="H423" s="5">
        <f t="shared" si="3"/>
        <v>0</v>
      </c>
      <c r="I423" t="s">
        <v>211</v>
      </c>
      <c r="J423" t="s">
        <v>28</v>
      </c>
      <c r="K423" s="5">
        <f>203 / 86400</f>
        <v>2.3495370370370371E-3</v>
      </c>
      <c r="L423" s="5">
        <f>20 / 86400</f>
        <v>2.3148148148148149E-4</v>
      </c>
    </row>
    <row r="424" spans="1:12" x14ac:dyDescent="0.25">
      <c r="A424" s="3">
        <v>45715.665648148148</v>
      </c>
      <c r="B424" t="s">
        <v>345</v>
      </c>
      <c r="C424" s="3">
        <v>45715.666331018518</v>
      </c>
      <c r="D424" t="s">
        <v>134</v>
      </c>
      <c r="E424" s="4">
        <v>0.47948009699583055</v>
      </c>
      <c r="F424" s="4">
        <v>351196.45390929305</v>
      </c>
      <c r="G424" s="4">
        <v>351196.93338939006</v>
      </c>
      <c r="H424" s="5">
        <f t="shared" si="3"/>
        <v>0</v>
      </c>
      <c r="I424" t="s">
        <v>129</v>
      </c>
      <c r="J424" t="s">
        <v>211</v>
      </c>
      <c r="K424" s="5">
        <f>59 / 86400</f>
        <v>6.8287037037037036E-4</v>
      </c>
      <c r="L424" s="5">
        <f>20 / 86400</f>
        <v>2.3148148148148149E-4</v>
      </c>
    </row>
    <row r="425" spans="1:12" x14ac:dyDescent="0.25">
      <c r="A425" s="3">
        <v>45715.666562500002</v>
      </c>
      <c r="B425" t="s">
        <v>133</v>
      </c>
      <c r="C425" s="3">
        <v>45715.667256944449</v>
      </c>
      <c r="D425" t="s">
        <v>257</v>
      </c>
      <c r="E425" s="4">
        <v>0.396898594558239</v>
      </c>
      <c r="F425" s="4">
        <v>351197.05360382621</v>
      </c>
      <c r="G425" s="4">
        <v>351197.45050242078</v>
      </c>
      <c r="H425" s="5">
        <f t="shared" si="3"/>
        <v>0</v>
      </c>
      <c r="I425" t="s">
        <v>129</v>
      </c>
      <c r="J425" t="s">
        <v>153</v>
      </c>
      <c r="K425" s="5">
        <f>60 / 86400</f>
        <v>6.9444444444444447E-4</v>
      </c>
      <c r="L425" s="5">
        <f>92 / 86400</f>
        <v>1.0648148148148149E-3</v>
      </c>
    </row>
    <row r="426" spans="1:12" x14ac:dyDescent="0.25">
      <c r="A426" s="3">
        <v>45715.668321759258</v>
      </c>
      <c r="B426" t="s">
        <v>257</v>
      </c>
      <c r="C426" s="3">
        <v>45715.669016203705</v>
      </c>
      <c r="D426" t="s">
        <v>369</v>
      </c>
      <c r="E426" s="4">
        <v>0.29679831200838092</v>
      </c>
      <c r="F426" s="4">
        <v>351197.48581472191</v>
      </c>
      <c r="G426" s="4">
        <v>351197.78261303389</v>
      </c>
      <c r="H426" s="5">
        <f t="shared" si="3"/>
        <v>0</v>
      </c>
      <c r="I426" t="s">
        <v>205</v>
      </c>
      <c r="J426" t="s">
        <v>30</v>
      </c>
      <c r="K426" s="5">
        <f>60 / 86400</f>
        <v>6.9444444444444447E-4</v>
      </c>
      <c r="L426" s="5">
        <f>12 / 86400</f>
        <v>1.3888888888888889E-4</v>
      </c>
    </row>
    <row r="427" spans="1:12" x14ac:dyDescent="0.25">
      <c r="A427" s="3">
        <v>45715.66915509259</v>
      </c>
      <c r="B427" t="s">
        <v>369</v>
      </c>
      <c r="C427" s="3">
        <v>45715.669386574074</v>
      </c>
      <c r="D427" t="s">
        <v>369</v>
      </c>
      <c r="E427" s="4">
        <v>7.1364601254463199E-3</v>
      </c>
      <c r="F427" s="4">
        <v>351197.7991487832</v>
      </c>
      <c r="G427" s="4">
        <v>351197.80628524331</v>
      </c>
      <c r="H427" s="5">
        <f t="shared" si="3"/>
        <v>0</v>
      </c>
      <c r="I427" t="s">
        <v>135</v>
      </c>
      <c r="J427" t="s">
        <v>67</v>
      </c>
      <c r="K427" s="5">
        <f>20 / 86400</f>
        <v>2.3148148148148149E-4</v>
      </c>
      <c r="L427" s="5">
        <f>20 / 86400</f>
        <v>2.3148148148148149E-4</v>
      </c>
    </row>
    <row r="428" spans="1:12" x14ac:dyDescent="0.25">
      <c r="A428" s="3">
        <v>45715.669618055559</v>
      </c>
      <c r="B428" t="s">
        <v>369</v>
      </c>
      <c r="C428" s="3">
        <v>45715.670081018514</v>
      </c>
      <c r="D428" t="s">
        <v>370</v>
      </c>
      <c r="E428" s="4">
        <v>5.1147422850131991E-2</v>
      </c>
      <c r="F428" s="4">
        <v>351197.95624818344</v>
      </c>
      <c r="G428" s="4">
        <v>351198.00739560626</v>
      </c>
      <c r="H428" s="5">
        <f t="shared" si="3"/>
        <v>0</v>
      </c>
      <c r="I428" t="s">
        <v>131</v>
      </c>
      <c r="J428" t="s">
        <v>99</v>
      </c>
      <c r="K428" s="5">
        <f>40 / 86400</f>
        <v>4.6296296296296298E-4</v>
      </c>
      <c r="L428" s="5">
        <f>20 / 86400</f>
        <v>2.3148148148148149E-4</v>
      </c>
    </row>
    <row r="429" spans="1:12" x14ac:dyDescent="0.25">
      <c r="A429" s="3">
        <v>45715.670312499999</v>
      </c>
      <c r="B429" t="s">
        <v>371</v>
      </c>
      <c r="C429" s="3">
        <v>45715.670775462961</v>
      </c>
      <c r="D429" t="s">
        <v>372</v>
      </c>
      <c r="E429" s="4">
        <v>0.1964410810470581</v>
      </c>
      <c r="F429" s="4">
        <v>351198.02218921093</v>
      </c>
      <c r="G429" s="4">
        <v>351198.21863029199</v>
      </c>
      <c r="H429" s="5">
        <f t="shared" si="3"/>
        <v>0</v>
      </c>
      <c r="I429" t="s">
        <v>219</v>
      </c>
      <c r="J429" t="s">
        <v>30</v>
      </c>
      <c r="K429" s="5">
        <f>40 / 86400</f>
        <v>4.6296296296296298E-4</v>
      </c>
      <c r="L429" s="5">
        <f>20 / 86400</f>
        <v>2.3148148148148149E-4</v>
      </c>
    </row>
    <row r="430" spans="1:12" x14ac:dyDescent="0.25">
      <c r="A430" s="3">
        <v>45715.671006944445</v>
      </c>
      <c r="B430" t="s">
        <v>372</v>
      </c>
      <c r="C430" s="3">
        <v>45715.672951388886</v>
      </c>
      <c r="D430" t="s">
        <v>254</v>
      </c>
      <c r="E430" s="4">
        <v>0.42876901614665985</v>
      </c>
      <c r="F430" s="4">
        <v>351198.29348878714</v>
      </c>
      <c r="G430" s="4">
        <v>351198.72225780325</v>
      </c>
      <c r="H430" s="5">
        <f t="shared" si="3"/>
        <v>0</v>
      </c>
      <c r="I430" t="s">
        <v>173</v>
      </c>
      <c r="J430" t="s">
        <v>135</v>
      </c>
      <c r="K430" s="5">
        <f>168 / 86400</f>
        <v>1.9444444444444444E-3</v>
      </c>
      <c r="L430" s="5">
        <f>20 / 86400</f>
        <v>2.3148148148148149E-4</v>
      </c>
    </row>
    <row r="431" spans="1:12" x14ac:dyDescent="0.25">
      <c r="A431" s="3">
        <v>45715.673182870371</v>
      </c>
      <c r="B431" t="s">
        <v>287</v>
      </c>
      <c r="C431" s="3">
        <v>45715.67387731481</v>
      </c>
      <c r="D431" t="s">
        <v>373</v>
      </c>
      <c r="E431" s="4">
        <v>0.18634396350383758</v>
      </c>
      <c r="F431" s="4">
        <v>351198.75542242313</v>
      </c>
      <c r="G431" s="4">
        <v>351198.94176638662</v>
      </c>
      <c r="H431" s="5">
        <f t="shared" si="3"/>
        <v>0</v>
      </c>
      <c r="I431" t="s">
        <v>34</v>
      </c>
      <c r="J431" t="s">
        <v>141</v>
      </c>
      <c r="K431" s="5">
        <f>60 / 86400</f>
        <v>6.9444444444444447E-4</v>
      </c>
      <c r="L431" s="5">
        <f>20 / 86400</f>
        <v>2.3148148148148149E-4</v>
      </c>
    </row>
    <row r="432" spans="1:12" x14ac:dyDescent="0.25">
      <c r="A432" s="3">
        <v>45715.674108796295</v>
      </c>
      <c r="B432" t="s">
        <v>373</v>
      </c>
      <c r="C432" s="3">
        <v>45715.675439814819</v>
      </c>
      <c r="D432" t="s">
        <v>289</v>
      </c>
      <c r="E432" s="4">
        <v>0.2818564565181732</v>
      </c>
      <c r="F432" s="4">
        <v>351198.94836495706</v>
      </c>
      <c r="G432" s="4">
        <v>351199.23022141354</v>
      </c>
      <c r="H432" s="5">
        <f t="shared" si="3"/>
        <v>0</v>
      </c>
      <c r="I432" t="s">
        <v>141</v>
      </c>
      <c r="J432" t="s">
        <v>135</v>
      </c>
      <c r="K432" s="5">
        <f>115 / 86400</f>
        <v>1.3310185185185185E-3</v>
      </c>
      <c r="L432" s="5">
        <f>20 / 86400</f>
        <v>2.3148148148148149E-4</v>
      </c>
    </row>
    <row r="433" spans="1:12" x14ac:dyDescent="0.25">
      <c r="A433" s="3">
        <v>45715.675671296296</v>
      </c>
      <c r="B433" t="s">
        <v>289</v>
      </c>
      <c r="C433" s="3">
        <v>45715.67905092593</v>
      </c>
      <c r="D433" t="s">
        <v>374</v>
      </c>
      <c r="E433" s="4">
        <v>1.4086347706317901</v>
      </c>
      <c r="F433" s="4">
        <v>351199.27727981453</v>
      </c>
      <c r="G433" s="4">
        <v>351200.68591458519</v>
      </c>
      <c r="H433" s="5">
        <f t="shared" si="3"/>
        <v>0</v>
      </c>
      <c r="I433" t="s">
        <v>169</v>
      </c>
      <c r="J433" t="s">
        <v>19</v>
      </c>
      <c r="K433" s="5">
        <f>292 / 86400</f>
        <v>3.3796296296296296E-3</v>
      </c>
      <c r="L433" s="5">
        <f>60 / 86400</f>
        <v>6.9444444444444447E-4</v>
      </c>
    </row>
    <row r="434" spans="1:12" x14ac:dyDescent="0.25">
      <c r="A434" s="3">
        <v>45715.679745370369</v>
      </c>
      <c r="B434" t="s">
        <v>374</v>
      </c>
      <c r="C434" s="3">
        <v>45715.681550925925</v>
      </c>
      <c r="D434" t="s">
        <v>375</v>
      </c>
      <c r="E434" s="4">
        <v>0.75071325504779818</v>
      </c>
      <c r="F434" s="4">
        <v>351200.70785985631</v>
      </c>
      <c r="G434" s="4">
        <v>351201.45857311133</v>
      </c>
      <c r="H434" s="5">
        <f t="shared" si="3"/>
        <v>0</v>
      </c>
      <c r="I434" t="s">
        <v>129</v>
      </c>
      <c r="J434" t="s">
        <v>19</v>
      </c>
      <c r="K434" s="5">
        <f>156 / 86400</f>
        <v>1.8055555555555555E-3</v>
      </c>
      <c r="L434" s="5">
        <f>78 / 86400</f>
        <v>9.0277777777777774E-4</v>
      </c>
    </row>
    <row r="435" spans="1:12" x14ac:dyDescent="0.25">
      <c r="A435" s="3">
        <v>45715.682453703703</v>
      </c>
      <c r="B435" t="s">
        <v>375</v>
      </c>
      <c r="C435" s="3">
        <v>45715.684548611112</v>
      </c>
      <c r="D435" t="s">
        <v>376</v>
      </c>
      <c r="E435" s="4">
        <v>1.7649739678502083</v>
      </c>
      <c r="F435" s="4">
        <v>351201.468478742</v>
      </c>
      <c r="G435" s="4">
        <v>351203.23345270986</v>
      </c>
      <c r="H435" s="5">
        <f t="shared" si="3"/>
        <v>0</v>
      </c>
      <c r="I435" t="s">
        <v>218</v>
      </c>
      <c r="J435" t="s">
        <v>221</v>
      </c>
      <c r="K435" s="5">
        <f>181 / 86400</f>
        <v>2.0949074074074073E-3</v>
      </c>
      <c r="L435" s="5">
        <f>20 / 86400</f>
        <v>2.3148148148148149E-4</v>
      </c>
    </row>
    <row r="436" spans="1:12" x14ac:dyDescent="0.25">
      <c r="A436" s="3">
        <v>45715.68478009259</v>
      </c>
      <c r="B436" t="s">
        <v>69</v>
      </c>
      <c r="C436" s="3">
        <v>45715.685011574074</v>
      </c>
      <c r="D436" t="s">
        <v>69</v>
      </c>
      <c r="E436" s="4">
        <v>0.18231336778402329</v>
      </c>
      <c r="F436" s="4">
        <v>351203.26046247454</v>
      </c>
      <c r="G436" s="4">
        <v>351203.44277584233</v>
      </c>
      <c r="H436" s="5">
        <f t="shared" ref="H436:H499" si="4">0 / 86400</f>
        <v>0</v>
      </c>
      <c r="I436" t="s">
        <v>176</v>
      </c>
      <c r="J436" t="s">
        <v>173</v>
      </c>
      <c r="K436" s="5">
        <f>20 / 86400</f>
        <v>2.3148148148148149E-4</v>
      </c>
      <c r="L436" s="5">
        <f>20 / 86400</f>
        <v>2.3148148148148149E-4</v>
      </c>
    </row>
    <row r="437" spans="1:12" x14ac:dyDescent="0.25">
      <c r="A437" s="3">
        <v>45715.685243055559</v>
      </c>
      <c r="B437" t="s">
        <v>69</v>
      </c>
      <c r="C437" s="3">
        <v>45715.686168981483</v>
      </c>
      <c r="D437" t="s">
        <v>298</v>
      </c>
      <c r="E437" s="4">
        <v>0.72083754706382752</v>
      </c>
      <c r="F437" s="4">
        <v>351203.52856261219</v>
      </c>
      <c r="G437" s="4">
        <v>351204.24940015923</v>
      </c>
      <c r="H437" s="5">
        <f t="shared" si="4"/>
        <v>0</v>
      </c>
      <c r="I437" t="s">
        <v>198</v>
      </c>
      <c r="J437" t="s">
        <v>169</v>
      </c>
      <c r="K437" s="5">
        <f>80 / 86400</f>
        <v>9.2592592592592596E-4</v>
      </c>
      <c r="L437" s="5">
        <f>1 / 86400</f>
        <v>1.1574074074074073E-5</v>
      </c>
    </row>
    <row r="438" spans="1:12" x14ac:dyDescent="0.25">
      <c r="A438" s="3">
        <v>45715.686180555553</v>
      </c>
      <c r="B438" t="s">
        <v>298</v>
      </c>
      <c r="C438" s="3">
        <v>45715.686412037037</v>
      </c>
      <c r="D438" t="s">
        <v>69</v>
      </c>
      <c r="E438" s="4">
        <v>4.4903273284435274E-2</v>
      </c>
      <c r="F438" s="4">
        <v>351204.25043249642</v>
      </c>
      <c r="G438" s="4">
        <v>351204.29533576971</v>
      </c>
      <c r="H438" s="5">
        <f t="shared" si="4"/>
        <v>0</v>
      </c>
      <c r="I438" t="s">
        <v>99</v>
      </c>
      <c r="J438" t="s">
        <v>155</v>
      </c>
      <c r="K438" s="5">
        <f>20 / 86400</f>
        <v>2.3148148148148149E-4</v>
      </c>
      <c r="L438" s="5">
        <f>10 / 86400</f>
        <v>1.1574074074074075E-4</v>
      </c>
    </row>
    <row r="439" spans="1:12" x14ac:dyDescent="0.25">
      <c r="A439" s="3">
        <v>45715.686527777776</v>
      </c>
      <c r="B439" t="s">
        <v>298</v>
      </c>
      <c r="C439" s="3">
        <v>45715.688460648147</v>
      </c>
      <c r="D439" t="s">
        <v>299</v>
      </c>
      <c r="E439" s="4">
        <v>0.23848416519165039</v>
      </c>
      <c r="F439" s="4">
        <v>351204.29884501727</v>
      </c>
      <c r="G439" s="4">
        <v>351204.53732918244</v>
      </c>
      <c r="H439" s="5">
        <f t="shared" si="4"/>
        <v>0</v>
      </c>
      <c r="I439" t="s">
        <v>141</v>
      </c>
      <c r="J439" t="s">
        <v>99</v>
      </c>
      <c r="K439" s="5">
        <f>167 / 86400</f>
        <v>1.9328703703703704E-3</v>
      </c>
      <c r="L439" s="5">
        <f>20 / 86400</f>
        <v>2.3148148148148149E-4</v>
      </c>
    </row>
    <row r="440" spans="1:12" x14ac:dyDescent="0.25">
      <c r="A440" s="3">
        <v>45715.688692129625</v>
      </c>
      <c r="B440" t="s">
        <v>300</v>
      </c>
      <c r="C440" s="3">
        <v>45715.689386574071</v>
      </c>
      <c r="D440" t="s">
        <v>377</v>
      </c>
      <c r="E440" s="4">
        <v>5.5782881081104276E-2</v>
      </c>
      <c r="F440" s="4">
        <v>351204.5656478756</v>
      </c>
      <c r="G440" s="4">
        <v>351204.6214307567</v>
      </c>
      <c r="H440" s="5">
        <f t="shared" si="4"/>
        <v>0</v>
      </c>
      <c r="I440" t="s">
        <v>155</v>
      </c>
      <c r="J440" t="s">
        <v>136</v>
      </c>
      <c r="K440" s="5">
        <f>60 / 86400</f>
        <v>6.9444444444444447E-4</v>
      </c>
      <c r="L440" s="5">
        <f>9 / 86400</f>
        <v>1.0416666666666667E-4</v>
      </c>
    </row>
    <row r="441" spans="1:12" x14ac:dyDescent="0.25">
      <c r="A441" s="3">
        <v>45715.68949074074</v>
      </c>
      <c r="B441" t="s">
        <v>377</v>
      </c>
      <c r="C441" s="3">
        <v>45715.690046296295</v>
      </c>
      <c r="D441" t="s">
        <v>378</v>
      </c>
      <c r="E441" s="4">
        <v>5.9340712070465089E-2</v>
      </c>
      <c r="F441" s="4">
        <v>351204.638485212</v>
      </c>
      <c r="G441" s="4">
        <v>351204.69782592403</v>
      </c>
      <c r="H441" s="5">
        <f t="shared" si="4"/>
        <v>0</v>
      </c>
      <c r="I441" t="s">
        <v>155</v>
      </c>
      <c r="J441" t="s">
        <v>132</v>
      </c>
      <c r="K441" s="5">
        <f>48 / 86400</f>
        <v>5.5555555555555556E-4</v>
      </c>
      <c r="L441" s="5">
        <f>34 / 86400</f>
        <v>3.9351851851851852E-4</v>
      </c>
    </row>
    <row r="442" spans="1:12" x14ac:dyDescent="0.25">
      <c r="A442" s="3">
        <v>45715.690439814818</v>
      </c>
      <c r="B442" t="s">
        <v>378</v>
      </c>
      <c r="C442" s="3">
        <v>45715.691134259258</v>
      </c>
      <c r="D442" t="s">
        <v>379</v>
      </c>
      <c r="E442" s="4">
        <v>0.10223255342245102</v>
      </c>
      <c r="F442" s="4">
        <v>351204.71282058</v>
      </c>
      <c r="G442" s="4">
        <v>351204.81505313341</v>
      </c>
      <c r="H442" s="5">
        <f t="shared" si="4"/>
        <v>0</v>
      </c>
      <c r="I442" t="s">
        <v>28</v>
      </c>
      <c r="J442" t="s">
        <v>123</v>
      </c>
      <c r="K442" s="5">
        <f>60 / 86400</f>
        <v>6.9444444444444447E-4</v>
      </c>
      <c r="L442" s="5">
        <f>20 / 86400</f>
        <v>2.3148148148148149E-4</v>
      </c>
    </row>
    <row r="443" spans="1:12" x14ac:dyDescent="0.25">
      <c r="A443" s="3">
        <v>45715.691365740742</v>
      </c>
      <c r="B443" t="s">
        <v>380</v>
      </c>
      <c r="C443" s="3">
        <v>45715.692060185189</v>
      </c>
      <c r="D443" t="s">
        <v>381</v>
      </c>
      <c r="E443" s="4">
        <v>0.12939865672588349</v>
      </c>
      <c r="F443" s="4">
        <v>351204.8573061307</v>
      </c>
      <c r="G443" s="4">
        <v>351204.98670478741</v>
      </c>
      <c r="H443" s="5">
        <f t="shared" si="4"/>
        <v>0</v>
      </c>
      <c r="I443" t="s">
        <v>19</v>
      </c>
      <c r="J443" t="s">
        <v>155</v>
      </c>
      <c r="K443" s="5">
        <f>60 / 86400</f>
        <v>6.9444444444444447E-4</v>
      </c>
      <c r="L443" s="5">
        <f>80 / 86400</f>
        <v>9.2592592592592596E-4</v>
      </c>
    </row>
    <row r="444" spans="1:12" x14ac:dyDescent="0.25">
      <c r="A444" s="3">
        <v>45715.692986111113</v>
      </c>
      <c r="B444" t="s">
        <v>109</v>
      </c>
      <c r="C444" s="3">
        <v>45715.693449074075</v>
      </c>
      <c r="D444" t="s">
        <v>109</v>
      </c>
      <c r="E444" s="4">
        <v>0.20007079678773881</v>
      </c>
      <c r="F444" s="4">
        <v>351205.36493605428</v>
      </c>
      <c r="G444" s="4">
        <v>351205.5650068511</v>
      </c>
      <c r="H444" s="5">
        <f t="shared" si="4"/>
        <v>0</v>
      </c>
      <c r="I444" t="s">
        <v>211</v>
      </c>
      <c r="J444" t="s">
        <v>30</v>
      </c>
      <c r="K444" s="5">
        <f>40 / 86400</f>
        <v>4.6296296296296298E-4</v>
      </c>
      <c r="L444" s="5">
        <f>60 / 86400</f>
        <v>6.9444444444444447E-4</v>
      </c>
    </row>
    <row r="445" spans="1:12" x14ac:dyDescent="0.25">
      <c r="A445" s="3">
        <v>45715.694143518514</v>
      </c>
      <c r="B445" t="s">
        <v>382</v>
      </c>
      <c r="C445" s="3">
        <v>45715.694374999999</v>
      </c>
      <c r="D445" t="s">
        <v>382</v>
      </c>
      <c r="E445" s="4">
        <v>3.8021933436393736E-3</v>
      </c>
      <c r="F445" s="4">
        <v>351205.58900932252</v>
      </c>
      <c r="G445" s="4">
        <v>351205.59281151585</v>
      </c>
      <c r="H445" s="5">
        <f t="shared" si="4"/>
        <v>0</v>
      </c>
      <c r="I445" t="s">
        <v>67</v>
      </c>
      <c r="J445" t="s">
        <v>67</v>
      </c>
      <c r="K445" s="5">
        <f>20 / 86400</f>
        <v>2.3148148148148149E-4</v>
      </c>
      <c r="L445" s="5">
        <f>120 / 86400</f>
        <v>1.3888888888888889E-3</v>
      </c>
    </row>
    <row r="446" spans="1:12" x14ac:dyDescent="0.25">
      <c r="A446" s="3">
        <v>45715.695763888885</v>
      </c>
      <c r="B446" t="s">
        <v>382</v>
      </c>
      <c r="C446" s="3">
        <v>45715.69599537037</v>
      </c>
      <c r="D446" t="s">
        <v>109</v>
      </c>
      <c r="E446" s="4">
        <v>6.6273203134536746E-2</v>
      </c>
      <c r="F446" s="4">
        <v>351205.62997247832</v>
      </c>
      <c r="G446" s="4">
        <v>351205.69624568144</v>
      </c>
      <c r="H446" s="5">
        <f t="shared" si="4"/>
        <v>0</v>
      </c>
      <c r="I446" t="s">
        <v>132</v>
      </c>
      <c r="J446" t="s">
        <v>85</v>
      </c>
      <c r="K446" s="5">
        <f>20 / 86400</f>
        <v>2.3148148148148149E-4</v>
      </c>
      <c r="L446" s="5">
        <f>40 / 86400</f>
        <v>4.6296296296296298E-4</v>
      </c>
    </row>
    <row r="447" spans="1:12" x14ac:dyDescent="0.25">
      <c r="A447" s="3">
        <v>45715.696458333332</v>
      </c>
      <c r="B447" t="s">
        <v>301</v>
      </c>
      <c r="C447" s="3">
        <v>45715.701527777783</v>
      </c>
      <c r="D447" t="s">
        <v>383</v>
      </c>
      <c r="E447" s="4">
        <v>2.4587458540201186</v>
      </c>
      <c r="F447" s="4">
        <v>351205.71022068599</v>
      </c>
      <c r="G447" s="4">
        <v>351208.16896653996</v>
      </c>
      <c r="H447" s="5">
        <f t="shared" si="4"/>
        <v>0</v>
      </c>
      <c r="I447" t="s">
        <v>236</v>
      </c>
      <c r="J447" t="s">
        <v>116</v>
      </c>
      <c r="K447" s="5">
        <f>438 / 86400</f>
        <v>5.0694444444444441E-3</v>
      </c>
      <c r="L447" s="5">
        <f>40 / 86400</f>
        <v>4.6296296296296298E-4</v>
      </c>
    </row>
    <row r="448" spans="1:12" x14ac:dyDescent="0.25">
      <c r="A448" s="3">
        <v>45715.701990740738</v>
      </c>
      <c r="B448" t="s">
        <v>384</v>
      </c>
      <c r="C448" s="3">
        <v>45715.706412037034</v>
      </c>
      <c r="D448" t="s">
        <v>234</v>
      </c>
      <c r="E448" s="4">
        <v>2.4685775622725488</v>
      </c>
      <c r="F448" s="4">
        <v>351208.20488635165</v>
      </c>
      <c r="G448" s="4">
        <v>351210.6734639139</v>
      </c>
      <c r="H448" s="5">
        <f t="shared" si="4"/>
        <v>0</v>
      </c>
      <c r="I448" t="s">
        <v>152</v>
      </c>
      <c r="J448" t="s">
        <v>163</v>
      </c>
      <c r="K448" s="5">
        <f>382 / 86400</f>
        <v>4.4212962962962964E-3</v>
      </c>
      <c r="L448" s="5">
        <f>80 / 86400</f>
        <v>9.2592592592592596E-4</v>
      </c>
    </row>
    <row r="449" spans="1:12" x14ac:dyDescent="0.25">
      <c r="A449" s="3">
        <v>45715.707337962958</v>
      </c>
      <c r="B449" t="s">
        <v>130</v>
      </c>
      <c r="C449" s="3">
        <v>45715.707569444443</v>
      </c>
      <c r="D449" t="s">
        <v>229</v>
      </c>
      <c r="E449" s="4">
        <v>0.12098501896858216</v>
      </c>
      <c r="F449" s="4">
        <v>351211.27214125515</v>
      </c>
      <c r="G449" s="4">
        <v>351211.39312627411</v>
      </c>
      <c r="H449" s="5">
        <f t="shared" si="4"/>
        <v>0</v>
      </c>
      <c r="I449" t="s">
        <v>123</v>
      </c>
      <c r="J449" t="s">
        <v>34</v>
      </c>
      <c r="K449" s="5">
        <f>20 / 86400</f>
        <v>2.3148148148148149E-4</v>
      </c>
      <c r="L449" s="5">
        <f>13 / 86400</f>
        <v>1.5046296296296297E-4</v>
      </c>
    </row>
    <row r="450" spans="1:12" x14ac:dyDescent="0.25">
      <c r="A450" s="3">
        <v>45715.707719907412</v>
      </c>
      <c r="B450" t="s">
        <v>305</v>
      </c>
      <c r="C450" s="3">
        <v>45715.708344907413</v>
      </c>
      <c r="D450" t="s">
        <v>228</v>
      </c>
      <c r="E450" s="4">
        <v>0.21634987509250642</v>
      </c>
      <c r="F450" s="4">
        <v>351211.41007804871</v>
      </c>
      <c r="G450" s="4">
        <v>351211.62642792379</v>
      </c>
      <c r="H450" s="5">
        <f t="shared" si="4"/>
        <v>0</v>
      </c>
      <c r="I450" t="s">
        <v>116</v>
      </c>
      <c r="J450" t="s">
        <v>41</v>
      </c>
      <c r="K450" s="5">
        <f>54 / 86400</f>
        <v>6.2500000000000001E-4</v>
      </c>
      <c r="L450" s="5">
        <f>11 / 86400</f>
        <v>1.273148148148148E-4</v>
      </c>
    </row>
    <row r="451" spans="1:12" x14ac:dyDescent="0.25">
      <c r="A451" s="3">
        <v>45715.708472222221</v>
      </c>
      <c r="B451" t="s">
        <v>228</v>
      </c>
      <c r="C451" s="3">
        <v>45715.708703703705</v>
      </c>
      <c r="D451" t="s">
        <v>228</v>
      </c>
      <c r="E451" s="4">
        <v>2.5038878738880159E-2</v>
      </c>
      <c r="F451" s="4">
        <v>351211.64543890517</v>
      </c>
      <c r="G451" s="4">
        <v>351211.67047778389</v>
      </c>
      <c r="H451" s="5">
        <f t="shared" si="4"/>
        <v>0</v>
      </c>
      <c r="I451" t="s">
        <v>62</v>
      </c>
      <c r="J451" t="s">
        <v>99</v>
      </c>
      <c r="K451" s="5">
        <f>20 / 86400</f>
        <v>2.3148148148148149E-4</v>
      </c>
      <c r="L451" s="5">
        <f>12 / 86400</f>
        <v>1.3888888888888889E-4</v>
      </c>
    </row>
    <row r="452" spans="1:12" x14ac:dyDescent="0.25">
      <c r="A452" s="3">
        <v>45715.70884259259</v>
      </c>
      <c r="B452" t="s">
        <v>233</v>
      </c>
      <c r="C452" s="3">
        <v>45715.711111111115</v>
      </c>
      <c r="D452" t="s">
        <v>385</v>
      </c>
      <c r="E452" s="4">
        <v>0.23516773509979247</v>
      </c>
      <c r="F452" s="4">
        <v>351211.68196050363</v>
      </c>
      <c r="G452" s="4">
        <v>351211.91712823871</v>
      </c>
      <c r="H452" s="5">
        <f t="shared" si="4"/>
        <v>0</v>
      </c>
      <c r="I452" t="s">
        <v>39</v>
      </c>
      <c r="J452" t="s">
        <v>132</v>
      </c>
      <c r="K452" s="5">
        <f>196 / 86400</f>
        <v>2.2685185185185187E-3</v>
      </c>
      <c r="L452" s="5">
        <f>20 / 86400</f>
        <v>2.3148148148148149E-4</v>
      </c>
    </row>
    <row r="453" spans="1:12" x14ac:dyDescent="0.25">
      <c r="A453" s="3">
        <v>45715.711342592593</v>
      </c>
      <c r="B453" t="s">
        <v>385</v>
      </c>
      <c r="C453" s="3">
        <v>45715.712766203702</v>
      </c>
      <c r="D453" t="s">
        <v>386</v>
      </c>
      <c r="E453" s="4">
        <v>0.62817772936820981</v>
      </c>
      <c r="F453" s="4">
        <v>351211.91911296762</v>
      </c>
      <c r="G453" s="4">
        <v>351212.547290697</v>
      </c>
      <c r="H453" s="5">
        <f t="shared" si="4"/>
        <v>0</v>
      </c>
      <c r="I453" t="s">
        <v>221</v>
      </c>
      <c r="J453" t="s">
        <v>30</v>
      </c>
      <c r="K453" s="5">
        <f>123 / 86400</f>
        <v>1.4236111111111112E-3</v>
      </c>
      <c r="L453" s="5">
        <f>35 / 86400</f>
        <v>4.0509259259259258E-4</v>
      </c>
    </row>
    <row r="454" spans="1:12" x14ac:dyDescent="0.25">
      <c r="A454" s="3">
        <v>45715.713171296295</v>
      </c>
      <c r="B454" t="s">
        <v>387</v>
      </c>
      <c r="C454" s="3">
        <v>45715.714560185181</v>
      </c>
      <c r="D454" t="s">
        <v>84</v>
      </c>
      <c r="E454" s="4">
        <v>0.63608251821994777</v>
      </c>
      <c r="F454" s="4">
        <v>351212.55713124236</v>
      </c>
      <c r="G454" s="4">
        <v>351213.19321376056</v>
      </c>
      <c r="H454" s="5">
        <f t="shared" si="4"/>
        <v>0</v>
      </c>
      <c r="I454" t="s">
        <v>202</v>
      </c>
      <c r="J454" t="s">
        <v>62</v>
      </c>
      <c r="K454" s="5">
        <f>120 / 86400</f>
        <v>1.3888888888888889E-3</v>
      </c>
      <c r="L454" s="5">
        <f>40 / 86400</f>
        <v>4.6296296296296298E-4</v>
      </c>
    </row>
    <row r="455" spans="1:12" x14ac:dyDescent="0.25">
      <c r="A455" s="3">
        <v>45715.71502314815</v>
      </c>
      <c r="B455" t="s">
        <v>84</v>
      </c>
      <c r="C455" s="3">
        <v>45715.717222222222</v>
      </c>
      <c r="D455" t="s">
        <v>84</v>
      </c>
      <c r="E455" s="4">
        <v>0.82941602611541743</v>
      </c>
      <c r="F455" s="4">
        <v>351213.31324700074</v>
      </c>
      <c r="G455" s="4">
        <v>351214.14266302687</v>
      </c>
      <c r="H455" s="5">
        <f t="shared" si="4"/>
        <v>0</v>
      </c>
      <c r="I455" t="s">
        <v>196</v>
      </c>
      <c r="J455" t="s">
        <v>26</v>
      </c>
      <c r="K455" s="5">
        <f>190 / 86400</f>
        <v>2.1990740740740742E-3</v>
      </c>
      <c r="L455" s="5">
        <f>12 / 86400</f>
        <v>1.3888888888888889E-4</v>
      </c>
    </row>
    <row r="456" spans="1:12" x14ac:dyDescent="0.25">
      <c r="A456" s="3">
        <v>45715.717361111107</v>
      </c>
      <c r="B456" t="s">
        <v>84</v>
      </c>
      <c r="C456" s="3">
        <v>45715.72111111111</v>
      </c>
      <c r="D456" t="s">
        <v>82</v>
      </c>
      <c r="E456" s="4">
        <v>1.7720411242246628</v>
      </c>
      <c r="F456" s="4">
        <v>351214.16478411586</v>
      </c>
      <c r="G456" s="4">
        <v>351215.93682524009</v>
      </c>
      <c r="H456" s="5">
        <f t="shared" si="4"/>
        <v>0</v>
      </c>
      <c r="I456" t="s">
        <v>238</v>
      </c>
      <c r="J456" t="s">
        <v>116</v>
      </c>
      <c r="K456" s="5">
        <f>324 / 86400</f>
        <v>3.7499999999999999E-3</v>
      </c>
      <c r="L456" s="5">
        <f>40 / 86400</f>
        <v>4.6296296296296298E-4</v>
      </c>
    </row>
    <row r="457" spans="1:12" x14ac:dyDescent="0.25">
      <c r="A457" s="3">
        <v>45715.721574074079</v>
      </c>
      <c r="B457" t="s">
        <v>82</v>
      </c>
      <c r="C457" s="3">
        <v>45715.721805555557</v>
      </c>
      <c r="D457" t="s">
        <v>82</v>
      </c>
      <c r="E457" s="4">
        <v>1.8083010911941529E-3</v>
      </c>
      <c r="F457" s="4">
        <v>351215.96934970649</v>
      </c>
      <c r="G457" s="4">
        <v>351215.97115800757</v>
      </c>
      <c r="H457" s="5">
        <f t="shared" si="4"/>
        <v>0</v>
      </c>
      <c r="I457" t="s">
        <v>67</v>
      </c>
      <c r="J457" t="s">
        <v>21</v>
      </c>
      <c r="K457" s="5">
        <f>20 / 86400</f>
        <v>2.3148148148148149E-4</v>
      </c>
      <c r="L457" s="5">
        <f>20 / 86400</f>
        <v>2.3148148148148149E-4</v>
      </c>
    </row>
    <row r="458" spans="1:12" x14ac:dyDescent="0.25">
      <c r="A458" s="3">
        <v>45715.722037037034</v>
      </c>
      <c r="B458" t="s">
        <v>82</v>
      </c>
      <c r="C458" s="3">
        <v>45715.723425925928</v>
      </c>
      <c r="D458" t="s">
        <v>82</v>
      </c>
      <c r="E458" s="4">
        <v>0.90116416674852373</v>
      </c>
      <c r="F458" s="4">
        <v>351215.97223500698</v>
      </c>
      <c r="G458" s="4">
        <v>351216.87339917372</v>
      </c>
      <c r="H458" s="5">
        <f t="shared" si="4"/>
        <v>0</v>
      </c>
      <c r="I458" t="s">
        <v>207</v>
      </c>
      <c r="J458" t="s">
        <v>131</v>
      </c>
      <c r="K458" s="5">
        <f>120 / 86400</f>
        <v>1.3888888888888889E-3</v>
      </c>
      <c r="L458" s="5">
        <f>28 / 86400</f>
        <v>3.2407407407407406E-4</v>
      </c>
    </row>
    <row r="459" spans="1:12" x14ac:dyDescent="0.25">
      <c r="A459" s="3">
        <v>45715.723750000005</v>
      </c>
      <c r="B459" t="s">
        <v>82</v>
      </c>
      <c r="C459" s="3">
        <v>45715.726064814815</v>
      </c>
      <c r="D459" t="s">
        <v>82</v>
      </c>
      <c r="E459" s="4">
        <v>1.4298190202116967</v>
      </c>
      <c r="F459" s="4">
        <v>351216.88053268718</v>
      </c>
      <c r="G459" s="4">
        <v>351218.31035170739</v>
      </c>
      <c r="H459" s="5">
        <f t="shared" si="4"/>
        <v>0</v>
      </c>
      <c r="I459" t="s">
        <v>172</v>
      </c>
      <c r="J459" t="s">
        <v>98</v>
      </c>
      <c r="K459" s="5">
        <f>200 / 86400</f>
        <v>2.3148148148148147E-3</v>
      </c>
      <c r="L459" s="5">
        <f>40 / 86400</f>
        <v>4.6296296296296298E-4</v>
      </c>
    </row>
    <row r="460" spans="1:12" x14ac:dyDescent="0.25">
      <c r="A460" s="3">
        <v>45715.726527777777</v>
      </c>
      <c r="B460" t="s">
        <v>82</v>
      </c>
      <c r="C460" s="3">
        <v>45715.72791666667</v>
      </c>
      <c r="D460" t="s">
        <v>82</v>
      </c>
      <c r="E460" s="4">
        <v>1.0177774050831794</v>
      </c>
      <c r="F460" s="4">
        <v>351218.33653551579</v>
      </c>
      <c r="G460" s="4">
        <v>351219.35431292088</v>
      </c>
      <c r="H460" s="5">
        <f t="shared" si="4"/>
        <v>0</v>
      </c>
      <c r="I460" t="s">
        <v>216</v>
      </c>
      <c r="J460" t="s">
        <v>179</v>
      </c>
      <c r="K460" s="5">
        <f>120 / 86400</f>
        <v>1.3888888888888889E-3</v>
      </c>
      <c r="L460" s="5">
        <f>26 / 86400</f>
        <v>3.0092592592592595E-4</v>
      </c>
    </row>
    <row r="461" spans="1:12" x14ac:dyDescent="0.25">
      <c r="A461" s="3">
        <v>45715.728217592594</v>
      </c>
      <c r="B461" t="s">
        <v>82</v>
      </c>
      <c r="C461" s="3">
        <v>45715.729143518518</v>
      </c>
      <c r="D461" t="s">
        <v>82</v>
      </c>
      <c r="E461" s="4">
        <v>0.17140172302722931</v>
      </c>
      <c r="F461" s="4">
        <v>351219.37352645735</v>
      </c>
      <c r="G461" s="4">
        <v>351219.5449281804</v>
      </c>
      <c r="H461" s="5">
        <f t="shared" si="4"/>
        <v>0</v>
      </c>
      <c r="I461" t="s">
        <v>39</v>
      </c>
      <c r="J461" t="s">
        <v>155</v>
      </c>
      <c r="K461" s="5">
        <f>80 / 86400</f>
        <v>9.2592592592592596E-4</v>
      </c>
      <c r="L461" s="5">
        <f>20 / 86400</f>
        <v>2.3148148148148149E-4</v>
      </c>
    </row>
    <row r="462" spans="1:12" x14ac:dyDescent="0.25">
      <c r="A462" s="3">
        <v>45715.729374999995</v>
      </c>
      <c r="B462" t="s">
        <v>82</v>
      </c>
      <c r="C462" s="3">
        <v>45715.731365740736</v>
      </c>
      <c r="D462" t="s">
        <v>311</v>
      </c>
      <c r="E462" s="4">
        <v>0.96956497800350194</v>
      </c>
      <c r="F462" s="4">
        <v>351219.55701242317</v>
      </c>
      <c r="G462" s="4">
        <v>351220.52657740115</v>
      </c>
      <c r="H462" s="5">
        <f t="shared" si="4"/>
        <v>0</v>
      </c>
      <c r="I462" t="s">
        <v>238</v>
      </c>
      <c r="J462" t="s">
        <v>116</v>
      </c>
      <c r="K462" s="5">
        <f>172 / 86400</f>
        <v>1.9907407407407408E-3</v>
      </c>
      <c r="L462" s="5">
        <f>24 / 86400</f>
        <v>2.7777777777777778E-4</v>
      </c>
    </row>
    <row r="463" spans="1:12" x14ac:dyDescent="0.25">
      <c r="A463" s="3">
        <v>45715.73164351852</v>
      </c>
      <c r="B463" t="s">
        <v>311</v>
      </c>
      <c r="C463" s="3">
        <v>45715.732569444444</v>
      </c>
      <c r="D463" t="s">
        <v>112</v>
      </c>
      <c r="E463" s="4">
        <v>0.82654877978563313</v>
      </c>
      <c r="F463" s="4">
        <v>351220.53177653142</v>
      </c>
      <c r="G463" s="4">
        <v>351221.35832531116</v>
      </c>
      <c r="H463" s="5">
        <f t="shared" si="4"/>
        <v>0</v>
      </c>
      <c r="I463" t="s">
        <v>162</v>
      </c>
      <c r="J463" t="s">
        <v>240</v>
      </c>
      <c r="K463" s="5">
        <f>80 / 86400</f>
        <v>9.2592592592592596E-4</v>
      </c>
      <c r="L463" s="5">
        <f>20 / 86400</f>
        <v>2.3148148148148149E-4</v>
      </c>
    </row>
    <row r="464" spans="1:12" x14ac:dyDescent="0.25">
      <c r="A464" s="3">
        <v>45715.732800925922</v>
      </c>
      <c r="B464" t="s">
        <v>112</v>
      </c>
      <c r="C464" s="3">
        <v>45715.733263888891</v>
      </c>
      <c r="D464" t="s">
        <v>112</v>
      </c>
      <c r="E464" s="4">
        <v>3.2983884811401366E-3</v>
      </c>
      <c r="F464" s="4">
        <v>351221.36114396359</v>
      </c>
      <c r="G464" s="4">
        <v>351221.36444235203</v>
      </c>
      <c r="H464" s="5">
        <f t="shared" si="4"/>
        <v>0</v>
      </c>
      <c r="I464" t="s">
        <v>67</v>
      </c>
      <c r="J464" t="s">
        <v>21</v>
      </c>
      <c r="K464" s="5">
        <f>40 / 86400</f>
        <v>4.6296296296296298E-4</v>
      </c>
      <c r="L464" s="5">
        <f>4 / 86400</f>
        <v>4.6296296296296294E-5</v>
      </c>
    </row>
    <row r="465" spans="1:12" x14ac:dyDescent="0.25">
      <c r="A465" s="3">
        <v>45715.733310185184</v>
      </c>
      <c r="B465" t="s">
        <v>112</v>
      </c>
      <c r="C465" s="3">
        <v>45715.733541666668</v>
      </c>
      <c r="D465" t="s">
        <v>112</v>
      </c>
      <c r="E465" s="4">
        <v>6.4452093243598935E-3</v>
      </c>
      <c r="F465" s="4">
        <v>351221.36702685972</v>
      </c>
      <c r="G465" s="4">
        <v>351221.37347206904</v>
      </c>
      <c r="H465" s="5">
        <f t="shared" si="4"/>
        <v>0</v>
      </c>
      <c r="I465" t="s">
        <v>99</v>
      </c>
      <c r="J465" t="s">
        <v>67</v>
      </c>
      <c r="K465" s="5">
        <f>20 / 86400</f>
        <v>2.3148148148148149E-4</v>
      </c>
      <c r="L465" s="5">
        <f>3 / 86400</f>
        <v>3.4722222222222222E-5</v>
      </c>
    </row>
    <row r="466" spans="1:12" x14ac:dyDescent="0.25">
      <c r="A466" s="3">
        <v>45715.733576388884</v>
      </c>
      <c r="B466" t="s">
        <v>388</v>
      </c>
      <c r="C466" s="3">
        <v>45715.734270833331</v>
      </c>
      <c r="D466" t="s">
        <v>203</v>
      </c>
      <c r="E466" s="4">
        <v>0.30231202816963199</v>
      </c>
      <c r="F466" s="4">
        <v>351221.37647545658</v>
      </c>
      <c r="G466" s="4">
        <v>351221.67878748477</v>
      </c>
      <c r="H466" s="5">
        <f t="shared" si="4"/>
        <v>0</v>
      </c>
      <c r="I466" t="s">
        <v>140</v>
      </c>
      <c r="J466" t="s">
        <v>30</v>
      </c>
      <c r="K466" s="5">
        <f>60 / 86400</f>
        <v>6.9444444444444447E-4</v>
      </c>
      <c r="L466" s="5">
        <f>7 / 86400</f>
        <v>8.1018518518518516E-5</v>
      </c>
    </row>
    <row r="467" spans="1:12" x14ac:dyDescent="0.25">
      <c r="A467" s="3">
        <v>45715.734351851846</v>
      </c>
      <c r="B467" t="s">
        <v>203</v>
      </c>
      <c r="C467" s="3">
        <v>45715.734583333338</v>
      </c>
      <c r="D467" t="s">
        <v>77</v>
      </c>
      <c r="E467" s="4">
        <v>9.9267440199851995E-2</v>
      </c>
      <c r="F467" s="4">
        <v>351221.68201277539</v>
      </c>
      <c r="G467" s="4">
        <v>351221.78128021554</v>
      </c>
      <c r="H467" s="5">
        <f t="shared" si="4"/>
        <v>0</v>
      </c>
      <c r="I467" t="s">
        <v>99</v>
      </c>
      <c r="J467" t="s">
        <v>30</v>
      </c>
      <c r="K467" s="5">
        <f>20 / 86400</f>
        <v>2.3148148148148149E-4</v>
      </c>
      <c r="L467" s="5">
        <f>20 / 86400</f>
        <v>2.3148148148148149E-4</v>
      </c>
    </row>
    <row r="468" spans="1:12" x14ac:dyDescent="0.25">
      <c r="A468" s="3">
        <v>45715.734814814816</v>
      </c>
      <c r="B468" t="s">
        <v>203</v>
      </c>
      <c r="C468" s="3">
        <v>45715.73574074074</v>
      </c>
      <c r="D468" t="s">
        <v>160</v>
      </c>
      <c r="E468" s="4">
        <v>0.8889632806777954</v>
      </c>
      <c r="F468" s="4">
        <v>351221.87094280729</v>
      </c>
      <c r="G468" s="4">
        <v>351222.759906088</v>
      </c>
      <c r="H468" s="5">
        <f t="shared" si="4"/>
        <v>0</v>
      </c>
      <c r="I468" t="s">
        <v>189</v>
      </c>
      <c r="J468" t="s">
        <v>205</v>
      </c>
      <c r="K468" s="5">
        <f>80 / 86400</f>
        <v>9.2592592592592596E-4</v>
      </c>
      <c r="L468" s="5">
        <f>20 / 86400</f>
        <v>2.3148148148148149E-4</v>
      </c>
    </row>
    <row r="469" spans="1:12" x14ac:dyDescent="0.25">
      <c r="A469" s="3">
        <v>45715.735972222217</v>
      </c>
      <c r="B469" t="s">
        <v>63</v>
      </c>
      <c r="C469" s="3">
        <v>45715.737361111111</v>
      </c>
      <c r="D469" t="s">
        <v>160</v>
      </c>
      <c r="E469" s="4">
        <v>0.91197340434789653</v>
      </c>
      <c r="F469" s="4">
        <v>351222.90321242</v>
      </c>
      <c r="G469" s="4">
        <v>351223.81518582435</v>
      </c>
      <c r="H469" s="5">
        <f t="shared" si="4"/>
        <v>0</v>
      </c>
      <c r="I469" t="s">
        <v>198</v>
      </c>
      <c r="J469" t="s">
        <v>131</v>
      </c>
      <c r="K469" s="5">
        <f>120 / 86400</f>
        <v>1.3888888888888889E-3</v>
      </c>
      <c r="L469" s="5">
        <f>10 / 86400</f>
        <v>1.1574074074074075E-4</v>
      </c>
    </row>
    <row r="470" spans="1:12" x14ac:dyDescent="0.25">
      <c r="A470" s="3">
        <v>45715.737476851849</v>
      </c>
      <c r="B470" t="s">
        <v>160</v>
      </c>
      <c r="C470" s="3">
        <v>45715.738171296296</v>
      </c>
      <c r="D470" t="s">
        <v>206</v>
      </c>
      <c r="E470" s="4">
        <v>5.1828766524791715E-2</v>
      </c>
      <c r="F470" s="4">
        <v>351223.81959311891</v>
      </c>
      <c r="G470" s="4">
        <v>351223.87142188544</v>
      </c>
      <c r="H470" s="5">
        <f t="shared" si="4"/>
        <v>0</v>
      </c>
      <c r="I470" t="s">
        <v>123</v>
      </c>
      <c r="J470" t="s">
        <v>136</v>
      </c>
      <c r="K470" s="5">
        <f>60 / 86400</f>
        <v>6.9444444444444447E-4</v>
      </c>
      <c r="L470" s="5">
        <f>11 / 86400</f>
        <v>1.273148148148148E-4</v>
      </c>
    </row>
    <row r="471" spans="1:12" x14ac:dyDescent="0.25">
      <c r="A471" s="3">
        <v>45715.738298611112</v>
      </c>
      <c r="B471" t="s">
        <v>206</v>
      </c>
      <c r="C471" s="3">
        <v>45715.738530092596</v>
      </c>
      <c r="D471" t="s">
        <v>206</v>
      </c>
      <c r="E471" s="4">
        <v>7.4943923354148867E-3</v>
      </c>
      <c r="F471" s="4">
        <v>351223.87559677032</v>
      </c>
      <c r="G471" s="4">
        <v>351223.88309116266</v>
      </c>
      <c r="H471" s="5">
        <f t="shared" si="4"/>
        <v>0</v>
      </c>
      <c r="I471" t="s">
        <v>99</v>
      </c>
      <c r="J471" t="s">
        <v>67</v>
      </c>
      <c r="K471" s="5">
        <f>20 / 86400</f>
        <v>2.3148148148148149E-4</v>
      </c>
      <c r="L471" s="5">
        <f>40 / 86400</f>
        <v>4.6296296296296298E-4</v>
      </c>
    </row>
    <row r="472" spans="1:12" x14ac:dyDescent="0.25">
      <c r="A472" s="3">
        <v>45715.738993055551</v>
      </c>
      <c r="B472" t="s">
        <v>206</v>
      </c>
      <c r="C472" s="3">
        <v>45715.739872685182</v>
      </c>
      <c r="D472" t="s">
        <v>93</v>
      </c>
      <c r="E472" s="4">
        <v>0.59830759584903714</v>
      </c>
      <c r="F472" s="4">
        <v>351223.95004452631</v>
      </c>
      <c r="G472" s="4">
        <v>351224.54835212219</v>
      </c>
      <c r="H472" s="5">
        <f t="shared" si="4"/>
        <v>0</v>
      </c>
      <c r="I472" t="s">
        <v>172</v>
      </c>
      <c r="J472" t="s">
        <v>219</v>
      </c>
      <c r="K472" s="5">
        <f>76 / 86400</f>
        <v>8.7962962962962962E-4</v>
      </c>
      <c r="L472" s="5">
        <f>80 / 86400</f>
        <v>9.2592592592592596E-4</v>
      </c>
    </row>
    <row r="473" spans="1:12" x14ac:dyDescent="0.25">
      <c r="A473" s="3">
        <v>45715.740798611107</v>
      </c>
      <c r="B473" t="s">
        <v>160</v>
      </c>
      <c r="C473" s="3">
        <v>45715.742650462962</v>
      </c>
      <c r="D473" t="s">
        <v>203</v>
      </c>
      <c r="E473" s="4">
        <v>1.9991166499853135</v>
      </c>
      <c r="F473" s="4">
        <v>351224.60083390842</v>
      </c>
      <c r="G473" s="4">
        <v>351226.59995055845</v>
      </c>
      <c r="H473" s="5">
        <f t="shared" si="4"/>
        <v>0</v>
      </c>
      <c r="I473" t="s">
        <v>162</v>
      </c>
      <c r="J473" t="s">
        <v>198</v>
      </c>
      <c r="K473" s="5">
        <f>160 / 86400</f>
        <v>1.8518518518518519E-3</v>
      </c>
      <c r="L473" s="5">
        <f>11 / 86400</f>
        <v>1.273148148148148E-4</v>
      </c>
    </row>
    <row r="474" spans="1:12" x14ac:dyDescent="0.25">
      <c r="A474" s="3">
        <v>45715.742777777778</v>
      </c>
      <c r="B474" t="s">
        <v>203</v>
      </c>
      <c r="C474" s="3">
        <v>45715.743125000001</v>
      </c>
      <c r="D474" t="s">
        <v>76</v>
      </c>
      <c r="E474" s="4">
        <v>3.3200528025627139E-2</v>
      </c>
      <c r="F474" s="4">
        <v>351226.63193244813</v>
      </c>
      <c r="G474" s="4">
        <v>351226.6651329762</v>
      </c>
      <c r="H474" s="5">
        <f t="shared" si="4"/>
        <v>0</v>
      </c>
      <c r="I474" t="s">
        <v>41</v>
      </c>
      <c r="J474" t="s">
        <v>132</v>
      </c>
      <c r="K474" s="5">
        <f>30 / 86400</f>
        <v>3.4722222222222224E-4</v>
      </c>
      <c r="L474" s="5">
        <f>20 / 86400</f>
        <v>2.3148148148148149E-4</v>
      </c>
    </row>
    <row r="475" spans="1:12" x14ac:dyDescent="0.25">
      <c r="A475" s="3">
        <v>45715.743356481486</v>
      </c>
      <c r="B475" t="s">
        <v>76</v>
      </c>
      <c r="C475" s="3">
        <v>45715.753831018519</v>
      </c>
      <c r="D475" t="s">
        <v>76</v>
      </c>
      <c r="E475" s="4">
        <v>4.9334092736244206E-3</v>
      </c>
      <c r="F475" s="4">
        <v>351226.67272971879</v>
      </c>
      <c r="G475" s="4">
        <v>351226.67766312807</v>
      </c>
      <c r="H475" s="5">
        <f t="shared" si="4"/>
        <v>0</v>
      </c>
      <c r="I475" t="s">
        <v>29</v>
      </c>
      <c r="J475" t="s">
        <v>21</v>
      </c>
      <c r="K475" s="5">
        <f>905 / 86400</f>
        <v>1.0474537037037037E-2</v>
      </c>
      <c r="L475" s="5">
        <f>5 / 86400</f>
        <v>5.7870370370370373E-5</v>
      </c>
    </row>
    <row r="476" spans="1:12" x14ac:dyDescent="0.25">
      <c r="A476" s="3">
        <v>45715.753888888888</v>
      </c>
      <c r="B476" t="s">
        <v>76</v>
      </c>
      <c r="C476" s="3">
        <v>45715.755960648152</v>
      </c>
      <c r="D476" t="s">
        <v>203</v>
      </c>
      <c r="E476" s="4">
        <v>1.2429175219535828</v>
      </c>
      <c r="F476" s="4">
        <v>351226.68218574842</v>
      </c>
      <c r="G476" s="4">
        <v>351227.92510327033</v>
      </c>
      <c r="H476" s="5">
        <f t="shared" si="4"/>
        <v>0</v>
      </c>
      <c r="I476" t="s">
        <v>144</v>
      </c>
      <c r="J476" t="s">
        <v>176</v>
      </c>
      <c r="K476" s="5">
        <f>179 / 86400</f>
        <v>2.0717592592592593E-3</v>
      </c>
      <c r="L476" s="5">
        <f>20 / 86400</f>
        <v>2.3148148148148149E-4</v>
      </c>
    </row>
    <row r="477" spans="1:12" x14ac:dyDescent="0.25">
      <c r="A477" s="3">
        <v>45715.756192129629</v>
      </c>
      <c r="B477" t="s">
        <v>203</v>
      </c>
      <c r="C477" s="3">
        <v>45715.756655092591</v>
      </c>
      <c r="D477" t="s">
        <v>203</v>
      </c>
      <c r="E477" s="4">
        <v>9.1653005540370938E-2</v>
      </c>
      <c r="F477" s="4">
        <v>351227.93235628854</v>
      </c>
      <c r="G477" s="4">
        <v>351228.02400929411</v>
      </c>
      <c r="H477" s="5">
        <f t="shared" si="4"/>
        <v>0</v>
      </c>
      <c r="I477" t="s">
        <v>155</v>
      </c>
      <c r="J477" t="s">
        <v>155</v>
      </c>
      <c r="K477" s="5">
        <f>40 / 86400</f>
        <v>4.6296296296296298E-4</v>
      </c>
      <c r="L477" s="5">
        <f>60 / 86400</f>
        <v>6.9444444444444447E-4</v>
      </c>
    </row>
    <row r="478" spans="1:12" x14ac:dyDescent="0.25">
      <c r="A478" s="3">
        <v>45715.757349537038</v>
      </c>
      <c r="B478" t="s">
        <v>203</v>
      </c>
      <c r="C478" s="3">
        <v>45715.7578125</v>
      </c>
      <c r="D478" t="s">
        <v>203</v>
      </c>
      <c r="E478" s="4">
        <v>7.412073993682862E-2</v>
      </c>
      <c r="F478" s="4">
        <v>351228.07050847937</v>
      </c>
      <c r="G478" s="4">
        <v>351228.14462921931</v>
      </c>
      <c r="H478" s="5">
        <f t="shared" si="4"/>
        <v>0</v>
      </c>
      <c r="I478" t="s">
        <v>143</v>
      </c>
      <c r="J478" t="s">
        <v>143</v>
      </c>
      <c r="K478" s="5">
        <f>40 / 86400</f>
        <v>4.6296296296296298E-4</v>
      </c>
      <c r="L478" s="5">
        <f>40 / 86400</f>
        <v>4.6296296296296298E-4</v>
      </c>
    </row>
    <row r="479" spans="1:12" x14ac:dyDescent="0.25">
      <c r="A479" s="3">
        <v>45715.758275462962</v>
      </c>
      <c r="B479" t="s">
        <v>203</v>
      </c>
      <c r="C479" s="3">
        <v>45715.762141203704</v>
      </c>
      <c r="D479" t="s">
        <v>24</v>
      </c>
      <c r="E479" s="4">
        <v>1.753250610113144</v>
      </c>
      <c r="F479" s="4">
        <v>351228.25357488933</v>
      </c>
      <c r="G479" s="4">
        <v>351230.00682549941</v>
      </c>
      <c r="H479" s="5">
        <f t="shared" si="4"/>
        <v>0</v>
      </c>
      <c r="I479" t="s">
        <v>198</v>
      </c>
      <c r="J479" t="s">
        <v>62</v>
      </c>
      <c r="K479" s="5">
        <f>334 / 86400</f>
        <v>3.8657407407407408E-3</v>
      </c>
      <c r="L479" s="5">
        <f>20 / 86400</f>
        <v>2.3148148148148149E-4</v>
      </c>
    </row>
    <row r="480" spans="1:12" x14ac:dyDescent="0.25">
      <c r="A480" s="3">
        <v>45715.762372685189</v>
      </c>
      <c r="B480" t="s">
        <v>24</v>
      </c>
      <c r="C480" s="3">
        <v>45715.762604166666</v>
      </c>
      <c r="D480" t="s">
        <v>24</v>
      </c>
      <c r="E480" s="4">
        <v>9.8436508774757386E-3</v>
      </c>
      <c r="F480" s="4">
        <v>351230.02452804812</v>
      </c>
      <c r="G480" s="4">
        <v>351230.03437169897</v>
      </c>
      <c r="H480" s="5">
        <f t="shared" si="4"/>
        <v>0</v>
      </c>
      <c r="I480" t="s">
        <v>99</v>
      </c>
      <c r="J480" t="s">
        <v>29</v>
      </c>
      <c r="K480" s="5">
        <f>20 / 86400</f>
        <v>2.3148148148148149E-4</v>
      </c>
      <c r="L480" s="5">
        <f>1873 / 86400</f>
        <v>2.1678240740740741E-2</v>
      </c>
    </row>
    <row r="481" spans="1:12" x14ac:dyDescent="0.25">
      <c r="A481" s="3">
        <v>45715.784282407403</v>
      </c>
      <c r="B481" t="s">
        <v>24</v>
      </c>
      <c r="C481" s="3">
        <v>45715.785729166666</v>
      </c>
      <c r="D481" t="s">
        <v>24</v>
      </c>
      <c r="E481" s="4">
        <v>0.24861450785398484</v>
      </c>
      <c r="F481" s="4">
        <v>351230.05884437356</v>
      </c>
      <c r="G481" s="4">
        <v>351230.30745888146</v>
      </c>
      <c r="H481" s="5">
        <f t="shared" si="4"/>
        <v>0</v>
      </c>
      <c r="I481" t="s">
        <v>141</v>
      </c>
      <c r="J481" t="s">
        <v>143</v>
      </c>
      <c r="K481" s="5">
        <f>125 / 86400</f>
        <v>1.4467592592592592E-3</v>
      </c>
      <c r="L481" s="5">
        <f>78 / 86400</f>
        <v>9.0277777777777774E-4</v>
      </c>
    </row>
    <row r="482" spans="1:12" x14ac:dyDescent="0.25">
      <c r="A482" s="3">
        <v>45715.786631944444</v>
      </c>
      <c r="B482" t="s">
        <v>24</v>
      </c>
      <c r="C482" s="3">
        <v>45715.788726851853</v>
      </c>
      <c r="D482" t="s">
        <v>389</v>
      </c>
      <c r="E482" s="4">
        <v>0.90661201691627502</v>
      </c>
      <c r="F482" s="4">
        <v>351230.31957068556</v>
      </c>
      <c r="G482" s="4">
        <v>351231.22618270246</v>
      </c>
      <c r="H482" s="5">
        <f t="shared" si="4"/>
        <v>0</v>
      </c>
      <c r="I482" t="s">
        <v>211</v>
      </c>
      <c r="J482" t="s">
        <v>30</v>
      </c>
      <c r="K482" s="5">
        <f>181 / 86400</f>
        <v>2.0949074074074073E-3</v>
      </c>
      <c r="L482" s="5">
        <f>60 / 86400</f>
        <v>6.9444444444444447E-4</v>
      </c>
    </row>
    <row r="483" spans="1:12" x14ac:dyDescent="0.25">
      <c r="A483" s="3">
        <v>45715.7894212963</v>
      </c>
      <c r="B483" t="s">
        <v>389</v>
      </c>
      <c r="C483" s="3">
        <v>45715.789652777778</v>
      </c>
      <c r="D483" t="s">
        <v>389</v>
      </c>
      <c r="E483" s="4">
        <v>2.0786989331245424E-3</v>
      </c>
      <c r="F483" s="4">
        <v>351231.23137203522</v>
      </c>
      <c r="G483" s="4">
        <v>351231.23345073411</v>
      </c>
      <c r="H483" s="5">
        <f t="shared" si="4"/>
        <v>0</v>
      </c>
      <c r="I483" t="s">
        <v>29</v>
      </c>
      <c r="J483" t="s">
        <v>21</v>
      </c>
      <c r="K483" s="5">
        <f>20 / 86400</f>
        <v>2.3148148148148149E-4</v>
      </c>
      <c r="L483" s="5">
        <f>16 / 86400</f>
        <v>1.8518518518518518E-4</v>
      </c>
    </row>
    <row r="484" spans="1:12" x14ac:dyDescent="0.25">
      <c r="A484" s="3">
        <v>45715.789837962962</v>
      </c>
      <c r="B484" t="s">
        <v>389</v>
      </c>
      <c r="C484" s="3">
        <v>45715.791956018518</v>
      </c>
      <c r="D484" t="s">
        <v>76</v>
      </c>
      <c r="E484" s="4">
        <v>1.3622150582671166</v>
      </c>
      <c r="F484" s="4">
        <v>351231.24114586966</v>
      </c>
      <c r="G484" s="4">
        <v>351232.60336092795</v>
      </c>
      <c r="H484" s="5">
        <f t="shared" si="4"/>
        <v>0</v>
      </c>
      <c r="I484" t="s">
        <v>162</v>
      </c>
      <c r="J484" t="s">
        <v>131</v>
      </c>
      <c r="K484" s="5">
        <f>183 / 86400</f>
        <v>2.1180555555555558E-3</v>
      </c>
      <c r="L484" s="5">
        <f>200 / 86400</f>
        <v>2.3148148148148147E-3</v>
      </c>
    </row>
    <row r="485" spans="1:12" x14ac:dyDescent="0.25">
      <c r="A485" s="3">
        <v>45715.794270833328</v>
      </c>
      <c r="B485" t="s">
        <v>203</v>
      </c>
      <c r="C485" s="3">
        <v>45715.79478009259</v>
      </c>
      <c r="D485" t="s">
        <v>76</v>
      </c>
      <c r="E485" s="4">
        <v>1.8233644902706146E-2</v>
      </c>
      <c r="F485" s="4">
        <v>351232.62380278681</v>
      </c>
      <c r="G485" s="4">
        <v>351232.6420364317</v>
      </c>
      <c r="H485" s="5">
        <f t="shared" si="4"/>
        <v>0</v>
      </c>
      <c r="I485" t="s">
        <v>99</v>
      </c>
      <c r="J485" t="s">
        <v>67</v>
      </c>
      <c r="K485" s="5">
        <f>44 / 86400</f>
        <v>5.0925925925925921E-4</v>
      </c>
      <c r="L485" s="5">
        <f>8 / 86400</f>
        <v>9.2592592592592588E-5</v>
      </c>
    </row>
    <row r="486" spans="1:12" x14ac:dyDescent="0.25">
      <c r="A486" s="3">
        <v>45715.79487268519</v>
      </c>
      <c r="B486" t="s">
        <v>76</v>
      </c>
      <c r="C486" s="3">
        <v>45715.795567129629</v>
      </c>
      <c r="D486" t="s">
        <v>388</v>
      </c>
      <c r="E486" s="4">
        <v>3.1047738075256348E-2</v>
      </c>
      <c r="F486" s="4">
        <v>351232.64369576616</v>
      </c>
      <c r="G486" s="4">
        <v>351232.67474350421</v>
      </c>
      <c r="H486" s="5">
        <f t="shared" si="4"/>
        <v>0</v>
      </c>
      <c r="I486" t="s">
        <v>99</v>
      </c>
      <c r="J486" t="s">
        <v>29</v>
      </c>
      <c r="K486" s="5">
        <f>60 / 86400</f>
        <v>6.9444444444444447E-4</v>
      </c>
      <c r="L486" s="5">
        <f>60 / 86400</f>
        <v>6.9444444444444447E-4</v>
      </c>
    </row>
    <row r="487" spans="1:12" x14ac:dyDescent="0.25">
      <c r="A487" s="3">
        <v>45715.796261574069</v>
      </c>
      <c r="B487" t="s">
        <v>112</v>
      </c>
      <c r="C487" s="3">
        <v>45715.796493055561</v>
      </c>
      <c r="D487" t="s">
        <v>112</v>
      </c>
      <c r="E487" s="4">
        <v>2.9881908178329468E-2</v>
      </c>
      <c r="F487" s="4">
        <v>351232.6990439698</v>
      </c>
      <c r="G487" s="4">
        <v>351232.72892587801</v>
      </c>
      <c r="H487" s="5">
        <f t="shared" si="4"/>
        <v>0</v>
      </c>
      <c r="I487" t="s">
        <v>132</v>
      </c>
      <c r="J487" t="s">
        <v>99</v>
      </c>
      <c r="K487" s="5">
        <f>20 / 86400</f>
        <v>2.3148148148148149E-4</v>
      </c>
      <c r="L487" s="5">
        <f>20 / 86400</f>
        <v>2.3148148148148149E-4</v>
      </c>
    </row>
    <row r="488" spans="1:12" x14ac:dyDescent="0.25">
      <c r="A488" s="3">
        <v>45715.796724537038</v>
      </c>
      <c r="B488" t="s">
        <v>112</v>
      </c>
      <c r="C488" s="3">
        <v>45715.796956018516</v>
      </c>
      <c r="D488" t="s">
        <v>388</v>
      </c>
      <c r="E488" s="4">
        <v>9.9594599008560186E-3</v>
      </c>
      <c r="F488" s="4">
        <v>351232.72970203974</v>
      </c>
      <c r="G488" s="4">
        <v>351232.73966149963</v>
      </c>
      <c r="H488" s="5">
        <f t="shared" si="4"/>
        <v>0</v>
      </c>
      <c r="I488" t="s">
        <v>136</v>
      </c>
      <c r="J488" t="s">
        <v>29</v>
      </c>
      <c r="K488" s="5">
        <f>20 / 86400</f>
        <v>2.3148148148148149E-4</v>
      </c>
      <c r="L488" s="5">
        <f>12 / 86400</f>
        <v>1.3888888888888889E-4</v>
      </c>
    </row>
    <row r="489" spans="1:12" x14ac:dyDescent="0.25">
      <c r="A489" s="3">
        <v>45715.797094907408</v>
      </c>
      <c r="B489" t="s">
        <v>388</v>
      </c>
      <c r="C489" s="3">
        <v>45715.797789351855</v>
      </c>
      <c r="D489" t="s">
        <v>203</v>
      </c>
      <c r="E489" s="4">
        <v>0.49318191337585449</v>
      </c>
      <c r="F489" s="4">
        <v>351232.7510659796</v>
      </c>
      <c r="G489" s="4">
        <v>351233.24424789299</v>
      </c>
      <c r="H489" s="5">
        <f t="shared" si="4"/>
        <v>0</v>
      </c>
      <c r="I489" t="s">
        <v>202</v>
      </c>
      <c r="J489" t="s">
        <v>140</v>
      </c>
      <c r="K489" s="5">
        <f>60 / 86400</f>
        <v>6.9444444444444447E-4</v>
      </c>
      <c r="L489" s="5">
        <f>60 / 86400</f>
        <v>6.9444444444444447E-4</v>
      </c>
    </row>
    <row r="490" spans="1:12" x14ac:dyDescent="0.25">
      <c r="A490" s="3">
        <v>45715.798483796301</v>
      </c>
      <c r="B490" t="s">
        <v>203</v>
      </c>
      <c r="C490" s="3">
        <v>45715.801030092596</v>
      </c>
      <c r="D490" t="s">
        <v>206</v>
      </c>
      <c r="E490" s="4">
        <v>1.8164702604413032</v>
      </c>
      <c r="F490" s="4">
        <v>351233.36604273354</v>
      </c>
      <c r="G490" s="4">
        <v>351235.18251299398</v>
      </c>
      <c r="H490" s="5">
        <f t="shared" si="4"/>
        <v>0</v>
      </c>
      <c r="I490" t="s">
        <v>315</v>
      </c>
      <c r="J490" t="s">
        <v>140</v>
      </c>
      <c r="K490" s="5">
        <f>220 / 86400</f>
        <v>2.5462962962962965E-3</v>
      </c>
      <c r="L490" s="5">
        <f>7 / 86400</f>
        <v>8.1018518518518516E-5</v>
      </c>
    </row>
    <row r="491" spans="1:12" x14ac:dyDescent="0.25">
      <c r="A491" s="3">
        <v>45715.801111111112</v>
      </c>
      <c r="B491" t="s">
        <v>206</v>
      </c>
      <c r="C491" s="3">
        <v>45715.802280092597</v>
      </c>
      <c r="D491" t="s">
        <v>93</v>
      </c>
      <c r="E491" s="4">
        <v>0.58522044444084165</v>
      </c>
      <c r="F491" s="4">
        <v>351235.18779701361</v>
      </c>
      <c r="G491" s="4">
        <v>351235.77301745809</v>
      </c>
      <c r="H491" s="5">
        <f t="shared" si="4"/>
        <v>0</v>
      </c>
      <c r="I491" t="s">
        <v>240</v>
      </c>
      <c r="J491" t="s">
        <v>139</v>
      </c>
      <c r="K491" s="5">
        <f>101 / 86400</f>
        <v>1.1689814814814816E-3</v>
      </c>
      <c r="L491" s="5">
        <f>20 / 86400</f>
        <v>2.3148148148148149E-4</v>
      </c>
    </row>
    <row r="492" spans="1:12" x14ac:dyDescent="0.25">
      <c r="A492" s="3">
        <v>45715.802511574075</v>
      </c>
      <c r="B492" t="s">
        <v>93</v>
      </c>
      <c r="C492" s="3">
        <v>45715.807604166665</v>
      </c>
      <c r="D492" t="s">
        <v>312</v>
      </c>
      <c r="E492" s="4">
        <v>3.9838582603931427</v>
      </c>
      <c r="F492" s="4">
        <v>351235.82528023468</v>
      </c>
      <c r="G492" s="4">
        <v>351239.80913849507</v>
      </c>
      <c r="H492" s="5">
        <f t="shared" si="4"/>
        <v>0</v>
      </c>
      <c r="I492" t="s">
        <v>75</v>
      </c>
      <c r="J492" t="s">
        <v>173</v>
      </c>
      <c r="K492" s="5">
        <f>440 / 86400</f>
        <v>5.092592592592593E-3</v>
      </c>
      <c r="L492" s="5">
        <f>5 / 86400</f>
        <v>5.7870370370370373E-5</v>
      </c>
    </row>
    <row r="493" spans="1:12" x14ac:dyDescent="0.25">
      <c r="A493" s="3">
        <v>45715.807662037041</v>
      </c>
      <c r="B493" t="s">
        <v>312</v>
      </c>
      <c r="C493" s="3">
        <v>45715.811620370368</v>
      </c>
      <c r="D493" t="s">
        <v>32</v>
      </c>
      <c r="E493" s="4">
        <v>2.2349236208796501</v>
      </c>
      <c r="F493" s="4">
        <v>351239.81078078633</v>
      </c>
      <c r="G493" s="4">
        <v>351242.04570440721</v>
      </c>
      <c r="H493" s="5">
        <f t="shared" si="4"/>
        <v>0</v>
      </c>
      <c r="I493" t="s">
        <v>168</v>
      </c>
      <c r="J493" t="s">
        <v>153</v>
      </c>
      <c r="K493" s="5">
        <f>342 / 86400</f>
        <v>3.9583333333333337E-3</v>
      </c>
      <c r="L493" s="5">
        <f>20 / 86400</f>
        <v>2.3148148148148149E-4</v>
      </c>
    </row>
    <row r="494" spans="1:12" x14ac:dyDescent="0.25">
      <c r="A494" s="3">
        <v>45715.811851851853</v>
      </c>
      <c r="B494" t="s">
        <v>390</v>
      </c>
      <c r="C494" s="3">
        <v>45715.813472222224</v>
      </c>
      <c r="D494" t="s">
        <v>32</v>
      </c>
      <c r="E494" s="4">
        <v>1.1122979982495307</v>
      </c>
      <c r="F494" s="4">
        <v>351242.21309243079</v>
      </c>
      <c r="G494" s="4">
        <v>351243.325390429</v>
      </c>
      <c r="H494" s="5">
        <f t="shared" si="4"/>
        <v>0</v>
      </c>
      <c r="I494" t="s">
        <v>238</v>
      </c>
      <c r="J494" t="s">
        <v>211</v>
      </c>
      <c r="K494" s="5">
        <f>140 / 86400</f>
        <v>1.6203703703703703E-3</v>
      </c>
      <c r="L494" s="5">
        <f>20 / 86400</f>
        <v>2.3148148148148149E-4</v>
      </c>
    </row>
    <row r="495" spans="1:12" x14ac:dyDescent="0.25">
      <c r="A495" s="3">
        <v>45715.813703703709</v>
      </c>
      <c r="B495" t="s">
        <v>32</v>
      </c>
      <c r="C495" s="3">
        <v>45715.813935185186</v>
      </c>
      <c r="D495" t="s">
        <v>32</v>
      </c>
      <c r="E495" s="4">
        <v>0.14376000869274139</v>
      </c>
      <c r="F495" s="4">
        <v>351243.33653036517</v>
      </c>
      <c r="G495" s="4">
        <v>351243.48029037385</v>
      </c>
      <c r="H495" s="5">
        <f t="shared" si="4"/>
        <v>0</v>
      </c>
      <c r="I495" t="s">
        <v>39</v>
      </c>
      <c r="J495" t="s">
        <v>98</v>
      </c>
      <c r="K495" s="5">
        <f>20 / 86400</f>
        <v>2.3148148148148149E-4</v>
      </c>
      <c r="L495" s="5">
        <f>6 / 86400</f>
        <v>6.9444444444444444E-5</v>
      </c>
    </row>
    <row r="496" spans="1:12" x14ac:dyDescent="0.25">
      <c r="A496" s="3">
        <v>45715.814004629632</v>
      </c>
      <c r="B496" t="s">
        <v>391</v>
      </c>
      <c r="C496" s="3">
        <v>45715.819618055553</v>
      </c>
      <c r="D496" t="s">
        <v>328</v>
      </c>
      <c r="E496" s="4">
        <v>4.9099861235022546</v>
      </c>
      <c r="F496" s="4">
        <v>351243.49949229666</v>
      </c>
      <c r="G496" s="4">
        <v>351248.40947842016</v>
      </c>
      <c r="H496" s="5">
        <f t="shared" si="4"/>
        <v>0</v>
      </c>
      <c r="I496" t="s">
        <v>218</v>
      </c>
      <c r="J496" t="s">
        <v>226</v>
      </c>
      <c r="K496" s="5">
        <f>485 / 86400</f>
        <v>5.6134259259259262E-3</v>
      </c>
      <c r="L496" s="5">
        <f>20 / 86400</f>
        <v>2.3148148148148149E-4</v>
      </c>
    </row>
    <row r="497" spans="1:12" x14ac:dyDescent="0.25">
      <c r="A497" s="3">
        <v>45715.819849537038</v>
      </c>
      <c r="B497" t="s">
        <v>328</v>
      </c>
      <c r="C497" s="3">
        <v>45715.822025462963</v>
      </c>
      <c r="D497" t="s">
        <v>392</v>
      </c>
      <c r="E497" s="4">
        <v>1.266209368944168</v>
      </c>
      <c r="F497" s="4">
        <v>351248.44388463954</v>
      </c>
      <c r="G497" s="4">
        <v>351249.71009400848</v>
      </c>
      <c r="H497" s="5">
        <f t="shared" si="4"/>
        <v>0</v>
      </c>
      <c r="I497" t="s">
        <v>168</v>
      </c>
      <c r="J497" t="s">
        <v>153</v>
      </c>
      <c r="K497" s="5">
        <f>188 / 86400</f>
        <v>2.1759259259259258E-3</v>
      </c>
      <c r="L497" s="5">
        <f>20 / 86400</f>
        <v>2.3148148148148149E-4</v>
      </c>
    </row>
    <row r="498" spans="1:12" x14ac:dyDescent="0.25">
      <c r="A498" s="3">
        <v>45715.822256944448</v>
      </c>
      <c r="B498" t="s">
        <v>393</v>
      </c>
      <c r="C498" s="3">
        <v>45715.822488425925</v>
      </c>
      <c r="D498" t="s">
        <v>394</v>
      </c>
      <c r="E498" s="4">
        <v>8.6649268507957455E-2</v>
      </c>
      <c r="F498" s="4">
        <v>351249.74329358124</v>
      </c>
      <c r="G498" s="4">
        <v>351249.82994284976</v>
      </c>
      <c r="H498" s="5">
        <f t="shared" si="4"/>
        <v>0</v>
      </c>
      <c r="I498" t="s">
        <v>139</v>
      </c>
      <c r="J498" t="s">
        <v>26</v>
      </c>
      <c r="K498" s="5">
        <f>20 / 86400</f>
        <v>2.3148148148148149E-4</v>
      </c>
      <c r="L498" s="5">
        <f>20 / 86400</f>
        <v>2.3148148148148149E-4</v>
      </c>
    </row>
    <row r="499" spans="1:12" x14ac:dyDescent="0.25">
      <c r="A499" s="3">
        <v>45715.822719907403</v>
      </c>
      <c r="B499" t="s">
        <v>327</v>
      </c>
      <c r="C499" s="3">
        <v>45715.822951388887</v>
      </c>
      <c r="D499" t="s">
        <v>394</v>
      </c>
      <c r="E499" s="4">
        <v>6.5751384496688841E-3</v>
      </c>
      <c r="F499" s="4">
        <v>351249.83293933579</v>
      </c>
      <c r="G499" s="4">
        <v>351249.83951447421</v>
      </c>
      <c r="H499" s="5">
        <f t="shared" si="4"/>
        <v>0</v>
      </c>
      <c r="I499" t="s">
        <v>67</v>
      </c>
      <c r="J499" t="s">
        <v>67</v>
      </c>
      <c r="K499" s="5">
        <f>20 / 86400</f>
        <v>2.3148148148148149E-4</v>
      </c>
      <c r="L499" s="5">
        <f>15 / 86400</f>
        <v>1.7361111111111112E-4</v>
      </c>
    </row>
    <row r="500" spans="1:12" x14ac:dyDescent="0.25">
      <c r="A500" s="3">
        <v>45715.823124999995</v>
      </c>
      <c r="B500" t="s">
        <v>394</v>
      </c>
      <c r="C500" s="3">
        <v>45715.825624999998</v>
      </c>
      <c r="D500" t="s">
        <v>395</v>
      </c>
      <c r="E500" s="4">
        <v>0.7174739764928818</v>
      </c>
      <c r="F500" s="4">
        <v>351249.84934718692</v>
      </c>
      <c r="G500" s="4">
        <v>351250.5668211634</v>
      </c>
      <c r="H500" s="5">
        <f t="shared" ref="H500:H563" si="5">0 / 86400</f>
        <v>0</v>
      </c>
      <c r="I500" t="s">
        <v>62</v>
      </c>
      <c r="J500" t="s">
        <v>85</v>
      </c>
      <c r="K500" s="5">
        <f>216 / 86400</f>
        <v>2.5000000000000001E-3</v>
      </c>
      <c r="L500" s="5">
        <f>60 / 86400</f>
        <v>6.9444444444444447E-4</v>
      </c>
    </row>
    <row r="501" spans="1:12" x14ac:dyDescent="0.25">
      <c r="A501" s="3">
        <v>45715.826319444444</v>
      </c>
      <c r="B501" t="s">
        <v>395</v>
      </c>
      <c r="C501" s="3">
        <v>45715.826550925922</v>
      </c>
      <c r="D501" t="s">
        <v>395</v>
      </c>
      <c r="E501" s="4">
        <v>1.5680195331573485E-2</v>
      </c>
      <c r="F501" s="4">
        <v>351250.61472872359</v>
      </c>
      <c r="G501" s="4">
        <v>351250.63040891889</v>
      </c>
      <c r="H501" s="5">
        <f t="shared" si="5"/>
        <v>0</v>
      </c>
      <c r="I501" t="s">
        <v>123</v>
      </c>
      <c r="J501" t="s">
        <v>136</v>
      </c>
      <c r="K501" s="5">
        <f>20 / 86400</f>
        <v>2.3148148148148149E-4</v>
      </c>
      <c r="L501" s="5">
        <f>20 / 86400</f>
        <v>2.3148148148148149E-4</v>
      </c>
    </row>
    <row r="502" spans="1:12" x14ac:dyDescent="0.25">
      <c r="A502" s="3">
        <v>45715.826782407406</v>
      </c>
      <c r="B502" t="s">
        <v>395</v>
      </c>
      <c r="C502" s="3">
        <v>45715.828078703707</v>
      </c>
      <c r="D502" t="s">
        <v>396</v>
      </c>
      <c r="E502" s="4">
        <v>0.16502495443820953</v>
      </c>
      <c r="F502" s="4">
        <v>351250.7006689398</v>
      </c>
      <c r="G502" s="4">
        <v>351250.86569389421</v>
      </c>
      <c r="H502" s="5">
        <f t="shared" si="5"/>
        <v>0</v>
      </c>
      <c r="I502" t="s">
        <v>153</v>
      </c>
      <c r="J502" t="s">
        <v>99</v>
      </c>
      <c r="K502" s="5">
        <f>112 / 86400</f>
        <v>1.2962962962962963E-3</v>
      </c>
      <c r="L502" s="5">
        <f>399 / 86400</f>
        <v>4.6180555555555558E-3</v>
      </c>
    </row>
    <row r="503" spans="1:12" x14ac:dyDescent="0.25">
      <c r="A503" s="3">
        <v>45715.832696759258</v>
      </c>
      <c r="B503" t="s">
        <v>396</v>
      </c>
      <c r="C503" s="3">
        <v>45715.834189814814</v>
      </c>
      <c r="D503" t="s">
        <v>397</v>
      </c>
      <c r="E503" s="4">
        <v>0.53960272717475888</v>
      </c>
      <c r="F503" s="4">
        <v>351251.00778001064</v>
      </c>
      <c r="G503" s="4">
        <v>351251.5473827378</v>
      </c>
      <c r="H503" s="5">
        <f t="shared" si="5"/>
        <v>0</v>
      </c>
      <c r="I503" t="s">
        <v>131</v>
      </c>
      <c r="J503" t="s">
        <v>39</v>
      </c>
      <c r="K503" s="5">
        <f>129 / 86400</f>
        <v>1.4930555555555556E-3</v>
      </c>
      <c r="L503" s="5">
        <f>20 / 86400</f>
        <v>2.3148148148148149E-4</v>
      </c>
    </row>
    <row r="504" spans="1:12" x14ac:dyDescent="0.25">
      <c r="A504" s="3">
        <v>45715.834421296298</v>
      </c>
      <c r="B504" t="s">
        <v>397</v>
      </c>
      <c r="C504" s="3">
        <v>45715.834652777776</v>
      </c>
      <c r="D504" t="s">
        <v>397</v>
      </c>
      <c r="E504" s="4">
        <v>7.3734816312789921E-3</v>
      </c>
      <c r="F504" s="4">
        <v>351251.56860866706</v>
      </c>
      <c r="G504" s="4">
        <v>351251.5759821487</v>
      </c>
      <c r="H504" s="5">
        <f t="shared" si="5"/>
        <v>0</v>
      </c>
      <c r="I504" t="s">
        <v>67</v>
      </c>
      <c r="J504" t="s">
        <v>67</v>
      </c>
      <c r="K504" s="5">
        <f>20 / 86400</f>
        <v>2.3148148148148149E-4</v>
      </c>
      <c r="L504" s="5">
        <f>40 / 86400</f>
        <v>4.6296296296296298E-4</v>
      </c>
    </row>
    <row r="505" spans="1:12" x14ac:dyDescent="0.25">
      <c r="A505" s="3">
        <v>45715.835115740745</v>
      </c>
      <c r="B505" t="s">
        <v>397</v>
      </c>
      <c r="C505" s="3">
        <v>45715.835347222222</v>
      </c>
      <c r="D505" t="s">
        <v>397</v>
      </c>
      <c r="E505" s="4">
        <v>3.5837612152099609E-3</v>
      </c>
      <c r="F505" s="4">
        <v>351251.58216902975</v>
      </c>
      <c r="G505" s="4">
        <v>351251.58575279097</v>
      </c>
      <c r="H505" s="5">
        <f t="shared" si="5"/>
        <v>0</v>
      </c>
      <c r="I505" t="s">
        <v>67</v>
      </c>
      <c r="J505" t="s">
        <v>67</v>
      </c>
      <c r="K505" s="5">
        <f>20 / 86400</f>
        <v>2.3148148148148149E-4</v>
      </c>
      <c r="L505" s="5">
        <f>8 / 86400</f>
        <v>9.2592592592592588E-5</v>
      </c>
    </row>
    <row r="506" spans="1:12" x14ac:dyDescent="0.25">
      <c r="A506" s="3">
        <v>45715.835439814815</v>
      </c>
      <c r="B506" t="s">
        <v>398</v>
      </c>
      <c r="C506" s="3">
        <v>45715.835706018523</v>
      </c>
      <c r="D506" t="s">
        <v>397</v>
      </c>
      <c r="E506" s="4">
        <v>1.4968688368797303E-2</v>
      </c>
      <c r="F506" s="4">
        <v>351251.58829776285</v>
      </c>
      <c r="G506" s="4">
        <v>351251.60326645122</v>
      </c>
      <c r="H506" s="5">
        <f t="shared" si="5"/>
        <v>0</v>
      </c>
      <c r="I506" t="s">
        <v>99</v>
      </c>
      <c r="J506" t="s">
        <v>29</v>
      </c>
      <c r="K506" s="5">
        <f>23 / 86400</f>
        <v>2.6620370370370372E-4</v>
      </c>
      <c r="L506" s="5">
        <f>20 / 86400</f>
        <v>2.3148148148148149E-4</v>
      </c>
    </row>
    <row r="507" spans="1:12" x14ac:dyDescent="0.25">
      <c r="A507" s="3">
        <v>45715.8359375</v>
      </c>
      <c r="B507" t="s">
        <v>398</v>
      </c>
      <c r="C507" s="3">
        <v>45715.836168981477</v>
      </c>
      <c r="D507" t="s">
        <v>328</v>
      </c>
      <c r="E507" s="4">
        <v>7.337770760059357E-3</v>
      </c>
      <c r="F507" s="4">
        <v>351251.6095387073</v>
      </c>
      <c r="G507" s="4">
        <v>351251.61687647807</v>
      </c>
      <c r="H507" s="5">
        <f t="shared" si="5"/>
        <v>0</v>
      </c>
      <c r="I507" t="s">
        <v>67</v>
      </c>
      <c r="J507" t="s">
        <v>67</v>
      </c>
      <c r="K507" s="5">
        <f>20 / 86400</f>
        <v>2.3148148148148149E-4</v>
      </c>
      <c r="L507" s="5">
        <f>120 / 86400</f>
        <v>1.3888888888888889E-3</v>
      </c>
    </row>
    <row r="508" spans="1:12" x14ac:dyDescent="0.25">
      <c r="A508" s="3">
        <v>45715.837557870371</v>
      </c>
      <c r="B508" t="s">
        <v>398</v>
      </c>
      <c r="C508" s="3">
        <v>45715.838414351849</v>
      </c>
      <c r="D508" t="s">
        <v>327</v>
      </c>
      <c r="E508" s="4">
        <v>0.24001724720001222</v>
      </c>
      <c r="F508" s="4">
        <v>351251.66983370791</v>
      </c>
      <c r="G508" s="4">
        <v>351251.90985095513</v>
      </c>
      <c r="H508" s="5">
        <f t="shared" si="5"/>
        <v>0</v>
      </c>
      <c r="I508" t="s">
        <v>116</v>
      </c>
      <c r="J508" t="s">
        <v>85</v>
      </c>
      <c r="K508" s="5">
        <f>74 / 86400</f>
        <v>8.564814814814815E-4</v>
      </c>
      <c r="L508" s="5">
        <f>20 / 86400</f>
        <v>2.3148148148148149E-4</v>
      </c>
    </row>
    <row r="509" spans="1:12" x14ac:dyDescent="0.25">
      <c r="A509" s="3">
        <v>45715.838645833333</v>
      </c>
      <c r="B509" t="s">
        <v>399</v>
      </c>
      <c r="C509" s="3">
        <v>45715.839340277773</v>
      </c>
      <c r="D509" t="s">
        <v>328</v>
      </c>
      <c r="E509" s="4">
        <v>0.37067508512735364</v>
      </c>
      <c r="F509" s="4">
        <v>351251.95572321955</v>
      </c>
      <c r="G509" s="4">
        <v>351252.32639830472</v>
      </c>
      <c r="H509" s="5">
        <f t="shared" si="5"/>
        <v>0</v>
      </c>
      <c r="I509" t="s">
        <v>140</v>
      </c>
      <c r="J509" t="s">
        <v>34</v>
      </c>
      <c r="K509" s="5">
        <f>60 / 86400</f>
        <v>6.9444444444444447E-4</v>
      </c>
      <c r="L509" s="5">
        <f>8 / 86400</f>
        <v>9.2592592592592588E-5</v>
      </c>
    </row>
    <row r="510" spans="1:12" x14ac:dyDescent="0.25">
      <c r="A510" s="3">
        <v>45715.839432870373</v>
      </c>
      <c r="B510" t="s">
        <v>400</v>
      </c>
      <c r="C510" s="3">
        <v>45715.839895833335</v>
      </c>
      <c r="D510" t="s">
        <v>401</v>
      </c>
      <c r="E510" s="4">
        <v>0.25341422772407529</v>
      </c>
      <c r="F510" s="4">
        <v>351252.33308489621</v>
      </c>
      <c r="G510" s="4">
        <v>351252.58649912395</v>
      </c>
      <c r="H510" s="5">
        <f t="shared" si="5"/>
        <v>0</v>
      </c>
      <c r="I510" t="s">
        <v>154</v>
      </c>
      <c r="J510" t="s">
        <v>163</v>
      </c>
      <c r="K510" s="5">
        <f>40 / 86400</f>
        <v>4.6296296296296298E-4</v>
      </c>
      <c r="L510" s="5">
        <f>21 / 86400</f>
        <v>2.4305555555555555E-4</v>
      </c>
    </row>
    <row r="511" spans="1:12" x14ac:dyDescent="0.25">
      <c r="A511" s="3">
        <v>45715.840138888889</v>
      </c>
      <c r="B511" t="s">
        <v>402</v>
      </c>
      <c r="C511" s="3">
        <v>45715.840590277774</v>
      </c>
      <c r="D511" t="s">
        <v>318</v>
      </c>
      <c r="E511" s="4">
        <v>0.13626815444231033</v>
      </c>
      <c r="F511" s="4">
        <v>351252.75727562321</v>
      </c>
      <c r="G511" s="4">
        <v>351252.89354377764</v>
      </c>
      <c r="H511" s="5">
        <f t="shared" si="5"/>
        <v>0</v>
      </c>
      <c r="I511" t="s">
        <v>30</v>
      </c>
      <c r="J511" t="s">
        <v>55</v>
      </c>
      <c r="K511" s="5">
        <f>39 / 86400</f>
        <v>4.5138888888888887E-4</v>
      </c>
      <c r="L511" s="5">
        <f>21 / 86400</f>
        <v>2.4305555555555555E-4</v>
      </c>
    </row>
    <row r="512" spans="1:12" x14ac:dyDescent="0.25">
      <c r="A512" s="3">
        <v>45715.840833333335</v>
      </c>
      <c r="B512" t="s">
        <v>318</v>
      </c>
      <c r="C512" s="3">
        <v>45715.841064814813</v>
      </c>
      <c r="D512" t="s">
        <v>328</v>
      </c>
      <c r="E512" s="4">
        <v>0.17757444465160369</v>
      </c>
      <c r="F512" s="4">
        <v>351253.04883005196</v>
      </c>
      <c r="G512" s="4">
        <v>351253.22640449659</v>
      </c>
      <c r="H512" s="5">
        <f t="shared" si="5"/>
        <v>0</v>
      </c>
      <c r="I512" t="s">
        <v>172</v>
      </c>
      <c r="J512" t="s">
        <v>169</v>
      </c>
      <c r="K512" s="5">
        <f>20 / 86400</f>
        <v>2.3148148148148149E-4</v>
      </c>
      <c r="L512" s="5">
        <f>7 / 86400</f>
        <v>8.1018518518518516E-5</v>
      </c>
    </row>
    <row r="513" spans="1:12" x14ac:dyDescent="0.25">
      <c r="A513" s="3">
        <v>45715.841145833328</v>
      </c>
      <c r="B513" t="s">
        <v>328</v>
      </c>
      <c r="C513" s="3">
        <v>45715.841712962967</v>
      </c>
      <c r="D513" t="s">
        <v>328</v>
      </c>
      <c r="E513" s="4">
        <v>0.48609815388917921</v>
      </c>
      <c r="F513" s="4">
        <v>351253.2301582981</v>
      </c>
      <c r="G513" s="4">
        <v>351253.71625645197</v>
      </c>
      <c r="H513" s="5">
        <f t="shared" si="5"/>
        <v>0</v>
      </c>
      <c r="I513" t="s">
        <v>296</v>
      </c>
      <c r="J513" t="s">
        <v>226</v>
      </c>
      <c r="K513" s="5">
        <f>49 / 86400</f>
        <v>5.6712962962962967E-4</v>
      </c>
      <c r="L513" s="5">
        <f>20 / 86400</f>
        <v>2.3148148148148149E-4</v>
      </c>
    </row>
    <row r="514" spans="1:12" x14ac:dyDescent="0.25">
      <c r="A514" s="3">
        <v>45715.841944444444</v>
      </c>
      <c r="B514" t="s">
        <v>328</v>
      </c>
      <c r="C514" s="3">
        <v>45715.845416666663</v>
      </c>
      <c r="D514" t="s">
        <v>316</v>
      </c>
      <c r="E514" s="4">
        <v>3.6623587092757224</v>
      </c>
      <c r="F514" s="4">
        <v>351253.80415844999</v>
      </c>
      <c r="G514" s="4">
        <v>351257.46651715931</v>
      </c>
      <c r="H514" s="5">
        <f t="shared" si="5"/>
        <v>0</v>
      </c>
      <c r="I514" t="s">
        <v>149</v>
      </c>
      <c r="J514" t="s">
        <v>235</v>
      </c>
      <c r="K514" s="5">
        <f>300 / 86400</f>
        <v>3.472222222222222E-3</v>
      </c>
      <c r="L514" s="5">
        <f>40 / 86400</f>
        <v>4.6296296296296298E-4</v>
      </c>
    </row>
    <row r="515" spans="1:12" x14ac:dyDescent="0.25">
      <c r="A515" s="3">
        <v>45715.845879629633</v>
      </c>
      <c r="B515" t="s">
        <v>316</v>
      </c>
      <c r="C515" s="3">
        <v>45715.84951388889</v>
      </c>
      <c r="D515" t="s">
        <v>210</v>
      </c>
      <c r="E515" s="4">
        <v>2.8151101740598681</v>
      </c>
      <c r="F515" s="4">
        <v>351257.60737377324</v>
      </c>
      <c r="G515" s="4">
        <v>351260.4224839473</v>
      </c>
      <c r="H515" s="5">
        <f t="shared" si="5"/>
        <v>0</v>
      </c>
      <c r="I515" t="s">
        <v>238</v>
      </c>
      <c r="J515" t="s">
        <v>169</v>
      </c>
      <c r="K515" s="5">
        <f>314 / 86400</f>
        <v>3.6342592592592594E-3</v>
      </c>
      <c r="L515" s="5">
        <f>4 / 86400</f>
        <v>4.6296296296296294E-5</v>
      </c>
    </row>
    <row r="516" spans="1:12" x14ac:dyDescent="0.25">
      <c r="A516" s="3">
        <v>45715.84956018519</v>
      </c>
      <c r="B516" t="s">
        <v>210</v>
      </c>
      <c r="C516" s="3">
        <v>45715.850717592592</v>
      </c>
      <c r="D516" t="s">
        <v>210</v>
      </c>
      <c r="E516" s="4">
        <v>0.81793617689609532</v>
      </c>
      <c r="F516" s="4">
        <v>351260.42473133764</v>
      </c>
      <c r="G516" s="4">
        <v>351261.24266751454</v>
      </c>
      <c r="H516" s="5">
        <f t="shared" si="5"/>
        <v>0</v>
      </c>
      <c r="I516" t="s">
        <v>296</v>
      </c>
      <c r="J516" t="s">
        <v>211</v>
      </c>
      <c r="K516" s="5">
        <f>100 / 86400</f>
        <v>1.1574074074074073E-3</v>
      </c>
      <c r="L516" s="5">
        <f>9 / 86400</f>
        <v>1.0416666666666667E-4</v>
      </c>
    </row>
    <row r="517" spans="1:12" x14ac:dyDescent="0.25">
      <c r="A517" s="3">
        <v>45715.850821759261</v>
      </c>
      <c r="B517" t="s">
        <v>210</v>
      </c>
      <c r="C517" s="3">
        <v>45715.852662037039</v>
      </c>
      <c r="D517" t="s">
        <v>93</v>
      </c>
      <c r="E517" s="4">
        <v>1.3011691129207612</v>
      </c>
      <c r="F517" s="4">
        <v>351261.24973191053</v>
      </c>
      <c r="G517" s="4">
        <v>351262.55090102344</v>
      </c>
      <c r="H517" s="5">
        <f t="shared" si="5"/>
        <v>0</v>
      </c>
      <c r="I517" t="s">
        <v>236</v>
      </c>
      <c r="J517" t="s">
        <v>211</v>
      </c>
      <c r="K517" s="5">
        <f>159 / 86400</f>
        <v>1.8402777777777777E-3</v>
      </c>
      <c r="L517" s="5">
        <f>20 / 86400</f>
        <v>2.3148148148148149E-4</v>
      </c>
    </row>
    <row r="518" spans="1:12" x14ac:dyDescent="0.25">
      <c r="A518" s="3">
        <v>45715.852893518517</v>
      </c>
      <c r="B518" t="s">
        <v>93</v>
      </c>
      <c r="C518" s="3">
        <v>45715.856076388889</v>
      </c>
      <c r="D518" t="s">
        <v>93</v>
      </c>
      <c r="E518" s="4">
        <v>3.0865488938689234</v>
      </c>
      <c r="F518" s="4">
        <v>351262.62204549473</v>
      </c>
      <c r="G518" s="4">
        <v>351265.70859438862</v>
      </c>
      <c r="H518" s="5">
        <f t="shared" si="5"/>
        <v>0</v>
      </c>
      <c r="I518" t="s">
        <v>218</v>
      </c>
      <c r="J518" t="s">
        <v>205</v>
      </c>
      <c r="K518" s="5">
        <f>275 / 86400</f>
        <v>3.1828703703703702E-3</v>
      </c>
      <c r="L518" s="5">
        <f>3 / 86400</f>
        <v>3.4722222222222222E-5</v>
      </c>
    </row>
    <row r="519" spans="1:12" x14ac:dyDescent="0.25">
      <c r="A519" s="3">
        <v>45715.856111111112</v>
      </c>
      <c r="B519" t="s">
        <v>93</v>
      </c>
      <c r="C519" s="3">
        <v>45715.856574074074</v>
      </c>
      <c r="D519" t="s">
        <v>93</v>
      </c>
      <c r="E519" s="4">
        <v>0.35610702902078628</v>
      </c>
      <c r="F519" s="4">
        <v>351265.71150830697</v>
      </c>
      <c r="G519" s="4">
        <v>351266.06761533598</v>
      </c>
      <c r="H519" s="5">
        <f t="shared" si="5"/>
        <v>0</v>
      </c>
      <c r="I519" t="s">
        <v>202</v>
      </c>
      <c r="J519" t="s">
        <v>169</v>
      </c>
      <c r="K519" s="5">
        <f>40 / 86400</f>
        <v>4.6296296296296298E-4</v>
      </c>
      <c r="L519" s="5">
        <f>8 / 86400</f>
        <v>9.2592592592592588E-5</v>
      </c>
    </row>
    <row r="520" spans="1:12" x14ac:dyDescent="0.25">
      <c r="A520" s="3">
        <v>45715.856666666667</v>
      </c>
      <c r="B520" t="s">
        <v>93</v>
      </c>
      <c r="C520" s="3">
        <v>45715.857129629629</v>
      </c>
      <c r="D520" t="s">
        <v>93</v>
      </c>
      <c r="E520" s="4">
        <v>0.23456681889295578</v>
      </c>
      <c r="F520" s="4">
        <v>351266.07162887731</v>
      </c>
      <c r="G520" s="4">
        <v>351266.30619569618</v>
      </c>
      <c r="H520" s="5">
        <f t="shared" si="5"/>
        <v>0</v>
      </c>
      <c r="I520" t="s">
        <v>173</v>
      </c>
      <c r="J520" t="s">
        <v>139</v>
      </c>
      <c r="K520" s="5">
        <f>40 / 86400</f>
        <v>4.6296296296296298E-4</v>
      </c>
      <c r="L520" s="5">
        <f>40 / 86400</f>
        <v>4.6296296296296298E-4</v>
      </c>
    </row>
    <row r="521" spans="1:12" x14ac:dyDescent="0.25">
      <c r="A521" s="3">
        <v>45715.857592592598</v>
      </c>
      <c r="B521" t="s">
        <v>93</v>
      </c>
      <c r="C521" s="3">
        <v>45715.85864583333</v>
      </c>
      <c r="D521" t="s">
        <v>160</v>
      </c>
      <c r="E521" s="4">
        <v>9.2297992587089539E-2</v>
      </c>
      <c r="F521" s="4">
        <v>351266.31110661873</v>
      </c>
      <c r="G521" s="4">
        <v>351266.40340461128</v>
      </c>
      <c r="H521" s="5">
        <f t="shared" si="5"/>
        <v>0</v>
      </c>
      <c r="I521" t="s">
        <v>123</v>
      </c>
      <c r="J521" t="s">
        <v>132</v>
      </c>
      <c r="K521" s="5">
        <f>91 / 86400</f>
        <v>1.0532407407407407E-3</v>
      </c>
      <c r="L521" s="5">
        <f>40 / 86400</f>
        <v>4.6296296296296298E-4</v>
      </c>
    </row>
    <row r="522" spans="1:12" x14ac:dyDescent="0.25">
      <c r="A522" s="3">
        <v>45715.8591087963</v>
      </c>
      <c r="B522" t="s">
        <v>160</v>
      </c>
      <c r="C522" s="3">
        <v>45715.861956018518</v>
      </c>
      <c r="D522" t="s">
        <v>203</v>
      </c>
      <c r="E522" s="4">
        <v>2.5502482562661171</v>
      </c>
      <c r="F522" s="4">
        <v>351266.41293473204</v>
      </c>
      <c r="G522" s="4">
        <v>351268.96318298829</v>
      </c>
      <c r="H522" s="5">
        <f t="shared" si="5"/>
        <v>0</v>
      </c>
      <c r="I522" t="s">
        <v>58</v>
      </c>
      <c r="J522" t="s">
        <v>240</v>
      </c>
      <c r="K522" s="5">
        <f>246 / 86400</f>
        <v>2.8472222222222223E-3</v>
      </c>
      <c r="L522" s="5">
        <f>26 / 86400</f>
        <v>3.0092592592592595E-4</v>
      </c>
    </row>
    <row r="523" spans="1:12" x14ac:dyDescent="0.25">
      <c r="A523" s="3">
        <v>45715.862256944441</v>
      </c>
      <c r="B523" t="s">
        <v>203</v>
      </c>
      <c r="C523" s="3">
        <v>45715.865590277783</v>
      </c>
      <c r="D523" t="s">
        <v>82</v>
      </c>
      <c r="E523" s="4">
        <v>3.0498315204381941</v>
      </c>
      <c r="F523" s="4">
        <v>351268.96919314924</v>
      </c>
      <c r="G523" s="4">
        <v>351272.01902466972</v>
      </c>
      <c r="H523" s="5">
        <f t="shared" si="5"/>
        <v>0</v>
      </c>
      <c r="I523" t="s">
        <v>50</v>
      </c>
      <c r="J523" t="s">
        <v>214</v>
      </c>
      <c r="K523" s="5">
        <f>288 / 86400</f>
        <v>3.3333333333333335E-3</v>
      </c>
      <c r="L523" s="5">
        <f>20 / 86400</f>
        <v>2.3148148148148149E-4</v>
      </c>
    </row>
    <row r="524" spans="1:12" x14ac:dyDescent="0.25">
      <c r="A524" s="3">
        <v>45715.86582175926</v>
      </c>
      <c r="B524" t="s">
        <v>82</v>
      </c>
      <c r="C524" s="3">
        <v>45715.866284722222</v>
      </c>
      <c r="D524" t="s">
        <v>82</v>
      </c>
      <c r="E524" s="4">
        <v>0.48388322472572326</v>
      </c>
      <c r="F524" s="4">
        <v>351272.14948609984</v>
      </c>
      <c r="G524" s="4">
        <v>351272.63336932455</v>
      </c>
      <c r="H524" s="5">
        <f t="shared" si="5"/>
        <v>0</v>
      </c>
      <c r="I524" t="s">
        <v>89</v>
      </c>
      <c r="J524" t="s">
        <v>235</v>
      </c>
      <c r="K524" s="5">
        <f>40 / 86400</f>
        <v>4.6296296296296298E-4</v>
      </c>
      <c r="L524" s="5">
        <f>20 / 86400</f>
        <v>2.3148148148148149E-4</v>
      </c>
    </row>
    <row r="525" spans="1:12" x14ac:dyDescent="0.25">
      <c r="A525" s="3">
        <v>45715.866516203707</v>
      </c>
      <c r="B525" t="s">
        <v>82</v>
      </c>
      <c r="C525" s="3">
        <v>45715.868368055555</v>
      </c>
      <c r="D525" t="s">
        <v>225</v>
      </c>
      <c r="E525" s="4">
        <v>1.6489895982146263</v>
      </c>
      <c r="F525" s="4">
        <v>351272.70278113795</v>
      </c>
      <c r="G525" s="4">
        <v>351274.35177073616</v>
      </c>
      <c r="H525" s="5">
        <f t="shared" si="5"/>
        <v>0</v>
      </c>
      <c r="I525" t="s">
        <v>218</v>
      </c>
      <c r="J525" t="s">
        <v>240</v>
      </c>
      <c r="K525" s="5">
        <f>160 / 86400</f>
        <v>1.8518518518518519E-3</v>
      </c>
      <c r="L525" s="5">
        <f>20 / 86400</f>
        <v>2.3148148148148149E-4</v>
      </c>
    </row>
    <row r="526" spans="1:12" x14ac:dyDescent="0.25">
      <c r="A526" s="3">
        <v>45715.868599537032</v>
      </c>
      <c r="B526" t="s">
        <v>225</v>
      </c>
      <c r="C526" s="3">
        <v>45715.868831018517</v>
      </c>
      <c r="D526" t="s">
        <v>82</v>
      </c>
      <c r="E526" s="4">
        <v>1.6923250615596772E-2</v>
      </c>
      <c r="F526" s="4">
        <v>351274.38063168916</v>
      </c>
      <c r="G526" s="4">
        <v>351274.39755493973</v>
      </c>
      <c r="H526" s="5">
        <f t="shared" si="5"/>
        <v>0</v>
      </c>
      <c r="I526" t="s">
        <v>155</v>
      </c>
      <c r="J526" t="s">
        <v>136</v>
      </c>
      <c r="K526" s="5">
        <f>20 / 86400</f>
        <v>2.3148148148148149E-4</v>
      </c>
      <c r="L526" s="5">
        <f>60 / 86400</f>
        <v>6.9444444444444447E-4</v>
      </c>
    </row>
    <row r="527" spans="1:12" x14ac:dyDescent="0.25">
      <c r="A527" s="3">
        <v>45715.869525462964</v>
      </c>
      <c r="B527" t="s">
        <v>82</v>
      </c>
      <c r="C527" s="3">
        <v>45715.869756944448</v>
      </c>
      <c r="D527" t="s">
        <v>82</v>
      </c>
      <c r="E527" s="4">
        <v>1.90082985162735E-3</v>
      </c>
      <c r="F527" s="4">
        <v>351274.40969115566</v>
      </c>
      <c r="G527" s="4">
        <v>351274.4115919855</v>
      </c>
      <c r="H527" s="5">
        <f t="shared" si="5"/>
        <v>0</v>
      </c>
      <c r="I527" t="s">
        <v>136</v>
      </c>
      <c r="J527" t="s">
        <v>21</v>
      </c>
      <c r="K527" s="5">
        <f>20 / 86400</f>
        <v>2.3148148148148149E-4</v>
      </c>
      <c r="L527" s="5">
        <f>117 / 86400</f>
        <v>1.3541666666666667E-3</v>
      </c>
    </row>
    <row r="528" spans="1:12" x14ac:dyDescent="0.25">
      <c r="A528" s="3">
        <v>45715.871111111112</v>
      </c>
      <c r="B528" t="s">
        <v>82</v>
      </c>
      <c r="C528" s="3">
        <v>45715.872962962967</v>
      </c>
      <c r="D528" t="s">
        <v>84</v>
      </c>
      <c r="E528" s="4">
        <v>1.7428791552782059</v>
      </c>
      <c r="F528" s="4">
        <v>351274.42992599291</v>
      </c>
      <c r="G528" s="4">
        <v>351276.17280514818</v>
      </c>
      <c r="H528" s="5">
        <f t="shared" si="5"/>
        <v>0</v>
      </c>
      <c r="I528" t="s">
        <v>71</v>
      </c>
      <c r="J528" t="s">
        <v>202</v>
      </c>
      <c r="K528" s="5">
        <f>160 / 86400</f>
        <v>1.8518518518518519E-3</v>
      </c>
      <c r="L528" s="5">
        <f>20 / 86400</f>
        <v>2.3148148148148149E-4</v>
      </c>
    </row>
    <row r="529" spans="1:12" x14ac:dyDescent="0.25">
      <c r="A529" s="3">
        <v>45715.873194444444</v>
      </c>
      <c r="B529" t="s">
        <v>84</v>
      </c>
      <c r="C529" s="3">
        <v>45715.874120370368</v>
      </c>
      <c r="D529" t="s">
        <v>84</v>
      </c>
      <c r="E529" s="4">
        <v>0.58706206184625631</v>
      </c>
      <c r="F529" s="4">
        <v>351276.31407938933</v>
      </c>
      <c r="G529" s="4">
        <v>351276.90114145121</v>
      </c>
      <c r="H529" s="5">
        <f t="shared" si="5"/>
        <v>0</v>
      </c>
      <c r="I529" t="s">
        <v>207</v>
      </c>
      <c r="J529" t="s">
        <v>98</v>
      </c>
      <c r="K529" s="5">
        <f>80 / 86400</f>
        <v>9.2592592592592596E-4</v>
      </c>
      <c r="L529" s="5">
        <f>20 / 86400</f>
        <v>2.3148148148148149E-4</v>
      </c>
    </row>
    <row r="530" spans="1:12" x14ac:dyDescent="0.25">
      <c r="A530" s="3">
        <v>45715.874351851853</v>
      </c>
      <c r="B530" t="s">
        <v>84</v>
      </c>
      <c r="C530" s="3">
        <v>45715.874583333338</v>
      </c>
      <c r="D530" t="s">
        <v>84</v>
      </c>
      <c r="E530" s="4">
        <v>0.10934689539670944</v>
      </c>
      <c r="F530" s="4">
        <v>351277.06093409413</v>
      </c>
      <c r="G530" s="4">
        <v>351277.17028098955</v>
      </c>
      <c r="H530" s="5">
        <f t="shared" si="5"/>
        <v>0</v>
      </c>
      <c r="I530" t="s">
        <v>245</v>
      </c>
      <c r="J530" t="s">
        <v>116</v>
      </c>
      <c r="K530" s="5">
        <f>20 / 86400</f>
        <v>2.3148148148148149E-4</v>
      </c>
      <c r="L530" s="5">
        <f>1 / 86400</f>
        <v>1.1574074074074073E-5</v>
      </c>
    </row>
    <row r="531" spans="1:12" x14ac:dyDescent="0.25">
      <c r="A531" s="3">
        <v>45715.874594907407</v>
      </c>
      <c r="B531" t="s">
        <v>84</v>
      </c>
      <c r="C531" s="3">
        <v>45715.876909722225</v>
      </c>
      <c r="D531" t="s">
        <v>403</v>
      </c>
      <c r="E531" s="4">
        <v>1.2001617538332938</v>
      </c>
      <c r="F531" s="4">
        <v>351277.1715023478</v>
      </c>
      <c r="G531" s="4">
        <v>351278.37166410167</v>
      </c>
      <c r="H531" s="5">
        <f t="shared" si="5"/>
        <v>0</v>
      </c>
      <c r="I531" t="s">
        <v>235</v>
      </c>
      <c r="J531" t="s">
        <v>34</v>
      </c>
      <c r="K531" s="5">
        <f>200 / 86400</f>
        <v>2.3148148148148147E-3</v>
      </c>
      <c r="L531" s="5">
        <f>30 / 86400</f>
        <v>3.4722222222222224E-4</v>
      </c>
    </row>
    <row r="532" spans="1:12" x14ac:dyDescent="0.25">
      <c r="A532" s="3">
        <v>45715.877256944441</v>
      </c>
      <c r="B532" t="s">
        <v>403</v>
      </c>
      <c r="C532" s="3">
        <v>45715.879432870366</v>
      </c>
      <c r="D532" t="s">
        <v>404</v>
      </c>
      <c r="E532" s="4">
        <v>0.92087851631641393</v>
      </c>
      <c r="F532" s="4">
        <v>351278.3845791507</v>
      </c>
      <c r="G532" s="4">
        <v>351279.30545766698</v>
      </c>
      <c r="H532" s="5">
        <f t="shared" si="5"/>
        <v>0</v>
      </c>
      <c r="I532" t="s">
        <v>221</v>
      </c>
      <c r="J532" t="s">
        <v>30</v>
      </c>
      <c r="K532" s="5">
        <f>188 / 86400</f>
        <v>2.1759259259259258E-3</v>
      </c>
      <c r="L532" s="5">
        <f>60 / 86400</f>
        <v>6.9444444444444447E-4</v>
      </c>
    </row>
    <row r="533" spans="1:12" x14ac:dyDescent="0.25">
      <c r="A533" s="3">
        <v>45715.880127314813</v>
      </c>
      <c r="B533" t="s">
        <v>404</v>
      </c>
      <c r="C533" s="3">
        <v>45715.880590277782</v>
      </c>
      <c r="D533" t="s">
        <v>404</v>
      </c>
      <c r="E533" s="4">
        <v>1.1881914615631104E-2</v>
      </c>
      <c r="F533" s="4">
        <v>351279.32588078472</v>
      </c>
      <c r="G533" s="4">
        <v>351279.33776269929</v>
      </c>
      <c r="H533" s="5">
        <f t="shared" si="5"/>
        <v>0</v>
      </c>
      <c r="I533" t="s">
        <v>136</v>
      </c>
      <c r="J533" t="s">
        <v>67</v>
      </c>
      <c r="K533" s="5">
        <f>40 / 86400</f>
        <v>4.6296296296296298E-4</v>
      </c>
      <c r="L533" s="5">
        <f>100 / 86400</f>
        <v>1.1574074074074073E-3</v>
      </c>
    </row>
    <row r="534" spans="1:12" x14ac:dyDescent="0.25">
      <c r="A534" s="3">
        <v>45715.881747685184</v>
      </c>
      <c r="B534" t="s">
        <v>404</v>
      </c>
      <c r="C534" s="3">
        <v>45715.881979166668</v>
      </c>
      <c r="D534" t="s">
        <v>404</v>
      </c>
      <c r="E534" s="4">
        <v>2.5702767670154572E-2</v>
      </c>
      <c r="F534" s="4">
        <v>351279.35008176829</v>
      </c>
      <c r="G534" s="4">
        <v>351279.37578453595</v>
      </c>
      <c r="H534" s="5">
        <f t="shared" si="5"/>
        <v>0</v>
      </c>
      <c r="I534" t="s">
        <v>132</v>
      </c>
      <c r="J534" t="s">
        <v>99</v>
      </c>
      <c r="K534" s="5">
        <f>20 / 86400</f>
        <v>2.3148148148148149E-4</v>
      </c>
      <c r="L534" s="5">
        <f>60 / 86400</f>
        <v>6.9444444444444447E-4</v>
      </c>
    </row>
    <row r="535" spans="1:12" x14ac:dyDescent="0.25">
      <c r="A535" s="3">
        <v>45715.882673611108</v>
      </c>
      <c r="B535" t="s">
        <v>190</v>
      </c>
      <c r="C535" s="3">
        <v>45715.882905092592</v>
      </c>
      <c r="D535" t="s">
        <v>190</v>
      </c>
      <c r="E535" s="4">
        <v>4.2763772010803221E-3</v>
      </c>
      <c r="F535" s="4">
        <v>351279.38504364836</v>
      </c>
      <c r="G535" s="4">
        <v>351279.38932002557</v>
      </c>
      <c r="H535" s="5">
        <f t="shared" si="5"/>
        <v>0</v>
      </c>
      <c r="I535" t="s">
        <v>29</v>
      </c>
      <c r="J535" t="s">
        <v>67</v>
      </c>
      <c r="K535" s="5">
        <f>20 / 86400</f>
        <v>2.3148148148148149E-4</v>
      </c>
      <c r="L535" s="5">
        <f>31 / 86400</f>
        <v>3.5879629629629629E-4</v>
      </c>
    </row>
    <row r="536" spans="1:12" x14ac:dyDescent="0.25">
      <c r="A536" s="3">
        <v>45715.883263888885</v>
      </c>
      <c r="B536" t="s">
        <v>190</v>
      </c>
      <c r="C536" s="3">
        <v>45715.883958333332</v>
      </c>
      <c r="D536" t="s">
        <v>405</v>
      </c>
      <c r="E536" s="4">
        <v>4.8209733188152311E-2</v>
      </c>
      <c r="F536" s="4">
        <v>351279.39549073111</v>
      </c>
      <c r="G536" s="4">
        <v>351279.44370046433</v>
      </c>
      <c r="H536" s="5">
        <f t="shared" si="5"/>
        <v>0</v>
      </c>
      <c r="I536" t="s">
        <v>141</v>
      </c>
      <c r="J536" t="s">
        <v>136</v>
      </c>
      <c r="K536" s="5">
        <f>60 / 86400</f>
        <v>6.9444444444444447E-4</v>
      </c>
      <c r="L536" s="5">
        <f>20 / 86400</f>
        <v>2.3148148148148149E-4</v>
      </c>
    </row>
    <row r="537" spans="1:12" x14ac:dyDescent="0.25">
      <c r="A537" s="3">
        <v>45715.884189814809</v>
      </c>
      <c r="B537" t="s">
        <v>406</v>
      </c>
      <c r="C537" s="3">
        <v>45715.884884259256</v>
      </c>
      <c r="D537" t="s">
        <v>190</v>
      </c>
      <c r="E537" s="4">
        <v>0.33195144671201704</v>
      </c>
      <c r="F537" s="4">
        <v>351279.49905883009</v>
      </c>
      <c r="G537" s="4">
        <v>351279.8310102768</v>
      </c>
      <c r="H537" s="5">
        <f t="shared" si="5"/>
        <v>0</v>
      </c>
      <c r="I537" t="s">
        <v>85</v>
      </c>
      <c r="J537" t="s">
        <v>116</v>
      </c>
      <c r="K537" s="5">
        <f>60 / 86400</f>
        <v>6.9444444444444447E-4</v>
      </c>
      <c r="L537" s="5">
        <f>5 / 86400</f>
        <v>5.7870370370370373E-5</v>
      </c>
    </row>
    <row r="538" spans="1:12" x14ac:dyDescent="0.25">
      <c r="A538" s="3">
        <v>45715.884942129633</v>
      </c>
      <c r="B538" t="s">
        <v>407</v>
      </c>
      <c r="C538" s="3">
        <v>45715.886793981481</v>
      </c>
      <c r="D538" t="s">
        <v>127</v>
      </c>
      <c r="E538" s="4">
        <v>1.9648907278776169</v>
      </c>
      <c r="F538" s="4">
        <v>351279.84175922046</v>
      </c>
      <c r="G538" s="4">
        <v>351281.80664994835</v>
      </c>
      <c r="H538" s="5">
        <f t="shared" si="5"/>
        <v>0</v>
      </c>
      <c r="I538" t="s">
        <v>105</v>
      </c>
      <c r="J538" t="s">
        <v>235</v>
      </c>
      <c r="K538" s="5">
        <f>160 / 86400</f>
        <v>1.8518518518518519E-3</v>
      </c>
      <c r="L538" s="5">
        <f>30 / 86400</f>
        <v>3.4722222222222224E-4</v>
      </c>
    </row>
    <row r="539" spans="1:12" x14ac:dyDescent="0.25">
      <c r="A539" s="3">
        <v>45715.887141203704</v>
      </c>
      <c r="B539" t="s">
        <v>127</v>
      </c>
      <c r="C539" s="3">
        <v>45715.887372685189</v>
      </c>
      <c r="D539" t="s">
        <v>127</v>
      </c>
      <c r="E539" s="4">
        <v>1.159373539686203E-2</v>
      </c>
      <c r="F539" s="4">
        <v>351281.81084716477</v>
      </c>
      <c r="G539" s="4">
        <v>351281.82244090014</v>
      </c>
      <c r="H539" s="5">
        <f t="shared" si="5"/>
        <v>0</v>
      </c>
      <c r="I539" t="s">
        <v>143</v>
      </c>
      <c r="J539" t="s">
        <v>29</v>
      </c>
      <c r="K539" s="5">
        <f>20 / 86400</f>
        <v>2.3148148148148149E-4</v>
      </c>
      <c r="L539" s="5">
        <f>60 / 86400</f>
        <v>6.9444444444444447E-4</v>
      </c>
    </row>
    <row r="540" spans="1:12" x14ac:dyDescent="0.25">
      <c r="A540" s="3">
        <v>45715.888067129628</v>
      </c>
      <c r="B540" t="s">
        <v>127</v>
      </c>
      <c r="C540" s="3">
        <v>45715.88899305556</v>
      </c>
      <c r="D540" t="s">
        <v>408</v>
      </c>
      <c r="E540" s="4">
        <v>0.56325262516736985</v>
      </c>
      <c r="F540" s="4">
        <v>351281.83499494591</v>
      </c>
      <c r="G540" s="4">
        <v>351282.39824757108</v>
      </c>
      <c r="H540" s="5">
        <f t="shared" si="5"/>
        <v>0</v>
      </c>
      <c r="I540" t="s">
        <v>221</v>
      </c>
      <c r="J540" t="s">
        <v>176</v>
      </c>
      <c r="K540" s="5">
        <f>80 / 86400</f>
        <v>9.2592592592592596E-4</v>
      </c>
      <c r="L540" s="5">
        <f>12 / 86400</f>
        <v>1.3888888888888889E-4</v>
      </c>
    </row>
    <row r="541" spans="1:12" x14ac:dyDescent="0.25">
      <c r="A541" s="3">
        <v>45715.889131944445</v>
      </c>
      <c r="B541" t="s">
        <v>409</v>
      </c>
      <c r="C541" s="3">
        <v>45715.889386574076</v>
      </c>
      <c r="D541" t="s">
        <v>409</v>
      </c>
      <c r="E541" s="4">
        <v>1.6480632781982422E-2</v>
      </c>
      <c r="F541" s="4">
        <v>351282.41530953179</v>
      </c>
      <c r="G541" s="4">
        <v>351282.43179016461</v>
      </c>
      <c r="H541" s="5">
        <f t="shared" si="5"/>
        <v>0</v>
      </c>
      <c r="I541" t="s">
        <v>143</v>
      </c>
      <c r="J541" t="s">
        <v>136</v>
      </c>
      <c r="K541" s="5">
        <f>22 / 86400</f>
        <v>2.5462962962962961E-4</v>
      </c>
      <c r="L541" s="5">
        <f>33 / 86400</f>
        <v>3.8194444444444446E-4</v>
      </c>
    </row>
    <row r="542" spans="1:12" x14ac:dyDescent="0.25">
      <c r="A542" s="3">
        <v>45715.889768518522</v>
      </c>
      <c r="B542" t="s">
        <v>409</v>
      </c>
      <c r="C542" s="3">
        <v>45715.891157407408</v>
      </c>
      <c r="D542" t="s">
        <v>410</v>
      </c>
      <c r="E542" s="4">
        <v>0.77803583395481113</v>
      </c>
      <c r="F542" s="4">
        <v>351282.44502700254</v>
      </c>
      <c r="G542" s="4">
        <v>351283.22306283645</v>
      </c>
      <c r="H542" s="5">
        <f t="shared" si="5"/>
        <v>0</v>
      </c>
      <c r="I542" t="s">
        <v>168</v>
      </c>
      <c r="J542" t="s">
        <v>163</v>
      </c>
      <c r="K542" s="5">
        <f>120 / 86400</f>
        <v>1.3888888888888889E-3</v>
      </c>
      <c r="L542" s="5">
        <f>20 / 86400</f>
        <v>2.3148148148148149E-4</v>
      </c>
    </row>
    <row r="543" spans="1:12" x14ac:dyDescent="0.25">
      <c r="A543" s="3">
        <v>45715.891388888893</v>
      </c>
      <c r="B543" t="s">
        <v>410</v>
      </c>
      <c r="C543" s="3">
        <v>45715.892777777779</v>
      </c>
      <c r="D543" t="s">
        <v>411</v>
      </c>
      <c r="E543" s="4">
        <v>1.0398008443713189</v>
      </c>
      <c r="F543" s="4">
        <v>351283.24685044965</v>
      </c>
      <c r="G543" s="4">
        <v>351284.28665129398</v>
      </c>
      <c r="H543" s="5">
        <f t="shared" si="5"/>
        <v>0</v>
      </c>
      <c r="I543" t="s">
        <v>192</v>
      </c>
      <c r="J543" t="s">
        <v>179</v>
      </c>
      <c r="K543" s="5">
        <f>120 / 86400</f>
        <v>1.3888888888888889E-3</v>
      </c>
      <c r="L543" s="5">
        <f>20 / 86400</f>
        <v>2.3148148148148149E-4</v>
      </c>
    </row>
    <row r="544" spans="1:12" x14ac:dyDescent="0.25">
      <c r="A544" s="3">
        <v>45715.893009259264</v>
      </c>
      <c r="B544" t="s">
        <v>411</v>
      </c>
      <c r="C544" s="3">
        <v>45715.894791666666</v>
      </c>
      <c r="D544" t="s">
        <v>412</v>
      </c>
      <c r="E544" s="4">
        <v>0.92709411191940305</v>
      </c>
      <c r="F544" s="4">
        <v>351284.29150466155</v>
      </c>
      <c r="G544" s="4">
        <v>351285.21859877347</v>
      </c>
      <c r="H544" s="5">
        <f t="shared" si="5"/>
        <v>0</v>
      </c>
      <c r="I544" t="s">
        <v>245</v>
      </c>
      <c r="J544" t="s">
        <v>34</v>
      </c>
      <c r="K544" s="5">
        <f>154 / 86400</f>
        <v>1.7824074074074075E-3</v>
      </c>
      <c r="L544" s="5">
        <f>20 / 86400</f>
        <v>2.3148148148148149E-4</v>
      </c>
    </row>
    <row r="545" spans="1:12" x14ac:dyDescent="0.25">
      <c r="A545" s="3">
        <v>45715.895023148143</v>
      </c>
      <c r="B545" t="s">
        <v>412</v>
      </c>
      <c r="C545" s="3">
        <v>45715.897199074076</v>
      </c>
      <c r="D545" t="s">
        <v>413</v>
      </c>
      <c r="E545" s="4">
        <v>1.0938421451449394</v>
      </c>
      <c r="F545" s="4">
        <v>351285.34874281316</v>
      </c>
      <c r="G545" s="4">
        <v>351286.44258495833</v>
      </c>
      <c r="H545" s="5">
        <f t="shared" si="5"/>
        <v>0</v>
      </c>
      <c r="I545" t="s">
        <v>168</v>
      </c>
      <c r="J545" t="s">
        <v>139</v>
      </c>
      <c r="K545" s="5">
        <f>188 / 86400</f>
        <v>2.1759259259259258E-3</v>
      </c>
      <c r="L545" s="5">
        <f>40 / 86400</f>
        <v>4.6296296296296298E-4</v>
      </c>
    </row>
    <row r="546" spans="1:12" x14ac:dyDescent="0.25">
      <c r="A546" s="3">
        <v>45715.897662037038</v>
      </c>
      <c r="B546" t="s">
        <v>414</v>
      </c>
      <c r="C546" s="3">
        <v>45715.897893518515</v>
      </c>
      <c r="D546" t="s">
        <v>414</v>
      </c>
      <c r="E546" s="4">
        <v>1.1957759976387023E-2</v>
      </c>
      <c r="F546" s="4">
        <v>351286.46474955074</v>
      </c>
      <c r="G546" s="4">
        <v>351286.47670731077</v>
      </c>
      <c r="H546" s="5">
        <f t="shared" si="5"/>
        <v>0</v>
      </c>
      <c r="I546" t="s">
        <v>29</v>
      </c>
      <c r="J546" t="s">
        <v>29</v>
      </c>
      <c r="K546" s="5">
        <f>20 / 86400</f>
        <v>2.3148148148148149E-4</v>
      </c>
      <c r="L546" s="5">
        <f>3 / 86400</f>
        <v>3.4722222222222222E-5</v>
      </c>
    </row>
    <row r="547" spans="1:12" x14ac:dyDescent="0.25">
      <c r="A547" s="3">
        <v>45715.897928240738</v>
      </c>
      <c r="B547" t="s">
        <v>415</v>
      </c>
      <c r="C547" s="3">
        <v>45715.898240740746</v>
      </c>
      <c r="D547" t="s">
        <v>414</v>
      </c>
      <c r="E547" s="4">
        <v>1.2533105969429015E-2</v>
      </c>
      <c r="F547" s="4">
        <v>351286.47959447099</v>
      </c>
      <c r="G547" s="4">
        <v>351286.49212757696</v>
      </c>
      <c r="H547" s="5">
        <f t="shared" si="5"/>
        <v>0</v>
      </c>
      <c r="I547" t="s">
        <v>143</v>
      </c>
      <c r="J547" t="s">
        <v>29</v>
      </c>
      <c r="K547" s="5">
        <f>27 / 86400</f>
        <v>3.1250000000000001E-4</v>
      </c>
      <c r="L547" s="5">
        <f>7 / 86400</f>
        <v>8.1018518518518516E-5</v>
      </c>
    </row>
    <row r="548" spans="1:12" x14ac:dyDescent="0.25">
      <c r="A548" s="3">
        <v>45715.898321759261</v>
      </c>
      <c r="B548" t="s">
        <v>414</v>
      </c>
      <c r="C548" s="3">
        <v>45715.898657407408</v>
      </c>
      <c r="D548" t="s">
        <v>415</v>
      </c>
      <c r="E548" s="4">
        <v>2.9300188660621642E-2</v>
      </c>
      <c r="F548" s="4">
        <v>351286.49419541965</v>
      </c>
      <c r="G548" s="4">
        <v>351286.52349560836</v>
      </c>
      <c r="H548" s="5">
        <f t="shared" si="5"/>
        <v>0</v>
      </c>
      <c r="I548" t="s">
        <v>99</v>
      </c>
      <c r="J548" t="s">
        <v>132</v>
      </c>
      <c r="K548" s="5">
        <f>29 / 86400</f>
        <v>3.3564814814814812E-4</v>
      </c>
      <c r="L548" s="5">
        <f>40 / 86400</f>
        <v>4.6296296296296298E-4</v>
      </c>
    </row>
    <row r="549" spans="1:12" x14ac:dyDescent="0.25">
      <c r="A549" s="3">
        <v>45715.89912037037</v>
      </c>
      <c r="B549" t="s">
        <v>415</v>
      </c>
      <c r="C549" s="3">
        <v>45715.899861111116</v>
      </c>
      <c r="D549" t="s">
        <v>300</v>
      </c>
      <c r="E549" s="4">
        <v>0.34237463408708574</v>
      </c>
      <c r="F549" s="4">
        <v>351286.58666738193</v>
      </c>
      <c r="G549" s="4">
        <v>351286.92904201604</v>
      </c>
      <c r="H549" s="5">
        <f t="shared" si="5"/>
        <v>0</v>
      </c>
      <c r="I549" t="s">
        <v>226</v>
      </c>
      <c r="J549" t="s">
        <v>62</v>
      </c>
      <c r="K549" s="5">
        <f>64 / 86400</f>
        <v>7.407407407407407E-4</v>
      </c>
      <c r="L549" s="5">
        <f>20 / 86400</f>
        <v>2.3148148148148149E-4</v>
      </c>
    </row>
    <row r="550" spans="1:12" x14ac:dyDescent="0.25">
      <c r="A550" s="3">
        <v>45715.900092592594</v>
      </c>
      <c r="B550" t="s">
        <v>377</v>
      </c>
      <c r="C550" s="3">
        <v>45715.900324074071</v>
      </c>
      <c r="D550" t="s">
        <v>300</v>
      </c>
      <c r="E550" s="4">
        <v>4.0255506038665775E-3</v>
      </c>
      <c r="F550" s="4">
        <v>351287.06762888277</v>
      </c>
      <c r="G550" s="4">
        <v>351287.07165443338</v>
      </c>
      <c r="H550" s="5">
        <f t="shared" si="5"/>
        <v>0</v>
      </c>
      <c r="I550" t="s">
        <v>29</v>
      </c>
      <c r="J550" t="s">
        <v>67</v>
      </c>
      <c r="K550" s="5">
        <f>20 / 86400</f>
        <v>2.3148148148148149E-4</v>
      </c>
      <c r="L550" s="5">
        <f>14 / 86400</f>
        <v>1.6203703703703703E-4</v>
      </c>
    </row>
    <row r="551" spans="1:12" x14ac:dyDescent="0.25">
      <c r="A551" s="3">
        <v>45715.90048611111</v>
      </c>
      <c r="B551" t="s">
        <v>377</v>
      </c>
      <c r="C551" s="3">
        <v>45715.902592592596</v>
      </c>
      <c r="D551" t="s">
        <v>377</v>
      </c>
      <c r="E551" s="4">
        <v>3.293776363134384E-2</v>
      </c>
      <c r="F551" s="4">
        <v>351287.08021251525</v>
      </c>
      <c r="G551" s="4">
        <v>351287.11315027886</v>
      </c>
      <c r="H551" s="5">
        <f t="shared" si="5"/>
        <v>0</v>
      </c>
      <c r="I551" t="s">
        <v>99</v>
      </c>
      <c r="J551" t="s">
        <v>67</v>
      </c>
      <c r="K551" s="5">
        <f>182 / 86400</f>
        <v>2.1064814814814813E-3</v>
      </c>
      <c r="L551" s="5">
        <f>214 / 86400</f>
        <v>2.476851851851852E-3</v>
      </c>
    </row>
    <row r="552" spans="1:12" x14ac:dyDescent="0.25">
      <c r="A552" s="3">
        <v>45715.905069444445</v>
      </c>
      <c r="B552" t="s">
        <v>300</v>
      </c>
      <c r="C552" s="3">
        <v>45715.905300925922</v>
      </c>
      <c r="D552" t="s">
        <v>300</v>
      </c>
      <c r="E552" s="4">
        <v>3.8800808191299437E-3</v>
      </c>
      <c r="F552" s="4">
        <v>351287.13974864536</v>
      </c>
      <c r="G552" s="4">
        <v>351287.14362872619</v>
      </c>
      <c r="H552" s="5">
        <f t="shared" si="5"/>
        <v>0</v>
      </c>
      <c r="I552" t="s">
        <v>67</v>
      </c>
      <c r="J552" t="s">
        <v>67</v>
      </c>
      <c r="K552" s="5">
        <f>20 / 86400</f>
        <v>2.3148148148148149E-4</v>
      </c>
      <c r="L552" s="5">
        <f>420 / 86400</f>
        <v>4.8611111111111112E-3</v>
      </c>
    </row>
    <row r="553" spans="1:12" x14ac:dyDescent="0.25">
      <c r="A553" s="3">
        <v>45715.910162037035</v>
      </c>
      <c r="B553" t="s">
        <v>300</v>
      </c>
      <c r="C553" s="3">
        <v>45715.910393518519</v>
      </c>
      <c r="D553" t="s">
        <v>416</v>
      </c>
      <c r="E553" s="4">
        <v>1.8226065993309021E-2</v>
      </c>
      <c r="F553" s="4">
        <v>351287.18302276038</v>
      </c>
      <c r="G553" s="4">
        <v>351287.2012488264</v>
      </c>
      <c r="H553" s="5">
        <f t="shared" si="5"/>
        <v>0</v>
      </c>
      <c r="I553" t="s">
        <v>99</v>
      </c>
      <c r="J553" t="s">
        <v>136</v>
      </c>
      <c r="K553" s="5">
        <f>20 / 86400</f>
        <v>2.3148148148148149E-4</v>
      </c>
      <c r="L553" s="5">
        <f>20 / 86400</f>
        <v>2.3148148148148149E-4</v>
      </c>
    </row>
    <row r="554" spans="1:12" x14ac:dyDescent="0.25">
      <c r="A554" s="3">
        <v>45715.910625000004</v>
      </c>
      <c r="B554" t="s">
        <v>416</v>
      </c>
      <c r="C554" s="3">
        <v>45715.91106481482</v>
      </c>
      <c r="D554" t="s">
        <v>413</v>
      </c>
      <c r="E554" s="4">
        <v>0.19035586678981781</v>
      </c>
      <c r="F554" s="4">
        <v>351287.2324053421</v>
      </c>
      <c r="G554" s="4">
        <v>351287.4227612089</v>
      </c>
      <c r="H554" s="5">
        <f t="shared" si="5"/>
        <v>0</v>
      </c>
      <c r="I554" t="s">
        <v>139</v>
      </c>
      <c r="J554" t="s">
        <v>30</v>
      </c>
      <c r="K554" s="5">
        <f>38 / 86400</f>
        <v>4.3981481481481481E-4</v>
      </c>
      <c r="L554" s="5">
        <f>20 / 86400</f>
        <v>2.3148148148148149E-4</v>
      </c>
    </row>
    <row r="555" spans="1:12" x14ac:dyDescent="0.25">
      <c r="A555" s="3">
        <v>45715.911296296297</v>
      </c>
      <c r="B555" t="s">
        <v>413</v>
      </c>
      <c r="C555" s="3">
        <v>45715.91243055556</v>
      </c>
      <c r="D555" t="s">
        <v>417</v>
      </c>
      <c r="E555" s="4">
        <v>0.76332120048999785</v>
      </c>
      <c r="F555" s="4">
        <v>351287.44776156434</v>
      </c>
      <c r="G555" s="4">
        <v>351288.21108276478</v>
      </c>
      <c r="H555" s="5">
        <f t="shared" si="5"/>
        <v>0</v>
      </c>
      <c r="I555" t="s">
        <v>238</v>
      </c>
      <c r="J555" t="s">
        <v>219</v>
      </c>
      <c r="K555" s="5">
        <f>98 / 86400</f>
        <v>1.1342592592592593E-3</v>
      </c>
      <c r="L555" s="5">
        <f>20 / 86400</f>
        <v>2.3148148148148149E-4</v>
      </c>
    </row>
    <row r="556" spans="1:12" x14ac:dyDescent="0.25">
      <c r="A556" s="3">
        <v>45715.912662037037</v>
      </c>
      <c r="B556" t="s">
        <v>418</v>
      </c>
      <c r="C556" s="3">
        <v>45715.912893518514</v>
      </c>
      <c r="D556" t="s">
        <v>418</v>
      </c>
      <c r="E556" s="4">
        <v>2.8867867112159728E-2</v>
      </c>
      <c r="F556" s="4">
        <v>351288.21398619504</v>
      </c>
      <c r="G556" s="4">
        <v>351288.24285406212</v>
      </c>
      <c r="H556" s="5">
        <f t="shared" si="5"/>
        <v>0</v>
      </c>
      <c r="I556" t="s">
        <v>136</v>
      </c>
      <c r="J556" t="s">
        <v>99</v>
      </c>
      <c r="K556" s="5">
        <f>20 / 86400</f>
        <v>2.3148148148148149E-4</v>
      </c>
      <c r="L556" s="5">
        <f>60 / 86400</f>
        <v>6.9444444444444447E-4</v>
      </c>
    </row>
    <row r="557" spans="1:12" x14ac:dyDescent="0.25">
      <c r="A557" s="3">
        <v>45715.913587962961</v>
      </c>
      <c r="B557" t="s">
        <v>419</v>
      </c>
      <c r="C557" s="3">
        <v>45715.913819444446</v>
      </c>
      <c r="D557" t="s">
        <v>419</v>
      </c>
      <c r="E557" s="4">
        <v>3.7109338045120239E-3</v>
      </c>
      <c r="F557" s="4">
        <v>351288.24791329121</v>
      </c>
      <c r="G557" s="4">
        <v>351288.251624225</v>
      </c>
      <c r="H557" s="5">
        <f t="shared" si="5"/>
        <v>0</v>
      </c>
      <c r="I557" t="s">
        <v>67</v>
      </c>
      <c r="J557" t="s">
        <v>67</v>
      </c>
      <c r="K557" s="5">
        <f>20 / 86400</f>
        <v>2.3148148148148149E-4</v>
      </c>
      <c r="L557" s="5">
        <f>40 / 86400</f>
        <v>4.6296296296296298E-4</v>
      </c>
    </row>
    <row r="558" spans="1:12" x14ac:dyDescent="0.25">
      <c r="A558" s="3">
        <v>45715.914282407408</v>
      </c>
      <c r="B558" t="s">
        <v>418</v>
      </c>
      <c r="C558" s="3">
        <v>45715.916689814811</v>
      </c>
      <c r="D558" t="s">
        <v>420</v>
      </c>
      <c r="E558" s="4">
        <v>1.045051301240921</v>
      </c>
      <c r="F558" s="4">
        <v>351288.25640738325</v>
      </c>
      <c r="G558" s="4">
        <v>351289.30145868449</v>
      </c>
      <c r="H558" s="5">
        <f t="shared" si="5"/>
        <v>0</v>
      </c>
      <c r="I558" t="s">
        <v>169</v>
      </c>
      <c r="J558" t="s">
        <v>30</v>
      </c>
      <c r="K558" s="5">
        <f>208 / 86400</f>
        <v>2.4074074074074076E-3</v>
      </c>
      <c r="L558" s="5">
        <f>19 / 86400</f>
        <v>2.199074074074074E-4</v>
      </c>
    </row>
    <row r="559" spans="1:12" x14ac:dyDescent="0.25">
      <c r="A559" s="3">
        <v>45715.916909722218</v>
      </c>
      <c r="B559" t="s">
        <v>420</v>
      </c>
      <c r="C559" s="3">
        <v>45715.918067129634</v>
      </c>
      <c r="D559" t="s">
        <v>421</v>
      </c>
      <c r="E559" s="4">
        <v>0.47423879414796827</v>
      </c>
      <c r="F559" s="4">
        <v>351289.31544175482</v>
      </c>
      <c r="G559" s="4">
        <v>351289.78968054894</v>
      </c>
      <c r="H559" s="5">
        <f t="shared" si="5"/>
        <v>0</v>
      </c>
      <c r="I559" t="s">
        <v>173</v>
      </c>
      <c r="J559" t="s">
        <v>19</v>
      </c>
      <c r="K559" s="5">
        <f>100 / 86400</f>
        <v>1.1574074074074073E-3</v>
      </c>
      <c r="L559" s="5">
        <f>20 / 86400</f>
        <v>2.3148148148148149E-4</v>
      </c>
    </row>
    <row r="560" spans="1:12" x14ac:dyDescent="0.25">
      <c r="A560" s="3">
        <v>45715.918298611112</v>
      </c>
      <c r="B560" t="s">
        <v>421</v>
      </c>
      <c r="C560" s="3">
        <v>45715.918530092589</v>
      </c>
      <c r="D560" t="s">
        <v>420</v>
      </c>
      <c r="E560" s="4">
        <v>2.4005111455917359E-3</v>
      </c>
      <c r="F560" s="4">
        <v>351289.79399584181</v>
      </c>
      <c r="G560" s="4">
        <v>351289.79639635293</v>
      </c>
      <c r="H560" s="5">
        <f t="shared" si="5"/>
        <v>0</v>
      </c>
      <c r="I560" t="s">
        <v>67</v>
      </c>
      <c r="J560" t="s">
        <v>21</v>
      </c>
      <c r="K560" s="5">
        <f>20 / 86400</f>
        <v>2.3148148148148149E-4</v>
      </c>
      <c r="L560" s="5">
        <f>7 / 86400</f>
        <v>8.1018518518518516E-5</v>
      </c>
    </row>
    <row r="561" spans="1:12" x14ac:dyDescent="0.25">
      <c r="A561" s="3">
        <v>45715.918611111112</v>
      </c>
      <c r="B561" t="s">
        <v>421</v>
      </c>
      <c r="C561" s="3">
        <v>45715.919467592597</v>
      </c>
      <c r="D561" t="s">
        <v>188</v>
      </c>
      <c r="E561" s="4">
        <v>0.56067522537708281</v>
      </c>
      <c r="F561" s="4">
        <v>351289.80243248981</v>
      </c>
      <c r="G561" s="4">
        <v>351290.36310771521</v>
      </c>
      <c r="H561" s="5">
        <f t="shared" si="5"/>
        <v>0</v>
      </c>
      <c r="I561" t="s">
        <v>268</v>
      </c>
      <c r="J561" t="s">
        <v>131</v>
      </c>
      <c r="K561" s="5">
        <f>74 / 86400</f>
        <v>8.564814814814815E-4</v>
      </c>
      <c r="L561" s="5">
        <f>20 / 86400</f>
        <v>2.3148148148148149E-4</v>
      </c>
    </row>
    <row r="562" spans="1:12" x14ac:dyDescent="0.25">
      <c r="A562" s="3">
        <v>45715.919699074075</v>
      </c>
      <c r="B562" t="s">
        <v>422</v>
      </c>
      <c r="C562" s="3">
        <v>45715.920393518521</v>
      </c>
      <c r="D562" t="s">
        <v>188</v>
      </c>
      <c r="E562" s="4">
        <v>0.50010628968477244</v>
      </c>
      <c r="F562" s="4">
        <v>351290.39444459672</v>
      </c>
      <c r="G562" s="4">
        <v>351290.89455088641</v>
      </c>
      <c r="H562" s="5">
        <f t="shared" si="5"/>
        <v>0</v>
      </c>
      <c r="I562" t="s">
        <v>216</v>
      </c>
      <c r="J562" t="s">
        <v>140</v>
      </c>
      <c r="K562" s="5">
        <f>60 / 86400</f>
        <v>6.9444444444444447E-4</v>
      </c>
      <c r="L562" s="5">
        <f>15 / 86400</f>
        <v>1.7361111111111112E-4</v>
      </c>
    </row>
    <row r="563" spans="1:12" x14ac:dyDescent="0.25">
      <c r="A563" s="3">
        <v>45715.920567129629</v>
      </c>
      <c r="B563" t="s">
        <v>423</v>
      </c>
      <c r="C563" s="3">
        <v>45715.921006944445</v>
      </c>
      <c r="D563" t="s">
        <v>409</v>
      </c>
      <c r="E563" s="4">
        <v>0.21933823442459108</v>
      </c>
      <c r="F563" s="4">
        <v>351290.90256557486</v>
      </c>
      <c r="G563" s="4">
        <v>351291.12190380931</v>
      </c>
      <c r="H563" s="5">
        <f t="shared" si="5"/>
        <v>0</v>
      </c>
      <c r="I563" t="s">
        <v>116</v>
      </c>
      <c r="J563" t="s">
        <v>139</v>
      </c>
      <c r="K563" s="5">
        <f>38 / 86400</f>
        <v>4.3981481481481481E-4</v>
      </c>
      <c r="L563" s="5">
        <f>20 / 86400</f>
        <v>2.3148148148148149E-4</v>
      </c>
    </row>
    <row r="564" spans="1:12" x14ac:dyDescent="0.25">
      <c r="A564" s="3">
        <v>45715.92123842593</v>
      </c>
      <c r="B564" t="s">
        <v>409</v>
      </c>
      <c r="C564" s="3">
        <v>45715.921701388885</v>
      </c>
      <c r="D564" t="s">
        <v>424</v>
      </c>
      <c r="E564" s="4">
        <v>0.11731301504373551</v>
      </c>
      <c r="F564" s="4">
        <v>351291.18990451324</v>
      </c>
      <c r="G564" s="4">
        <v>351291.30721752829</v>
      </c>
      <c r="H564" s="5">
        <f t="shared" ref="H564:H592" si="6">0 / 86400</f>
        <v>0</v>
      </c>
      <c r="I564" t="s">
        <v>19</v>
      </c>
      <c r="J564" t="s">
        <v>141</v>
      </c>
      <c r="K564" s="5">
        <f>40 / 86400</f>
        <v>4.6296296296296298E-4</v>
      </c>
      <c r="L564" s="5">
        <f>20 / 86400</f>
        <v>2.3148148148148149E-4</v>
      </c>
    </row>
    <row r="565" spans="1:12" x14ac:dyDescent="0.25">
      <c r="A565" s="3">
        <v>45715.921932870369</v>
      </c>
      <c r="B565" t="s">
        <v>409</v>
      </c>
      <c r="C565" s="3">
        <v>45715.922986111109</v>
      </c>
      <c r="D565" t="s">
        <v>425</v>
      </c>
      <c r="E565" s="4">
        <v>0.58563415193557744</v>
      </c>
      <c r="F565" s="4">
        <v>351291.45319596381</v>
      </c>
      <c r="G565" s="4">
        <v>351292.03883011575</v>
      </c>
      <c r="H565" s="5">
        <f t="shared" si="6"/>
        <v>0</v>
      </c>
      <c r="I565" t="s">
        <v>173</v>
      </c>
      <c r="J565" t="s">
        <v>163</v>
      </c>
      <c r="K565" s="5">
        <f>91 / 86400</f>
        <v>1.0532407407407407E-3</v>
      </c>
      <c r="L565" s="5">
        <f>20 / 86400</f>
        <v>2.3148148148148149E-4</v>
      </c>
    </row>
    <row r="566" spans="1:12" x14ac:dyDescent="0.25">
      <c r="A566" s="3">
        <v>45715.923217592594</v>
      </c>
      <c r="B566" t="s">
        <v>409</v>
      </c>
      <c r="C566" s="3">
        <v>45715.923912037033</v>
      </c>
      <c r="D566" t="s">
        <v>127</v>
      </c>
      <c r="E566" s="4">
        <v>0.13602978813648223</v>
      </c>
      <c r="F566" s="4">
        <v>351292.20298560563</v>
      </c>
      <c r="G566" s="4">
        <v>351292.33901539381</v>
      </c>
      <c r="H566" s="5">
        <f t="shared" si="6"/>
        <v>0</v>
      </c>
      <c r="I566" t="s">
        <v>192</v>
      </c>
      <c r="J566" t="s">
        <v>155</v>
      </c>
      <c r="K566" s="5">
        <f>60 / 86400</f>
        <v>6.9444444444444447E-4</v>
      </c>
      <c r="L566" s="5">
        <f>40 / 86400</f>
        <v>4.6296296296296298E-4</v>
      </c>
    </row>
    <row r="567" spans="1:12" x14ac:dyDescent="0.25">
      <c r="A567" s="3">
        <v>45715.924375000002</v>
      </c>
      <c r="B567" t="s">
        <v>127</v>
      </c>
      <c r="C567" s="3">
        <v>45715.925763888888</v>
      </c>
      <c r="D567" t="s">
        <v>190</v>
      </c>
      <c r="E567" s="4">
        <v>1.0880938265323639</v>
      </c>
      <c r="F567" s="4">
        <v>351292.42488300841</v>
      </c>
      <c r="G567" s="4">
        <v>351293.51297683496</v>
      </c>
      <c r="H567" s="5">
        <f t="shared" si="6"/>
        <v>0</v>
      </c>
      <c r="I567" t="s">
        <v>89</v>
      </c>
      <c r="J567" t="s">
        <v>173</v>
      </c>
      <c r="K567" s="5">
        <f>120 / 86400</f>
        <v>1.3888888888888889E-3</v>
      </c>
      <c r="L567" s="5">
        <f>20 / 86400</f>
        <v>2.3148148148148149E-4</v>
      </c>
    </row>
    <row r="568" spans="1:12" x14ac:dyDescent="0.25">
      <c r="A568" s="3">
        <v>45715.925995370373</v>
      </c>
      <c r="B568" t="s">
        <v>190</v>
      </c>
      <c r="C568" s="3">
        <v>45715.926226851851</v>
      </c>
      <c r="D568" t="s">
        <v>190</v>
      </c>
      <c r="E568" s="4">
        <v>0.19802353978157045</v>
      </c>
      <c r="F568" s="4">
        <v>351293.53739226755</v>
      </c>
      <c r="G568" s="4">
        <v>351293.73541580728</v>
      </c>
      <c r="H568" s="5">
        <f t="shared" si="6"/>
        <v>0</v>
      </c>
      <c r="I568" t="s">
        <v>176</v>
      </c>
      <c r="J568" t="s">
        <v>226</v>
      </c>
      <c r="K568" s="5">
        <f>20 / 86400</f>
        <v>2.3148148148148149E-4</v>
      </c>
      <c r="L568" s="5">
        <f>20 / 86400</f>
        <v>2.3148148148148149E-4</v>
      </c>
    </row>
    <row r="569" spans="1:12" x14ac:dyDescent="0.25">
      <c r="A569" s="3">
        <v>45715.926458333328</v>
      </c>
      <c r="B569" t="s">
        <v>190</v>
      </c>
      <c r="C569" s="3">
        <v>45715.930277777778</v>
      </c>
      <c r="D569" t="s">
        <v>191</v>
      </c>
      <c r="E569" s="4">
        <v>1.8428246802687644</v>
      </c>
      <c r="F569" s="4">
        <v>351293.83897601749</v>
      </c>
      <c r="G569" s="4">
        <v>351295.68180069776</v>
      </c>
      <c r="H569" s="5">
        <f t="shared" si="6"/>
        <v>0</v>
      </c>
      <c r="I569" t="s">
        <v>89</v>
      </c>
      <c r="J569" t="s">
        <v>116</v>
      </c>
      <c r="K569" s="5">
        <f>330 / 86400</f>
        <v>3.8194444444444443E-3</v>
      </c>
      <c r="L569" s="5">
        <f>18 / 86400</f>
        <v>2.0833333333333335E-4</v>
      </c>
    </row>
    <row r="570" spans="1:12" x14ac:dyDescent="0.25">
      <c r="A570" s="3">
        <v>45715.930486111116</v>
      </c>
      <c r="B570" t="s">
        <v>191</v>
      </c>
      <c r="C570" s="3">
        <v>45715.930717592593</v>
      </c>
      <c r="D570" t="s">
        <v>308</v>
      </c>
      <c r="E570" s="4">
        <v>6.1166071891784669E-2</v>
      </c>
      <c r="F570" s="4">
        <v>351295.69034713018</v>
      </c>
      <c r="G570" s="4">
        <v>351295.75151320209</v>
      </c>
      <c r="H570" s="5">
        <f t="shared" si="6"/>
        <v>0</v>
      </c>
      <c r="I570" t="s">
        <v>155</v>
      </c>
      <c r="J570" t="s">
        <v>141</v>
      </c>
      <c r="K570" s="5">
        <f>20 / 86400</f>
        <v>2.3148148148148149E-4</v>
      </c>
      <c r="L570" s="5">
        <f>7 / 86400</f>
        <v>8.1018518518518516E-5</v>
      </c>
    </row>
    <row r="571" spans="1:12" x14ac:dyDescent="0.25">
      <c r="A571" s="3">
        <v>45715.930798611109</v>
      </c>
      <c r="B571" t="s">
        <v>308</v>
      </c>
      <c r="C571" s="3">
        <v>45715.932650462964</v>
      </c>
      <c r="D571" t="s">
        <v>84</v>
      </c>
      <c r="E571" s="4">
        <v>1.0478807829618455</v>
      </c>
      <c r="F571" s="4">
        <v>351295.75994137354</v>
      </c>
      <c r="G571" s="4">
        <v>351296.80782215646</v>
      </c>
      <c r="H571" s="5">
        <f t="shared" si="6"/>
        <v>0</v>
      </c>
      <c r="I571" t="s">
        <v>221</v>
      </c>
      <c r="J571" t="s">
        <v>153</v>
      </c>
      <c r="K571" s="5">
        <f>160 / 86400</f>
        <v>1.8518518518518519E-3</v>
      </c>
      <c r="L571" s="5">
        <f>20 / 86400</f>
        <v>2.3148148148148149E-4</v>
      </c>
    </row>
    <row r="572" spans="1:12" x14ac:dyDescent="0.25">
      <c r="A572" s="3">
        <v>45715.932881944449</v>
      </c>
      <c r="B572" t="s">
        <v>84</v>
      </c>
      <c r="C572" s="3">
        <v>45715.933113425926</v>
      </c>
      <c r="D572" t="s">
        <v>84</v>
      </c>
      <c r="E572" s="4">
        <v>5.5826134860515596E-2</v>
      </c>
      <c r="F572" s="4">
        <v>351296.92404537922</v>
      </c>
      <c r="G572" s="4">
        <v>351296.97987151408</v>
      </c>
      <c r="H572" s="5">
        <f t="shared" si="6"/>
        <v>0</v>
      </c>
      <c r="I572" t="s">
        <v>179</v>
      </c>
      <c r="J572" t="s">
        <v>28</v>
      </c>
      <c r="K572" s="5">
        <f>20 / 86400</f>
        <v>2.3148148148148149E-4</v>
      </c>
      <c r="L572" s="5">
        <f>20 / 86400</f>
        <v>2.3148148148148149E-4</v>
      </c>
    </row>
    <row r="573" spans="1:12" x14ac:dyDescent="0.25">
      <c r="A573" s="3">
        <v>45715.933344907404</v>
      </c>
      <c r="B573" t="s">
        <v>84</v>
      </c>
      <c r="C573" s="3">
        <v>45715.935428240744</v>
      </c>
      <c r="D573" t="s">
        <v>426</v>
      </c>
      <c r="E573" s="4">
        <v>0.85473243463039394</v>
      </c>
      <c r="F573" s="4">
        <v>351297.1104279611</v>
      </c>
      <c r="G573" s="4">
        <v>351297.96516039572</v>
      </c>
      <c r="H573" s="5">
        <f t="shared" si="6"/>
        <v>0</v>
      </c>
      <c r="I573" t="s">
        <v>198</v>
      </c>
      <c r="J573" t="s">
        <v>19</v>
      </c>
      <c r="K573" s="5">
        <f>180 / 86400</f>
        <v>2.0833333333333333E-3</v>
      </c>
      <c r="L573" s="5">
        <f>11 / 86400</f>
        <v>1.273148148148148E-4</v>
      </c>
    </row>
    <row r="574" spans="1:12" x14ac:dyDescent="0.25">
      <c r="A574" s="3">
        <v>45715.935555555552</v>
      </c>
      <c r="B574" t="s">
        <v>426</v>
      </c>
      <c r="C574" s="3">
        <v>45715.938576388886</v>
      </c>
      <c r="D574" t="s">
        <v>82</v>
      </c>
      <c r="E574" s="4">
        <v>1.7868229192495346</v>
      </c>
      <c r="F574" s="4">
        <v>351297.96755234187</v>
      </c>
      <c r="G574" s="4">
        <v>351299.75437526114</v>
      </c>
      <c r="H574" s="5">
        <f t="shared" si="6"/>
        <v>0</v>
      </c>
      <c r="I574" t="s">
        <v>218</v>
      </c>
      <c r="J574" t="s">
        <v>176</v>
      </c>
      <c r="K574" s="5">
        <f>261 / 86400</f>
        <v>3.0208333333333333E-3</v>
      </c>
      <c r="L574" s="5">
        <f>99 / 86400</f>
        <v>1.1458333333333333E-3</v>
      </c>
    </row>
    <row r="575" spans="1:12" x14ac:dyDescent="0.25">
      <c r="A575" s="3">
        <v>45715.939722222218</v>
      </c>
      <c r="B575" t="s">
        <v>82</v>
      </c>
      <c r="C575" s="3">
        <v>45715.939953703702</v>
      </c>
      <c r="D575" t="s">
        <v>82</v>
      </c>
      <c r="E575" s="4">
        <v>9.0443452596664434E-3</v>
      </c>
      <c r="F575" s="4">
        <v>351299.76172611915</v>
      </c>
      <c r="G575" s="4">
        <v>351299.77077046444</v>
      </c>
      <c r="H575" s="5">
        <f t="shared" si="6"/>
        <v>0</v>
      </c>
      <c r="I575" t="s">
        <v>67</v>
      </c>
      <c r="J575" t="s">
        <v>29</v>
      </c>
      <c r="K575" s="5">
        <f>20 / 86400</f>
        <v>2.3148148148148149E-4</v>
      </c>
      <c r="L575" s="5">
        <f>220 / 86400</f>
        <v>2.5462962962962965E-3</v>
      </c>
    </row>
    <row r="576" spans="1:12" x14ac:dyDescent="0.25">
      <c r="A576" s="3">
        <v>45715.942500000005</v>
      </c>
      <c r="B576" t="s">
        <v>82</v>
      </c>
      <c r="C576" s="3">
        <v>45715.946435185186</v>
      </c>
      <c r="D576" t="s">
        <v>82</v>
      </c>
      <c r="E576" s="4">
        <v>3.5896334094405176</v>
      </c>
      <c r="F576" s="4">
        <v>351299.80057021871</v>
      </c>
      <c r="G576" s="4">
        <v>351303.39020362811</v>
      </c>
      <c r="H576" s="5">
        <f t="shared" si="6"/>
        <v>0</v>
      </c>
      <c r="I576" t="s">
        <v>149</v>
      </c>
      <c r="J576" t="s">
        <v>214</v>
      </c>
      <c r="K576" s="5">
        <f>340 / 86400</f>
        <v>3.9351851851851848E-3</v>
      </c>
      <c r="L576" s="5">
        <f>20 / 86400</f>
        <v>2.3148148148148149E-4</v>
      </c>
    </row>
    <row r="577" spans="1:12" x14ac:dyDescent="0.25">
      <c r="A577" s="3">
        <v>45715.94666666667</v>
      </c>
      <c r="B577" t="s">
        <v>427</v>
      </c>
      <c r="C577" s="3">
        <v>45715.948749999996</v>
      </c>
      <c r="D577" t="s">
        <v>76</v>
      </c>
      <c r="E577" s="4">
        <v>1.6994975785017012</v>
      </c>
      <c r="F577" s="4">
        <v>351303.40232422302</v>
      </c>
      <c r="G577" s="4">
        <v>351305.10182180157</v>
      </c>
      <c r="H577" s="5">
        <f t="shared" si="6"/>
        <v>0</v>
      </c>
      <c r="I577" t="s">
        <v>152</v>
      </c>
      <c r="J577" t="s">
        <v>154</v>
      </c>
      <c r="K577" s="5">
        <f>180 / 86400</f>
        <v>2.0833333333333333E-3</v>
      </c>
      <c r="L577" s="5">
        <f>20 / 86400</f>
        <v>2.3148148148148149E-4</v>
      </c>
    </row>
    <row r="578" spans="1:12" x14ac:dyDescent="0.25">
      <c r="A578" s="3">
        <v>45715.948981481481</v>
      </c>
      <c r="B578" t="s">
        <v>203</v>
      </c>
      <c r="C578" s="3">
        <v>45715.949895833328</v>
      </c>
      <c r="D578" t="s">
        <v>76</v>
      </c>
      <c r="E578" s="4">
        <v>1.6846538186073304E-2</v>
      </c>
      <c r="F578" s="4">
        <v>351305.11950268026</v>
      </c>
      <c r="G578" s="4">
        <v>351305.13634921843</v>
      </c>
      <c r="H578" s="5">
        <f t="shared" si="6"/>
        <v>0</v>
      </c>
      <c r="I578" t="s">
        <v>143</v>
      </c>
      <c r="J578" t="s">
        <v>67</v>
      </c>
      <c r="K578" s="5">
        <f>79 / 86400</f>
        <v>9.1435185185185185E-4</v>
      </c>
      <c r="L578" s="5">
        <f>6 / 86400</f>
        <v>6.9444444444444444E-5</v>
      </c>
    </row>
    <row r="579" spans="1:12" x14ac:dyDescent="0.25">
      <c r="A579" s="3">
        <v>45715.949965277774</v>
      </c>
      <c r="B579" t="s">
        <v>76</v>
      </c>
      <c r="C579" s="3">
        <v>45715.950659722221</v>
      </c>
      <c r="D579" t="s">
        <v>220</v>
      </c>
      <c r="E579" s="4">
        <v>2.0528606235980986E-2</v>
      </c>
      <c r="F579" s="4">
        <v>351305.14105841122</v>
      </c>
      <c r="G579" s="4">
        <v>351305.16158701747</v>
      </c>
      <c r="H579" s="5">
        <f t="shared" si="6"/>
        <v>0</v>
      </c>
      <c r="I579" t="s">
        <v>123</v>
      </c>
      <c r="J579" t="s">
        <v>67</v>
      </c>
      <c r="K579" s="5">
        <f>60 / 86400</f>
        <v>6.9444444444444447E-4</v>
      </c>
      <c r="L579" s="5">
        <f>33 / 86400</f>
        <v>3.8194444444444446E-4</v>
      </c>
    </row>
    <row r="580" spans="1:12" x14ac:dyDescent="0.25">
      <c r="A580" s="3">
        <v>45715.951041666667</v>
      </c>
      <c r="B580" t="s">
        <v>220</v>
      </c>
      <c r="C580" s="3">
        <v>45715.9527662037</v>
      </c>
      <c r="D580" t="s">
        <v>203</v>
      </c>
      <c r="E580" s="4">
        <v>0.23877037459611894</v>
      </c>
      <c r="F580" s="4">
        <v>351305.16314934689</v>
      </c>
      <c r="G580" s="4">
        <v>351305.40191972151</v>
      </c>
      <c r="H580" s="5">
        <f t="shared" si="6"/>
        <v>0</v>
      </c>
      <c r="I580" t="s">
        <v>28</v>
      </c>
      <c r="J580" t="s">
        <v>123</v>
      </c>
      <c r="K580" s="5">
        <f>149 / 86400</f>
        <v>1.724537037037037E-3</v>
      </c>
      <c r="L580" s="5">
        <f>72 / 86400</f>
        <v>8.3333333333333339E-4</v>
      </c>
    </row>
    <row r="581" spans="1:12" x14ac:dyDescent="0.25">
      <c r="A581" s="3">
        <v>45715.953599537039</v>
      </c>
      <c r="B581" t="s">
        <v>203</v>
      </c>
      <c r="C581" s="3">
        <v>45715.955914351856</v>
      </c>
      <c r="D581" t="s">
        <v>160</v>
      </c>
      <c r="E581" s="4">
        <v>2.2594300723671914</v>
      </c>
      <c r="F581" s="4">
        <v>351305.43154185702</v>
      </c>
      <c r="G581" s="4">
        <v>351307.69097192935</v>
      </c>
      <c r="H581" s="5">
        <f t="shared" si="6"/>
        <v>0</v>
      </c>
      <c r="I581" t="s">
        <v>105</v>
      </c>
      <c r="J581" t="s">
        <v>223</v>
      </c>
      <c r="K581" s="5">
        <f>200 / 86400</f>
        <v>2.3148148148148147E-3</v>
      </c>
      <c r="L581" s="5">
        <f>6 / 86400</f>
        <v>6.9444444444444444E-5</v>
      </c>
    </row>
    <row r="582" spans="1:12" x14ac:dyDescent="0.25">
      <c r="A582" s="3">
        <v>45715.955983796295</v>
      </c>
      <c r="B582" t="s">
        <v>206</v>
      </c>
      <c r="C582" s="3">
        <v>45715.956446759257</v>
      </c>
      <c r="D582" t="s">
        <v>206</v>
      </c>
      <c r="E582" s="4">
        <v>3.8175754070281981E-2</v>
      </c>
      <c r="F582" s="4">
        <v>351307.69805104774</v>
      </c>
      <c r="G582" s="4">
        <v>351307.73622680182</v>
      </c>
      <c r="H582" s="5">
        <f t="shared" si="6"/>
        <v>0</v>
      </c>
      <c r="I582" t="s">
        <v>123</v>
      </c>
      <c r="J582" t="s">
        <v>136</v>
      </c>
      <c r="K582" s="5">
        <f>40 / 86400</f>
        <v>4.6296296296296298E-4</v>
      </c>
      <c r="L582" s="5">
        <f>100 / 86400</f>
        <v>1.1574074074074073E-3</v>
      </c>
    </row>
    <row r="583" spans="1:12" x14ac:dyDescent="0.25">
      <c r="A583" s="3">
        <v>45715.957604166666</v>
      </c>
      <c r="B583" t="s">
        <v>160</v>
      </c>
      <c r="C583" s="3">
        <v>45715.961770833332</v>
      </c>
      <c r="D583" t="s">
        <v>93</v>
      </c>
      <c r="E583" s="4">
        <v>3.7507947461605071</v>
      </c>
      <c r="F583" s="4">
        <v>351307.83943310293</v>
      </c>
      <c r="G583" s="4">
        <v>351311.59022784908</v>
      </c>
      <c r="H583" s="5">
        <f t="shared" si="6"/>
        <v>0</v>
      </c>
      <c r="I583" t="s">
        <v>92</v>
      </c>
      <c r="J583" t="s">
        <v>214</v>
      </c>
      <c r="K583" s="5">
        <f>360 / 86400</f>
        <v>4.1666666666666666E-3</v>
      </c>
      <c r="L583" s="5">
        <f>29 / 86400</f>
        <v>3.3564814814814812E-4</v>
      </c>
    </row>
    <row r="584" spans="1:12" x14ac:dyDescent="0.25">
      <c r="A584" s="3">
        <v>45715.962106481486</v>
      </c>
      <c r="B584" t="s">
        <v>93</v>
      </c>
      <c r="C584" s="3">
        <v>45715.964884259258</v>
      </c>
      <c r="D584" t="s">
        <v>428</v>
      </c>
      <c r="E584" s="4">
        <v>1.9339372864961624</v>
      </c>
      <c r="F584" s="4">
        <v>351311.59679269651</v>
      </c>
      <c r="G584" s="4">
        <v>351313.53072998306</v>
      </c>
      <c r="H584" s="5">
        <f t="shared" si="6"/>
        <v>0</v>
      </c>
      <c r="I584" t="s">
        <v>168</v>
      </c>
      <c r="J584" t="s">
        <v>211</v>
      </c>
      <c r="K584" s="5">
        <f>240 / 86400</f>
        <v>2.7777777777777779E-3</v>
      </c>
      <c r="L584" s="5">
        <f>20 / 86400</f>
        <v>2.3148148148148149E-4</v>
      </c>
    </row>
    <row r="585" spans="1:12" x14ac:dyDescent="0.25">
      <c r="A585" s="3">
        <v>45715.965115740742</v>
      </c>
      <c r="B585" t="s">
        <v>142</v>
      </c>
      <c r="C585" s="3">
        <v>45715.971805555557</v>
      </c>
      <c r="D585" t="s">
        <v>328</v>
      </c>
      <c r="E585" s="4">
        <v>7.2491298800110817</v>
      </c>
      <c r="F585" s="4">
        <v>351313.67368155066</v>
      </c>
      <c r="G585" s="4">
        <v>351320.9228114307</v>
      </c>
      <c r="H585" s="5">
        <f t="shared" si="6"/>
        <v>0</v>
      </c>
      <c r="I585" t="s">
        <v>92</v>
      </c>
      <c r="J585" t="s">
        <v>198</v>
      </c>
      <c r="K585" s="5">
        <f>578 / 86400</f>
        <v>6.6898148148148151E-3</v>
      </c>
      <c r="L585" s="5">
        <f>12 / 86400</f>
        <v>1.3888888888888889E-4</v>
      </c>
    </row>
    <row r="586" spans="1:12" x14ac:dyDescent="0.25">
      <c r="A586" s="3">
        <v>45715.971944444449</v>
      </c>
      <c r="B586" t="s">
        <v>328</v>
      </c>
      <c r="C586" s="3">
        <v>45715.974432870367</v>
      </c>
      <c r="D586" t="s">
        <v>398</v>
      </c>
      <c r="E586" s="4">
        <v>1.7128835608363151</v>
      </c>
      <c r="F586" s="4">
        <v>351321.00574405259</v>
      </c>
      <c r="G586" s="4">
        <v>351322.71862761345</v>
      </c>
      <c r="H586" s="5">
        <f t="shared" si="6"/>
        <v>0</v>
      </c>
      <c r="I586" t="s">
        <v>235</v>
      </c>
      <c r="J586" t="s">
        <v>211</v>
      </c>
      <c r="K586" s="5">
        <f>215 / 86400</f>
        <v>2.488425925925926E-3</v>
      </c>
      <c r="L586" s="5">
        <f>790 / 86400</f>
        <v>9.1435185185185178E-3</v>
      </c>
    </row>
    <row r="587" spans="1:12" x14ac:dyDescent="0.25">
      <c r="A587" s="3">
        <v>45715.983576388884</v>
      </c>
      <c r="B587" t="s">
        <v>398</v>
      </c>
      <c r="C587" s="3">
        <v>45715.984652777777</v>
      </c>
      <c r="D587" t="s">
        <v>397</v>
      </c>
      <c r="E587" s="4">
        <v>3.6987859070301055E-2</v>
      </c>
      <c r="F587" s="4">
        <v>351322.79438742006</v>
      </c>
      <c r="G587" s="4">
        <v>351322.83137527911</v>
      </c>
      <c r="H587" s="5">
        <f t="shared" si="6"/>
        <v>0</v>
      </c>
      <c r="I587" t="s">
        <v>143</v>
      </c>
      <c r="J587" t="s">
        <v>67</v>
      </c>
      <c r="K587" s="5">
        <f>93 / 86400</f>
        <v>1.0763888888888889E-3</v>
      </c>
      <c r="L587" s="5">
        <f>20 / 86400</f>
        <v>2.3148148148148149E-4</v>
      </c>
    </row>
    <row r="588" spans="1:12" x14ac:dyDescent="0.25">
      <c r="A588" s="3">
        <v>45715.984884259262</v>
      </c>
      <c r="B588" t="s">
        <v>398</v>
      </c>
      <c r="C588" s="3">
        <v>45715.985578703709</v>
      </c>
      <c r="D588" t="s">
        <v>398</v>
      </c>
      <c r="E588" s="4">
        <v>1.4267318964004516E-2</v>
      </c>
      <c r="F588" s="4">
        <v>351322.83996117639</v>
      </c>
      <c r="G588" s="4">
        <v>351322.85422849539</v>
      </c>
      <c r="H588" s="5">
        <f t="shared" si="6"/>
        <v>0</v>
      </c>
      <c r="I588" t="s">
        <v>29</v>
      </c>
      <c r="J588" t="s">
        <v>67</v>
      </c>
      <c r="K588" s="5">
        <f>60 / 86400</f>
        <v>6.9444444444444447E-4</v>
      </c>
      <c r="L588" s="5">
        <f>60 / 86400</f>
        <v>6.9444444444444447E-4</v>
      </c>
    </row>
    <row r="589" spans="1:12" x14ac:dyDescent="0.25">
      <c r="A589" s="3">
        <v>45715.986273148148</v>
      </c>
      <c r="B589" t="s">
        <v>398</v>
      </c>
      <c r="C589" s="3">
        <v>45715.98673611111</v>
      </c>
      <c r="D589" t="s">
        <v>398</v>
      </c>
      <c r="E589" s="4">
        <v>1.5927663087844848E-2</v>
      </c>
      <c r="F589" s="4">
        <v>351322.86453557643</v>
      </c>
      <c r="G589" s="4">
        <v>351322.8804632395</v>
      </c>
      <c r="H589" s="5">
        <f t="shared" si="6"/>
        <v>0</v>
      </c>
      <c r="I589" t="s">
        <v>67</v>
      </c>
      <c r="J589" t="s">
        <v>67</v>
      </c>
      <c r="K589" s="5">
        <f>40 / 86400</f>
        <v>4.6296296296296298E-4</v>
      </c>
      <c r="L589" s="5">
        <f>41 / 86400</f>
        <v>4.7453703703703704E-4</v>
      </c>
    </row>
    <row r="590" spans="1:12" x14ac:dyDescent="0.25">
      <c r="A590" s="3">
        <v>45715.987210648149</v>
      </c>
      <c r="B590" t="s">
        <v>398</v>
      </c>
      <c r="C590" s="3">
        <v>45715.987442129626</v>
      </c>
      <c r="D590" t="s">
        <v>398</v>
      </c>
      <c r="E590" s="4">
        <v>4.9490701556205753E-3</v>
      </c>
      <c r="F590" s="4">
        <v>351322.88950346975</v>
      </c>
      <c r="G590" s="4">
        <v>351322.89445253991</v>
      </c>
      <c r="H590" s="5">
        <f t="shared" si="6"/>
        <v>0</v>
      </c>
      <c r="I590" t="s">
        <v>67</v>
      </c>
      <c r="J590" t="s">
        <v>67</v>
      </c>
      <c r="K590" s="5">
        <f>20 / 86400</f>
        <v>2.3148148148148149E-4</v>
      </c>
      <c r="L590" s="5">
        <f>39 / 86400</f>
        <v>4.5138888888888887E-4</v>
      </c>
    </row>
    <row r="591" spans="1:12" x14ac:dyDescent="0.25">
      <c r="A591" s="3">
        <v>45715.987893518519</v>
      </c>
      <c r="B591" t="s">
        <v>398</v>
      </c>
      <c r="C591" s="3">
        <v>45715.98836805555</v>
      </c>
      <c r="D591" t="s">
        <v>398</v>
      </c>
      <c r="E591" s="4">
        <v>1.8397556245326997E-2</v>
      </c>
      <c r="F591" s="4">
        <v>351322.90127457224</v>
      </c>
      <c r="G591" s="4">
        <v>351322.91967212851</v>
      </c>
      <c r="H591" s="5">
        <f t="shared" si="6"/>
        <v>0</v>
      </c>
      <c r="I591" t="s">
        <v>123</v>
      </c>
      <c r="J591" t="s">
        <v>29</v>
      </c>
      <c r="K591" s="5">
        <f>41 / 86400</f>
        <v>4.7453703703703704E-4</v>
      </c>
      <c r="L591" s="5">
        <f>16 / 86400</f>
        <v>1.8518518518518518E-4</v>
      </c>
    </row>
    <row r="592" spans="1:12" x14ac:dyDescent="0.25">
      <c r="A592" s="3">
        <v>45715.988553240742</v>
      </c>
      <c r="B592" t="s">
        <v>397</v>
      </c>
      <c r="C592" s="3">
        <v>45715.99998842593</v>
      </c>
      <c r="D592" t="s">
        <v>32</v>
      </c>
      <c r="E592" s="4">
        <v>8.3394848521351808</v>
      </c>
      <c r="F592" s="4">
        <v>351322.92328763031</v>
      </c>
      <c r="G592" s="4">
        <v>351331.26277248247</v>
      </c>
      <c r="H592" s="5">
        <f t="shared" si="6"/>
        <v>0</v>
      </c>
      <c r="I592" t="s">
        <v>315</v>
      </c>
      <c r="J592" t="s">
        <v>140</v>
      </c>
      <c r="K592" s="5">
        <f>988 / 86400</f>
        <v>1.1435185185185185E-2</v>
      </c>
      <c r="L592" s="5">
        <f>0 / 86400</f>
        <v>0</v>
      </c>
    </row>
    <row r="593" spans="1:12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</row>
    <row r="594" spans="1:12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</row>
    <row r="595" spans="1:12" s="10" customFormat="1" ht="20.100000000000001" customHeight="1" x14ac:dyDescent="0.35">
      <c r="A595" s="11" t="s">
        <v>521</v>
      </c>
      <c r="B595" s="11"/>
      <c r="C595" s="11"/>
      <c r="D595" s="11"/>
      <c r="E595" s="11"/>
      <c r="F595" s="11"/>
      <c r="G595" s="11"/>
      <c r="H595" s="11"/>
      <c r="I595" s="11"/>
      <c r="J595" s="11"/>
    </row>
    <row r="596" spans="1:12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</row>
    <row r="597" spans="1:12" ht="30" x14ac:dyDescent="0.25">
      <c r="A597" s="2" t="s">
        <v>5</v>
      </c>
      <c r="B597" s="2" t="s">
        <v>6</v>
      </c>
      <c r="C597" s="2" t="s">
        <v>7</v>
      </c>
      <c r="D597" s="2" t="s">
        <v>8</v>
      </c>
      <c r="E597" s="2" t="s">
        <v>9</v>
      </c>
      <c r="F597" s="2" t="s">
        <v>10</v>
      </c>
      <c r="G597" s="2" t="s">
        <v>11</v>
      </c>
      <c r="H597" s="2" t="s">
        <v>12</v>
      </c>
      <c r="I597" s="2" t="s">
        <v>13</v>
      </c>
      <c r="J597" s="2" t="s">
        <v>14</v>
      </c>
      <c r="K597" s="2" t="s">
        <v>15</v>
      </c>
      <c r="L597" s="2" t="s">
        <v>16</v>
      </c>
    </row>
    <row r="598" spans="1:12" x14ac:dyDescent="0.25">
      <c r="A598" s="3">
        <v>45715.169027777782</v>
      </c>
      <c r="B598" t="s">
        <v>35</v>
      </c>
      <c r="C598" s="3">
        <v>45715.244884259257</v>
      </c>
      <c r="D598" t="s">
        <v>270</v>
      </c>
      <c r="E598" s="4">
        <v>32.332999999999998</v>
      </c>
      <c r="F598" s="4">
        <v>485890.34100000001</v>
      </c>
      <c r="G598" s="4">
        <v>485922.674</v>
      </c>
      <c r="H598" s="5">
        <f>2439 / 86400</f>
        <v>2.8229166666666666E-2</v>
      </c>
      <c r="I598" t="s">
        <v>23</v>
      </c>
      <c r="J598" t="s">
        <v>30</v>
      </c>
      <c r="K598" s="5">
        <f>6553 / 86400</f>
        <v>7.5844907407407403E-2</v>
      </c>
      <c r="L598" s="5">
        <f>14649 / 86400</f>
        <v>0.16954861111111111</v>
      </c>
    </row>
    <row r="599" spans="1:12" x14ac:dyDescent="0.25">
      <c r="A599" s="3">
        <v>45715.245405092588</v>
      </c>
      <c r="B599" t="s">
        <v>270</v>
      </c>
      <c r="C599" s="3">
        <v>45715.36319444445</v>
      </c>
      <c r="D599" t="s">
        <v>158</v>
      </c>
      <c r="E599" s="4">
        <v>50.395000000000003</v>
      </c>
      <c r="F599" s="4">
        <v>485922.674</v>
      </c>
      <c r="G599" s="4">
        <v>485973.06900000002</v>
      </c>
      <c r="H599" s="5">
        <f>3158 / 86400</f>
        <v>3.6550925925925924E-2</v>
      </c>
      <c r="I599" t="s">
        <v>315</v>
      </c>
      <c r="J599" t="s">
        <v>30</v>
      </c>
      <c r="K599" s="5">
        <f>10177 / 86400</f>
        <v>0.11778935185185185</v>
      </c>
      <c r="L599" s="5">
        <f>1449 / 86400</f>
        <v>1.6770833333333332E-2</v>
      </c>
    </row>
    <row r="600" spans="1:12" x14ac:dyDescent="0.25">
      <c r="A600" s="3">
        <v>45715.379965277782</v>
      </c>
      <c r="B600" t="s">
        <v>158</v>
      </c>
      <c r="C600" s="3">
        <v>45715.383483796293</v>
      </c>
      <c r="D600" t="s">
        <v>145</v>
      </c>
      <c r="E600" s="4">
        <v>1.3280000000000001</v>
      </c>
      <c r="F600" s="4">
        <v>485973.06900000002</v>
      </c>
      <c r="G600" s="4">
        <v>485974.397</v>
      </c>
      <c r="H600" s="5">
        <f>0 / 86400</f>
        <v>0</v>
      </c>
      <c r="I600" t="s">
        <v>219</v>
      </c>
      <c r="J600" t="s">
        <v>26</v>
      </c>
      <c r="K600" s="5">
        <f>303 / 86400</f>
        <v>3.5069444444444445E-3</v>
      </c>
      <c r="L600" s="5">
        <f>481 / 86400</f>
        <v>5.5671296296296293E-3</v>
      </c>
    </row>
    <row r="601" spans="1:12" x14ac:dyDescent="0.25">
      <c r="A601" s="3">
        <v>45715.389050925922</v>
      </c>
      <c r="B601" t="s">
        <v>145</v>
      </c>
      <c r="C601" s="3">
        <v>45715.657905092594</v>
      </c>
      <c r="D601" t="s">
        <v>35</v>
      </c>
      <c r="E601" s="4">
        <v>92.817999999999998</v>
      </c>
      <c r="F601" s="4">
        <v>485974.397</v>
      </c>
      <c r="G601" s="4">
        <v>486067.21500000003</v>
      </c>
      <c r="H601" s="5">
        <f>8775 / 86400</f>
        <v>0.1015625</v>
      </c>
      <c r="I601" t="s">
        <v>152</v>
      </c>
      <c r="J601" t="s">
        <v>41</v>
      </c>
      <c r="K601" s="5">
        <f>23229 / 86400</f>
        <v>0.26885416666666667</v>
      </c>
      <c r="L601" s="5">
        <f>29556 / 86400</f>
        <v>0.34208333333333335</v>
      </c>
    </row>
    <row r="602" spans="1:12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</row>
    <row r="603" spans="1:12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</row>
    <row r="604" spans="1:12" s="10" customFormat="1" ht="20.100000000000001" customHeight="1" x14ac:dyDescent="0.35">
      <c r="A604" s="11" t="s">
        <v>522</v>
      </c>
      <c r="B604" s="11"/>
      <c r="C604" s="11"/>
      <c r="D604" s="11"/>
      <c r="E604" s="11"/>
      <c r="F604" s="11"/>
      <c r="G604" s="11"/>
      <c r="H604" s="11"/>
      <c r="I604" s="11"/>
      <c r="J604" s="11"/>
    </row>
    <row r="605" spans="1:12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</row>
    <row r="606" spans="1:12" ht="30" x14ac:dyDescent="0.25">
      <c r="A606" s="2" t="s">
        <v>5</v>
      </c>
      <c r="B606" s="2" t="s">
        <v>6</v>
      </c>
      <c r="C606" s="2" t="s">
        <v>7</v>
      </c>
      <c r="D606" s="2" t="s">
        <v>8</v>
      </c>
      <c r="E606" s="2" t="s">
        <v>9</v>
      </c>
      <c r="F606" s="2" t="s">
        <v>10</v>
      </c>
      <c r="G606" s="2" t="s">
        <v>11</v>
      </c>
      <c r="H606" s="2" t="s">
        <v>12</v>
      </c>
      <c r="I606" s="2" t="s">
        <v>13</v>
      </c>
      <c r="J606" s="2" t="s">
        <v>14</v>
      </c>
      <c r="K606" s="2" t="s">
        <v>15</v>
      </c>
      <c r="L606" s="2" t="s">
        <v>16</v>
      </c>
    </row>
    <row r="607" spans="1:12" x14ac:dyDescent="0.25">
      <c r="A607" s="3">
        <v>45715.275543981479</v>
      </c>
      <c r="B607" t="s">
        <v>36</v>
      </c>
      <c r="C607" s="3">
        <v>45715.282708333332</v>
      </c>
      <c r="D607" t="s">
        <v>122</v>
      </c>
      <c r="E607" s="4">
        <v>1.4690000000000001</v>
      </c>
      <c r="F607" s="4">
        <v>510682.38500000001</v>
      </c>
      <c r="G607" s="4">
        <v>510683.85399999999</v>
      </c>
      <c r="H607" s="5">
        <f>119 / 86400</f>
        <v>1.3773148148148147E-3</v>
      </c>
      <c r="I607" t="s">
        <v>140</v>
      </c>
      <c r="J607" t="s">
        <v>135</v>
      </c>
      <c r="K607" s="5">
        <f>619 / 86400</f>
        <v>7.1643518518518514E-3</v>
      </c>
      <c r="L607" s="5">
        <f>24347 / 86400</f>
        <v>0.28179398148148149</v>
      </c>
    </row>
    <row r="608" spans="1:12" x14ac:dyDescent="0.25">
      <c r="A608" s="3">
        <v>45715.288958333331</v>
      </c>
      <c r="B608" t="s">
        <v>122</v>
      </c>
      <c r="C608" s="3">
        <v>45715.417175925926</v>
      </c>
      <c r="D608" t="s">
        <v>429</v>
      </c>
      <c r="E608" s="4">
        <v>50.704000000000001</v>
      </c>
      <c r="F608" s="4">
        <v>510683.85399999999</v>
      </c>
      <c r="G608" s="4">
        <v>510734.55800000002</v>
      </c>
      <c r="H608" s="5">
        <f>3801 / 86400</f>
        <v>4.3993055555555556E-2</v>
      </c>
      <c r="I608" t="s">
        <v>152</v>
      </c>
      <c r="J608" t="s">
        <v>26</v>
      </c>
      <c r="K608" s="5">
        <f>11078 / 86400</f>
        <v>0.12821759259259261</v>
      </c>
      <c r="L608" s="5">
        <f>496 / 86400</f>
        <v>5.7407407407407407E-3</v>
      </c>
    </row>
    <row r="609" spans="1:12" x14ac:dyDescent="0.25">
      <c r="A609" s="3">
        <v>45715.422916666663</v>
      </c>
      <c r="B609" t="s">
        <v>429</v>
      </c>
      <c r="C609" s="3">
        <v>45715.573368055557</v>
      </c>
      <c r="D609" t="s">
        <v>430</v>
      </c>
      <c r="E609" s="4">
        <v>50.737000000000002</v>
      </c>
      <c r="F609" s="4">
        <v>510734.55800000002</v>
      </c>
      <c r="G609" s="4">
        <v>510785.29499999998</v>
      </c>
      <c r="H609" s="5">
        <f>4481 / 86400</f>
        <v>5.1863425925925924E-2</v>
      </c>
      <c r="I609" t="s">
        <v>157</v>
      </c>
      <c r="J609" t="s">
        <v>41</v>
      </c>
      <c r="K609" s="5">
        <f>12999 / 86400</f>
        <v>0.1504513888888889</v>
      </c>
      <c r="L609" s="5">
        <f>1658 / 86400</f>
        <v>1.9189814814814816E-2</v>
      </c>
    </row>
    <row r="610" spans="1:12" x14ac:dyDescent="0.25">
      <c r="A610" s="3">
        <v>45715.592557870375</v>
      </c>
      <c r="B610" t="s">
        <v>430</v>
      </c>
      <c r="C610" s="3">
        <v>45715.700370370367</v>
      </c>
      <c r="D610" t="s">
        <v>431</v>
      </c>
      <c r="E610" s="4">
        <v>47.500999999999998</v>
      </c>
      <c r="F610" s="4">
        <v>510785.29499999998</v>
      </c>
      <c r="G610" s="4">
        <v>510832.79599999997</v>
      </c>
      <c r="H610" s="5">
        <f>2419 / 86400</f>
        <v>2.7997685185185184E-2</v>
      </c>
      <c r="I610" t="s">
        <v>38</v>
      </c>
      <c r="J610" t="s">
        <v>30</v>
      </c>
      <c r="K610" s="5">
        <f>9314 / 86400</f>
        <v>0.10780092592592593</v>
      </c>
      <c r="L610" s="5">
        <f>126 / 86400</f>
        <v>1.4583333333333334E-3</v>
      </c>
    </row>
    <row r="611" spans="1:12" x14ac:dyDescent="0.25">
      <c r="A611" s="3">
        <v>45715.701828703706</v>
      </c>
      <c r="B611" t="s">
        <v>431</v>
      </c>
      <c r="C611" s="3">
        <v>45715.859166666662</v>
      </c>
      <c r="D611" t="s">
        <v>74</v>
      </c>
      <c r="E611" s="4">
        <v>46.283000000000001</v>
      </c>
      <c r="F611" s="4">
        <v>510832.79599999997</v>
      </c>
      <c r="G611" s="4">
        <v>510879.07900000003</v>
      </c>
      <c r="H611" s="5">
        <f>5760 / 86400</f>
        <v>6.6666666666666666E-2</v>
      </c>
      <c r="I611" t="s">
        <v>54</v>
      </c>
      <c r="J611" t="s">
        <v>85</v>
      </c>
      <c r="K611" s="5">
        <f>13594 / 86400</f>
        <v>0.15733796296296296</v>
      </c>
      <c r="L611" s="5">
        <f>435 / 86400</f>
        <v>5.0347222222222225E-3</v>
      </c>
    </row>
    <row r="612" spans="1:12" x14ac:dyDescent="0.25">
      <c r="A612" s="3">
        <v>45715.864201388889</v>
      </c>
      <c r="B612" t="s">
        <v>74</v>
      </c>
      <c r="C612" s="3">
        <v>45715.865567129629</v>
      </c>
      <c r="D612" t="s">
        <v>432</v>
      </c>
      <c r="E612" s="4">
        <v>0.183</v>
      </c>
      <c r="F612" s="4">
        <v>510879.07900000003</v>
      </c>
      <c r="G612" s="4">
        <v>510879.26199999999</v>
      </c>
      <c r="H612" s="5">
        <f>19 / 86400</f>
        <v>2.199074074074074E-4</v>
      </c>
      <c r="I612" t="s">
        <v>30</v>
      </c>
      <c r="J612" t="s">
        <v>123</v>
      </c>
      <c r="K612" s="5">
        <f>117 / 86400</f>
        <v>1.3541666666666667E-3</v>
      </c>
      <c r="L612" s="5">
        <f>705 / 86400</f>
        <v>8.1597222222222227E-3</v>
      </c>
    </row>
    <row r="613" spans="1:12" x14ac:dyDescent="0.25">
      <c r="A613" s="3">
        <v>45715.873726851853</v>
      </c>
      <c r="B613" t="s">
        <v>432</v>
      </c>
      <c r="C613" s="3">
        <v>45715.885833333334</v>
      </c>
      <c r="D613" t="s">
        <v>37</v>
      </c>
      <c r="E613" s="4">
        <v>3.7469999999999999</v>
      </c>
      <c r="F613" s="4">
        <v>510879.26199999999</v>
      </c>
      <c r="G613" s="4">
        <v>510883.00900000002</v>
      </c>
      <c r="H613" s="5">
        <f>80 / 86400</f>
        <v>9.2592592592592596E-4</v>
      </c>
      <c r="I613" t="s">
        <v>211</v>
      </c>
      <c r="J613" t="s">
        <v>55</v>
      </c>
      <c r="K613" s="5">
        <f>1045 / 86400</f>
        <v>1.2094907407407407E-2</v>
      </c>
      <c r="L613" s="5">
        <f>26 / 86400</f>
        <v>3.0092592592592595E-4</v>
      </c>
    </row>
    <row r="614" spans="1:12" x14ac:dyDescent="0.25">
      <c r="A614" s="3">
        <v>45715.886134259257</v>
      </c>
      <c r="B614" t="s">
        <v>37</v>
      </c>
      <c r="C614" s="3">
        <v>45715.88658564815</v>
      </c>
      <c r="D614" t="s">
        <v>37</v>
      </c>
      <c r="E614" s="4">
        <v>0</v>
      </c>
      <c r="F614" s="4">
        <v>510883.00900000002</v>
      </c>
      <c r="G614" s="4">
        <v>510883.00900000002</v>
      </c>
      <c r="H614" s="5">
        <f>19 / 86400</f>
        <v>2.199074074074074E-4</v>
      </c>
      <c r="I614" t="s">
        <v>21</v>
      </c>
      <c r="J614" t="s">
        <v>21</v>
      </c>
      <c r="K614" s="5">
        <f>38 / 86400</f>
        <v>4.3981481481481481E-4</v>
      </c>
      <c r="L614" s="5">
        <f>9798 / 86400</f>
        <v>0.11340277777777778</v>
      </c>
    </row>
    <row r="615" spans="1:12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</row>
    <row r="616" spans="1:12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</row>
    <row r="617" spans="1:12" s="10" customFormat="1" ht="20.100000000000001" customHeight="1" x14ac:dyDescent="0.35">
      <c r="A617" s="11" t="s">
        <v>523</v>
      </c>
      <c r="B617" s="11"/>
      <c r="C617" s="11"/>
      <c r="D617" s="11"/>
      <c r="E617" s="11"/>
      <c r="F617" s="11"/>
      <c r="G617" s="11"/>
      <c r="H617" s="11"/>
      <c r="I617" s="11"/>
      <c r="J617" s="11"/>
    </row>
    <row r="618" spans="1:12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</row>
    <row r="619" spans="1:12" ht="30" x14ac:dyDescent="0.25">
      <c r="A619" s="2" t="s">
        <v>5</v>
      </c>
      <c r="B619" s="2" t="s">
        <v>6</v>
      </c>
      <c r="C619" s="2" t="s">
        <v>7</v>
      </c>
      <c r="D619" s="2" t="s">
        <v>8</v>
      </c>
      <c r="E619" s="2" t="s">
        <v>9</v>
      </c>
      <c r="F619" s="2" t="s">
        <v>10</v>
      </c>
      <c r="G619" s="2" t="s">
        <v>11</v>
      </c>
      <c r="H619" s="2" t="s">
        <v>12</v>
      </c>
      <c r="I619" s="2" t="s">
        <v>13</v>
      </c>
      <c r="J619" s="2" t="s">
        <v>14</v>
      </c>
      <c r="K619" s="2" t="s">
        <v>15</v>
      </c>
      <c r="L619" s="2" t="s">
        <v>16</v>
      </c>
    </row>
    <row r="620" spans="1:12" x14ac:dyDescent="0.25">
      <c r="A620" s="3">
        <v>45715.236076388886</v>
      </c>
      <c r="B620" t="s">
        <v>40</v>
      </c>
      <c r="C620" s="3">
        <v>45715.236145833333</v>
      </c>
      <c r="D620" t="s">
        <v>40</v>
      </c>
      <c r="E620" s="4">
        <v>0</v>
      </c>
      <c r="F620" s="4">
        <v>409576.97399999999</v>
      </c>
      <c r="G620" s="4">
        <v>409576.97399999999</v>
      </c>
      <c r="H620" s="5">
        <f>0 / 86400</f>
        <v>0</v>
      </c>
      <c r="I620" t="s">
        <v>21</v>
      </c>
      <c r="J620" t="s">
        <v>21</v>
      </c>
      <c r="K620" s="5">
        <f>5 / 86400</f>
        <v>5.7870370370370373E-5</v>
      </c>
      <c r="L620" s="5">
        <f>20416 / 86400</f>
        <v>0.23629629629629631</v>
      </c>
    </row>
    <row r="621" spans="1:12" x14ac:dyDescent="0.25">
      <c r="A621" s="3">
        <v>45715.23636574074</v>
      </c>
      <c r="B621" t="s">
        <v>40</v>
      </c>
      <c r="C621" s="3">
        <v>45715.243634259255</v>
      </c>
      <c r="D621" t="s">
        <v>122</v>
      </c>
      <c r="E621" s="4">
        <v>1.631</v>
      </c>
      <c r="F621" s="4">
        <v>409576.97499999998</v>
      </c>
      <c r="G621" s="4">
        <v>409578.60600000003</v>
      </c>
      <c r="H621" s="5">
        <f>119 / 86400</f>
        <v>1.3773148148148147E-3</v>
      </c>
      <c r="I621" t="s">
        <v>176</v>
      </c>
      <c r="J621" t="s">
        <v>135</v>
      </c>
      <c r="K621" s="5">
        <f>628 / 86400</f>
        <v>7.2685185185185188E-3</v>
      </c>
      <c r="L621" s="5">
        <f>1197 / 86400</f>
        <v>1.3854166666666667E-2</v>
      </c>
    </row>
    <row r="622" spans="1:12" x14ac:dyDescent="0.25">
      <c r="A622" s="3">
        <v>45715.257488425923</v>
      </c>
      <c r="B622" t="s">
        <v>122</v>
      </c>
      <c r="C622" s="3">
        <v>45715.397719907407</v>
      </c>
      <c r="D622" t="s">
        <v>433</v>
      </c>
      <c r="E622" s="4">
        <v>51.795999999999999</v>
      </c>
      <c r="F622" s="4">
        <v>409578.60600000003</v>
      </c>
      <c r="G622" s="4">
        <v>409630.402</v>
      </c>
      <c r="H622" s="5">
        <f>4238 / 86400</f>
        <v>4.9050925925925928E-2</v>
      </c>
      <c r="I622" t="s">
        <v>56</v>
      </c>
      <c r="J622" t="s">
        <v>39</v>
      </c>
      <c r="K622" s="5">
        <f>12116 / 86400</f>
        <v>0.14023148148148148</v>
      </c>
      <c r="L622" s="5">
        <f>6 / 86400</f>
        <v>6.9444444444444444E-5</v>
      </c>
    </row>
    <row r="623" spans="1:12" x14ac:dyDescent="0.25">
      <c r="A623" s="3">
        <v>45715.397789351853</v>
      </c>
      <c r="B623" t="s">
        <v>433</v>
      </c>
      <c r="C623" s="3">
        <v>45715.4137962963</v>
      </c>
      <c r="D623" t="s">
        <v>433</v>
      </c>
      <c r="E623" s="4">
        <v>0</v>
      </c>
      <c r="F623" s="4">
        <v>409630.402</v>
      </c>
      <c r="G623" s="4">
        <v>409630.402</v>
      </c>
      <c r="H623" s="5">
        <f>1365 / 86400</f>
        <v>1.579861111111111E-2</v>
      </c>
      <c r="I623" t="s">
        <v>21</v>
      </c>
      <c r="J623" t="s">
        <v>21</v>
      </c>
      <c r="K623" s="5">
        <f>1383 / 86400</f>
        <v>1.6006944444444445E-2</v>
      </c>
      <c r="L623" s="5">
        <f>1203 / 86400</f>
        <v>1.3923611111111111E-2</v>
      </c>
    </row>
    <row r="624" spans="1:12" x14ac:dyDescent="0.25">
      <c r="A624" s="3">
        <v>45715.427719907406</v>
      </c>
      <c r="B624" t="s">
        <v>433</v>
      </c>
      <c r="C624" s="3">
        <v>45715.604027777779</v>
      </c>
      <c r="D624" t="s">
        <v>74</v>
      </c>
      <c r="E624" s="4">
        <v>49.905999999999999</v>
      </c>
      <c r="F624" s="4">
        <v>409630.402</v>
      </c>
      <c r="G624" s="4">
        <v>409680.30800000002</v>
      </c>
      <c r="H624" s="5">
        <f>6779 / 86400</f>
        <v>7.8460648148148154E-2</v>
      </c>
      <c r="I624" t="s">
        <v>65</v>
      </c>
      <c r="J624" t="s">
        <v>85</v>
      </c>
      <c r="K624" s="5">
        <f>15233 / 86400</f>
        <v>0.17630787037037038</v>
      </c>
      <c r="L624" s="5">
        <f>969 / 86400</f>
        <v>1.1215277777777777E-2</v>
      </c>
    </row>
    <row r="625" spans="1:12" x14ac:dyDescent="0.25">
      <c r="A625" s="3">
        <v>45715.615243055552</v>
      </c>
      <c r="B625" t="s">
        <v>74</v>
      </c>
      <c r="C625" s="3">
        <v>45715.61886574074</v>
      </c>
      <c r="D625" t="s">
        <v>74</v>
      </c>
      <c r="E625" s="4">
        <v>7.9000000000000001E-2</v>
      </c>
      <c r="F625" s="4">
        <v>409680.30800000002</v>
      </c>
      <c r="G625" s="4">
        <v>409680.38699999999</v>
      </c>
      <c r="H625" s="5">
        <f>219 / 86400</f>
        <v>2.5347222222222221E-3</v>
      </c>
      <c r="I625" t="s">
        <v>123</v>
      </c>
      <c r="J625" t="s">
        <v>67</v>
      </c>
      <c r="K625" s="5">
        <f>312 / 86400</f>
        <v>3.6111111111111109E-3</v>
      </c>
      <c r="L625" s="5">
        <f>260 / 86400</f>
        <v>3.0092592592592593E-3</v>
      </c>
    </row>
    <row r="626" spans="1:12" x14ac:dyDescent="0.25">
      <c r="A626" s="3">
        <v>45715.621874999997</v>
      </c>
      <c r="B626" t="s">
        <v>74</v>
      </c>
      <c r="C626" s="3">
        <v>45715.62400462963</v>
      </c>
      <c r="D626" t="s">
        <v>148</v>
      </c>
      <c r="E626" s="4">
        <v>0.58499999999999996</v>
      </c>
      <c r="F626" s="4">
        <v>409680.38699999999</v>
      </c>
      <c r="G626" s="4">
        <v>409680.97200000001</v>
      </c>
      <c r="H626" s="5">
        <f>20 / 86400</f>
        <v>2.3148148148148149E-4</v>
      </c>
      <c r="I626" t="s">
        <v>176</v>
      </c>
      <c r="J626" t="s">
        <v>85</v>
      </c>
      <c r="K626" s="5">
        <f>183 / 86400</f>
        <v>2.1180555555555558E-3</v>
      </c>
      <c r="L626" s="5">
        <f>1276 / 86400</f>
        <v>1.4768518518518519E-2</v>
      </c>
    </row>
    <row r="627" spans="1:12" x14ac:dyDescent="0.25">
      <c r="A627" s="3">
        <v>45715.638773148152</v>
      </c>
      <c r="B627" t="s">
        <v>148</v>
      </c>
      <c r="C627" s="3">
        <v>45715.641562500001</v>
      </c>
      <c r="D627" t="s">
        <v>122</v>
      </c>
      <c r="E627" s="4">
        <v>0.72099999999999997</v>
      </c>
      <c r="F627" s="4">
        <v>409680.97200000001</v>
      </c>
      <c r="G627" s="4">
        <v>409681.69300000003</v>
      </c>
      <c r="H627" s="5">
        <f>19 / 86400</f>
        <v>2.199074074074074E-4</v>
      </c>
      <c r="I627" t="s">
        <v>98</v>
      </c>
      <c r="J627" t="s">
        <v>141</v>
      </c>
      <c r="K627" s="5">
        <f>241 / 86400</f>
        <v>2.7893518518518519E-3</v>
      </c>
      <c r="L627" s="5">
        <f>1 / 86400</f>
        <v>1.1574074074074073E-5</v>
      </c>
    </row>
    <row r="628" spans="1:12" x14ac:dyDescent="0.25">
      <c r="A628" s="3">
        <v>45715.641574074078</v>
      </c>
      <c r="B628" t="s">
        <v>122</v>
      </c>
      <c r="C628" s="3">
        <v>45715.673182870371</v>
      </c>
      <c r="D628" t="s">
        <v>328</v>
      </c>
      <c r="E628" s="4">
        <v>7.1459999999999999</v>
      </c>
      <c r="F628" s="4">
        <v>409681.69300000003</v>
      </c>
      <c r="G628" s="4">
        <v>409688.83899999998</v>
      </c>
      <c r="H628" s="5">
        <f>1280 / 86400</f>
        <v>1.4814814814814815E-2</v>
      </c>
      <c r="I628" t="s">
        <v>129</v>
      </c>
      <c r="J628" t="s">
        <v>135</v>
      </c>
      <c r="K628" s="5">
        <f>2731 / 86400</f>
        <v>3.1608796296296295E-2</v>
      </c>
      <c r="L628" s="5">
        <f>3 / 86400</f>
        <v>3.4722222222222222E-5</v>
      </c>
    </row>
    <row r="629" spans="1:12" x14ac:dyDescent="0.25">
      <c r="A629" s="3">
        <v>45715.673217592594</v>
      </c>
      <c r="B629" t="s">
        <v>328</v>
      </c>
      <c r="C629" s="3">
        <v>45715.673379629632</v>
      </c>
      <c r="D629" t="s">
        <v>328</v>
      </c>
      <c r="E629" s="4">
        <v>4.2999999999999997E-2</v>
      </c>
      <c r="F629" s="4">
        <v>409688.83899999998</v>
      </c>
      <c r="G629" s="4">
        <v>409688.88199999998</v>
      </c>
      <c r="H629" s="5">
        <f>0 / 86400</f>
        <v>0</v>
      </c>
      <c r="I629" t="s">
        <v>85</v>
      </c>
      <c r="J629" t="s">
        <v>141</v>
      </c>
      <c r="K629" s="5">
        <f>14 / 86400</f>
        <v>1.6203703703703703E-4</v>
      </c>
      <c r="L629" s="5">
        <f>1 / 86400</f>
        <v>1.1574074074074073E-5</v>
      </c>
    </row>
    <row r="630" spans="1:12" x14ac:dyDescent="0.25">
      <c r="A630" s="3">
        <v>45715.673391203702</v>
      </c>
      <c r="B630" t="s">
        <v>328</v>
      </c>
      <c r="C630" s="3">
        <v>45715.678668981476</v>
      </c>
      <c r="D630" t="s">
        <v>316</v>
      </c>
      <c r="E630" s="4">
        <v>3.823</v>
      </c>
      <c r="F630" s="4">
        <v>409688.88199999998</v>
      </c>
      <c r="G630" s="4">
        <v>409692.70500000002</v>
      </c>
      <c r="H630" s="5">
        <f>89 / 86400</f>
        <v>1.0300925925925926E-3</v>
      </c>
      <c r="I630" t="s">
        <v>152</v>
      </c>
      <c r="J630" t="s">
        <v>140</v>
      </c>
      <c r="K630" s="5">
        <f>456 / 86400</f>
        <v>5.2777777777777779E-3</v>
      </c>
      <c r="L630" s="5">
        <f>6 / 86400</f>
        <v>6.9444444444444444E-5</v>
      </c>
    </row>
    <row r="631" spans="1:12" x14ac:dyDescent="0.25">
      <c r="A631" s="3">
        <v>45715.678738425922</v>
      </c>
      <c r="B631" t="s">
        <v>434</v>
      </c>
      <c r="C631" s="3">
        <v>45715.700092592597</v>
      </c>
      <c r="D631" t="s">
        <v>203</v>
      </c>
      <c r="E631" s="4">
        <v>13.462</v>
      </c>
      <c r="F631" s="4">
        <v>409692.70899999997</v>
      </c>
      <c r="G631" s="4">
        <v>409706.17099999997</v>
      </c>
      <c r="H631" s="5">
        <f>346 / 86400</f>
        <v>4.0046296296296297E-3</v>
      </c>
      <c r="I631" t="s">
        <v>23</v>
      </c>
      <c r="J631" t="s">
        <v>98</v>
      </c>
      <c r="K631" s="5">
        <f>1845 / 86400</f>
        <v>2.1354166666666667E-2</v>
      </c>
      <c r="L631" s="5">
        <f>71 / 86400</f>
        <v>8.2175925925925927E-4</v>
      </c>
    </row>
    <row r="632" spans="1:12" x14ac:dyDescent="0.25">
      <c r="A632" s="3">
        <v>45715.700914351852</v>
      </c>
      <c r="B632" t="s">
        <v>224</v>
      </c>
      <c r="C632" s="3">
        <v>45715.702384259261</v>
      </c>
      <c r="D632" t="s">
        <v>82</v>
      </c>
      <c r="E632" s="4">
        <v>1.4910000000000001</v>
      </c>
      <c r="F632" s="4">
        <v>409706.18599999999</v>
      </c>
      <c r="G632" s="4">
        <v>409707.67700000003</v>
      </c>
      <c r="H632" s="5">
        <f>0 / 86400</f>
        <v>0</v>
      </c>
      <c r="I632" t="s">
        <v>236</v>
      </c>
      <c r="J632" t="s">
        <v>129</v>
      </c>
      <c r="K632" s="5">
        <f>127 / 86400</f>
        <v>1.4699074074074074E-3</v>
      </c>
      <c r="L632" s="5">
        <f>3 / 86400</f>
        <v>3.4722222222222222E-5</v>
      </c>
    </row>
    <row r="633" spans="1:12" x14ac:dyDescent="0.25">
      <c r="A633" s="3">
        <v>45715.702418981484</v>
      </c>
      <c r="B633" t="s">
        <v>82</v>
      </c>
      <c r="C633" s="3">
        <v>45715.781030092592</v>
      </c>
      <c r="D633" t="s">
        <v>431</v>
      </c>
      <c r="E633" s="4">
        <v>22.623999999999999</v>
      </c>
      <c r="F633" s="4">
        <v>409707.68400000001</v>
      </c>
      <c r="G633" s="4">
        <v>409730.30800000002</v>
      </c>
      <c r="H633" s="5">
        <f>2870 / 86400</f>
        <v>3.321759259259259E-2</v>
      </c>
      <c r="I633" t="s">
        <v>92</v>
      </c>
      <c r="J633" t="s">
        <v>85</v>
      </c>
      <c r="K633" s="5">
        <f>6792 / 86400</f>
        <v>7.8611111111111118E-2</v>
      </c>
      <c r="L633" s="5">
        <f>72 / 86400</f>
        <v>8.3333333333333339E-4</v>
      </c>
    </row>
    <row r="634" spans="1:12" x14ac:dyDescent="0.25">
      <c r="A634" s="3">
        <v>45715.781863425931</v>
      </c>
      <c r="B634" t="s">
        <v>435</v>
      </c>
      <c r="C634" s="3">
        <v>45715.904803240745</v>
      </c>
      <c r="D634" t="s">
        <v>74</v>
      </c>
      <c r="E634" s="4">
        <v>46.44</v>
      </c>
      <c r="F634" s="4">
        <v>409730.30800000002</v>
      </c>
      <c r="G634" s="4">
        <v>409776.74800000002</v>
      </c>
      <c r="H634" s="5">
        <f>3020 / 86400</f>
        <v>3.4953703703703702E-2</v>
      </c>
      <c r="I634" t="s">
        <v>189</v>
      </c>
      <c r="J634" t="s">
        <v>26</v>
      </c>
      <c r="K634" s="5">
        <f>10621 / 86400</f>
        <v>0.12292824074074074</v>
      </c>
      <c r="L634" s="5">
        <f>409 / 86400</f>
        <v>4.7337962962962967E-3</v>
      </c>
    </row>
    <row r="635" spans="1:12" x14ac:dyDescent="0.25">
      <c r="A635" s="3">
        <v>45715.909537037034</v>
      </c>
      <c r="B635" t="s">
        <v>74</v>
      </c>
      <c r="C635" s="3">
        <v>45715.911307870367</v>
      </c>
      <c r="D635" t="s">
        <v>432</v>
      </c>
      <c r="E635" s="4">
        <v>0.21099999999999999</v>
      </c>
      <c r="F635" s="4">
        <v>409776.74800000002</v>
      </c>
      <c r="G635" s="4">
        <v>409776.95899999997</v>
      </c>
      <c r="H635" s="5">
        <f>79 / 86400</f>
        <v>9.1435185185185185E-4</v>
      </c>
      <c r="I635" t="s">
        <v>139</v>
      </c>
      <c r="J635" t="s">
        <v>99</v>
      </c>
      <c r="K635" s="5">
        <f>152 / 86400</f>
        <v>1.7592592592592592E-3</v>
      </c>
      <c r="L635" s="5">
        <f>204 / 86400</f>
        <v>2.3611111111111111E-3</v>
      </c>
    </row>
    <row r="636" spans="1:12" x14ac:dyDescent="0.25">
      <c r="A636" s="3">
        <v>45715.913668981477</v>
      </c>
      <c r="B636" t="s">
        <v>432</v>
      </c>
      <c r="C636" s="3">
        <v>45715.915833333333</v>
      </c>
      <c r="D636" t="s">
        <v>436</v>
      </c>
      <c r="E636" s="4">
        <v>0.61199999999999999</v>
      </c>
      <c r="F636" s="4">
        <v>409776.95899999997</v>
      </c>
      <c r="G636" s="4">
        <v>409777.571</v>
      </c>
      <c r="H636" s="5">
        <f>59 / 86400</f>
        <v>6.8287037037037036E-4</v>
      </c>
      <c r="I636" t="s">
        <v>169</v>
      </c>
      <c r="J636" t="s">
        <v>85</v>
      </c>
      <c r="K636" s="5">
        <f>186 / 86400</f>
        <v>2.1527777777777778E-3</v>
      </c>
      <c r="L636" s="5">
        <f>312 / 86400</f>
        <v>3.6111111111111109E-3</v>
      </c>
    </row>
    <row r="637" spans="1:12" x14ac:dyDescent="0.25">
      <c r="A637" s="3">
        <v>45715.919444444444</v>
      </c>
      <c r="B637" t="s">
        <v>436</v>
      </c>
      <c r="C637" s="3">
        <v>45715.92396990741</v>
      </c>
      <c r="D637" t="s">
        <v>40</v>
      </c>
      <c r="E637" s="4">
        <v>0.67500000000000004</v>
      </c>
      <c r="F637" s="4">
        <v>409777.571</v>
      </c>
      <c r="G637" s="4">
        <v>409778.24599999998</v>
      </c>
      <c r="H637" s="5">
        <f>140 / 86400</f>
        <v>1.6203703703703703E-3</v>
      </c>
      <c r="I637" t="s">
        <v>116</v>
      </c>
      <c r="J637" t="s">
        <v>123</v>
      </c>
      <c r="K637" s="5">
        <f>390 / 86400</f>
        <v>4.5138888888888885E-3</v>
      </c>
      <c r="L637" s="5">
        <f>6568 / 86400</f>
        <v>7.6018518518518513E-2</v>
      </c>
    </row>
    <row r="638" spans="1:12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</row>
    <row r="639" spans="1:12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</row>
    <row r="640" spans="1:12" s="10" customFormat="1" ht="20.100000000000001" customHeight="1" x14ac:dyDescent="0.35">
      <c r="A640" s="11" t="s">
        <v>524</v>
      </c>
      <c r="B640" s="11"/>
      <c r="C640" s="11"/>
      <c r="D640" s="11"/>
      <c r="E640" s="11"/>
      <c r="F640" s="11"/>
      <c r="G640" s="11"/>
      <c r="H640" s="11"/>
      <c r="I640" s="11"/>
      <c r="J640" s="11"/>
    </row>
    <row r="641" spans="1:12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</row>
    <row r="642" spans="1:12" ht="30" x14ac:dyDescent="0.25">
      <c r="A642" s="2" t="s">
        <v>5</v>
      </c>
      <c r="B642" s="2" t="s">
        <v>6</v>
      </c>
      <c r="C642" s="2" t="s">
        <v>7</v>
      </c>
      <c r="D642" s="2" t="s">
        <v>8</v>
      </c>
      <c r="E642" s="2" t="s">
        <v>9</v>
      </c>
      <c r="F642" s="2" t="s">
        <v>10</v>
      </c>
      <c r="G642" s="2" t="s">
        <v>11</v>
      </c>
      <c r="H642" s="2" t="s">
        <v>12</v>
      </c>
      <c r="I642" s="2" t="s">
        <v>13</v>
      </c>
      <c r="J642" s="2" t="s">
        <v>14</v>
      </c>
      <c r="K642" s="2" t="s">
        <v>15</v>
      </c>
      <c r="L642" s="2" t="s">
        <v>16</v>
      </c>
    </row>
    <row r="643" spans="1:12" x14ac:dyDescent="0.25">
      <c r="A643" s="3">
        <v>45715.290648148148</v>
      </c>
      <c r="B643" t="s">
        <v>42</v>
      </c>
      <c r="C643" s="3">
        <v>45715.300300925926</v>
      </c>
      <c r="D643" t="s">
        <v>124</v>
      </c>
      <c r="E643" s="4">
        <v>0.78300000000000003</v>
      </c>
      <c r="F643" s="4">
        <v>439413.05800000002</v>
      </c>
      <c r="G643" s="4">
        <v>439413.84100000001</v>
      </c>
      <c r="H643" s="5">
        <f>639 / 86400</f>
        <v>7.3958333333333333E-3</v>
      </c>
      <c r="I643" t="s">
        <v>219</v>
      </c>
      <c r="J643" t="s">
        <v>136</v>
      </c>
      <c r="K643" s="5">
        <f>834 / 86400</f>
        <v>9.6527777777777775E-3</v>
      </c>
      <c r="L643" s="5">
        <f>28755 / 86400</f>
        <v>0.33281250000000001</v>
      </c>
    </row>
    <row r="644" spans="1:12" x14ac:dyDescent="0.25">
      <c r="A644" s="3">
        <v>45715.342465277776</v>
      </c>
      <c r="B644" t="s">
        <v>124</v>
      </c>
      <c r="C644" s="3">
        <v>45715.594363425931</v>
      </c>
      <c r="D644" t="s">
        <v>42</v>
      </c>
      <c r="E644" s="4">
        <v>100.782</v>
      </c>
      <c r="F644" s="4">
        <v>439413.84100000001</v>
      </c>
      <c r="G644" s="4">
        <v>439514.62300000002</v>
      </c>
      <c r="H644" s="5">
        <f>7240 / 86400</f>
        <v>8.3796296296296299E-2</v>
      </c>
      <c r="I644" t="s">
        <v>43</v>
      </c>
      <c r="J644" t="s">
        <v>19</v>
      </c>
      <c r="K644" s="5">
        <f>21764 / 86400</f>
        <v>0.25189814814814815</v>
      </c>
      <c r="L644" s="5">
        <f>1089 / 86400</f>
        <v>1.2604166666666666E-2</v>
      </c>
    </row>
    <row r="645" spans="1:12" x14ac:dyDescent="0.25">
      <c r="A645" s="3">
        <v>45715.606967592597</v>
      </c>
      <c r="B645" t="s">
        <v>42</v>
      </c>
      <c r="C645" s="3">
        <v>45715.608032407406</v>
      </c>
      <c r="D645" t="s">
        <v>124</v>
      </c>
      <c r="E645" s="4">
        <v>0.17100000000000001</v>
      </c>
      <c r="F645" s="4">
        <v>439514.62300000002</v>
      </c>
      <c r="G645" s="4">
        <v>439514.79399999999</v>
      </c>
      <c r="H645" s="5">
        <f>19 / 86400</f>
        <v>2.199074074074074E-4</v>
      </c>
      <c r="I645" t="s">
        <v>30</v>
      </c>
      <c r="J645" t="s">
        <v>143</v>
      </c>
      <c r="K645" s="5">
        <f>92 / 86400</f>
        <v>1.0648148148148149E-3</v>
      </c>
      <c r="L645" s="5">
        <f>2989 / 86400</f>
        <v>3.4594907407407408E-2</v>
      </c>
    </row>
    <row r="646" spans="1:12" x14ac:dyDescent="0.25">
      <c r="A646" s="3">
        <v>45715.64262731481</v>
      </c>
      <c r="B646" t="s">
        <v>124</v>
      </c>
      <c r="C646" s="3">
        <v>45715.646215277782</v>
      </c>
      <c r="D646" t="s">
        <v>74</v>
      </c>
      <c r="E646" s="4">
        <v>0.96299999999999997</v>
      </c>
      <c r="F646" s="4">
        <v>439514.79399999999</v>
      </c>
      <c r="G646" s="4">
        <v>439515.75699999998</v>
      </c>
      <c r="H646" s="5">
        <f>59 / 86400</f>
        <v>6.8287037037037036E-4</v>
      </c>
      <c r="I646" t="s">
        <v>163</v>
      </c>
      <c r="J646" t="s">
        <v>141</v>
      </c>
      <c r="K646" s="5">
        <f>309 / 86400</f>
        <v>3.5763888888888889E-3</v>
      </c>
      <c r="L646" s="5">
        <f>508 / 86400</f>
        <v>5.8796296296296296E-3</v>
      </c>
    </row>
    <row r="647" spans="1:12" x14ac:dyDescent="0.25">
      <c r="A647" s="3">
        <v>45715.652094907404</v>
      </c>
      <c r="B647" t="s">
        <v>74</v>
      </c>
      <c r="C647" s="3">
        <v>45715.652986111112</v>
      </c>
      <c r="D647" t="s">
        <v>74</v>
      </c>
      <c r="E647" s="4">
        <v>3.6999999999999998E-2</v>
      </c>
      <c r="F647" s="4">
        <v>439515.75699999998</v>
      </c>
      <c r="G647" s="4">
        <v>439515.79399999999</v>
      </c>
      <c r="H647" s="5">
        <f>20 / 86400</f>
        <v>2.3148148148148149E-4</v>
      </c>
      <c r="I647" t="s">
        <v>99</v>
      </c>
      <c r="J647" t="s">
        <v>29</v>
      </c>
      <c r="K647" s="5">
        <f>77 / 86400</f>
        <v>8.9120370370370373E-4</v>
      </c>
      <c r="L647" s="5">
        <f>985 / 86400</f>
        <v>1.1400462962962963E-2</v>
      </c>
    </row>
    <row r="648" spans="1:12" x14ac:dyDescent="0.25">
      <c r="A648" s="3">
        <v>45715.664386574077</v>
      </c>
      <c r="B648" t="s">
        <v>74</v>
      </c>
      <c r="C648" s="3">
        <v>45715.665960648148</v>
      </c>
      <c r="D648" t="s">
        <v>74</v>
      </c>
      <c r="E648" s="4">
        <v>0.13400000000000001</v>
      </c>
      <c r="F648" s="4">
        <v>439515.79399999999</v>
      </c>
      <c r="G648" s="4">
        <v>439515.92800000001</v>
      </c>
      <c r="H648" s="5">
        <f>59 / 86400</f>
        <v>6.8287037037037036E-4</v>
      </c>
      <c r="I648" t="s">
        <v>143</v>
      </c>
      <c r="J648" t="s">
        <v>132</v>
      </c>
      <c r="K648" s="5">
        <f>136 / 86400</f>
        <v>1.5740740740740741E-3</v>
      </c>
      <c r="L648" s="5">
        <f>220 / 86400</f>
        <v>2.5462962962962965E-3</v>
      </c>
    </row>
    <row r="649" spans="1:12" x14ac:dyDescent="0.25">
      <c r="A649" s="3">
        <v>45715.668506944443</v>
      </c>
      <c r="B649" t="s">
        <v>74</v>
      </c>
      <c r="C649" s="3">
        <v>45715.668611111112</v>
      </c>
      <c r="D649" t="s">
        <v>74</v>
      </c>
      <c r="E649" s="4">
        <v>0</v>
      </c>
      <c r="F649" s="4">
        <v>439515.92800000001</v>
      </c>
      <c r="G649" s="4">
        <v>439515.92800000001</v>
      </c>
      <c r="H649" s="5">
        <f>0 / 86400</f>
        <v>0</v>
      </c>
      <c r="I649" t="s">
        <v>21</v>
      </c>
      <c r="J649" t="s">
        <v>21</v>
      </c>
      <c r="K649" s="5">
        <f>9 / 86400</f>
        <v>1.0416666666666667E-4</v>
      </c>
      <c r="L649" s="5">
        <f>409 / 86400</f>
        <v>4.7337962962962967E-3</v>
      </c>
    </row>
    <row r="650" spans="1:12" x14ac:dyDescent="0.25">
      <c r="A650" s="3">
        <v>45715.673344907409</v>
      </c>
      <c r="B650" t="s">
        <v>74</v>
      </c>
      <c r="C650" s="3">
        <v>45715.677337962959</v>
      </c>
      <c r="D650" t="s">
        <v>74</v>
      </c>
      <c r="E650" s="4">
        <v>0.10299999999999999</v>
      </c>
      <c r="F650" s="4">
        <v>439515.92800000001</v>
      </c>
      <c r="G650" s="4">
        <v>439516.03100000002</v>
      </c>
      <c r="H650" s="5">
        <f>239 / 86400</f>
        <v>2.7662037037037039E-3</v>
      </c>
      <c r="I650" t="s">
        <v>135</v>
      </c>
      <c r="J650" t="s">
        <v>67</v>
      </c>
      <c r="K650" s="5">
        <f>345 / 86400</f>
        <v>3.9930555555555552E-3</v>
      </c>
      <c r="L650" s="5">
        <f>1016 / 86400</f>
        <v>1.1759259259259259E-2</v>
      </c>
    </row>
    <row r="651" spans="1:12" x14ac:dyDescent="0.25">
      <c r="A651" s="3">
        <v>45715.689097222217</v>
      </c>
      <c r="B651" t="s">
        <v>74</v>
      </c>
      <c r="C651" s="3">
        <v>45715.689467592594</v>
      </c>
      <c r="D651" t="s">
        <v>74</v>
      </c>
      <c r="E651" s="4">
        <v>0</v>
      </c>
      <c r="F651" s="4">
        <v>439516.03100000002</v>
      </c>
      <c r="G651" s="4">
        <v>439516.03100000002</v>
      </c>
      <c r="H651" s="5">
        <f>19 / 86400</f>
        <v>2.199074074074074E-4</v>
      </c>
      <c r="I651" t="s">
        <v>21</v>
      </c>
      <c r="J651" t="s">
        <v>21</v>
      </c>
      <c r="K651" s="5">
        <f>32 / 86400</f>
        <v>3.7037037037037035E-4</v>
      </c>
      <c r="L651" s="5">
        <f>2134 / 86400</f>
        <v>2.4699074074074075E-2</v>
      </c>
    </row>
    <row r="652" spans="1:12" x14ac:dyDescent="0.25">
      <c r="A652" s="3">
        <v>45715.714166666672</v>
      </c>
      <c r="B652" t="s">
        <v>74</v>
      </c>
      <c r="C652" s="3">
        <v>45715.717199074075</v>
      </c>
      <c r="D652" t="s">
        <v>42</v>
      </c>
      <c r="E652" s="4">
        <v>0.86199999999999999</v>
      </c>
      <c r="F652" s="4">
        <v>439516.03100000002</v>
      </c>
      <c r="G652" s="4">
        <v>439516.89299999998</v>
      </c>
      <c r="H652" s="5">
        <f>99 / 86400</f>
        <v>1.1458333333333333E-3</v>
      </c>
      <c r="I652" t="s">
        <v>235</v>
      </c>
      <c r="J652" t="s">
        <v>85</v>
      </c>
      <c r="K652" s="5">
        <f>261 / 86400</f>
        <v>3.0208333333333333E-3</v>
      </c>
      <c r="L652" s="5">
        <f>24433 / 86400</f>
        <v>0.28278935185185183</v>
      </c>
    </row>
    <row r="653" spans="1:12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</row>
    <row r="654" spans="1:1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</row>
    <row r="655" spans="1:12" s="10" customFormat="1" ht="20.100000000000001" customHeight="1" x14ac:dyDescent="0.35">
      <c r="A655" s="11" t="s">
        <v>525</v>
      </c>
      <c r="B655" s="11"/>
      <c r="C655" s="11"/>
      <c r="D655" s="11"/>
      <c r="E655" s="11"/>
      <c r="F655" s="11"/>
      <c r="G655" s="11"/>
      <c r="H655" s="11"/>
      <c r="I655" s="11"/>
      <c r="J655" s="11"/>
    </row>
    <row r="656" spans="1:1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</row>
    <row r="657" spans="1:12" ht="30" x14ac:dyDescent="0.25">
      <c r="A657" s="2" t="s">
        <v>5</v>
      </c>
      <c r="B657" s="2" t="s">
        <v>6</v>
      </c>
      <c r="C657" s="2" t="s">
        <v>7</v>
      </c>
      <c r="D657" s="2" t="s">
        <v>8</v>
      </c>
      <c r="E657" s="2" t="s">
        <v>9</v>
      </c>
      <c r="F657" s="2" t="s">
        <v>10</v>
      </c>
      <c r="G657" s="2" t="s">
        <v>11</v>
      </c>
      <c r="H657" s="2" t="s">
        <v>12</v>
      </c>
      <c r="I657" s="2" t="s">
        <v>13</v>
      </c>
      <c r="J657" s="2" t="s">
        <v>14</v>
      </c>
      <c r="K657" s="2" t="s">
        <v>15</v>
      </c>
      <c r="L657" s="2" t="s">
        <v>16</v>
      </c>
    </row>
    <row r="658" spans="1:12" x14ac:dyDescent="0.25">
      <c r="A658" s="3">
        <v>45715.294965277775</v>
      </c>
      <c r="B658" t="s">
        <v>44</v>
      </c>
      <c r="C658" s="3">
        <v>45715.297071759254</v>
      </c>
      <c r="D658" t="s">
        <v>44</v>
      </c>
      <c r="E658" s="4">
        <v>0.124</v>
      </c>
      <c r="F658" s="4">
        <v>57048.37</v>
      </c>
      <c r="G658" s="4">
        <v>57048.493999999999</v>
      </c>
      <c r="H658" s="5">
        <f>99 / 86400</f>
        <v>1.1458333333333333E-3</v>
      </c>
      <c r="I658" t="s">
        <v>143</v>
      </c>
      <c r="J658" t="s">
        <v>29</v>
      </c>
      <c r="K658" s="5">
        <f>181 / 86400</f>
        <v>2.0949074074074073E-3</v>
      </c>
      <c r="L658" s="5">
        <f>25628 / 86400</f>
        <v>0.29662037037037037</v>
      </c>
    </row>
    <row r="659" spans="1:12" x14ac:dyDescent="0.25">
      <c r="A659" s="3">
        <v>45715.298726851848</v>
      </c>
      <c r="B659" t="s">
        <v>44</v>
      </c>
      <c r="C659" s="3">
        <v>45715.309710648144</v>
      </c>
      <c r="D659" t="s">
        <v>122</v>
      </c>
      <c r="E659" s="4">
        <v>3.7109999999999999</v>
      </c>
      <c r="F659" s="4">
        <v>57048.493999999999</v>
      </c>
      <c r="G659" s="4">
        <v>57052.205000000002</v>
      </c>
      <c r="H659" s="5">
        <f>100 / 86400</f>
        <v>1.1574074074074073E-3</v>
      </c>
      <c r="I659" t="s">
        <v>140</v>
      </c>
      <c r="J659" t="s">
        <v>41</v>
      </c>
      <c r="K659" s="5">
        <f>949 / 86400</f>
        <v>1.0983796296296297E-2</v>
      </c>
      <c r="L659" s="5">
        <f>1154 / 86400</f>
        <v>1.3356481481481481E-2</v>
      </c>
    </row>
    <row r="660" spans="1:12" x14ac:dyDescent="0.25">
      <c r="A660" s="3">
        <v>45715.323067129633</v>
      </c>
      <c r="B660" t="s">
        <v>122</v>
      </c>
      <c r="C660" s="3">
        <v>45715.327314814815</v>
      </c>
      <c r="D660" t="s">
        <v>437</v>
      </c>
      <c r="E660" s="4">
        <v>1.5720000000000001</v>
      </c>
      <c r="F660" s="4">
        <v>57052.205000000002</v>
      </c>
      <c r="G660" s="4">
        <v>57053.777000000002</v>
      </c>
      <c r="H660" s="5">
        <f>80 / 86400</f>
        <v>9.2592592592592596E-4</v>
      </c>
      <c r="I660" t="s">
        <v>221</v>
      </c>
      <c r="J660" t="s">
        <v>39</v>
      </c>
      <c r="K660" s="5">
        <f>367 / 86400</f>
        <v>4.2476851851851851E-3</v>
      </c>
      <c r="L660" s="5">
        <f>115 / 86400</f>
        <v>1.3310185185185185E-3</v>
      </c>
    </row>
    <row r="661" spans="1:12" x14ac:dyDescent="0.25">
      <c r="A661" s="3">
        <v>45715.328645833331</v>
      </c>
      <c r="B661" t="s">
        <v>437</v>
      </c>
      <c r="C661" s="3">
        <v>45715.458530092597</v>
      </c>
      <c r="D661" t="s">
        <v>438</v>
      </c>
      <c r="E661" s="4">
        <v>49.722999999999999</v>
      </c>
      <c r="F661" s="4">
        <v>57053.777000000002</v>
      </c>
      <c r="G661" s="4">
        <v>57103.5</v>
      </c>
      <c r="H661" s="5">
        <f>4000 / 86400</f>
        <v>4.6296296296296294E-2</v>
      </c>
      <c r="I661" t="s">
        <v>45</v>
      </c>
      <c r="J661" t="s">
        <v>26</v>
      </c>
      <c r="K661" s="5">
        <f>11222 / 86400</f>
        <v>0.12988425925925925</v>
      </c>
      <c r="L661" s="5">
        <f>95 / 86400</f>
        <v>1.0995370370370371E-3</v>
      </c>
    </row>
    <row r="662" spans="1:12" x14ac:dyDescent="0.25">
      <c r="A662" s="3">
        <v>45715.459629629629</v>
      </c>
      <c r="B662" t="s">
        <v>438</v>
      </c>
      <c r="C662" s="3">
        <v>45715.600543981476</v>
      </c>
      <c r="D662" t="s">
        <v>439</v>
      </c>
      <c r="E662" s="4">
        <v>46.79</v>
      </c>
      <c r="F662" s="4">
        <v>57103.5</v>
      </c>
      <c r="G662" s="4">
        <v>57150.29</v>
      </c>
      <c r="H662" s="5">
        <f>4821 / 86400</f>
        <v>5.5798611111111111E-2</v>
      </c>
      <c r="I662" t="s">
        <v>89</v>
      </c>
      <c r="J662" t="s">
        <v>41</v>
      </c>
      <c r="K662" s="5">
        <f>12175 / 86400</f>
        <v>0.14091435185185186</v>
      </c>
      <c r="L662" s="5">
        <f>1155 / 86400</f>
        <v>1.3368055555555555E-2</v>
      </c>
    </row>
    <row r="663" spans="1:12" x14ac:dyDescent="0.25">
      <c r="A663" s="3">
        <v>45715.613912037035</v>
      </c>
      <c r="B663" t="s">
        <v>20</v>
      </c>
      <c r="C663" s="3">
        <v>45715.616111111114</v>
      </c>
      <c r="D663" t="s">
        <v>439</v>
      </c>
      <c r="E663" s="4">
        <v>0.63800000000000001</v>
      </c>
      <c r="F663" s="4">
        <v>57150.29</v>
      </c>
      <c r="G663" s="4">
        <v>57150.928</v>
      </c>
      <c r="H663" s="5">
        <f>0 / 86400</f>
        <v>0</v>
      </c>
      <c r="I663" t="s">
        <v>176</v>
      </c>
      <c r="J663" t="s">
        <v>85</v>
      </c>
      <c r="K663" s="5">
        <f>190 / 86400</f>
        <v>2.1990740740740742E-3</v>
      </c>
      <c r="L663" s="5">
        <f>63 / 86400</f>
        <v>7.291666666666667E-4</v>
      </c>
    </row>
    <row r="664" spans="1:12" x14ac:dyDescent="0.25">
      <c r="A664" s="3">
        <v>45715.616840277777</v>
      </c>
      <c r="B664" t="s">
        <v>439</v>
      </c>
      <c r="C664" s="3">
        <v>45715.714641203704</v>
      </c>
      <c r="D664" t="s">
        <v>258</v>
      </c>
      <c r="E664" s="4">
        <v>42.853999999999999</v>
      </c>
      <c r="F664" s="4">
        <v>57150.928</v>
      </c>
      <c r="G664" s="4">
        <v>57193.781999999999</v>
      </c>
      <c r="H664" s="5">
        <f>3133 / 86400</f>
        <v>3.6261574074074071E-2</v>
      </c>
      <c r="I664" t="s">
        <v>23</v>
      </c>
      <c r="J664" t="s">
        <v>30</v>
      </c>
      <c r="K664" s="5">
        <f>8450 / 86400</f>
        <v>9.780092592592593E-2</v>
      </c>
      <c r="L664" s="5">
        <f>236 / 86400</f>
        <v>2.7314814814814814E-3</v>
      </c>
    </row>
    <row r="665" spans="1:12" x14ac:dyDescent="0.25">
      <c r="A665" s="3">
        <v>45715.717372685191</v>
      </c>
      <c r="B665" t="s">
        <v>258</v>
      </c>
      <c r="C665" s="3">
        <v>45715.871342592596</v>
      </c>
      <c r="D665" t="s">
        <v>74</v>
      </c>
      <c r="E665" s="4">
        <v>46.396999999999998</v>
      </c>
      <c r="F665" s="4">
        <v>57193.781999999999</v>
      </c>
      <c r="G665" s="4">
        <v>57240.178999999996</v>
      </c>
      <c r="H665" s="5">
        <f>5780 / 86400</f>
        <v>6.6898148148148151E-2</v>
      </c>
      <c r="I665" t="s">
        <v>162</v>
      </c>
      <c r="J665" t="s">
        <v>55</v>
      </c>
      <c r="K665" s="5">
        <f>13302 / 86400</f>
        <v>0.15395833333333334</v>
      </c>
      <c r="L665" s="5">
        <f>249 / 86400</f>
        <v>2.8819444444444444E-3</v>
      </c>
    </row>
    <row r="666" spans="1:12" x14ac:dyDescent="0.25">
      <c r="A666" s="3">
        <v>45715.874224537038</v>
      </c>
      <c r="B666" t="s">
        <v>74</v>
      </c>
      <c r="C666" s="3">
        <v>45715.875300925924</v>
      </c>
      <c r="D666" t="s">
        <v>432</v>
      </c>
      <c r="E666" s="4">
        <v>0.224</v>
      </c>
      <c r="F666" s="4">
        <v>57240.178999999996</v>
      </c>
      <c r="G666" s="4">
        <v>57240.402999999998</v>
      </c>
      <c r="H666" s="5">
        <f>12 / 86400</f>
        <v>1.3888888888888889E-4</v>
      </c>
      <c r="I666" t="s">
        <v>39</v>
      </c>
      <c r="J666" t="s">
        <v>135</v>
      </c>
      <c r="K666" s="5">
        <f>92 / 86400</f>
        <v>1.0648148148148149E-3</v>
      </c>
      <c r="L666" s="5">
        <f>463 / 86400</f>
        <v>5.3587962962962964E-3</v>
      </c>
    </row>
    <row r="667" spans="1:12" x14ac:dyDescent="0.25">
      <c r="A667" s="3">
        <v>45715.880659722221</v>
      </c>
      <c r="B667" t="s">
        <v>432</v>
      </c>
      <c r="C667" s="3">
        <v>45715.895208333328</v>
      </c>
      <c r="D667" t="s">
        <v>44</v>
      </c>
      <c r="E667" s="4">
        <v>4.7670000000000003</v>
      </c>
      <c r="F667" s="4">
        <v>57240.402999999998</v>
      </c>
      <c r="G667" s="4">
        <v>57245.17</v>
      </c>
      <c r="H667" s="5">
        <f>80 / 86400</f>
        <v>9.2592592592592596E-4</v>
      </c>
      <c r="I667" t="s">
        <v>240</v>
      </c>
      <c r="J667" t="s">
        <v>41</v>
      </c>
      <c r="K667" s="5">
        <f>1257 / 86400</f>
        <v>1.4548611111111111E-2</v>
      </c>
      <c r="L667" s="5">
        <f>9053 / 86400</f>
        <v>0.10478009259259259</v>
      </c>
    </row>
    <row r="668" spans="1:12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</row>
    <row r="669" spans="1:12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</row>
    <row r="670" spans="1:12" s="10" customFormat="1" ht="20.100000000000001" customHeight="1" x14ac:dyDescent="0.35">
      <c r="A670" s="11" t="s">
        <v>526</v>
      </c>
      <c r="B670" s="11"/>
      <c r="C670" s="11"/>
      <c r="D670" s="11"/>
      <c r="E670" s="11"/>
      <c r="F670" s="11"/>
      <c r="G670" s="11"/>
      <c r="H670" s="11"/>
      <c r="I670" s="11"/>
      <c r="J670" s="11"/>
    </row>
    <row r="671" spans="1:12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</row>
    <row r="672" spans="1:12" ht="30" x14ac:dyDescent="0.25">
      <c r="A672" s="2" t="s">
        <v>5</v>
      </c>
      <c r="B672" s="2" t="s">
        <v>6</v>
      </c>
      <c r="C672" s="2" t="s">
        <v>7</v>
      </c>
      <c r="D672" s="2" t="s">
        <v>8</v>
      </c>
      <c r="E672" s="2" t="s">
        <v>9</v>
      </c>
      <c r="F672" s="2" t="s">
        <v>10</v>
      </c>
      <c r="G672" s="2" t="s">
        <v>11</v>
      </c>
      <c r="H672" s="2" t="s">
        <v>12</v>
      </c>
      <c r="I672" s="2" t="s">
        <v>13</v>
      </c>
      <c r="J672" s="2" t="s">
        <v>14</v>
      </c>
      <c r="K672" s="2" t="s">
        <v>15</v>
      </c>
      <c r="L672" s="2" t="s">
        <v>16</v>
      </c>
    </row>
    <row r="673" spans="1:12" x14ac:dyDescent="0.25">
      <c r="A673" s="3">
        <v>45715.255543981482</v>
      </c>
      <c r="B673" t="s">
        <v>46</v>
      </c>
      <c r="C673" s="3">
        <v>45715.255682870367</v>
      </c>
      <c r="D673" t="s">
        <v>46</v>
      </c>
      <c r="E673" s="4">
        <v>0</v>
      </c>
      <c r="F673" s="4">
        <v>217728.10699999999</v>
      </c>
      <c r="G673" s="4">
        <v>217728.10699999999</v>
      </c>
      <c r="H673" s="5">
        <f>0 / 86400</f>
        <v>0</v>
      </c>
      <c r="I673" t="s">
        <v>21</v>
      </c>
      <c r="J673" t="s">
        <v>21</v>
      </c>
      <c r="K673" s="5">
        <f>11 / 86400</f>
        <v>1.273148148148148E-4</v>
      </c>
      <c r="L673" s="5">
        <f>22081 / 86400</f>
        <v>0.25556712962962963</v>
      </c>
    </row>
    <row r="674" spans="1:12" x14ac:dyDescent="0.25">
      <c r="A674" s="3">
        <v>45715.255706018521</v>
      </c>
      <c r="B674" t="s">
        <v>46</v>
      </c>
      <c r="C674" s="3">
        <v>45715.393194444448</v>
      </c>
      <c r="D674" t="s">
        <v>74</v>
      </c>
      <c r="E674" s="4">
        <v>68.983000000000004</v>
      </c>
      <c r="F674" s="4">
        <v>217728.10699999999</v>
      </c>
      <c r="G674" s="4">
        <v>217797.09</v>
      </c>
      <c r="H674" s="5">
        <f>3747 / 86400</f>
        <v>4.3368055555555556E-2</v>
      </c>
      <c r="I674" t="s">
        <v>114</v>
      </c>
      <c r="J674" t="s">
        <v>139</v>
      </c>
      <c r="K674" s="5">
        <f>11879 / 86400</f>
        <v>0.13748842592592592</v>
      </c>
      <c r="L674" s="5">
        <f>4 / 86400</f>
        <v>4.6296296296296294E-5</v>
      </c>
    </row>
    <row r="675" spans="1:12" x14ac:dyDescent="0.25">
      <c r="A675" s="3">
        <v>45715.393240740741</v>
      </c>
      <c r="B675" t="s">
        <v>74</v>
      </c>
      <c r="C675" s="3">
        <v>45715.39340277778</v>
      </c>
      <c r="D675" t="s">
        <v>74</v>
      </c>
      <c r="E675" s="4">
        <v>0</v>
      </c>
      <c r="F675" s="4">
        <v>217797.09</v>
      </c>
      <c r="G675" s="4">
        <v>217797.09</v>
      </c>
      <c r="H675" s="5">
        <f>9 / 86400</f>
        <v>1.0416666666666667E-4</v>
      </c>
      <c r="I675" t="s">
        <v>21</v>
      </c>
      <c r="J675" t="s">
        <v>21</v>
      </c>
      <c r="K675" s="5">
        <f>14 / 86400</f>
        <v>1.6203703703703703E-4</v>
      </c>
      <c r="L675" s="5">
        <f>17 / 86400</f>
        <v>1.9675925925925926E-4</v>
      </c>
    </row>
    <row r="676" spans="1:12" x14ac:dyDescent="0.25">
      <c r="A676" s="3">
        <v>45715.393599537041</v>
      </c>
      <c r="B676" t="s">
        <v>74</v>
      </c>
      <c r="C676" s="3">
        <v>45715.405694444446</v>
      </c>
      <c r="D676" t="s">
        <v>145</v>
      </c>
      <c r="E676" s="4">
        <v>1.365</v>
      </c>
      <c r="F676" s="4">
        <v>217797.09</v>
      </c>
      <c r="G676" s="4">
        <v>217798.45499999999</v>
      </c>
      <c r="H676" s="5">
        <f>679 / 86400</f>
        <v>7.858796296296296E-3</v>
      </c>
      <c r="I676" t="s">
        <v>131</v>
      </c>
      <c r="J676" t="s">
        <v>99</v>
      </c>
      <c r="K676" s="5">
        <f>1045 / 86400</f>
        <v>1.2094907407407407E-2</v>
      </c>
      <c r="L676" s="5">
        <f>1412 / 86400</f>
        <v>1.6342592592592593E-2</v>
      </c>
    </row>
    <row r="677" spans="1:12" x14ac:dyDescent="0.25">
      <c r="A677" s="3">
        <v>45715.422037037039</v>
      </c>
      <c r="B677" t="s">
        <v>145</v>
      </c>
      <c r="C677" s="3">
        <v>45715.427210648151</v>
      </c>
      <c r="D677" t="s">
        <v>436</v>
      </c>
      <c r="E677" s="4">
        <v>1.0740000000000001</v>
      </c>
      <c r="F677" s="4">
        <v>217798.45499999999</v>
      </c>
      <c r="G677" s="4">
        <v>217799.52900000001</v>
      </c>
      <c r="H677" s="5">
        <f>139 / 86400</f>
        <v>1.6087962962962963E-3</v>
      </c>
      <c r="I677" t="s">
        <v>62</v>
      </c>
      <c r="J677" t="s">
        <v>135</v>
      </c>
      <c r="K677" s="5">
        <f>447 / 86400</f>
        <v>5.1736111111111115E-3</v>
      </c>
      <c r="L677" s="5">
        <f>1889 / 86400</f>
        <v>2.1863425925925925E-2</v>
      </c>
    </row>
    <row r="678" spans="1:12" x14ac:dyDescent="0.25">
      <c r="A678" s="3">
        <v>45715.449074074073</v>
      </c>
      <c r="B678" t="s">
        <v>436</v>
      </c>
      <c r="C678" s="3">
        <v>45715.455752314811</v>
      </c>
      <c r="D678" t="s">
        <v>150</v>
      </c>
      <c r="E678" s="4">
        <v>0.67900000000000005</v>
      </c>
      <c r="F678" s="4">
        <v>217799.52900000001</v>
      </c>
      <c r="G678" s="4">
        <v>217800.20800000001</v>
      </c>
      <c r="H678" s="5">
        <f>361 / 86400</f>
        <v>4.178240740740741E-3</v>
      </c>
      <c r="I678" t="s">
        <v>139</v>
      </c>
      <c r="J678" t="s">
        <v>132</v>
      </c>
      <c r="K678" s="5">
        <f>577 / 86400</f>
        <v>6.6782407407407407E-3</v>
      </c>
      <c r="L678" s="5">
        <f>148 / 86400</f>
        <v>1.712962962962963E-3</v>
      </c>
    </row>
    <row r="679" spans="1:12" x14ac:dyDescent="0.25">
      <c r="A679" s="3">
        <v>45715.457465277781</v>
      </c>
      <c r="B679" t="s">
        <v>150</v>
      </c>
      <c r="C679" s="3">
        <v>45715.705208333333</v>
      </c>
      <c r="D679" t="s">
        <v>436</v>
      </c>
      <c r="E679" s="4">
        <v>98.899000000000001</v>
      </c>
      <c r="F679" s="4">
        <v>217800.20800000001</v>
      </c>
      <c r="G679" s="4">
        <v>217899.10699999999</v>
      </c>
      <c r="H679" s="5">
        <f>8117 / 86400</f>
        <v>9.3946759259259258E-2</v>
      </c>
      <c r="I679" t="s">
        <v>47</v>
      </c>
      <c r="J679" t="s">
        <v>19</v>
      </c>
      <c r="K679" s="5">
        <f>21405 / 86400</f>
        <v>0.24774305555555556</v>
      </c>
      <c r="L679" s="5">
        <f>6 / 86400</f>
        <v>6.9444444444444444E-5</v>
      </c>
    </row>
    <row r="680" spans="1:12" x14ac:dyDescent="0.25">
      <c r="A680" s="3">
        <v>45715.705277777779</v>
      </c>
      <c r="B680" t="s">
        <v>436</v>
      </c>
      <c r="C680" s="3">
        <v>45715.705347222218</v>
      </c>
      <c r="D680" t="s">
        <v>436</v>
      </c>
      <c r="E680" s="4">
        <v>2E-3</v>
      </c>
      <c r="F680" s="4">
        <v>217899.10699999999</v>
      </c>
      <c r="G680" s="4">
        <v>217899.109</v>
      </c>
      <c r="H680" s="5">
        <f>0 / 86400</f>
        <v>0</v>
      </c>
      <c r="I680" t="s">
        <v>21</v>
      </c>
      <c r="J680" t="s">
        <v>67</v>
      </c>
      <c r="K680" s="5">
        <f>5 / 86400</f>
        <v>5.7870370370370373E-5</v>
      </c>
      <c r="L680" s="5">
        <f>1295 / 86400</f>
        <v>1.4988425925925926E-2</v>
      </c>
    </row>
    <row r="681" spans="1:12" x14ac:dyDescent="0.25">
      <c r="A681" s="3">
        <v>45715.720335648148</v>
      </c>
      <c r="B681" t="s">
        <v>436</v>
      </c>
      <c r="C681" s="3">
        <v>45715.945405092592</v>
      </c>
      <c r="D681" t="s">
        <v>150</v>
      </c>
      <c r="E681" s="4">
        <v>93.870999999999995</v>
      </c>
      <c r="F681" s="4">
        <v>217899.109</v>
      </c>
      <c r="G681" s="4">
        <v>217992.98</v>
      </c>
      <c r="H681" s="5">
        <f>7399 / 86400</f>
        <v>8.5636574074074073E-2</v>
      </c>
      <c r="I681" t="s">
        <v>117</v>
      </c>
      <c r="J681" t="s">
        <v>19</v>
      </c>
      <c r="K681" s="5">
        <f>19446 / 86400</f>
        <v>0.22506944444444443</v>
      </c>
      <c r="L681" s="5">
        <f>178 / 86400</f>
        <v>2.0601851851851853E-3</v>
      </c>
    </row>
    <row r="682" spans="1:12" x14ac:dyDescent="0.25">
      <c r="A682" s="3">
        <v>45715.947465277779</v>
      </c>
      <c r="B682" t="s">
        <v>150</v>
      </c>
      <c r="C682" s="3">
        <v>45715.948518518519</v>
      </c>
      <c r="D682" t="s">
        <v>432</v>
      </c>
      <c r="E682" s="4">
        <v>0.377</v>
      </c>
      <c r="F682" s="4">
        <v>217992.98</v>
      </c>
      <c r="G682" s="4">
        <v>217993.35699999999</v>
      </c>
      <c r="H682" s="5">
        <f>0 / 86400</f>
        <v>0</v>
      </c>
      <c r="I682" t="s">
        <v>219</v>
      </c>
      <c r="J682" t="s">
        <v>39</v>
      </c>
      <c r="K682" s="5">
        <f>91 / 86400</f>
        <v>1.0532407407407407E-3</v>
      </c>
      <c r="L682" s="5">
        <f>922 / 86400</f>
        <v>1.0671296296296297E-2</v>
      </c>
    </row>
    <row r="683" spans="1:12" x14ac:dyDescent="0.25">
      <c r="A683" s="3">
        <v>45715.959189814814</v>
      </c>
      <c r="B683" t="s">
        <v>432</v>
      </c>
      <c r="C683" s="3">
        <v>45715.959340277783</v>
      </c>
      <c r="D683" t="s">
        <v>432</v>
      </c>
      <c r="E683" s="4">
        <v>0</v>
      </c>
      <c r="F683" s="4">
        <v>217993.35699999999</v>
      </c>
      <c r="G683" s="4">
        <v>217993.35699999999</v>
      </c>
      <c r="H683" s="5">
        <f>0 / 86400</f>
        <v>0</v>
      </c>
      <c r="I683" t="s">
        <v>21</v>
      </c>
      <c r="J683" t="s">
        <v>21</v>
      </c>
      <c r="K683" s="5">
        <f>13 / 86400</f>
        <v>1.5046296296296297E-4</v>
      </c>
      <c r="L683" s="5">
        <f>183 / 86400</f>
        <v>2.1180555555555558E-3</v>
      </c>
    </row>
    <row r="684" spans="1:12" x14ac:dyDescent="0.25">
      <c r="A684" s="3">
        <v>45715.961458333331</v>
      </c>
      <c r="B684" t="s">
        <v>432</v>
      </c>
      <c r="C684" s="3">
        <v>45715.964548611111</v>
      </c>
      <c r="D684" t="s">
        <v>46</v>
      </c>
      <c r="E684" s="4">
        <v>0.70099999999999996</v>
      </c>
      <c r="F684" s="4">
        <v>217993.35699999999</v>
      </c>
      <c r="G684" s="4">
        <v>217994.05799999999</v>
      </c>
      <c r="H684" s="5">
        <f>60 / 86400</f>
        <v>6.9444444444444447E-4</v>
      </c>
      <c r="I684" t="s">
        <v>179</v>
      </c>
      <c r="J684" t="s">
        <v>135</v>
      </c>
      <c r="K684" s="5">
        <f>267 / 86400</f>
        <v>3.0902777777777777E-3</v>
      </c>
      <c r="L684" s="5">
        <f>7 / 86400</f>
        <v>8.1018518518518516E-5</v>
      </c>
    </row>
    <row r="685" spans="1:12" x14ac:dyDescent="0.25">
      <c r="A685" s="3">
        <v>45715.964629629627</v>
      </c>
      <c r="B685" t="s">
        <v>46</v>
      </c>
      <c r="C685" s="3">
        <v>45715.964687500003</v>
      </c>
      <c r="D685" t="s">
        <v>46</v>
      </c>
      <c r="E685" s="4">
        <v>0</v>
      </c>
      <c r="F685" s="4">
        <v>217994.05799999999</v>
      </c>
      <c r="G685" s="4">
        <v>217994.05799999999</v>
      </c>
      <c r="H685" s="5">
        <f>0 / 86400</f>
        <v>0</v>
      </c>
      <c r="I685" t="s">
        <v>21</v>
      </c>
      <c r="J685" t="s">
        <v>21</v>
      </c>
      <c r="K685" s="5">
        <f>5 / 86400</f>
        <v>5.7870370370370373E-5</v>
      </c>
      <c r="L685" s="5">
        <f>3050 / 86400</f>
        <v>3.5300925925925923E-2</v>
      </c>
    </row>
    <row r="686" spans="1:12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</row>
    <row r="687" spans="1:1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</row>
    <row r="688" spans="1:12" s="10" customFormat="1" ht="20.100000000000001" customHeight="1" x14ac:dyDescent="0.35">
      <c r="A688" s="11" t="s">
        <v>527</v>
      </c>
      <c r="B688" s="11"/>
      <c r="C688" s="11"/>
      <c r="D688" s="11"/>
      <c r="E688" s="11"/>
      <c r="F688" s="11"/>
      <c r="G688" s="11"/>
      <c r="H688" s="11"/>
      <c r="I688" s="11"/>
      <c r="J688" s="11"/>
    </row>
    <row r="689" spans="1:12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</row>
    <row r="690" spans="1:12" ht="30" x14ac:dyDescent="0.25">
      <c r="A690" s="2" t="s">
        <v>5</v>
      </c>
      <c r="B690" s="2" t="s">
        <v>6</v>
      </c>
      <c r="C690" s="2" t="s">
        <v>7</v>
      </c>
      <c r="D690" s="2" t="s">
        <v>8</v>
      </c>
      <c r="E690" s="2" t="s">
        <v>9</v>
      </c>
      <c r="F690" s="2" t="s">
        <v>10</v>
      </c>
      <c r="G690" s="2" t="s">
        <v>11</v>
      </c>
      <c r="H690" s="2" t="s">
        <v>12</v>
      </c>
      <c r="I690" s="2" t="s">
        <v>13</v>
      </c>
      <c r="J690" s="2" t="s">
        <v>14</v>
      </c>
      <c r="K690" s="2" t="s">
        <v>15</v>
      </c>
      <c r="L690" s="2" t="s">
        <v>16</v>
      </c>
    </row>
    <row r="691" spans="1:12" x14ac:dyDescent="0.25">
      <c r="A691" s="3">
        <v>45715.275381944448</v>
      </c>
      <c r="B691" t="s">
        <v>48</v>
      </c>
      <c r="C691" s="3">
        <v>45715.275983796295</v>
      </c>
      <c r="D691" t="s">
        <v>48</v>
      </c>
      <c r="E691" s="4">
        <v>1E-3</v>
      </c>
      <c r="F691" s="4">
        <v>527607.52399999998</v>
      </c>
      <c r="G691" s="4">
        <v>527607.52500000002</v>
      </c>
      <c r="H691" s="5">
        <f>39 / 86400</f>
        <v>4.5138888888888887E-4</v>
      </c>
      <c r="I691" t="s">
        <v>21</v>
      </c>
      <c r="J691" t="s">
        <v>21</v>
      </c>
      <c r="K691" s="5">
        <f>52 / 86400</f>
        <v>6.018518518518519E-4</v>
      </c>
      <c r="L691" s="5">
        <f>24413 / 86400</f>
        <v>0.28255787037037039</v>
      </c>
    </row>
    <row r="692" spans="1:12" x14ac:dyDescent="0.25">
      <c r="A692" s="3">
        <v>45715.283159722225</v>
      </c>
      <c r="B692" t="s">
        <v>49</v>
      </c>
      <c r="C692" s="3">
        <v>45715.295138888891</v>
      </c>
      <c r="D692" t="s">
        <v>93</v>
      </c>
      <c r="E692" s="4">
        <v>1.6120000000000001</v>
      </c>
      <c r="F692" s="4">
        <v>527607.52500000002</v>
      </c>
      <c r="G692" s="4">
        <v>527609.13699999999</v>
      </c>
      <c r="H692" s="5">
        <f>580 / 86400</f>
        <v>6.7129629629629631E-3</v>
      </c>
      <c r="I692" t="s">
        <v>221</v>
      </c>
      <c r="J692" t="s">
        <v>123</v>
      </c>
      <c r="K692" s="5">
        <f>1035 / 86400</f>
        <v>1.1979166666666667E-2</v>
      </c>
      <c r="L692" s="5">
        <f>1826 / 86400</f>
        <v>2.1134259259259259E-2</v>
      </c>
    </row>
    <row r="693" spans="1:12" x14ac:dyDescent="0.25">
      <c r="A693" s="3">
        <v>45715.31627314815</v>
      </c>
      <c r="B693" t="s">
        <v>93</v>
      </c>
      <c r="C693" s="3">
        <v>45715.41783564815</v>
      </c>
      <c r="D693" t="s">
        <v>269</v>
      </c>
      <c r="E693" s="4">
        <v>30.713000000000001</v>
      </c>
      <c r="F693" s="4">
        <v>527609.13699999999</v>
      </c>
      <c r="G693" s="4">
        <v>527639.85</v>
      </c>
      <c r="H693" s="5">
        <f>3459 / 86400</f>
        <v>4.0034722222222222E-2</v>
      </c>
      <c r="I693" t="s">
        <v>204</v>
      </c>
      <c r="J693" t="s">
        <v>55</v>
      </c>
      <c r="K693" s="5">
        <f>8774 / 86400</f>
        <v>0.10155092592592592</v>
      </c>
      <c r="L693" s="5">
        <f>143 / 86400</f>
        <v>1.6550925925925926E-3</v>
      </c>
    </row>
    <row r="694" spans="1:12" x14ac:dyDescent="0.25">
      <c r="A694" s="3">
        <v>45715.419490740736</v>
      </c>
      <c r="B694" t="s">
        <v>269</v>
      </c>
      <c r="C694" s="3">
        <v>45715.422685185185</v>
      </c>
      <c r="D694" t="s">
        <v>125</v>
      </c>
      <c r="E694" s="4">
        <v>0.111</v>
      </c>
      <c r="F694" s="4">
        <v>527639.85</v>
      </c>
      <c r="G694" s="4">
        <v>527639.96100000001</v>
      </c>
      <c r="H694" s="5">
        <f>199 / 86400</f>
        <v>2.3032407407407407E-3</v>
      </c>
      <c r="I694" t="s">
        <v>155</v>
      </c>
      <c r="J694" t="s">
        <v>67</v>
      </c>
      <c r="K694" s="5">
        <f>275 / 86400</f>
        <v>3.1828703703703702E-3</v>
      </c>
      <c r="L694" s="5">
        <f>185 / 86400</f>
        <v>2.1412037037037038E-3</v>
      </c>
    </row>
    <row r="695" spans="1:12" x14ac:dyDescent="0.25">
      <c r="A695" s="3">
        <v>45715.424826388888</v>
      </c>
      <c r="B695" t="s">
        <v>270</v>
      </c>
      <c r="C695" s="3">
        <v>45715.564386574071</v>
      </c>
      <c r="D695" t="s">
        <v>46</v>
      </c>
      <c r="E695" s="4">
        <v>51.6</v>
      </c>
      <c r="F695" s="4">
        <v>527639.96100000001</v>
      </c>
      <c r="G695" s="4">
        <v>527691.56099999999</v>
      </c>
      <c r="H695" s="5">
        <f>4003 / 86400</f>
        <v>4.6331018518518521E-2</v>
      </c>
      <c r="I695" t="s">
        <v>103</v>
      </c>
      <c r="J695" t="s">
        <v>39</v>
      </c>
      <c r="K695" s="5">
        <f>12058 / 86400</f>
        <v>0.13956018518518518</v>
      </c>
      <c r="L695" s="5">
        <f>2398 / 86400</f>
        <v>2.7754629629629629E-2</v>
      </c>
    </row>
    <row r="696" spans="1:12" x14ac:dyDescent="0.25">
      <c r="A696" s="3">
        <v>45715.592141203699</v>
      </c>
      <c r="B696" t="s">
        <v>46</v>
      </c>
      <c r="C696" s="3">
        <v>45715.594166666662</v>
      </c>
      <c r="D696" t="s">
        <v>74</v>
      </c>
      <c r="E696" s="4">
        <v>0.70999999994039531</v>
      </c>
      <c r="F696" s="4">
        <v>527691.56099999999</v>
      </c>
      <c r="G696" s="4">
        <v>527692.27099999995</v>
      </c>
      <c r="H696" s="5">
        <f>40 / 86400</f>
        <v>4.6296296296296298E-4</v>
      </c>
      <c r="I696" t="s">
        <v>202</v>
      </c>
      <c r="J696" t="s">
        <v>39</v>
      </c>
      <c r="K696" s="5">
        <f>175 / 86400</f>
        <v>2.0254629629629629E-3</v>
      </c>
      <c r="L696" s="5">
        <f>333 / 86400</f>
        <v>3.8541666666666668E-3</v>
      </c>
    </row>
    <row r="697" spans="1:12" x14ac:dyDescent="0.25">
      <c r="A697" s="3">
        <v>45715.598020833335</v>
      </c>
      <c r="B697" t="s">
        <v>74</v>
      </c>
      <c r="C697" s="3">
        <v>45715.599085648151</v>
      </c>
      <c r="D697" t="s">
        <v>74</v>
      </c>
      <c r="E697" s="4">
        <v>0.10400000005960465</v>
      </c>
      <c r="F697" s="4">
        <v>527692.27099999995</v>
      </c>
      <c r="G697" s="4">
        <v>527692.375</v>
      </c>
      <c r="H697" s="5">
        <f>0 / 86400</f>
        <v>0</v>
      </c>
      <c r="I697" t="s">
        <v>141</v>
      </c>
      <c r="J697" t="s">
        <v>132</v>
      </c>
      <c r="K697" s="5">
        <f>92 / 86400</f>
        <v>1.0648148148148149E-3</v>
      </c>
      <c r="L697" s="5">
        <f>466 / 86400</f>
        <v>5.3935185185185188E-3</v>
      </c>
    </row>
    <row r="698" spans="1:12" x14ac:dyDescent="0.25">
      <c r="A698" s="3">
        <v>45715.604479166665</v>
      </c>
      <c r="B698" t="s">
        <v>74</v>
      </c>
      <c r="C698" s="3">
        <v>45715.730405092589</v>
      </c>
      <c r="D698" t="s">
        <v>269</v>
      </c>
      <c r="E698" s="4">
        <v>50.104000000059607</v>
      </c>
      <c r="F698" s="4">
        <v>527692.375</v>
      </c>
      <c r="G698" s="4">
        <v>527742.47900000005</v>
      </c>
      <c r="H698" s="5">
        <f>3378 / 86400</f>
        <v>3.9097222222222221E-2</v>
      </c>
      <c r="I698" t="s">
        <v>50</v>
      </c>
      <c r="J698" t="s">
        <v>19</v>
      </c>
      <c r="K698" s="5">
        <f>10880 / 86400</f>
        <v>0.12592592592592591</v>
      </c>
      <c r="L698" s="5">
        <f>919 / 86400</f>
        <v>1.0636574074074074E-2</v>
      </c>
    </row>
    <row r="699" spans="1:12" x14ac:dyDescent="0.25">
      <c r="A699" s="3">
        <v>45715.741041666668</v>
      </c>
      <c r="B699" t="s">
        <v>269</v>
      </c>
      <c r="C699" s="3">
        <v>45715.85428240741</v>
      </c>
      <c r="D699" t="s">
        <v>49</v>
      </c>
      <c r="E699" s="4">
        <v>30.608000000000001</v>
      </c>
      <c r="F699" s="4">
        <v>527742.47900000005</v>
      </c>
      <c r="G699" s="4">
        <v>527773.08700000006</v>
      </c>
      <c r="H699" s="5">
        <f>4160 / 86400</f>
        <v>4.8148148148148148E-2</v>
      </c>
      <c r="I699" t="s">
        <v>157</v>
      </c>
      <c r="J699" t="s">
        <v>141</v>
      </c>
      <c r="K699" s="5">
        <f>9784 / 86400</f>
        <v>0.11324074074074074</v>
      </c>
      <c r="L699" s="5">
        <f>12589 / 86400</f>
        <v>0.14570601851851853</v>
      </c>
    </row>
    <row r="700" spans="1:1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</row>
    <row r="701" spans="1:12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</row>
    <row r="702" spans="1:12" s="10" customFormat="1" ht="20.100000000000001" customHeight="1" x14ac:dyDescent="0.35">
      <c r="A702" s="11" t="s">
        <v>528</v>
      </c>
      <c r="B702" s="11"/>
      <c r="C702" s="11"/>
      <c r="D702" s="11"/>
      <c r="E702" s="11"/>
      <c r="F702" s="11"/>
      <c r="G702" s="11"/>
      <c r="H702" s="11"/>
      <c r="I702" s="11"/>
      <c r="J702" s="11"/>
    </row>
    <row r="703" spans="1:12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</row>
    <row r="704" spans="1:12" ht="30" x14ac:dyDescent="0.25">
      <c r="A704" s="2" t="s">
        <v>5</v>
      </c>
      <c r="B704" s="2" t="s">
        <v>6</v>
      </c>
      <c r="C704" s="2" t="s">
        <v>7</v>
      </c>
      <c r="D704" s="2" t="s">
        <v>8</v>
      </c>
      <c r="E704" s="2" t="s">
        <v>9</v>
      </c>
      <c r="F704" s="2" t="s">
        <v>10</v>
      </c>
      <c r="G704" s="2" t="s">
        <v>11</v>
      </c>
      <c r="H704" s="2" t="s">
        <v>12</v>
      </c>
      <c r="I704" s="2" t="s">
        <v>13</v>
      </c>
      <c r="J704" s="2" t="s">
        <v>14</v>
      </c>
      <c r="K704" s="2" t="s">
        <v>15</v>
      </c>
      <c r="L704" s="2" t="s">
        <v>16</v>
      </c>
    </row>
    <row r="705" spans="1:12" x14ac:dyDescent="0.25">
      <c r="A705" s="3">
        <v>45715.24936342593</v>
      </c>
      <c r="B705" t="s">
        <v>51</v>
      </c>
      <c r="C705" s="3">
        <v>45715.372534722221</v>
      </c>
      <c r="D705" t="s">
        <v>269</v>
      </c>
      <c r="E705" s="4">
        <v>49.366999999999997</v>
      </c>
      <c r="F705" s="4">
        <v>346958.18699999998</v>
      </c>
      <c r="G705" s="4">
        <v>347007.554</v>
      </c>
      <c r="H705" s="5">
        <f>3800 / 86400</f>
        <v>4.3981481481481483E-2</v>
      </c>
      <c r="I705" t="s">
        <v>52</v>
      </c>
      <c r="J705" t="s">
        <v>19</v>
      </c>
      <c r="K705" s="5">
        <f>10642 / 86400</f>
        <v>0.12317129629629629</v>
      </c>
      <c r="L705" s="5">
        <f>23737 / 86400</f>
        <v>0.2747337962962963</v>
      </c>
    </row>
    <row r="706" spans="1:12" x14ac:dyDescent="0.25">
      <c r="A706" s="3">
        <v>45715.397905092592</v>
      </c>
      <c r="B706" t="s">
        <v>269</v>
      </c>
      <c r="C706" s="3">
        <v>45715.397916666669</v>
      </c>
      <c r="D706" t="s">
        <v>269</v>
      </c>
      <c r="E706" s="4">
        <v>0</v>
      </c>
      <c r="F706" s="4">
        <v>347007.554</v>
      </c>
      <c r="G706" s="4">
        <v>347007.554</v>
      </c>
      <c r="H706" s="5">
        <f>0 / 86400</f>
        <v>0</v>
      </c>
      <c r="I706" t="s">
        <v>21</v>
      </c>
      <c r="J706" t="s">
        <v>21</v>
      </c>
      <c r="K706" s="5">
        <f>1 / 86400</f>
        <v>1.1574074074074073E-5</v>
      </c>
      <c r="L706" s="5">
        <f>127 / 86400</f>
        <v>1.4699074074074074E-3</v>
      </c>
    </row>
    <row r="707" spans="1:12" x14ac:dyDescent="0.25">
      <c r="A707" s="3">
        <v>45715.399386574078</v>
      </c>
      <c r="B707" t="s">
        <v>269</v>
      </c>
      <c r="C707" s="3">
        <v>45715.400231481486</v>
      </c>
      <c r="D707" t="s">
        <v>269</v>
      </c>
      <c r="E707" s="4">
        <v>0</v>
      </c>
      <c r="F707" s="4">
        <v>347007.554</v>
      </c>
      <c r="G707" s="4">
        <v>347007.554</v>
      </c>
      <c r="H707" s="5">
        <f>59 / 86400</f>
        <v>6.8287037037037036E-4</v>
      </c>
      <c r="I707" t="s">
        <v>21</v>
      </c>
      <c r="J707" t="s">
        <v>21</v>
      </c>
      <c r="K707" s="5">
        <f>73 / 86400</f>
        <v>8.4490740740740739E-4</v>
      </c>
      <c r="L707" s="5">
        <f>287 / 86400</f>
        <v>3.3217592592592591E-3</v>
      </c>
    </row>
    <row r="708" spans="1:12" x14ac:dyDescent="0.25">
      <c r="A708" s="3">
        <v>45715.403553240743</v>
      </c>
      <c r="B708" t="s">
        <v>269</v>
      </c>
      <c r="C708" s="3">
        <v>45715.534988425927</v>
      </c>
      <c r="D708" t="s">
        <v>74</v>
      </c>
      <c r="E708" s="4">
        <v>49.530999999999999</v>
      </c>
      <c r="F708" s="4">
        <v>347007.554</v>
      </c>
      <c r="G708" s="4">
        <v>347057.08500000002</v>
      </c>
      <c r="H708" s="5">
        <f>4781 / 86400</f>
        <v>5.5335648148148148E-2</v>
      </c>
      <c r="I708" t="s">
        <v>103</v>
      </c>
      <c r="J708" t="s">
        <v>26</v>
      </c>
      <c r="K708" s="5">
        <f>11355 / 86400</f>
        <v>0.13142361111111112</v>
      </c>
      <c r="L708" s="5">
        <f>422 / 86400</f>
        <v>4.8842592592592592E-3</v>
      </c>
    </row>
    <row r="709" spans="1:12" x14ac:dyDescent="0.25">
      <c r="A709" s="3">
        <v>45715.539872685185</v>
      </c>
      <c r="B709" t="s">
        <v>74</v>
      </c>
      <c r="C709" s="3">
        <v>45715.542534722219</v>
      </c>
      <c r="D709" t="s">
        <v>440</v>
      </c>
      <c r="E709" s="4">
        <v>0.69599999999999995</v>
      </c>
      <c r="F709" s="4">
        <v>347057.08500000002</v>
      </c>
      <c r="G709" s="4">
        <v>347057.78100000002</v>
      </c>
      <c r="H709" s="5">
        <f>79 / 86400</f>
        <v>9.1435185185185185E-4</v>
      </c>
      <c r="I709" t="s">
        <v>169</v>
      </c>
      <c r="J709" t="s">
        <v>141</v>
      </c>
      <c r="K709" s="5">
        <f>230 / 86400</f>
        <v>2.662037037037037E-3</v>
      </c>
      <c r="L709" s="5">
        <f>4497 / 86400</f>
        <v>5.2048611111111108E-2</v>
      </c>
    </row>
    <row r="710" spans="1:12" x14ac:dyDescent="0.25">
      <c r="A710" s="3">
        <v>45715.594583333332</v>
      </c>
      <c r="B710" t="s">
        <v>440</v>
      </c>
      <c r="C710" s="3">
        <v>45715.710162037038</v>
      </c>
      <c r="D710" t="s">
        <v>269</v>
      </c>
      <c r="E710" s="4">
        <v>50.326999999999998</v>
      </c>
      <c r="F710" s="4">
        <v>347057.78100000002</v>
      </c>
      <c r="G710" s="4">
        <v>347108.10800000001</v>
      </c>
      <c r="H710" s="5">
        <f>3101 / 86400</f>
        <v>3.5891203703703703E-2</v>
      </c>
      <c r="I710" t="s">
        <v>81</v>
      </c>
      <c r="J710" t="s">
        <v>30</v>
      </c>
      <c r="K710" s="5">
        <f>9986 / 86400</f>
        <v>0.1155787037037037</v>
      </c>
      <c r="L710" s="5">
        <f>18 / 86400</f>
        <v>2.0833333333333335E-4</v>
      </c>
    </row>
    <row r="711" spans="1:12" x14ac:dyDescent="0.25">
      <c r="A711" s="3">
        <v>45715.710370370369</v>
      </c>
      <c r="B711" t="s">
        <v>269</v>
      </c>
      <c r="C711" s="3">
        <v>45715.710879629631</v>
      </c>
      <c r="D711" t="s">
        <v>269</v>
      </c>
      <c r="E711" s="4">
        <v>4.5999999999999999E-2</v>
      </c>
      <c r="F711" s="4">
        <v>347108.10800000001</v>
      </c>
      <c r="G711" s="4">
        <v>347108.15399999998</v>
      </c>
      <c r="H711" s="5">
        <f>20 / 86400</f>
        <v>2.3148148148148149E-4</v>
      </c>
      <c r="I711" t="s">
        <v>155</v>
      </c>
      <c r="J711" t="s">
        <v>132</v>
      </c>
      <c r="K711" s="5">
        <f>43 / 86400</f>
        <v>4.9768518518518521E-4</v>
      </c>
      <c r="L711" s="5">
        <f>201 / 86400</f>
        <v>2.3263888888888887E-3</v>
      </c>
    </row>
    <row r="712" spans="1:12" x14ac:dyDescent="0.25">
      <c r="A712" s="3">
        <v>45715.713206018518</v>
      </c>
      <c r="B712" t="s">
        <v>269</v>
      </c>
      <c r="C712" s="3">
        <v>45715.864733796298</v>
      </c>
      <c r="D712" t="s">
        <v>74</v>
      </c>
      <c r="E712" s="4">
        <v>50.113999999999997</v>
      </c>
      <c r="F712" s="4">
        <v>347108.15399999998</v>
      </c>
      <c r="G712" s="4">
        <v>347158.26799999998</v>
      </c>
      <c r="H712" s="5">
        <f>4879 / 86400</f>
        <v>5.6469907407407406E-2</v>
      </c>
      <c r="I712" t="s">
        <v>25</v>
      </c>
      <c r="J712" t="s">
        <v>41</v>
      </c>
      <c r="K712" s="5">
        <f>13091 / 86400</f>
        <v>0.15151620370370369</v>
      </c>
      <c r="L712" s="5">
        <f>234 / 86400</f>
        <v>2.7083333333333334E-3</v>
      </c>
    </row>
    <row r="713" spans="1:12" x14ac:dyDescent="0.25">
      <c r="A713" s="3">
        <v>45715.867442129631</v>
      </c>
      <c r="B713" t="s">
        <v>74</v>
      </c>
      <c r="C713" s="3">
        <v>45715.868726851855</v>
      </c>
      <c r="D713" t="s">
        <v>432</v>
      </c>
      <c r="E713" s="4">
        <v>0.223</v>
      </c>
      <c r="F713" s="4">
        <v>347158.26799999998</v>
      </c>
      <c r="G713" s="4">
        <v>347158.49099999998</v>
      </c>
      <c r="H713" s="5">
        <f>0 / 86400</f>
        <v>0</v>
      </c>
      <c r="I713" t="s">
        <v>41</v>
      </c>
      <c r="J713" t="s">
        <v>143</v>
      </c>
      <c r="K713" s="5">
        <f>111 / 86400</f>
        <v>1.2847222222222223E-3</v>
      </c>
      <c r="L713" s="5">
        <f>413 / 86400</f>
        <v>4.7800925925925927E-3</v>
      </c>
    </row>
    <row r="714" spans="1:12" x14ac:dyDescent="0.25">
      <c r="A714" s="3">
        <v>45715.873506944445</v>
      </c>
      <c r="B714" t="s">
        <v>432</v>
      </c>
      <c r="C714" s="3">
        <v>45715.882071759261</v>
      </c>
      <c r="D714" t="s">
        <v>51</v>
      </c>
      <c r="E714" s="4">
        <v>0.79700000000000004</v>
      </c>
      <c r="F714" s="4">
        <v>347158.49099999998</v>
      </c>
      <c r="G714" s="4">
        <v>347159.288</v>
      </c>
      <c r="H714" s="5">
        <f>500 / 86400</f>
        <v>5.7870370370370367E-3</v>
      </c>
      <c r="I714" t="s">
        <v>131</v>
      </c>
      <c r="J714" t="s">
        <v>132</v>
      </c>
      <c r="K714" s="5">
        <f>740 / 86400</f>
        <v>8.564814814814815E-3</v>
      </c>
      <c r="L714" s="5">
        <f>10188 / 86400</f>
        <v>0.11791666666666667</v>
      </c>
    </row>
    <row r="715" spans="1:1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2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</row>
    <row r="717" spans="1:12" s="10" customFormat="1" ht="20.100000000000001" customHeight="1" x14ac:dyDescent="0.35">
      <c r="A717" s="11" t="s">
        <v>529</v>
      </c>
      <c r="B717" s="11"/>
      <c r="C717" s="11"/>
      <c r="D717" s="11"/>
      <c r="E717" s="11"/>
      <c r="F717" s="11"/>
      <c r="G717" s="11"/>
      <c r="H717" s="11"/>
      <c r="I717" s="11"/>
      <c r="J717" s="11"/>
    </row>
    <row r="718" spans="1:1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</row>
    <row r="719" spans="1:12" ht="30" x14ac:dyDescent="0.25">
      <c r="A719" s="2" t="s">
        <v>5</v>
      </c>
      <c r="B719" s="2" t="s">
        <v>6</v>
      </c>
      <c r="C719" s="2" t="s">
        <v>7</v>
      </c>
      <c r="D719" s="2" t="s">
        <v>8</v>
      </c>
      <c r="E719" s="2" t="s">
        <v>9</v>
      </c>
      <c r="F719" s="2" t="s">
        <v>10</v>
      </c>
      <c r="G719" s="2" t="s">
        <v>11</v>
      </c>
      <c r="H719" s="2" t="s">
        <v>12</v>
      </c>
      <c r="I719" s="2" t="s">
        <v>13</v>
      </c>
      <c r="J719" s="2" t="s">
        <v>14</v>
      </c>
      <c r="K719" s="2" t="s">
        <v>15</v>
      </c>
      <c r="L719" s="2" t="s">
        <v>16</v>
      </c>
    </row>
    <row r="720" spans="1:12" x14ac:dyDescent="0.25">
      <c r="A720" s="3">
        <v>45715.248356481483</v>
      </c>
      <c r="B720" t="s">
        <v>53</v>
      </c>
      <c r="C720" s="3">
        <v>45715.250983796301</v>
      </c>
      <c r="D720" t="s">
        <v>128</v>
      </c>
      <c r="E720" s="4">
        <v>0.34499999999999997</v>
      </c>
      <c r="F720" s="4">
        <v>427703.76</v>
      </c>
      <c r="G720" s="4">
        <v>427704.10499999998</v>
      </c>
      <c r="H720" s="5">
        <f>139 / 86400</f>
        <v>1.6087962962962963E-3</v>
      </c>
      <c r="I720" t="s">
        <v>62</v>
      </c>
      <c r="J720" t="s">
        <v>99</v>
      </c>
      <c r="K720" s="5">
        <f>227 / 86400</f>
        <v>2.627314814814815E-3</v>
      </c>
      <c r="L720" s="5">
        <f>21655 / 86400</f>
        <v>0.25063657407407408</v>
      </c>
    </row>
    <row r="721" spans="1:12" x14ac:dyDescent="0.25">
      <c r="A721" s="3">
        <v>45715.253263888888</v>
      </c>
      <c r="B721" t="s">
        <v>128</v>
      </c>
      <c r="C721" s="3">
        <v>45715.301273148143</v>
      </c>
      <c r="D721" t="s">
        <v>82</v>
      </c>
      <c r="E721" s="4">
        <v>17.59</v>
      </c>
      <c r="F721" s="4">
        <v>427704.10499999998</v>
      </c>
      <c r="G721" s="4">
        <v>427721.69500000001</v>
      </c>
      <c r="H721" s="5">
        <f>1579 / 86400</f>
        <v>1.8275462962962962E-2</v>
      </c>
      <c r="I721" t="s">
        <v>54</v>
      </c>
      <c r="J721" t="s">
        <v>39</v>
      </c>
      <c r="K721" s="5">
        <f>4147 / 86400</f>
        <v>4.7997685185185185E-2</v>
      </c>
      <c r="L721" s="5">
        <f>3728 / 86400</f>
        <v>4.3148148148148151E-2</v>
      </c>
    </row>
    <row r="722" spans="1:12" x14ac:dyDescent="0.25">
      <c r="A722" s="3">
        <v>45715.344421296293</v>
      </c>
      <c r="B722" t="s">
        <v>82</v>
      </c>
      <c r="C722" s="3">
        <v>45715.365069444444</v>
      </c>
      <c r="D722" t="s">
        <v>128</v>
      </c>
      <c r="E722" s="4">
        <v>7.1609999999999996</v>
      </c>
      <c r="F722" s="4">
        <v>427721.69500000001</v>
      </c>
      <c r="G722" s="4">
        <v>427728.85600000003</v>
      </c>
      <c r="H722" s="5">
        <f>339 / 86400</f>
        <v>3.9236111111111112E-3</v>
      </c>
      <c r="I722" t="s">
        <v>207</v>
      </c>
      <c r="J722" t="s">
        <v>41</v>
      </c>
      <c r="K722" s="5">
        <f>1784 / 86400</f>
        <v>2.0648148148148148E-2</v>
      </c>
      <c r="L722" s="5">
        <f>1140 / 86400</f>
        <v>1.3194444444444444E-2</v>
      </c>
    </row>
    <row r="723" spans="1:12" x14ac:dyDescent="0.25">
      <c r="A723" s="3">
        <v>45715.378263888888</v>
      </c>
      <c r="B723" t="s">
        <v>128</v>
      </c>
      <c r="C723" s="3">
        <v>45715.382106481484</v>
      </c>
      <c r="D723" t="s">
        <v>128</v>
      </c>
      <c r="E723" s="4">
        <v>1.4</v>
      </c>
      <c r="F723" s="4">
        <v>427728.85600000003</v>
      </c>
      <c r="G723" s="4">
        <v>427730.25599999999</v>
      </c>
      <c r="H723" s="5">
        <f>40 / 86400</f>
        <v>4.6296296296296298E-4</v>
      </c>
      <c r="I723" t="s">
        <v>153</v>
      </c>
      <c r="J723" t="s">
        <v>39</v>
      </c>
      <c r="K723" s="5">
        <f>332 / 86400</f>
        <v>3.8425925925925928E-3</v>
      </c>
      <c r="L723" s="5">
        <f>819 / 86400</f>
        <v>9.479166666666667E-3</v>
      </c>
    </row>
    <row r="724" spans="1:12" x14ac:dyDescent="0.25">
      <c r="A724" s="3">
        <v>45715.391585648147</v>
      </c>
      <c r="B724" t="s">
        <v>128</v>
      </c>
      <c r="C724" s="3">
        <v>45715.395034722227</v>
      </c>
      <c r="D724" t="s">
        <v>17</v>
      </c>
      <c r="E724" s="4">
        <v>1.145</v>
      </c>
      <c r="F724" s="4">
        <v>427730.25599999999</v>
      </c>
      <c r="G724" s="4">
        <v>427731.40100000001</v>
      </c>
      <c r="H724" s="5">
        <f>60 / 86400</f>
        <v>6.9444444444444447E-4</v>
      </c>
      <c r="I724" t="s">
        <v>98</v>
      </c>
      <c r="J724" t="s">
        <v>41</v>
      </c>
      <c r="K724" s="5">
        <f>297 / 86400</f>
        <v>3.4375E-3</v>
      </c>
      <c r="L724" s="5">
        <f>30 / 86400</f>
        <v>3.4722222222222224E-4</v>
      </c>
    </row>
    <row r="725" spans="1:12" x14ac:dyDescent="0.25">
      <c r="A725" s="3">
        <v>45715.395381944443</v>
      </c>
      <c r="B725" t="s">
        <v>17</v>
      </c>
      <c r="C725" s="3">
        <v>45715.399583333332</v>
      </c>
      <c r="D725" t="s">
        <v>17</v>
      </c>
      <c r="E725" s="4">
        <v>3.5000000000000003E-2</v>
      </c>
      <c r="F725" s="4">
        <v>427731.40100000001</v>
      </c>
      <c r="G725" s="4">
        <v>427731.43599999999</v>
      </c>
      <c r="H725" s="5">
        <f>320 / 86400</f>
        <v>3.7037037037037038E-3</v>
      </c>
      <c r="I725" t="s">
        <v>143</v>
      </c>
      <c r="J725" t="s">
        <v>21</v>
      </c>
      <c r="K725" s="5">
        <f>362 / 86400</f>
        <v>4.1898148148148146E-3</v>
      </c>
      <c r="L725" s="5">
        <f>26260 / 86400</f>
        <v>0.3039351851851852</v>
      </c>
    </row>
    <row r="726" spans="1:12" x14ac:dyDescent="0.25">
      <c r="A726" s="3">
        <v>45715.703518518523</v>
      </c>
      <c r="B726" t="s">
        <v>17</v>
      </c>
      <c r="C726" s="3">
        <v>45715.703796296293</v>
      </c>
      <c r="D726" t="s">
        <v>17</v>
      </c>
      <c r="E726" s="4">
        <v>0</v>
      </c>
      <c r="F726" s="4">
        <v>427731.43599999999</v>
      </c>
      <c r="G726" s="4">
        <v>427731.43599999999</v>
      </c>
      <c r="H726" s="5">
        <f>19 / 86400</f>
        <v>2.199074074074074E-4</v>
      </c>
      <c r="I726" t="s">
        <v>21</v>
      </c>
      <c r="J726" t="s">
        <v>21</v>
      </c>
      <c r="K726" s="5">
        <f>23 / 86400</f>
        <v>2.6620370370370372E-4</v>
      </c>
      <c r="L726" s="5">
        <f>84 / 86400</f>
        <v>9.7222222222222219E-4</v>
      </c>
    </row>
    <row r="727" spans="1:12" x14ac:dyDescent="0.25">
      <c r="A727" s="3">
        <v>45715.704768518517</v>
      </c>
      <c r="B727" t="s">
        <v>17</v>
      </c>
      <c r="C727" s="3">
        <v>45715.706145833334</v>
      </c>
      <c r="D727" t="s">
        <v>441</v>
      </c>
      <c r="E727" s="4">
        <v>0.34399999999999997</v>
      </c>
      <c r="F727" s="4">
        <v>427731.43599999999</v>
      </c>
      <c r="G727" s="4">
        <v>427731.78</v>
      </c>
      <c r="H727" s="5">
        <f>39 / 86400</f>
        <v>4.5138888888888887E-4</v>
      </c>
      <c r="I727" t="s">
        <v>26</v>
      </c>
      <c r="J727" t="s">
        <v>28</v>
      </c>
      <c r="K727" s="5">
        <f>118 / 86400</f>
        <v>1.3657407407407407E-3</v>
      </c>
      <c r="L727" s="5">
        <f>7330 / 86400</f>
        <v>8.4837962962962962E-2</v>
      </c>
    </row>
    <row r="728" spans="1:12" x14ac:dyDescent="0.25">
      <c r="A728" s="3">
        <v>45715.790983796294</v>
      </c>
      <c r="B728" t="s">
        <v>441</v>
      </c>
      <c r="C728" s="3">
        <v>45715.796168981484</v>
      </c>
      <c r="D728" t="s">
        <v>442</v>
      </c>
      <c r="E728" s="4">
        <v>1.6439999999999999</v>
      </c>
      <c r="F728" s="4">
        <v>427731.78</v>
      </c>
      <c r="G728" s="4">
        <v>427733.424</v>
      </c>
      <c r="H728" s="5">
        <f>99 / 86400</f>
        <v>1.1458333333333333E-3</v>
      </c>
      <c r="I728" t="s">
        <v>205</v>
      </c>
      <c r="J728" t="s">
        <v>55</v>
      </c>
      <c r="K728" s="5">
        <f>448 / 86400</f>
        <v>5.185185185185185E-3</v>
      </c>
      <c r="L728" s="5">
        <f>210 / 86400</f>
        <v>2.4305555555555556E-3</v>
      </c>
    </row>
    <row r="729" spans="1:12" x14ac:dyDescent="0.25">
      <c r="A729" s="3">
        <v>45715.79859953704</v>
      </c>
      <c r="B729" t="s">
        <v>442</v>
      </c>
      <c r="C729" s="3">
        <v>45715.800324074073</v>
      </c>
      <c r="D729" t="s">
        <v>53</v>
      </c>
      <c r="E729" s="4">
        <v>0.26200000000000001</v>
      </c>
      <c r="F729" s="4">
        <v>427733.424</v>
      </c>
      <c r="G729" s="4">
        <v>427733.68599999999</v>
      </c>
      <c r="H729" s="5">
        <f>20 / 86400</f>
        <v>2.3148148148148149E-4</v>
      </c>
      <c r="I729" t="s">
        <v>85</v>
      </c>
      <c r="J729" t="s">
        <v>123</v>
      </c>
      <c r="K729" s="5">
        <f>148 / 86400</f>
        <v>1.712962962962963E-3</v>
      </c>
      <c r="L729" s="5">
        <f>215 / 86400</f>
        <v>2.488425925925926E-3</v>
      </c>
    </row>
    <row r="730" spans="1:12" x14ac:dyDescent="0.25">
      <c r="A730" s="3">
        <v>45715.802812499998</v>
      </c>
      <c r="B730" t="s">
        <v>53</v>
      </c>
      <c r="C730" s="3">
        <v>45715.804027777776</v>
      </c>
      <c r="D730" t="s">
        <v>53</v>
      </c>
      <c r="E730" s="4">
        <v>2.3E-2</v>
      </c>
      <c r="F730" s="4">
        <v>427733.68599999999</v>
      </c>
      <c r="G730" s="4">
        <v>427733.70899999997</v>
      </c>
      <c r="H730" s="5">
        <f>60 / 86400</f>
        <v>6.9444444444444447E-4</v>
      </c>
      <c r="I730" t="s">
        <v>99</v>
      </c>
      <c r="J730" t="s">
        <v>67</v>
      </c>
      <c r="K730" s="5">
        <f>105 / 86400</f>
        <v>1.2152777777777778E-3</v>
      </c>
      <c r="L730" s="5">
        <f>16931 / 86400</f>
        <v>0.19596064814814815</v>
      </c>
    </row>
    <row r="731" spans="1:12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</row>
    <row r="732" spans="1:1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</row>
    <row r="733" spans="1:12" s="10" customFormat="1" ht="20.100000000000001" customHeight="1" x14ac:dyDescent="0.35">
      <c r="A733" s="11" t="s">
        <v>530</v>
      </c>
      <c r="B733" s="11"/>
      <c r="C733" s="11"/>
      <c r="D733" s="11"/>
      <c r="E733" s="11"/>
      <c r="F733" s="11"/>
      <c r="G733" s="11"/>
      <c r="H733" s="11"/>
      <c r="I733" s="11"/>
      <c r="J733" s="11"/>
    </row>
    <row r="734" spans="1:12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</row>
    <row r="735" spans="1:12" ht="30" x14ac:dyDescent="0.25">
      <c r="A735" s="2" t="s">
        <v>5</v>
      </c>
      <c r="B735" s="2" t="s">
        <v>6</v>
      </c>
      <c r="C735" s="2" t="s">
        <v>7</v>
      </c>
      <c r="D735" s="2" t="s">
        <v>8</v>
      </c>
      <c r="E735" s="2" t="s">
        <v>9</v>
      </c>
      <c r="F735" s="2" t="s">
        <v>10</v>
      </c>
      <c r="G735" s="2" t="s">
        <v>11</v>
      </c>
      <c r="H735" s="2" t="s">
        <v>12</v>
      </c>
      <c r="I735" s="2" t="s">
        <v>13</v>
      </c>
      <c r="J735" s="2" t="s">
        <v>14</v>
      </c>
      <c r="K735" s="2" t="s">
        <v>15</v>
      </c>
      <c r="L735" s="2" t="s">
        <v>16</v>
      </c>
    </row>
    <row r="736" spans="1:12" x14ac:dyDescent="0.25">
      <c r="A736" s="3">
        <v>45715.183668981481</v>
      </c>
      <c r="B736" t="s">
        <v>24</v>
      </c>
      <c r="C736" s="3">
        <v>45715.185081018513</v>
      </c>
      <c r="D736" t="s">
        <v>24</v>
      </c>
      <c r="E736" s="4">
        <v>0</v>
      </c>
      <c r="F736" s="4">
        <v>15028.987999999999</v>
      </c>
      <c r="G736" s="4">
        <v>15028.987999999999</v>
      </c>
      <c r="H736" s="5">
        <f>119 / 86400</f>
        <v>1.3773148148148147E-3</v>
      </c>
      <c r="I736" t="s">
        <v>21</v>
      </c>
      <c r="J736" t="s">
        <v>21</v>
      </c>
      <c r="K736" s="5">
        <f>121 / 86400</f>
        <v>1.4004629629629629E-3</v>
      </c>
      <c r="L736" s="5">
        <f>16014 / 86400</f>
        <v>0.18534722222222222</v>
      </c>
    </row>
    <row r="737" spans="1:12" x14ac:dyDescent="0.25">
      <c r="A737" s="3">
        <v>45715.186759259261</v>
      </c>
      <c r="B737" t="s">
        <v>24</v>
      </c>
      <c r="C737" s="3">
        <v>45715.187418981484</v>
      </c>
      <c r="D737" t="s">
        <v>24</v>
      </c>
      <c r="E737" s="4">
        <v>0</v>
      </c>
      <c r="F737" s="4">
        <v>15028.987999999999</v>
      </c>
      <c r="G737" s="4">
        <v>15028.987999999999</v>
      </c>
      <c r="H737" s="5">
        <f>39 / 86400</f>
        <v>4.5138888888888887E-4</v>
      </c>
      <c r="I737" t="s">
        <v>21</v>
      </c>
      <c r="J737" t="s">
        <v>21</v>
      </c>
      <c r="K737" s="5">
        <f>57 / 86400</f>
        <v>6.5972222222222224E-4</v>
      </c>
      <c r="L737" s="5">
        <f>4040 / 86400</f>
        <v>4.6759259259259257E-2</v>
      </c>
    </row>
    <row r="738" spans="1:12" x14ac:dyDescent="0.25">
      <c r="A738" s="3">
        <v>45715.234178240746</v>
      </c>
      <c r="B738" t="s">
        <v>24</v>
      </c>
      <c r="C738" s="3">
        <v>45715.319374999999</v>
      </c>
      <c r="D738" t="s">
        <v>443</v>
      </c>
      <c r="E738" s="4">
        <v>30.887</v>
      </c>
      <c r="F738" s="4">
        <v>15028.987999999999</v>
      </c>
      <c r="G738" s="4">
        <v>15059.875</v>
      </c>
      <c r="H738" s="5">
        <f>2698 / 86400</f>
        <v>3.1226851851851853E-2</v>
      </c>
      <c r="I738" t="s">
        <v>204</v>
      </c>
      <c r="J738" t="s">
        <v>39</v>
      </c>
      <c r="K738" s="5">
        <f>7361 / 86400</f>
        <v>8.5196759259259264E-2</v>
      </c>
      <c r="L738" s="5">
        <f>85 / 86400</f>
        <v>9.837962962962962E-4</v>
      </c>
    </row>
    <row r="739" spans="1:12" x14ac:dyDescent="0.25">
      <c r="A739" s="3">
        <v>45715.320358796293</v>
      </c>
      <c r="B739" t="s">
        <v>443</v>
      </c>
      <c r="C739" s="3">
        <v>45715.432951388888</v>
      </c>
      <c r="D739" t="s">
        <v>74</v>
      </c>
      <c r="E739" s="4">
        <v>50.387</v>
      </c>
      <c r="F739" s="4">
        <v>15059.875</v>
      </c>
      <c r="G739" s="4">
        <v>15110.262000000001</v>
      </c>
      <c r="H739" s="5">
        <f>2900 / 86400</f>
        <v>3.3564814814814818E-2</v>
      </c>
      <c r="I739" t="s">
        <v>149</v>
      </c>
      <c r="J739" t="s">
        <v>62</v>
      </c>
      <c r="K739" s="5">
        <f>9727 / 86400</f>
        <v>0.11258101851851852</v>
      </c>
      <c r="L739" s="5">
        <f>193 / 86400</f>
        <v>2.2337962962962962E-3</v>
      </c>
    </row>
    <row r="740" spans="1:12" x14ac:dyDescent="0.25">
      <c r="A740" s="3">
        <v>45715.435185185182</v>
      </c>
      <c r="B740" t="s">
        <v>74</v>
      </c>
      <c r="C740" s="3">
        <v>45715.435196759259</v>
      </c>
      <c r="D740" t="s">
        <v>74</v>
      </c>
      <c r="E740" s="4">
        <v>0</v>
      </c>
      <c r="F740" s="4">
        <v>15110.262000000001</v>
      </c>
      <c r="G740" s="4">
        <v>15110.262000000001</v>
      </c>
      <c r="H740" s="5">
        <f>0 / 86400</f>
        <v>0</v>
      </c>
      <c r="I740" t="s">
        <v>21</v>
      </c>
      <c r="J740" t="s">
        <v>21</v>
      </c>
      <c r="K740" s="5">
        <f>0 / 86400</f>
        <v>0</v>
      </c>
      <c r="L740" s="5">
        <f>25 / 86400</f>
        <v>2.8935185185185184E-4</v>
      </c>
    </row>
    <row r="741" spans="1:12" x14ac:dyDescent="0.25">
      <c r="A741" s="3">
        <v>45715.435486111106</v>
      </c>
      <c r="B741" t="s">
        <v>74</v>
      </c>
      <c r="C741" s="3">
        <v>45715.436956018515</v>
      </c>
      <c r="D741" t="s">
        <v>440</v>
      </c>
      <c r="E741" s="4">
        <v>0.71699999999999997</v>
      </c>
      <c r="F741" s="4">
        <v>15110.262000000001</v>
      </c>
      <c r="G741" s="4">
        <v>15110.978999999999</v>
      </c>
      <c r="H741" s="5">
        <f>0 / 86400</f>
        <v>0</v>
      </c>
      <c r="I741" t="s">
        <v>173</v>
      </c>
      <c r="J741" t="s">
        <v>116</v>
      </c>
      <c r="K741" s="5">
        <f>126 / 86400</f>
        <v>1.4583333333333334E-3</v>
      </c>
      <c r="L741" s="5">
        <f>1441 / 86400</f>
        <v>1.667824074074074E-2</v>
      </c>
    </row>
    <row r="742" spans="1:12" x14ac:dyDescent="0.25">
      <c r="A742" s="3">
        <v>45715.453634259262</v>
      </c>
      <c r="B742" t="s">
        <v>440</v>
      </c>
      <c r="C742" s="3">
        <v>45715.453796296293</v>
      </c>
      <c r="D742" t="s">
        <v>440</v>
      </c>
      <c r="E742" s="4">
        <v>0</v>
      </c>
      <c r="F742" s="4">
        <v>15110.978999999999</v>
      </c>
      <c r="G742" s="4">
        <v>15110.978999999999</v>
      </c>
      <c r="H742" s="5">
        <f>0 / 86400</f>
        <v>0</v>
      </c>
      <c r="I742" t="s">
        <v>21</v>
      </c>
      <c r="J742" t="s">
        <v>21</v>
      </c>
      <c r="K742" s="5">
        <f>14 / 86400</f>
        <v>1.6203703703703703E-4</v>
      </c>
      <c r="L742" s="5">
        <f>22 / 86400</f>
        <v>2.5462962962962961E-4</v>
      </c>
    </row>
    <row r="743" spans="1:12" x14ac:dyDescent="0.25">
      <c r="A743" s="3">
        <v>45715.454050925924</v>
      </c>
      <c r="B743" t="s">
        <v>440</v>
      </c>
      <c r="C743" s="3">
        <v>45715.457129629634</v>
      </c>
      <c r="D743" t="s">
        <v>122</v>
      </c>
      <c r="E743" s="4">
        <v>0.95799999999999996</v>
      </c>
      <c r="F743" s="4">
        <v>15110.978999999999</v>
      </c>
      <c r="G743" s="4">
        <v>15111.937</v>
      </c>
      <c r="H743" s="5">
        <f>43 / 86400</f>
        <v>4.9768518518518521E-4</v>
      </c>
      <c r="I743" t="s">
        <v>176</v>
      </c>
      <c r="J743" t="s">
        <v>55</v>
      </c>
      <c r="K743" s="5">
        <f>266 / 86400</f>
        <v>3.0787037037037037E-3</v>
      </c>
      <c r="L743" s="5">
        <f>1053 / 86400</f>
        <v>1.21875E-2</v>
      </c>
    </row>
    <row r="744" spans="1:12" x14ac:dyDescent="0.25">
      <c r="A744" s="3">
        <v>45715.469317129631</v>
      </c>
      <c r="B744" t="s">
        <v>122</v>
      </c>
      <c r="C744" s="3">
        <v>45715.591307870374</v>
      </c>
      <c r="D744" t="s">
        <v>287</v>
      </c>
      <c r="E744" s="4">
        <v>49.56</v>
      </c>
      <c r="F744" s="4">
        <v>15111.937</v>
      </c>
      <c r="G744" s="4">
        <v>15161.496999999999</v>
      </c>
      <c r="H744" s="5">
        <f>4040 / 86400</f>
        <v>4.6759259259259257E-2</v>
      </c>
      <c r="I744" t="s">
        <v>56</v>
      </c>
      <c r="J744" t="s">
        <v>19</v>
      </c>
      <c r="K744" s="5">
        <f>10539 / 86400</f>
        <v>0.12197916666666667</v>
      </c>
      <c r="L744" s="5">
        <f>63 / 86400</f>
        <v>7.291666666666667E-4</v>
      </c>
    </row>
    <row r="745" spans="1:12" x14ac:dyDescent="0.25">
      <c r="A745" s="3">
        <v>45715.592037037037</v>
      </c>
      <c r="B745" t="s">
        <v>287</v>
      </c>
      <c r="C745" s="3">
        <v>45715.669525462959</v>
      </c>
      <c r="D745" t="s">
        <v>346</v>
      </c>
      <c r="E745" s="4">
        <v>13.629</v>
      </c>
      <c r="F745" s="4">
        <v>15161.496999999999</v>
      </c>
      <c r="G745" s="4">
        <v>15175.126</v>
      </c>
      <c r="H745" s="5">
        <f>4681 / 86400</f>
        <v>5.4178240740740742E-2</v>
      </c>
      <c r="I745" t="s">
        <v>236</v>
      </c>
      <c r="J745" t="s">
        <v>143</v>
      </c>
      <c r="K745" s="5">
        <f>6694 / 86400</f>
        <v>7.7476851851851852E-2</v>
      </c>
      <c r="L745" s="5">
        <f>48 / 86400</f>
        <v>5.5555555555555556E-4</v>
      </c>
    </row>
    <row r="746" spans="1:12" x14ac:dyDescent="0.25">
      <c r="A746" s="3">
        <v>45715.670081018514</v>
      </c>
      <c r="B746" t="s">
        <v>346</v>
      </c>
      <c r="C746" s="3">
        <v>45715.758148148147</v>
      </c>
      <c r="D746" t="s">
        <v>70</v>
      </c>
      <c r="E746" s="4">
        <v>28.751000000000001</v>
      </c>
      <c r="F746" s="4">
        <v>15175.126</v>
      </c>
      <c r="G746" s="4">
        <v>15203.877</v>
      </c>
      <c r="H746" s="5">
        <f>2921 / 86400</f>
        <v>3.380787037037037E-2</v>
      </c>
      <c r="I746" t="s">
        <v>216</v>
      </c>
      <c r="J746" t="s">
        <v>41</v>
      </c>
      <c r="K746" s="5">
        <f>7609 / 86400</f>
        <v>8.8067129629629634E-2</v>
      </c>
      <c r="L746" s="5">
        <f>263 / 86400</f>
        <v>3.0439814814814813E-3</v>
      </c>
    </row>
    <row r="747" spans="1:12" x14ac:dyDescent="0.25">
      <c r="A747" s="3">
        <v>45715.761192129634</v>
      </c>
      <c r="B747" t="s">
        <v>70</v>
      </c>
      <c r="C747" s="3">
        <v>45715.761689814812</v>
      </c>
      <c r="D747" t="s">
        <v>35</v>
      </c>
      <c r="E747" s="4">
        <v>8.5999999999999993E-2</v>
      </c>
      <c r="F747" s="4">
        <v>15203.877</v>
      </c>
      <c r="G747" s="4">
        <v>15203.963</v>
      </c>
      <c r="H747" s="5">
        <f>0 / 86400</f>
        <v>0</v>
      </c>
      <c r="I747" t="s">
        <v>41</v>
      </c>
      <c r="J747" t="s">
        <v>143</v>
      </c>
      <c r="K747" s="5">
        <f>42 / 86400</f>
        <v>4.861111111111111E-4</v>
      </c>
      <c r="L747" s="5">
        <f>77 / 86400</f>
        <v>8.9120370370370373E-4</v>
      </c>
    </row>
    <row r="748" spans="1:12" x14ac:dyDescent="0.25">
      <c r="A748" s="3">
        <v>45715.76258101852</v>
      </c>
      <c r="B748" t="s">
        <v>35</v>
      </c>
      <c r="C748" s="3">
        <v>45715.777557870373</v>
      </c>
      <c r="D748" t="s">
        <v>444</v>
      </c>
      <c r="E748" s="4">
        <v>5.6429999999999998</v>
      </c>
      <c r="F748" s="4">
        <v>15203.963</v>
      </c>
      <c r="G748" s="4">
        <v>15209.606</v>
      </c>
      <c r="H748" s="5">
        <f>360 / 86400</f>
        <v>4.1666666666666666E-3</v>
      </c>
      <c r="I748" t="s">
        <v>268</v>
      </c>
      <c r="J748" t="s">
        <v>26</v>
      </c>
      <c r="K748" s="5">
        <f>1294 / 86400</f>
        <v>1.4976851851851852E-2</v>
      </c>
      <c r="L748" s="5">
        <f>424 / 86400</f>
        <v>4.9074074074074072E-3</v>
      </c>
    </row>
    <row r="749" spans="1:12" x14ac:dyDescent="0.25">
      <c r="A749" s="3">
        <v>45715.782465277778</v>
      </c>
      <c r="B749" t="s">
        <v>445</v>
      </c>
      <c r="C749" s="3">
        <v>45715.783819444448</v>
      </c>
      <c r="D749" t="s">
        <v>24</v>
      </c>
      <c r="E749" s="4">
        <v>0.17899999999999999</v>
      </c>
      <c r="F749" s="4">
        <v>15209.606</v>
      </c>
      <c r="G749" s="4">
        <v>15209.785</v>
      </c>
      <c r="H749" s="5">
        <f>60 / 86400</f>
        <v>6.9444444444444447E-4</v>
      </c>
      <c r="I749" t="s">
        <v>39</v>
      </c>
      <c r="J749" t="s">
        <v>123</v>
      </c>
      <c r="K749" s="5">
        <f>116 / 86400</f>
        <v>1.3425925925925925E-3</v>
      </c>
      <c r="L749" s="5">
        <f>1402 / 86400</f>
        <v>1.6226851851851853E-2</v>
      </c>
    </row>
    <row r="750" spans="1:12" x14ac:dyDescent="0.25">
      <c r="A750" s="3">
        <v>45715.800046296295</v>
      </c>
      <c r="B750" t="s">
        <v>24</v>
      </c>
      <c r="C750" s="3">
        <v>45715.800578703704</v>
      </c>
      <c r="D750" t="s">
        <v>24</v>
      </c>
      <c r="E750" s="4">
        <v>3.6999999999999998E-2</v>
      </c>
      <c r="F750" s="4">
        <v>15209.785</v>
      </c>
      <c r="G750" s="4">
        <v>15209.822</v>
      </c>
      <c r="H750" s="5">
        <f>20 / 86400</f>
        <v>2.3148148148148149E-4</v>
      </c>
      <c r="I750" t="s">
        <v>143</v>
      </c>
      <c r="J750" t="s">
        <v>136</v>
      </c>
      <c r="K750" s="5">
        <f>46 / 86400</f>
        <v>5.3240740740740744E-4</v>
      </c>
      <c r="L750" s="5">
        <f>17229 / 86400</f>
        <v>0.19940972222222222</v>
      </c>
    </row>
    <row r="751" spans="1:12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</row>
    <row r="752" spans="1:1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 spans="1:12" s="10" customFormat="1" ht="20.100000000000001" customHeight="1" x14ac:dyDescent="0.35">
      <c r="A753" s="11" t="s">
        <v>521</v>
      </c>
      <c r="B753" s="11"/>
      <c r="C753" s="11"/>
      <c r="D753" s="11"/>
      <c r="E753" s="11"/>
      <c r="F753" s="11"/>
      <c r="G753" s="11"/>
      <c r="H753" s="11"/>
      <c r="I753" s="11"/>
      <c r="J753" s="11"/>
    </row>
    <row r="754" spans="1:12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</row>
    <row r="755" spans="1:12" ht="30" x14ac:dyDescent="0.25">
      <c r="A755" s="2" t="s">
        <v>5</v>
      </c>
      <c r="B755" s="2" t="s">
        <v>6</v>
      </c>
      <c r="C755" s="2" t="s">
        <v>7</v>
      </c>
      <c r="D755" s="2" t="s">
        <v>8</v>
      </c>
      <c r="E755" s="2" t="s">
        <v>9</v>
      </c>
      <c r="F755" s="2" t="s">
        <v>10</v>
      </c>
      <c r="G755" s="2" t="s">
        <v>11</v>
      </c>
      <c r="H755" s="2" t="s">
        <v>12</v>
      </c>
      <c r="I755" s="2" t="s">
        <v>13</v>
      </c>
      <c r="J755" s="2" t="s">
        <v>14</v>
      </c>
      <c r="K755" s="2" t="s">
        <v>15</v>
      </c>
      <c r="L755" s="2" t="s">
        <v>16</v>
      </c>
    </row>
    <row r="756" spans="1:12" x14ac:dyDescent="0.25">
      <c r="A756" s="3">
        <v>45715.241967592592</v>
      </c>
      <c r="B756" t="s">
        <v>57</v>
      </c>
      <c r="C756" s="3">
        <v>45715.299050925925</v>
      </c>
      <c r="D756" t="s">
        <v>122</v>
      </c>
      <c r="E756" s="4">
        <v>29.117999999999999</v>
      </c>
      <c r="F756" s="4">
        <v>140214.595</v>
      </c>
      <c r="G756" s="4">
        <v>140243.71299999999</v>
      </c>
      <c r="H756" s="5">
        <f>1379 / 86400</f>
        <v>1.5960648148148147E-2</v>
      </c>
      <c r="I756" t="s">
        <v>75</v>
      </c>
      <c r="J756" t="s">
        <v>139</v>
      </c>
      <c r="K756" s="5">
        <f>4931 / 86400</f>
        <v>5.707175925925926E-2</v>
      </c>
      <c r="L756" s="5">
        <f>21951 / 86400</f>
        <v>0.25406250000000002</v>
      </c>
    </row>
    <row r="757" spans="1:12" x14ac:dyDescent="0.25">
      <c r="A757" s="3">
        <v>45715.31114583333</v>
      </c>
      <c r="B757" t="s">
        <v>122</v>
      </c>
      <c r="C757" s="3">
        <v>45715.58699074074</v>
      </c>
      <c r="D757" t="s">
        <v>46</v>
      </c>
      <c r="E757" s="4">
        <v>101.35599999999999</v>
      </c>
      <c r="F757" s="4">
        <v>140243.71299999999</v>
      </c>
      <c r="G757" s="4">
        <v>140345.06899999999</v>
      </c>
      <c r="H757" s="5">
        <f>8538 / 86400</f>
        <v>9.8819444444444446E-2</v>
      </c>
      <c r="I757" t="s">
        <v>43</v>
      </c>
      <c r="J757" t="s">
        <v>39</v>
      </c>
      <c r="K757" s="5">
        <f>23832 / 86400</f>
        <v>0.27583333333333332</v>
      </c>
      <c r="L757" s="5">
        <f>2786 / 86400</f>
        <v>3.2245370370370369E-2</v>
      </c>
    </row>
    <row r="758" spans="1:12" x14ac:dyDescent="0.25">
      <c r="A758" s="3">
        <v>45715.61923611111</v>
      </c>
      <c r="B758" t="s">
        <v>46</v>
      </c>
      <c r="C758" s="3">
        <v>45715.623460648145</v>
      </c>
      <c r="D758" t="s">
        <v>74</v>
      </c>
      <c r="E758" s="4">
        <v>1.07</v>
      </c>
      <c r="F758" s="4">
        <v>140345.06899999999</v>
      </c>
      <c r="G758" s="4">
        <v>140346.139</v>
      </c>
      <c r="H758" s="5">
        <f>100 / 86400</f>
        <v>1.1574074074074073E-3</v>
      </c>
      <c r="I758" t="s">
        <v>214</v>
      </c>
      <c r="J758" t="s">
        <v>141</v>
      </c>
      <c r="K758" s="5">
        <f>364 / 86400</f>
        <v>4.2129629629629626E-3</v>
      </c>
      <c r="L758" s="5">
        <f>307 / 86400</f>
        <v>3.5532407407407409E-3</v>
      </c>
    </row>
    <row r="759" spans="1:12" x14ac:dyDescent="0.25">
      <c r="A759" s="3">
        <v>45715.627013888894</v>
      </c>
      <c r="B759" t="s">
        <v>74</v>
      </c>
      <c r="C759" s="3">
        <v>45715.87122685185</v>
      </c>
      <c r="D759" t="s">
        <v>446</v>
      </c>
      <c r="E759" s="4">
        <v>76.884</v>
      </c>
      <c r="F759" s="4">
        <v>140346.139</v>
      </c>
      <c r="G759" s="4">
        <v>140423.02299999999</v>
      </c>
      <c r="H759" s="5">
        <f>8558 / 86400</f>
        <v>9.9050925925925931E-2</v>
      </c>
      <c r="I759" t="s">
        <v>50</v>
      </c>
      <c r="J759" t="s">
        <v>55</v>
      </c>
      <c r="K759" s="5">
        <f>21099 / 86400</f>
        <v>0.2442013888888889</v>
      </c>
      <c r="L759" s="5">
        <f>353 / 86400</f>
        <v>4.0856481481481481E-3</v>
      </c>
    </row>
    <row r="760" spans="1:12" x14ac:dyDescent="0.25">
      <c r="A760" s="3">
        <v>45715.8753125</v>
      </c>
      <c r="B760" t="s">
        <v>446</v>
      </c>
      <c r="C760" s="3">
        <v>45715.883090277777</v>
      </c>
      <c r="D760" t="s">
        <v>57</v>
      </c>
      <c r="E760" s="4">
        <v>2.5009999999999999</v>
      </c>
      <c r="F760" s="4">
        <v>140423.02299999999</v>
      </c>
      <c r="G760" s="4">
        <v>140425.524</v>
      </c>
      <c r="H760" s="5">
        <f>220 / 86400</f>
        <v>2.5462962962962965E-3</v>
      </c>
      <c r="I760" t="s">
        <v>238</v>
      </c>
      <c r="J760" t="s">
        <v>55</v>
      </c>
      <c r="K760" s="5">
        <f>671 / 86400</f>
        <v>7.766203703703704E-3</v>
      </c>
      <c r="L760" s="5">
        <f>10100 / 86400</f>
        <v>0.11689814814814815</v>
      </c>
    </row>
    <row r="761" spans="1:12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</row>
    <row r="762" spans="1:12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</row>
    <row r="763" spans="1:12" s="10" customFormat="1" ht="20.100000000000001" customHeight="1" x14ac:dyDescent="0.35">
      <c r="A763" s="11" t="s">
        <v>522</v>
      </c>
      <c r="B763" s="11"/>
      <c r="C763" s="11"/>
      <c r="D763" s="11"/>
      <c r="E763" s="11"/>
      <c r="F763" s="11"/>
      <c r="G763" s="11"/>
      <c r="H763" s="11"/>
      <c r="I763" s="11"/>
      <c r="J763" s="11"/>
    </row>
    <row r="764" spans="1:12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</row>
    <row r="765" spans="1:12" ht="30" x14ac:dyDescent="0.25">
      <c r="A765" s="2" t="s">
        <v>5</v>
      </c>
      <c r="B765" s="2" t="s">
        <v>6</v>
      </c>
      <c r="C765" s="2" t="s">
        <v>7</v>
      </c>
      <c r="D765" s="2" t="s">
        <v>8</v>
      </c>
      <c r="E765" s="2" t="s">
        <v>9</v>
      </c>
      <c r="F765" s="2" t="s">
        <v>10</v>
      </c>
      <c r="G765" s="2" t="s">
        <v>11</v>
      </c>
      <c r="H765" s="2" t="s">
        <v>12</v>
      </c>
      <c r="I765" s="2" t="s">
        <v>13</v>
      </c>
      <c r="J765" s="2" t="s">
        <v>14</v>
      </c>
      <c r="K765" s="2" t="s">
        <v>15</v>
      </c>
      <c r="L765" s="2" t="s">
        <v>16</v>
      </c>
    </row>
    <row r="766" spans="1:12" x14ac:dyDescent="0.25">
      <c r="A766" s="3">
        <v>45715.182905092588</v>
      </c>
      <c r="B766" t="s">
        <v>24</v>
      </c>
      <c r="C766" s="3">
        <v>45715.186388888891</v>
      </c>
      <c r="D766" t="s">
        <v>24</v>
      </c>
      <c r="E766" s="4">
        <v>0</v>
      </c>
      <c r="F766" s="4">
        <v>6967.6719999999996</v>
      </c>
      <c r="G766" s="4">
        <v>6967.6719999999996</v>
      </c>
      <c r="H766" s="5">
        <f>298 / 86400</f>
        <v>3.449074074074074E-3</v>
      </c>
      <c r="I766" t="s">
        <v>21</v>
      </c>
      <c r="J766" t="s">
        <v>21</v>
      </c>
      <c r="K766" s="5">
        <f>300 / 86400</f>
        <v>3.472222222222222E-3</v>
      </c>
      <c r="L766" s="5">
        <f>15946 / 86400</f>
        <v>0.18456018518518519</v>
      </c>
    </row>
    <row r="767" spans="1:12" x14ac:dyDescent="0.25">
      <c r="A767" s="3">
        <v>45715.188043981485</v>
      </c>
      <c r="B767" t="s">
        <v>24</v>
      </c>
      <c r="C767" s="3">
        <v>45715.189872685187</v>
      </c>
      <c r="D767" t="s">
        <v>24</v>
      </c>
      <c r="E767" s="4">
        <v>0.216</v>
      </c>
      <c r="F767" s="4">
        <v>6967.6719999999996</v>
      </c>
      <c r="G767" s="4">
        <v>6967.8879999999999</v>
      </c>
      <c r="H767" s="5">
        <f>79 / 86400</f>
        <v>9.1435185185185185E-4</v>
      </c>
      <c r="I767" t="s">
        <v>26</v>
      </c>
      <c r="J767" t="s">
        <v>99</v>
      </c>
      <c r="K767" s="5">
        <f>157 / 86400</f>
        <v>1.8171296296296297E-3</v>
      </c>
      <c r="L767" s="5">
        <f>1417 / 86400</f>
        <v>1.6400462962962964E-2</v>
      </c>
    </row>
    <row r="768" spans="1:12" x14ac:dyDescent="0.25">
      <c r="A768" s="3">
        <v>45715.206273148149</v>
      </c>
      <c r="B768" t="s">
        <v>24</v>
      </c>
      <c r="C768" s="3">
        <v>45715.220069444447</v>
      </c>
      <c r="D768" t="s">
        <v>206</v>
      </c>
      <c r="E768" s="4">
        <v>5.0540000000000003</v>
      </c>
      <c r="F768" s="4">
        <v>6967.8879999999999</v>
      </c>
      <c r="G768" s="4">
        <v>6972.942</v>
      </c>
      <c r="H768" s="5">
        <f>479 / 86400</f>
        <v>5.5439814814814813E-3</v>
      </c>
      <c r="I768" t="s">
        <v>213</v>
      </c>
      <c r="J768" t="s">
        <v>39</v>
      </c>
      <c r="K768" s="5">
        <f>1191 / 86400</f>
        <v>1.3784722222222223E-2</v>
      </c>
      <c r="L768" s="5">
        <f>162 / 86400</f>
        <v>1.8749999999999999E-3</v>
      </c>
    </row>
    <row r="769" spans="1:12" x14ac:dyDescent="0.25">
      <c r="A769" s="3">
        <v>45715.221944444449</v>
      </c>
      <c r="B769" t="s">
        <v>206</v>
      </c>
      <c r="C769" s="3">
        <v>45715.222222222219</v>
      </c>
      <c r="D769" t="s">
        <v>206</v>
      </c>
      <c r="E769" s="4">
        <v>0</v>
      </c>
      <c r="F769" s="4">
        <v>6972.942</v>
      </c>
      <c r="G769" s="4">
        <v>6972.942</v>
      </c>
      <c r="H769" s="5">
        <f>19 / 86400</f>
        <v>2.199074074074074E-4</v>
      </c>
      <c r="I769" t="s">
        <v>21</v>
      </c>
      <c r="J769" t="s">
        <v>21</v>
      </c>
      <c r="K769" s="5">
        <f>24 / 86400</f>
        <v>2.7777777777777778E-4</v>
      </c>
      <c r="L769" s="5">
        <f>174 / 86400</f>
        <v>2.0138888888888888E-3</v>
      </c>
    </row>
    <row r="770" spans="1:12" x14ac:dyDescent="0.25">
      <c r="A770" s="3">
        <v>45715.224236111113</v>
      </c>
      <c r="B770" t="s">
        <v>206</v>
      </c>
      <c r="C770" s="3">
        <v>45715.224537037036</v>
      </c>
      <c r="D770" t="s">
        <v>206</v>
      </c>
      <c r="E770" s="4">
        <v>2E-3</v>
      </c>
      <c r="F770" s="4">
        <v>6972.942</v>
      </c>
      <c r="G770" s="4">
        <v>6972.9440000000004</v>
      </c>
      <c r="H770" s="5">
        <f>19 / 86400</f>
        <v>2.199074074074074E-4</v>
      </c>
      <c r="I770" t="s">
        <v>21</v>
      </c>
      <c r="J770" t="s">
        <v>21</v>
      </c>
      <c r="K770" s="5">
        <f>25 / 86400</f>
        <v>2.8935185185185184E-4</v>
      </c>
      <c r="L770" s="5">
        <f>273 / 86400</f>
        <v>3.1597222222222222E-3</v>
      </c>
    </row>
    <row r="771" spans="1:12" x14ac:dyDescent="0.25">
      <c r="A771" s="3">
        <v>45715.227696759262</v>
      </c>
      <c r="B771" t="s">
        <v>206</v>
      </c>
      <c r="C771" s="3">
        <v>45715.439699074079</v>
      </c>
      <c r="D771" t="s">
        <v>74</v>
      </c>
      <c r="E771" s="4">
        <v>83.581999999999994</v>
      </c>
      <c r="F771" s="4">
        <v>6972.9440000000004</v>
      </c>
      <c r="G771" s="4">
        <v>7056.5259999999998</v>
      </c>
      <c r="H771" s="5">
        <f>7985 / 86400</f>
        <v>9.2418981481481477E-2</v>
      </c>
      <c r="I771" t="s">
        <v>23</v>
      </c>
      <c r="J771" t="s">
        <v>26</v>
      </c>
      <c r="K771" s="5">
        <f>18316 / 86400</f>
        <v>0.21199074074074073</v>
      </c>
      <c r="L771" s="5">
        <f>302 / 86400</f>
        <v>3.4953703703703705E-3</v>
      </c>
    </row>
    <row r="772" spans="1:12" x14ac:dyDescent="0.25">
      <c r="A772" s="3">
        <v>45715.443194444444</v>
      </c>
      <c r="B772" t="s">
        <v>74</v>
      </c>
      <c r="C772" s="3">
        <v>45715.446238425924</v>
      </c>
      <c r="D772" t="s">
        <v>83</v>
      </c>
      <c r="E772" s="4">
        <v>0.91900000000000004</v>
      </c>
      <c r="F772" s="4">
        <v>7056.5259999999998</v>
      </c>
      <c r="G772" s="4">
        <v>7057.4449999999997</v>
      </c>
      <c r="H772" s="5">
        <f>59 / 86400</f>
        <v>6.8287037037037036E-4</v>
      </c>
      <c r="I772" t="s">
        <v>140</v>
      </c>
      <c r="J772" t="s">
        <v>55</v>
      </c>
      <c r="K772" s="5">
        <f>262 / 86400</f>
        <v>3.0324074074074073E-3</v>
      </c>
      <c r="L772" s="5">
        <f>525 / 86400</f>
        <v>6.076388888888889E-3</v>
      </c>
    </row>
    <row r="773" spans="1:12" x14ac:dyDescent="0.25">
      <c r="A773" s="3">
        <v>45715.452314814815</v>
      </c>
      <c r="B773" t="s">
        <v>83</v>
      </c>
      <c r="C773" s="3">
        <v>45715.455868055556</v>
      </c>
      <c r="D773" t="s">
        <v>148</v>
      </c>
      <c r="E773" s="4">
        <v>0.56399999999999995</v>
      </c>
      <c r="F773" s="4">
        <v>7057.4449999999997</v>
      </c>
      <c r="G773" s="4">
        <v>7058.009</v>
      </c>
      <c r="H773" s="5">
        <f>159 / 86400</f>
        <v>1.8402777777777777E-3</v>
      </c>
      <c r="I773" t="s">
        <v>176</v>
      </c>
      <c r="J773" t="s">
        <v>143</v>
      </c>
      <c r="K773" s="5">
        <f>307 / 86400</f>
        <v>3.5532407407407409E-3</v>
      </c>
      <c r="L773" s="5">
        <f>2851 / 86400</f>
        <v>3.2997685185185185E-2</v>
      </c>
    </row>
    <row r="774" spans="1:12" x14ac:dyDescent="0.25">
      <c r="A774" s="3">
        <v>45715.488865740743</v>
      </c>
      <c r="B774" t="s">
        <v>148</v>
      </c>
      <c r="C774" s="3">
        <v>45715.4919212963</v>
      </c>
      <c r="D774" t="s">
        <v>145</v>
      </c>
      <c r="E774" s="4">
        <v>0.70199999999999996</v>
      </c>
      <c r="F774" s="4">
        <v>7058.009</v>
      </c>
      <c r="G774" s="4">
        <v>7058.7110000000002</v>
      </c>
      <c r="H774" s="5">
        <f>39 / 86400</f>
        <v>4.5138888888888887E-4</v>
      </c>
      <c r="I774" t="s">
        <v>176</v>
      </c>
      <c r="J774" t="s">
        <v>28</v>
      </c>
      <c r="K774" s="5">
        <f>263 / 86400</f>
        <v>3.0439814814814813E-3</v>
      </c>
      <c r="L774" s="5">
        <f>2364 / 86400</f>
        <v>2.736111111111111E-2</v>
      </c>
    </row>
    <row r="775" spans="1:12" x14ac:dyDescent="0.25">
      <c r="A775" s="3">
        <v>45715.519282407404</v>
      </c>
      <c r="B775" t="s">
        <v>145</v>
      </c>
      <c r="C775" s="3">
        <v>45715.520312499997</v>
      </c>
      <c r="D775" t="s">
        <v>122</v>
      </c>
      <c r="E775" s="4">
        <v>2.5000000000000001E-2</v>
      </c>
      <c r="F775" s="4">
        <v>7058.7110000000002</v>
      </c>
      <c r="G775" s="4">
        <v>7058.7359999999999</v>
      </c>
      <c r="H775" s="5">
        <f>60 / 86400</f>
        <v>6.9444444444444447E-4</v>
      </c>
      <c r="I775" t="s">
        <v>135</v>
      </c>
      <c r="J775" t="s">
        <v>67</v>
      </c>
      <c r="K775" s="5">
        <f>88 / 86400</f>
        <v>1.0185185185185184E-3</v>
      </c>
      <c r="L775" s="5">
        <f>146 / 86400</f>
        <v>1.6898148148148148E-3</v>
      </c>
    </row>
    <row r="776" spans="1:12" x14ac:dyDescent="0.25">
      <c r="A776" s="3">
        <v>45715.522002314814</v>
      </c>
      <c r="B776" t="s">
        <v>122</v>
      </c>
      <c r="C776" s="3">
        <v>45715.641967592594</v>
      </c>
      <c r="D776" t="s">
        <v>447</v>
      </c>
      <c r="E776" s="4">
        <v>50.619</v>
      </c>
      <c r="F776" s="4">
        <v>7058.7359999999999</v>
      </c>
      <c r="G776" s="4">
        <v>7109.3549999999996</v>
      </c>
      <c r="H776" s="5">
        <f>4561 / 86400</f>
        <v>5.2789351851851851E-2</v>
      </c>
      <c r="I776" t="s">
        <v>58</v>
      </c>
      <c r="J776" t="s">
        <v>30</v>
      </c>
      <c r="K776" s="5">
        <f>10364 / 86400</f>
        <v>0.1199537037037037</v>
      </c>
      <c r="L776" s="5">
        <f>112 / 86400</f>
        <v>1.2962962962962963E-3</v>
      </c>
    </row>
    <row r="777" spans="1:12" x14ac:dyDescent="0.25">
      <c r="A777" s="3">
        <v>45715.643263888887</v>
      </c>
      <c r="B777" t="s">
        <v>448</v>
      </c>
      <c r="C777" s="3">
        <v>45715.648587962962</v>
      </c>
      <c r="D777" t="s">
        <v>449</v>
      </c>
      <c r="E777" s="4">
        <v>0.221</v>
      </c>
      <c r="F777" s="4">
        <v>7109.3549999999996</v>
      </c>
      <c r="G777" s="4">
        <v>7109.576</v>
      </c>
      <c r="H777" s="5">
        <f>380 / 86400</f>
        <v>4.3981481481481484E-3</v>
      </c>
      <c r="I777" t="s">
        <v>85</v>
      </c>
      <c r="J777" t="s">
        <v>29</v>
      </c>
      <c r="K777" s="5">
        <f>459 / 86400</f>
        <v>5.3125000000000004E-3</v>
      </c>
      <c r="L777" s="5">
        <f>293 / 86400</f>
        <v>3.3912037037037036E-3</v>
      </c>
    </row>
    <row r="778" spans="1:12" x14ac:dyDescent="0.25">
      <c r="A778" s="3">
        <v>45715.651979166665</v>
      </c>
      <c r="B778" t="s">
        <v>126</v>
      </c>
      <c r="C778" s="3">
        <v>45715.65216435185</v>
      </c>
      <c r="D778" t="s">
        <v>126</v>
      </c>
      <c r="E778" s="4">
        <v>0</v>
      </c>
      <c r="F778" s="4">
        <v>7109.576</v>
      </c>
      <c r="G778" s="4">
        <v>7109.576</v>
      </c>
      <c r="H778" s="5">
        <f>0 / 86400</f>
        <v>0</v>
      </c>
      <c r="I778" t="s">
        <v>21</v>
      </c>
      <c r="J778" t="s">
        <v>21</v>
      </c>
      <c r="K778" s="5">
        <f>16 / 86400</f>
        <v>1.8518518518518518E-4</v>
      </c>
      <c r="L778" s="5">
        <f>364 / 86400</f>
        <v>4.2129629629629626E-3</v>
      </c>
    </row>
    <row r="779" spans="1:12" x14ac:dyDescent="0.25">
      <c r="A779" s="3">
        <v>45715.656377314815</v>
      </c>
      <c r="B779" t="s">
        <v>270</v>
      </c>
      <c r="C779" s="3">
        <v>45715.658506944441</v>
      </c>
      <c r="D779" t="s">
        <v>270</v>
      </c>
      <c r="E779" s="4">
        <v>0</v>
      </c>
      <c r="F779" s="4">
        <v>7109.576</v>
      </c>
      <c r="G779" s="4">
        <v>7109.576</v>
      </c>
      <c r="H779" s="5">
        <f>179 / 86400</f>
        <v>2.0717592592592593E-3</v>
      </c>
      <c r="I779" t="s">
        <v>21</v>
      </c>
      <c r="J779" t="s">
        <v>21</v>
      </c>
      <c r="K779" s="5">
        <f>183 / 86400</f>
        <v>2.1180555555555558E-3</v>
      </c>
      <c r="L779" s="5">
        <f>188 / 86400</f>
        <v>2.1759259259259258E-3</v>
      </c>
    </row>
    <row r="780" spans="1:12" x14ac:dyDescent="0.25">
      <c r="A780" s="3">
        <v>45715.660682870366</v>
      </c>
      <c r="B780" t="s">
        <v>126</v>
      </c>
      <c r="C780" s="3">
        <v>45715.800659722227</v>
      </c>
      <c r="D780" t="s">
        <v>396</v>
      </c>
      <c r="E780" s="4">
        <v>46.295000000000002</v>
      </c>
      <c r="F780" s="4">
        <v>7109.576</v>
      </c>
      <c r="G780" s="4">
        <v>7155.8710000000001</v>
      </c>
      <c r="H780" s="5">
        <f>5992 / 86400</f>
        <v>6.9351851851851845E-2</v>
      </c>
      <c r="I780" t="s">
        <v>89</v>
      </c>
      <c r="J780" t="s">
        <v>41</v>
      </c>
      <c r="K780" s="5">
        <f>12093 / 86400</f>
        <v>0.13996527777777779</v>
      </c>
      <c r="L780" s="5">
        <f>336 / 86400</f>
        <v>3.8888888888888888E-3</v>
      </c>
    </row>
    <row r="781" spans="1:12" x14ac:dyDescent="0.25">
      <c r="A781" s="3">
        <v>45715.804548611108</v>
      </c>
      <c r="B781" t="s">
        <v>396</v>
      </c>
      <c r="C781" s="3">
        <v>45715.854479166665</v>
      </c>
      <c r="D781" t="s">
        <v>444</v>
      </c>
      <c r="E781" s="4">
        <v>21.18</v>
      </c>
      <c r="F781" s="4">
        <v>7155.8710000000001</v>
      </c>
      <c r="G781" s="4">
        <v>7177.0510000000004</v>
      </c>
      <c r="H781" s="5">
        <f>1699 / 86400</f>
        <v>1.9664351851851853E-2</v>
      </c>
      <c r="I781" t="s">
        <v>79</v>
      </c>
      <c r="J781" t="s">
        <v>30</v>
      </c>
      <c r="K781" s="5">
        <f>4313 / 86400</f>
        <v>4.9918981481481481E-2</v>
      </c>
      <c r="L781" s="5">
        <f>350 / 86400</f>
        <v>4.0509259259259257E-3</v>
      </c>
    </row>
    <row r="782" spans="1:12" x14ac:dyDescent="0.25">
      <c r="A782" s="3">
        <v>45715.858530092592</v>
      </c>
      <c r="B782" t="s">
        <v>444</v>
      </c>
      <c r="C782" s="3">
        <v>45715.86241898148</v>
      </c>
      <c r="D782" t="s">
        <v>24</v>
      </c>
      <c r="E782" s="4">
        <v>0.52200000000000002</v>
      </c>
      <c r="F782" s="4">
        <v>7177.0510000000004</v>
      </c>
      <c r="G782" s="4">
        <v>7177.5730000000003</v>
      </c>
      <c r="H782" s="5">
        <f>200 / 86400</f>
        <v>2.3148148148148147E-3</v>
      </c>
      <c r="I782" t="s">
        <v>98</v>
      </c>
      <c r="J782" t="s">
        <v>123</v>
      </c>
      <c r="K782" s="5">
        <f>335 / 86400</f>
        <v>3.8773148148148148E-3</v>
      </c>
      <c r="L782" s="5">
        <f>1269 / 86400</f>
        <v>1.4687499999999999E-2</v>
      </c>
    </row>
    <row r="783" spans="1:12" x14ac:dyDescent="0.25">
      <c r="A783" s="3">
        <v>45715.877106481479</v>
      </c>
      <c r="B783" t="s">
        <v>24</v>
      </c>
      <c r="C783" s="3">
        <v>45715.879849537036</v>
      </c>
      <c r="D783" t="s">
        <v>24</v>
      </c>
      <c r="E783" s="4">
        <v>0.28100000000000003</v>
      </c>
      <c r="F783" s="4">
        <v>7177.5730000000003</v>
      </c>
      <c r="G783" s="4">
        <v>7177.8540000000003</v>
      </c>
      <c r="H783" s="5">
        <f>140 / 86400</f>
        <v>1.6203703703703703E-3</v>
      </c>
      <c r="I783" t="s">
        <v>116</v>
      </c>
      <c r="J783" t="s">
        <v>132</v>
      </c>
      <c r="K783" s="5">
        <f>237 / 86400</f>
        <v>2.7430555555555554E-3</v>
      </c>
      <c r="L783" s="5">
        <f>10380 / 86400</f>
        <v>0.12013888888888889</v>
      </c>
    </row>
    <row r="784" spans="1:12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</row>
    <row r="785" spans="1:12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</row>
    <row r="786" spans="1:12" s="10" customFormat="1" ht="20.100000000000001" customHeight="1" x14ac:dyDescent="0.35">
      <c r="A786" s="11" t="s">
        <v>523</v>
      </c>
      <c r="B786" s="11"/>
      <c r="C786" s="11"/>
      <c r="D786" s="11"/>
      <c r="E786" s="11"/>
      <c r="F786" s="11"/>
      <c r="G786" s="11"/>
      <c r="H786" s="11"/>
      <c r="I786" s="11"/>
      <c r="J786" s="11"/>
    </row>
    <row r="787" spans="1:1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</row>
    <row r="788" spans="1:12" ht="30" x14ac:dyDescent="0.25">
      <c r="A788" s="2" t="s">
        <v>5</v>
      </c>
      <c r="B788" s="2" t="s">
        <v>6</v>
      </c>
      <c r="C788" s="2" t="s">
        <v>7</v>
      </c>
      <c r="D788" s="2" t="s">
        <v>8</v>
      </c>
      <c r="E788" s="2" t="s">
        <v>9</v>
      </c>
      <c r="F788" s="2" t="s">
        <v>10</v>
      </c>
      <c r="G788" s="2" t="s">
        <v>11</v>
      </c>
      <c r="H788" s="2" t="s">
        <v>12</v>
      </c>
      <c r="I788" s="2" t="s">
        <v>13</v>
      </c>
      <c r="J788" s="2" t="s">
        <v>14</v>
      </c>
      <c r="K788" s="2" t="s">
        <v>15</v>
      </c>
      <c r="L788" s="2" t="s">
        <v>16</v>
      </c>
    </row>
    <row r="789" spans="1:12" x14ac:dyDescent="0.25">
      <c r="A789" s="3">
        <v>45715.194444444445</v>
      </c>
      <c r="B789" t="s">
        <v>35</v>
      </c>
      <c r="C789" s="3">
        <v>45715.196423611109</v>
      </c>
      <c r="D789" t="s">
        <v>35</v>
      </c>
      <c r="E789" s="4">
        <v>2.5999999999999999E-2</v>
      </c>
      <c r="F789" s="4">
        <v>392962.32400000002</v>
      </c>
      <c r="G789" s="4">
        <v>392962.35</v>
      </c>
      <c r="H789" s="5">
        <f>99 / 86400</f>
        <v>1.1458333333333333E-3</v>
      </c>
      <c r="I789" t="s">
        <v>67</v>
      </c>
      <c r="J789" t="s">
        <v>67</v>
      </c>
      <c r="K789" s="5">
        <f>170 / 86400</f>
        <v>1.9675925925925924E-3</v>
      </c>
      <c r="L789" s="5">
        <f>16898 / 86400</f>
        <v>0.1955787037037037</v>
      </c>
    </row>
    <row r="790" spans="1:12" x14ac:dyDescent="0.25">
      <c r="A790" s="3">
        <v>45715.197557870371</v>
      </c>
      <c r="B790" t="s">
        <v>35</v>
      </c>
      <c r="C790" s="3">
        <v>45715.199826388889</v>
      </c>
      <c r="D790" t="s">
        <v>35</v>
      </c>
      <c r="E790" s="4">
        <v>2.4E-2</v>
      </c>
      <c r="F790" s="4">
        <v>392962.35</v>
      </c>
      <c r="G790" s="4">
        <v>392962.37400000001</v>
      </c>
      <c r="H790" s="5">
        <f>159 / 86400</f>
        <v>1.8402777777777777E-3</v>
      </c>
      <c r="I790" t="s">
        <v>67</v>
      </c>
      <c r="J790" t="s">
        <v>21</v>
      </c>
      <c r="K790" s="5">
        <f>195 / 86400</f>
        <v>2.2569444444444442E-3</v>
      </c>
      <c r="L790" s="5">
        <f>2630 / 86400</f>
        <v>3.0439814814814815E-2</v>
      </c>
    </row>
    <row r="791" spans="1:12" x14ac:dyDescent="0.25">
      <c r="A791" s="3">
        <v>45715.230266203704</v>
      </c>
      <c r="B791" t="s">
        <v>35</v>
      </c>
      <c r="C791" s="3">
        <v>45715.382037037038</v>
      </c>
      <c r="D791" t="s">
        <v>158</v>
      </c>
      <c r="E791" s="4">
        <v>65.792000000000002</v>
      </c>
      <c r="F791" s="4">
        <v>392962.37400000001</v>
      </c>
      <c r="G791" s="4">
        <v>393028.16600000003</v>
      </c>
      <c r="H791" s="5">
        <f>4160 / 86400</f>
        <v>4.8148148148148148E-2</v>
      </c>
      <c r="I791" t="s">
        <v>157</v>
      </c>
      <c r="J791" t="s">
        <v>30</v>
      </c>
      <c r="K791" s="5">
        <f>13113 / 86400</f>
        <v>0.15177083333333333</v>
      </c>
      <c r="L791" s="5">
        <f>336 / 86400</f>
        <v>3.8888888888888888E-3</v>
      </c>
    </row>
    <row r="792" spans="1:12" x14ac:dyDescent="0.25">
      <c r="A792" s="3">
        <v>45715.385925925926</v>
      </c>
      <c r="B792" t="s">
        <v>158</v>
      </c>
      <c r="C792" s="3">
        <v>45715.386504629627</v>
      </c>
      <c r="D792" t="s">
        <v>74</v>
      </c>
      <c r="E792" s="4">
        <v>2.3E-2</v>
      </c>
      <c r="F792" s="4">
        <v>393028.16600000003</v>
      </c>
      <c r="G792" s="4">
        <v>393028.18900000001</v>
      </c>
      <c r="H792" s="5">
        <f>39 / 86400</f>
        <v>4.5138888888888887E-4</v>
      </c>
      <c r="I792" t="s">
        <v>99</v>
      </c>
      <c r="J792" t="s">
        <v>29</v>
      </c>
      <c r="K792" s="5">
        <f>50 / 86400</f>
        <v>5.7870370370370367E-4</v>
      </c>
      <c r="L792" s="5">
        <f>483 / 86400</f>
        <v>5.5902777777777773E-3</v>
      </c>
    </row>
    <row r="793" spans="1:12" x14ac:dyDescent="0.25">
      <c r="A793" s="3">
        <v>45715.392094907409</v>
      </c>
      <c r="B793" t="s">
        <v>74</v>
      </c>
      <c r="C793" s="3">
        <v>45715.395335648151</v>
      </c>
      <c r="D793" t="s">
        <v>436</v>
      </c>
      <c r="E793" s="4">
        <v>0.66500000000000004</v>
      </c>
      <c r="F793" s="4">
        <v>393028.18900000001</v>
      </c>
      <c r="G793" s="4">
        <v>393028.85399999999</v>
      </c>
      <c r="H793" s="5">
        <f>119 / 86400</f>
        <v>1.3773148148148147E-3</v>
      </c>
      <c r="I793" t="s">
        <v>173</v>
      </c>
      <c r="J793" t="s">
        <v>135</v>
      </c>
      <c r="K793" s="5">
        <f>280 / 86400</f>
        <v>3.2407407407407406E-3</v>
      </c>
      <c r="L793" s="5">
        <f>1273 / 86400</f>
        <v>1.4733796296296297E-2</v>
      </c>
    </row>
    <row r="794" spans="1:12" x14ac:dyDescent="0.25">
      <c r="A794" s="3">
        <v>45715.41006944445</v>
      </c>
      <c r="B794" t="s">
        <v>436</v>
      </c>
      <c r="C794" s="3">
        <v>45715.616863425923</v>
      </c>
      <c r="D794" t="s">
        <v>70</v>
      </c>
      <c r="E794" s="4">
        <v>75.623999999999995</v>
      </c>
      <c r="F794" s="4">
        <v>393028.85399999999</v>
      </c>
      <c r="G794" s="4">
        <v>393104.478</v>
      </c>
      <c r="H794" s="5">
        <f>6938 / 86400</f>
        <v>8.0300925925925928E-2</v>
      </c>
      <c r="I794" t="s">
        <v>59</v>
      </c>
      <c r="J794" t="s">
        <v>39</v>
      </c>
      <c r="K794" s="5">
        <f>17867 / 86400</f>
        <v>0.20679398148148148</v>
      </c>
      <c r="L794" s="5">
        <f>271 / 86400</f>
        <v>3.1365740740740742E-3</v>
      </c>
    </row>
    <row r="795" spans="1:12" x14ac:dyDescent="0.25">
      <c r="A795" s="3">
        <v>45715.619999999995</v>
      </c>
      <c r="B795" t="s">
        <v>70</v>
      </c>
      <c r="C795" s="3">
        <v>45715.624618055561</v>
      </c>
      <c r="D795" t="s">
        <v>35</v>
      </c>
      <c r="E795" s="4">
        <v>1.3979999999999999</v>
      </c>
      <c r="F795" s="4">
        <v>393104.478</v>
      </c>
      <c r="G795" s="4">
        <v>393105.87599999999</v>
      </c>
      <c r="H795" s="5">
        <f>199 / 86400</f>
        <v>2.3032407407407407E-3</v>
      </c>
      <c r="I795" t="s">
        <v>236</v>
      </c>
      <c r="J795" t="s">
        <v>55</v>
      </c>
      <c r="K795" s="5">
        <f>399 / 86400</f>
        <v>4.6180555555555558E-3</v>
      </c>
      <c r="L795" s="5">
        <f>32432 / 86400</f>
        <v>0.37537037037037035</v>
      </c>
    </row>
    <row r="796" spans="1:12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</row>
    <row r="797" spans="1:12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</row>
    <row r="798" spans="1:12" s="10" customFormat="1" ht="20.100000000000001" customHeight="1" x14ac:dyDescent="0.35">
      <c r="A798" s="11" t="s">
        <v>524</v>
      </c>
      <c r="B798" s="11"/>
      <c r="C798" s="11"/>
      <c r="D798" s="11"/>
      <c r="E798" s="11"/>
      <c r="F798" s="11"/>
      <c r="G798" s="11"/>
      <c r="H798" s="11"/>
      <c r="I798" s="11"/>
      <c r="J798" s="11"/>
    </row>
    <row r="799" spans="1:12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</row>
    <row r="800" spans="1:12" ht="30" x14ac:dyDescent="0.25">
      <c r="A800" s="2" t="s">
        <v>5</v>
      </c>
      <c r="B800" s="2" t="s">
        <v>6</v>
      </c>
      <c r="C800" s="2" t="s">
        <v>7</v>
      </c>
      <c r="D800" s="2" t="s">
        <v>8</v>
      </c>
      <c r="E800" s="2" t="s">
        <v>9</v>
      </c>
      <c r="F800" s="2" t="s">
        <v>10</v>
      </c>
      <c r="G800" s="2" t="s">
        <v>11</v>
      </c>
      <c r="H800" s="2" t="s">
        <v>12</v>
      </c>
      <c r="I800" s="2" t="s">
        <v>13</v>
      </c>
      <c r="J800" s="2" t="s">
        <v>14</v>
      </c>
      <c r="K800" s="2" t="s">
        <v>15</v>
      </c>
      <c r="L800" s="2" t="s">
        <v>16</v>
      </c>
    </row>
    <row r="801" spans="1:12" x14ac:dyDescent="0.25">
      <c r="A801" s="3">
        <v>45715.147199074076</v>
      </c>
      <c r="B801" t="s">
        <v>60</v>
      </c>
      <c r="C801" s="3">
        <v>45715.295659722222</v>
      </c>
      <c r="D801" t="s">
        <v>145</v>
      </c>
      <c r="E801" s="4">
        <v>80.800999999940402</v>
      </c>
      <c r="F801" s="4">
        <v>526335.51800000004</v>
      </c>
      <c r="G801" s="4">
        <v>526416.31900000002</v>
      </c>
      <c r="H801" s="5">
        <f>2679 / 86400</f>
        <v>3.1006944444444445E-2</v>
      </c>
      <c r="I801" t="s">
        <v>61</v>
      </c>
      <c r="J801" t="s">
        <v>163</v>
      </c>
      <c r="K801" s="5">
        <f>12827 / 86400</f>
        <v>0.14846064814814816</v>
      </c>
      <c r="L801" s="5">
        <f>14354 / 86400</f>
        <v>0.16613425925925926</v>
      </c>
    </row>
    <row r="802" spans="1:12" x14ac:dyDescent="0.25">
      <c r="A802" s="3">
        <v>45715.31459490741</v>
      </c>
      <c r="B802" t="s">
        <v>145</v>
      </c>
      <c r="C802" s="3">
        <v>45715.573854166665</v>
      </c>
      <c r="D802" t="s">
        <v>158</v>
      </c>
      <c r="E802" s="4">
        <v>100.718</v>
      </c>
      <c r="F802" s="4">
        <v>526416.31900000002</v>
      </c>
      <c r="G802" s="4">
        <v>526517.03700000001</v>
      </c>
      <c r="H802" s="5">
        <f>7137 / 86400</f>
        <v>8.2604166666666673E-2</v>
      </c>
      <c r="I802" t="s">
        <v>38</v>
      </c>
      <c r="J802" t="s">
        <v>26</v>
      </c>
      <c r="K802" s="5">
        <f>22399 / 86400</f>
        <v>0.25924768518518521</v>
      </c>
      <c r="L802" s="5">
        <f>52 / 86400</f>
        <v>6.018518518518519E-4</v>
      </c>
    </row>
    <row r="803" spans="1:12" x14ac:dyDescent="0.25">
      <c r="A803" s="3">
        <v>45715.574456018519</v>
      </c>
      <c r="B803" t="s">
        <v>158</v>
      </c>
      <c r="C803" s="3">
        <v>45715.576620370368</v>
      </c>
      <c r="D803" t="s">
        <v>74</v>
      </c>
      <c r="E803" s="4">
        <v>0.14099999994039536</v>
      </c>
      <c r="F803" s="4">
        <v>526517.03700000001</v>
      </c>
      <c r="G803" s="4">
        <v>526517.17799999996</v>
      </c>
      <c r="H803" s="5">
        <f>120 / 86400</f>
        <v>1.3888888888888889E-3</v>
      </c>
      <c r="I803" t="s">
        <v>28</v>
      </c>
      <c r="J803" t="s">
        <v>136</v>
      </c>
      <c r="K803" s="5">
        <f>186 / 86400</f>
        <v>2.1527777777777778E-3</v>
      </c>
      <c r="L803" s="5">
        <f>332 / 86400</f>
        <v>3.8425925925925928E-3</v>
      </c>
    </row>
    <row r="804" spans="1:12" x14ac:dyDescent="0.25">
      <c r="A804" s="3">
        <v>45715.580462962964</v>
      </c>
      <c r="B804" t="s">
        <v>74</v>
      </c>
      <c r="C804" s="3">
        <v>45715.581608796296</v>
      </c>
      <c r="D804" t="s">
        <v>74</v>
      </c>
      <c r="E804" s="4">
        <v>0.14600000005960465</v>
      </c>
      <c r="F804" s="4">
        <v>526517.17799999996</v>
      </c>
      <c r="G804" s="4">
        <v>526517.32400000002</v>
      </c>
      <c r="H804" s="5">
        <f>20 / 86400</f>
        <v>2.3148148148148149E-4</v>
      </c>
      <c r="I804" t="s">
        <v>123</v>
      </c>
      <c r="J804" t="s">
        <v>99</v>
      </c>
      <c r="K804" s="5">
        <f>99 / 86400</f>
        <v>1.1458333333333333E-3</v>
      </c>
      <c r="L804" s="5">
        <f>2528 / 86400</f>
        <v>2.9259259259259259E-2</v>
      </c>
    </row>
    <row r="805" spans="1:12" x14ac:dyDescent="0.25">
      <c r="A805" s="3">
        <v>45715.610868055555</v>
      </c>
      <c r="B805" t="s">
        <v>74</v>
      </c>
      <c r="C805" s="3">
        <v>45715.613888888889</v>
      </c>
      <c r="D805" t="s">
        <v>74</v>
      </c>
      <c r="E805" s="4">
        <v>0.16900000000000001</v>
      </c>
      <c r="F805" s="4">
        <v>526517.32400000002</v>
      </c>
      <c r="G805" s="4">
        <v>526517.49300000002</v>
      </c>
      <c r="H805" s="5">
        <f>139 / 86400</f>
        <v>1.6087962962962963E-3</v>
      </c>
      <c r="I805" t="s">
        <v>135</v>
      </c>
      <c r="J805" t="s">
        <v>29</v>
      </c>
      <c r="K805" s="5">
        <f>260 / 86400</f>
        <v>3.0092592592592593E-3</v>
      </c>
      <c r="L805" s="5">
        <f>492 / 86400</f>
        <v>5.6944444444444447E-3</v>
      </c>
    </row>
    <row r="806" spans="1:12" x14ac:dyDescent="0.25">
      <c r="A806" s="3">
        <v>45715.619583333333</v>
      </c>
      <c r="B806" t="s">
        <v>158</v>
      </c>
      <c r="C806" s="3">
        <v>45715.653414351851</v>
      </c>
      <c r="D806" t="s">
        <v>450</v>
      </c>
      <c r="E806" s="4">
        <v>23.207999999999998</v>
      </c>
      <c r="F806" s="4">
        <v>526517.49300000002</v>
      </c>
      <c r="G806" s="4">
        <v>526540.701</v>
      </c>
      <c r="H806" s="5">
        <f>339 / 86400</f>
        <v>3.9236111111111112E-3</v>
      </c>
      <c r="I806" t="s">
        <v>103</v>
      </c>
      <c r="J806" t="s">
        <v>211</v>
      </c>
      <c r="K806" s="5">
        <f>2923 / 86400</f>
        <v>3.3831018518518517E-2</v>
      </c>
      <c r="L806" s="5">
        <f>256 / 86400</f>
        <v>2.9629629629629628E-3</v>
      </c>
    </row>
    <row r="807" spans="1:12" x14ac:dyDescent="0.25">
      <c r="A807" s="3">
        <v>45715.656377314815</v>
      </c>
      <c r="B807" t="s">
        <v>450</v>
      </c>
      <c r="C807" s="3">
        <v>45715.658391203702</v>
      </c>
      <c r="D807" t="s">
        <v>60</v>
      </c>
      <c r="E807" s="4">
        <v>0.39900000000000002</v>
      </c>
      <c r="F807" s="4">
        <v>526540.701</v>
      </c>
      <c r="G807" s="4">
        <v>526541.1</v>
      </c>
      <c r="H807" s="5">
        <f>20 / 86400</f>
        <v>2.3148148148148149E-4</v>
      </c>
      <c r="I807" t="s">
        <v>19</v>
      </c>
      <c r="J807" t="s">
        <v>155</v>
      </c>
      <c r="K807" s="5">
        <f>173 / 86400</f>
        <v>2.0023148148148148E-3</v>
      </c>
      <c r="L807" s="5">
        <f>29514 / 86400</f>
        <v>0.34159722222222222</v>
      </c>
    </row>
    <row r="808" spans="1:12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</row>
    <row r="809" spans="1:1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</row>
    <row r="810" spans="1:12" s="10" customFormat="1" ht="20.100000000000001" customHeight="1" x14ac:dyDescent="0.35">
      <c r="A810" s="11" t="s">
        <v>525</v>
      </c>
      <c r="B810" s="11"/>
      <c r="C810" s="11"/>
      <c r="D810" s="11"/>
      <c r="E810" s="11"/>
      <c r="F810" s="11"/>
      <c r="G810" s="11"/>
      <c r="H810" s="11"/>
      <c r="I810" s="11"/>
      <c r="J810" s="11"/>
    </row>
    <row r="811" spans="1:12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</row>
    <row r="812" spans="1:12" ht="30" x14ac:dyDescent="0.25">
      <c r="A812" s="2" t="s">
        <v>5</v>
      </c>
      <c r="B812" s="2" t="s">
        <v>6</v>
      </c>
      <c r="C812" s="2" t="s">
        <v>7</v>
      </c>
      <c r="D812" s="2" t="s">
        <v>8</v>
      </c>
      <c r="E812" s="2" t="s">
        <v>9</v>
      </c>
      <c r="F812" s="2" t="s">
        <v>10</v>
      </c>
      <c r="G812" s="2" t="s">
        <v>11</v>
      </c>
      <c r="H812" s="2" t="s">
        <v>12</v>
      </c>
      <c r="I812" s="2" t="s">
        <v>13</v>
      </c>
      <c r="J812" s="2" t="s">
        <v>14</v>
      </c>
      <c r="K812" s="2" t="s">
        <v>15</v>
      </c>
      <c r="L812" s="2" t="s">
        <v>16</v>
      </c>
    </row>
    <row r="813" spans="1:12" x14ac:dyDescent="0.25">
      <c r="A813" s="3">
        <v>45715.025578703702</v>
      </c>
      <c r="B813" t="s">
        <v>63</v>
      </c>
      <c r="C813" s="3">
        <v>45715.027094907404</v>
      </c>
      <c r="D813" t="s">
        <v>159</v>
      </c>
      <c r="E813" s="4">
        <v>7.2999999999999995E-2</v>
      </c>
      <c r="F813" s="4">
        <v>413839.44199999998</v>
      </c>
      <c r="G813" s="4">
        <v>413839.51500000001</v>
      </c>
      <c r="H813" s="5">
        <f>60 / 86400</f>
        <v>6.9444444444444447E-4</v>
      </c>
      <c r="I813" t="s">
        <v>155</v>
      </c>
      <c r="J813" t="s">
        <v>29</v>
      </c>
      <c r="K813" s="5">
        <f>130 / 86400</f>
        <v>1.5046296296296296E-3</v>
      </c>
      <c r="L813" s="5">
        <f>2915 / 86400</f>
        <v>3.3738425925925929E-2</v>
      </c>
    </row>
    <row r="814" spans="1:12" x14ac:dyDescent="0.25">
      <c r="A814" s="3">
        <v>45715.035254629634</v>
      </c>
      <c r="B814" t="s">
        <v>159</v>
      </c>
      <c r="C814" s="3">
        <v>45715.035312499997</v>
      </c>
      <c r="D814" t="s">
        <v>159</v>
      </c>
      <c r="E814" s="4">
        <v>0</v>
      </c>
      <c r="F814" s="4">
        <v>413839.51500000001</v>
      </c>
      <c r="G814" s="4">
        <v>413839.51500000001</v>
      </c>
      <c r="H814" s="5">
        <f>0 / 86400</f>
        <v>0</v>
      </c>
      <c r="I814" t="s">
        <v>21</v>
      </c>
      <c r="J814" t="s">
        <v>21</v>
      </c>
      <c r="K814" s="5">
        <f>5 / 86400</f>
        <v>5.7870370370370373E-5</v>
      </c>
      <c r="L814" s="5">
        <f>18 / 86400</f>
        <v>2.0833333333333335E-4</v>
      </c>
    </row>
    <row r="815" spans="1:12" x14ac:dyDescent="0.25">
      <c r="A815" s="3">
        <v>45715.035520833335</v>
      </c>
      <c r="B815" t="s">
        <v>159</v>
      </c>
      <c r="C815" s="3">
        <v>45715.041516203702</v>
      </c>
      <c r="D815" t="s">
        <v>451</v>
      </c>
      <c r="E815" s="4">
        <v>0.877</v>
      </c>
      <c r="F815" s="4">
        <v>413839.51500000001</v>
      </c>
      <c r="G815" s="4">
        <v>413840.39199999999</v>
      </c>
      <c r="H815" s="5">
        <f>199 / 86400</f>
        <v>2.3032407407407407E-3</v>
      </c>
      <c r="I815" t="s">
        <v>39</v>
      </c>
      <c r="J815" t="s">
        <v>123</v>
      </c>
      <c r="K815" s="5">
        <f>517 / 86400</f>
        <v>5.9837962962962961E-3</v>
      </c>
      <c r="L815" s="5">
        <f>35343 / 86400</f>
        <v>0.4090625</v>
      </c>
    </row>
    <row r="816" spans="1:12" x14ac:dyDescent="0.25">
      <c r="A816" s="3">
        <v>45715.450578703705</v>
      </c>
      <c r="B816" t="s">
        <v>451</v>
      </c>
      <c r="C816" s="3">
        <v>45715.518587962964</v>
      </c>
      <c r="D816" t="s">
        <v>440</v>
      </c>
      <c r="E816" s="4">
        <v>26.524000000000001</v>
      </c>
      <c r="F816" s="4">
        <v>413840.39199999999</v>
      </c>
      <c r="G816" s="4">
        <v>413866.91600000003</v>
      </c>
      <c r="H816" s="5">
        <f>1799 / 86400</f>
        <v>2.0821759259259259E-2</v>
      </c>
      <c r="I816" t="s">
        <v>296</v>
      </c>
      <c r="J816" t="s">
        <v>26</v>
      </c>
      <c r="K816" s="5">
        <f>5876 / 86400</f>
        <v>6.8009259259259255E-2</v>
      </c>
      <c r="L816" s="5">
        <f>59 / 86400</f>
        <v>6.8287037037037036E-4</v>
      </c>
    </row>
    <row r="817" spans="1:12" x14ac:dyDescent="0.25">
      <c r="A817" s="3">
        <v>45715.519270833334</v>
      </c>
      <c r="B817" t="s">
        <v>440</v>
      </c>
      <c r="C817" s="3">
        <v>45715.520185185189</v>
      </c>
      <c r="D817" t="s">
        <v>440</v>
      </c>
      <c r="E817" s="4">
        <v>3.5999999999999997E-2</v>
      </c>
      <c r="F817" s="4">
        <v>413866.91600000003</v>
      </c>
      <c r="G817" s="4">
        <v>413866.95199999999</v>
      </c>
      <c r="H817" s="5">
        <f>59 / 86400</f>
        <v>6.8287037037037036E-4</v>
      </c>
      <c r="I817" t="s">
        <v>143</v>
      </c>
      <c r="J817" t="s">
        <v>29</v>
      </c>
      <c r="K817" s="5">
        <f>78 / 86400</f>
        <v>9.0277777777777774E-4</v>
      </c>
      <c r="L817" s="5">
        <f>4732 / 86400</f>
        <v>5.4768518518518522E-2</v>
      </c>
    </row>
    <row r="818" spans="1:12" x14ac:dyDescent="0.25">
      <c r="A818" s="3">
        <v>45715.574953703705</v>
      </c>
      <c r="B818" t="s">
        <v>440</v>
      </c>
      <c r="C818" s="3">
        <v>45715.847025462965</v>
      </c>
      <c r="D818" t="s">
        <v>440</v>
      </c>
      <c r="E818" s="4">
        <v>99.176000000000002</v>
      </c>
      <c r="F818" s="4">
        <v>413866.95199999999</v>
      </c>
      <c r="G818" s="4">
        <v>413966.12800000003</v>
      </c>
      <c r="H818" s="5">
        <f>7461 / 86400</f>
        <v>8.6354166666666662E-2</v>
      </c>
      <c r="I818" t="s">
        <v>146</v>
      </c>
      <c r="J818" t="s">
        <v>39</v>
      </c>
      <c r="K818" s="5">
        <f>23507 / 86400</f>
        <v>0.27207175925925925</v>
      </c>
      <c r="L818" s="5">
        <f>389 / 86400</f>
        <v>4.5023148148148149E-3</v>
      </c>
    </row>
    <row r="819" spans="1:12" x14ac:dyDescent="0.25">
      <c r="A819" s="3">
        <v>45715.851527777777</v>
      </c>
      <c r="B819" t="s">
        <v>440</v>
      </c>
      <c r="C819" s="3">
        <v>45715.99998842593</v>
      </c>
      <c r="D819" t="s">
        <v>64</v>
      </c>
      <c r="E819" s="4">
        <v>62.62</v>
      </c>
      <c r="F819" s="4">
        <v>413966.12800000003</v>
      </c>
      <c r="G819" s="4">
        <v>414028.74800000002</v>
      </c>
      <c r="H819" s="5">
        <f>3692 / 86400</f>
        <v>4.2731481481481481E-2</v>
      </c>
      <c r="I819" t="s">
        <v>65</v>
      </c>
      <c r="J819" t="s">
        <v>30</v>
      </c>
      <c r="K819" s="5">
        <f>12827 / 86400</f>
        <v>0.14846064814814816</v>
      </c>
      <c r="L819" s="5">
        <f>0 / 86400</f>
        <v>0</v>
      </c>
    </row>
    <row r="820" spans="1:12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</row>
    <row r="821" spans="1:12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</row>
    <row r="822" spans="1:12" s="10" customFormat="1" ht="20.100000000000001" customHeight="1" x14ac:dyDescent="0.35">
      <c r="A822" s="11" t="s">
        <v>526</v>
      </c>
      <c r="B822" s="11"/>
      <c r="C822" s="11"/>
      <c r="D822" s="11"/>
      <c r="E822" s="11"/>
      <c r="F822" s="11"/>
      <c r="G822" s="11"/>
      <c r="H822" s="11"/>
      <c r="I822" s="11"/>
      <c r="J822" s="11"/>
    </row>
    <row r="823" spans="1:12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</row>
    <row r="824" spans="1:12" ht="30" x14ac:dyDescent="0.25">
      <c r="A824" s="2" t="s">
        <v>5</v>
      </c>
      <c r="B824" s="2" t="s">
        <v>6</v>
      </c>
      <c r="C824" s="2" t="s">
        <v>7</v>
      </c>
      <c r="D824" s="2" t="s">
        <v>8</v>
      </c>
      <c r="E824" s="2" t="s">
        <v>9</v>
      </c>
      <c r="F824" s="2" t="s">
        <v>10</v>
      </c>
      <c r="G824" s="2" t="s">
        <v>11</v>
      </c>
      <c r="H824" s="2" t="s">
        <v>12</v>
      </c>
      <c r="I824" s="2" t="s">
        <v>13</v>
      </c>
      <c r="J824" s="2" t="s">
        <v>14</v>
      </c>
      <c r="K824" s="2" t="s">
        <v>15</v>
      </c>
      <c r="L824" s="2" t="s">
        <v>16</v>
      </c>
    </row>
    <row r="825" spans="1:12" x14ac:dyDescent="0.25">
      <c r="A825" s="3">
        <v>45715.324386574073</v>
      </c>
      <c r="B825" t="s">
        <v>66</v>
      </c>
      <c r="C825" s="3">
        <v>45715.324884259258</v>
      </c>
      <c r="D825" t="s">
        <v>66</v>
      </c>
      <c r="E825" s="4">
        <v>6.0000000000000001E-3</v>
      </c>
      <c r="F825" s="4">
        <v>404862.21399999998</v>
      </c>
      <c r="G825" s="4">
        <v>404862.22</v>
      </c>
      <c r="H825" s="5">
        <f>39 / 86400</f>
        <v>4.5138888888888887E-4</v>
      </c>
      <c r="I825" t="s">
        <v>21</v>
      </c>
      <c r="J825" t="s">
        <v>67</v>
      </c>
      <c r="K825" s="5">
        <f>43 / 86400</f>
        <v>4.9768518518518521E-4</v>
      </c>
      <c r="L825" s="5">
        <f>86356 / 86400</f>
        <v>0.99949074074074074</v>
      </c>
    </row>
    <row r="826" spans="1:12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</row>
    <row r="827" spans="1:12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</row>
    <row r="828" spans="1:12" s="10" customFormat="1" ht="20.100000000000001" customHeight="1" x14ac:dyDescent="0.35">
      <c r="A828" s="11" t="s">
        <v>527</v>
      </c>
      <c r="B828" s="11"/>
      <c r="C828" s="11"/>
      <c r="D828" s="11"/>
      <c r="E828" s="11"/>
      <c r="F828" s="11"/>
      <c r="G828" s="11"/>
      <c r="H828" s="11"/>
      <c r="I828" s="11"/>
      <c r="J828" s="11"/>
    </row>
    <row r="829" spans="1:12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</row>
    <row r="830" spans="1:12" ht="30" x14ac:dyDescent="0.25">
      <c r="A830" s="2" t="s">
        <v>5</v>
      </c>
      <c r="B830" s="2" t="s">
        <v>6</v>
      </c>
      <c r="C830" s="2" t="s">
        <v>7</v>
      </c>
      <c r="D830" s="2" t="s">
        <v>8</v>
      </c>
      <c r="E830" s="2" t="s">
        <v>9</v>
      </c>
      <c r="F830" s="2" t="s">
        <v>10</v>
      </c>
      <c r="G830" s="2" t="s">
        <v>11</v>
      </c>
      <c r="H830" s="2" t="s">
        <v>12</v>
      </c>
      <c r="I830" s="2" t="s">
        <v>13</v>
      </c>
      <c r="J830" s="2" t="s">
        <v>14</v>
      </c>
      <c r="K830" s="2" t="s">
        <v>15</v>
      </c>
      <c r="L830" s="2" t="s">
        <v>16</v>
      </c>
    </row>
    <row r="831" spans="1:12" x14ac:dyDescent="0.25">
      <c r="A831" s="3">
        <v>45715.272696759261</v>
      </c>
      <c r="B831" t="s">
        <v>68</v>
      </c>
      <c r="C831" s="3">
        <v>45715.27443287037</v>
      </c>
      <c r="D831" t="s">
        <v>68</v>
      </c>
      <c r="E831" s="4">
        <v>0</v>
      </c>
      <c r="F831" s="4">
        <v>408845.55900000001</v>
      </c>
      <c r="G831" s="4">
        <v>408845.55900000001</v>
      </c>
      <c r="H831" s="5">
        <f>139 / 86400</f>
        <v>1.6087962962962963E-3</v>
      </c>
      <c r="I831" t="s">
        <v>21</v>
      </c>
      <c r="J831" t="s">
        <v>21</v>
      </c>
      <c r="K831" s="5">
        <f>149 / 86400</f>
        <v>1.724537037037037E-3</v>
      </c>
      <c r="L831" s="5">
        <f>24827 / 86400</f>
        <v>0.28734953703703703</v>
      </c>
    </row>
    <row r="832" spans="1:12" x14ac:dyDescent="0.25">
      <c r="A832" s="3">
        <v>45715.289085648154</v>
      </c>
      <c r="B832" t="s">
        <v>68</v>
      </c>
      <c r="C832" s="3">
        <v>45715.352048611108</v>
      </c>
      <c r="D832" t="s">
        <v>121</v>
      </c>
      <c r="E832" s="4">
        <v>34.671999999999997</v>
      </c>
      <c r="F832" s="4">
        <v>408845.55900000001</v>
      </c>
      <c r="G832" s="4">
        <v>408880.23100000003</v>
      </c>
      <c r="H832" s="5">
        <f>1158 / 86400</f>
        <v>1.3402777777777777E-2</v>
      </c>
      <c r="I832" t="s">
        <v>56</v>
      </c>
      <c r="J832" t="s">
        <v>163</v>
      </c>
      <c r="K832" s="5">
        <f>5440 / 86400</f>
        <v>6.2962962962962957E-2</v>
      </c>
      <c r="L832" s="5">
        <f>312 / 86400</f>
        <v>3.6111111111111109E-3</v>
      </c>
    </row>
    <row r="833" spans="1:12" x14ac:dyDescent="0.25">
      <c r="A833" s="3">
        <v>45715.35565972222</v>
      </c>
      <c r="B833" t="s">
        <v>121</v>
      </c>
      <c r="C833" s="3">
        <v>45715.357164351852</v>
      </c>
      <c r="D833" t="s">
        <v>145</v>
      </c>
      <c r="E833" s="4">
        <v>0.433</v>
      </c>
      <c r="F833" s="4">
        <v>408880.23100000003</v>
      </c>
      <c r="G833" s="4">
        <v>408880.66399999999</v>
      </c>
      <c r="H833" s="5">
        <f>0 / 86400</f>
        <v>0</v>
      </c>
      <c r="I833" t="s">
        <v>179</v>
      </c>
      <c r="J833" t="s">
        <v>85</v>
      </c>
      <c r="K833" s="5">
        <f>129 / 86400</f>
        <v>1.4930555555555556E-3</v>
      </c>
      <c r="L833" s="5">
        <f>1305 / 86400</f>
        <v>1.5104166666666667E-2</v>
      </c>
    </row>
    <row r="834" spans="1:12" x14ac:dyDescent="0.25">
      <c r="A834" s="3">
        <v>45715.37226851852</v>
      </c>
      <c r="B834" t="s">
        <v>145</v>
      </c>
      <c r="C834" s="3">
        <v>45715.372800925921</v>
      </c>
      <c r="D834" t="s">
        <v>122</v>
      </c>
      <c r="E834" s="4">
        <v>1.4E-2</v>
      </c>
      <c r="F834" s="4">
        <v>408880.66399999999</v>
      </c>
      <c r="G834" s="4">
        <v>408880.67800000001</v>
      </c>
      <c r="H834" s="5">
        <f>0 / 86400</f>
        <v>0</v>
      </c>
      <c r="I834" t="s">
        <v>29</v>
      </c>
      <c r="J834" t="s">
        <v>67</v>
      </c>
      <c r="K834" s="5">
        <f>46 / 86400</f>
        <v>5.3240740740740744E-4</v>
      </c>
      <c r="L834" s="5">
        <f>2202 / 86400</f>
        <v>2.5486111111111112E-2</v>
      </c>
    </row>
    <row r="835" spans="1:12" x14ac:dyDescent="0.25">
      <c r="A835" s="3">
        <v>45715.398287037038</v>
      </c>
      <c r="B835" t="s">
        <v>122</v>
      </c>
      <c r="C835" s="3">
        <v>45715.531180555554</v>
      </c>
      <c r="D835" t="s">
        <v>269</v>
      </c>
      <c r="E835" s="4">
        <v>51.308999999999997</v>
      </c>
      <c r="F835" s="4">
        <v>408880.67800000001</v>
      </c>
      <c r="G835" s="4">
        <v>408931.98700000002</v>
      </c>
      <c r="H835" s="5">
        <f>4281 / 86400</f>
        <v>4.9548611111111113E-2</v>
      </c>
      <c r="I835" t="s">
        <v>58</v>
      </c>
      <c r="J835" t="s">
        <v>26</v>
      </c>
      <c r="K835" s="5">
        <f>11482 / 86400</f>
        <v>0.13289351851851852</v>
      </c>
      <c r="L835" s="5">
        <f>57 / 86400</f>
        <v>6.5972222222222224E-4</v>
      </c>
    </row>
    <row r="836" spans="1:12" x14ac:dyDescent="0.25">
      <c r="A836" s="3">
        <v>45715.531840277778</v>
      </c>
      <c r="B836" t="s">
        <v>269</v>
      </c>
      <c r="C836" s="3">
        <v>45715.53230324074</v>
      </c>
      <c r="D836" t="s">
        <v>269</v>
      </c>
      <c r="E836" s="4">
        <v>0.04</v>
      </c>
      <c r="F836" s="4">
        <v>408931.98700000002</v>
      </c>
      <c r="G836" s="4">
        <v>408932.027</v>
      </c>
      <c r="H836" s="5">
        <f>0 / 86400</f>
        <v>0</v>
      </c>
      <c r="I836" t="s">
        <v>67</v>
      </c>
      <c r="J836" t="s">
        <v>132</v>
      </c>
      <c r="K836" s="5">
        <f>39 / 86400</f>
        <v>4.5138888888888887E-4</v>
      </c>
      <c r="L836" s="5">
        <f>43 / 86400</f>
        <v>4.9768518518518521E-4</v>
      </c>
    </row>
    <row r="837" spans="1:12" x14ac:dyDescent="0.25">
      <c r="A837" s="3">
        <v>45715.532800925925</v>
      </c>
      <c r="B837" t="s">
        <v>269</v>
      </c>
      <c r="C837" s="3">
        <v>45715.659375000003</v>
      </c>
      <c r="D837" t="s">
        <v>74</v>
      </c>
      <c r="E837" s="4">
        <v>50.284999999999997</v>
      </c>
      <c r="F837" s="4">
        <v>408932.027</v>
      </c>
      <c r="G837" s="4">
        <v>408982.31199999998</v>
      </c>
      <c r="H837" s="5">
        <f>3339 / 86400</f>
        <v>3.8645833333333331E-2</v>
      </c>
      <c r="I837" t="s">
        <v>110</v>
      </c>
      <c r="J837" t="s">
        <v>19</v>
      </c>
      <c r="K837" s="5">
        <f>10936 / 86400</f>
        <v>0.12657407407407406</v>
      </c>
      <c r="L837" s="5">
        <f>209 / 86400</f>
        <v>2.4189814814814816E-3</v>
      </c>
    </row>
    <row r="838" spans="1:12" x14ac:dyDescent="0.25">
      <c r="A838" s="3">
        <v>45715.661793981482</v>
      </c>
      <c r="B838" t="s">
        <v>74</v>
      </c>
      <c r="C838" s="3">
        <v>45715.662326388891</v>
      </c>
      <c r="D838" t="s">
        <v>74</v>
      </c>
      <c r="E838" s="4">
        <v>0.03</v>
      </c>
      <c r="F838" s="4">
        <v>408982.31199999998</v>
      </c>
      <c r="G838" s="4">
        <v>408982.342</v>
      </c>
      <c r="H838" s="5">
        <f>0 / 86400</f>
        <v>0</v>
      </c>
      <c r="I838" t="s">
        <v>99</v>
      </c>
      <c r="J838" t="s">
        <v>29</v>
      </c>
      <c r="K838" s="5">
        <f>46 / 86400</f>
        <v>5.3240740740740744E-4</v>
      </c>
      <c r="L838" s="5">
        <f>1490 / 86400</f>
        <v>1.7245370370370369E-2</v>
      </c>
    </row>
    <row r="839" spans="1:12" x14ac:dyDescent="0.25">
      <c r="A839" s="3">
        <v>45715.679571759261</v>
      </c>
      <c r="B839" t="s">
        <v>74</v>
      </c>
      <c r="C839" s="3">
        <v>45715.680173611108</v>
      </c>
      <c r="D839" t="s">
        <v>74</v>
      </c>
      <c r="E839" s="4">
        <v>0</v>
      </c>
      <c r="F839" s="4">
        <v>408982.342</v>
      </c>
      <c r="G839" s="4">
        <v>408982.342</v>
      </c>
      <c r="H839" s="5">
        <f>39 / 86400</f>
        <v>4.5138888888888887E-4</v>
      </c>
      <c r="I839" t="s">
        <v>21</v>
      </c>
      <c r="J839" t="s">
        <v>21</v>
      </c>
      <c r="K839" s="5">
        <f>52 / 86400</f>
        <v>6.018518518518519E-4</v>
      </c>
      <c r="L839" s="5">
        <f>414 / 86400</f>
        <v>4.7916666666666663E-3</v>
      </c>
    </row>
    <row r="840" spans="1:12" x14ac:dyDescent="0.25">
      <c r="A840" s="3">
        <v>45715.684965277775</v>
      </c>
      <c r="B840" t="s">
        <v>74</v>
      </c>
      <c r="C840" s="3">
        <v>45715.68614583333</v>
      </c>
      <c r="D840" t="s">
        <v>74</v>
      </c>
      <c r="E840" s="4">
        <v>2.4E-2</v>
      </c>
      <c r="F840" s="4">
        <v>408982.342</v>
      </c>
      <c r="G840" s="4">
        <v>408982.36599999998</v>
      </c>
      <c r="H840" s="5">
        <f>79 / 86400</f>
        <v>9.1435185185185185E-4</v>
      </c>
      <c r="I840" t="s">
        <v>132</v>
      </c>
      <c r="J840" t="s">
        <v>67</v>
      </c>
      <c r="K840" s="5">
        <f>102 / 86400</f>
        <v>1.1805555555555556E-3</v>
      </c>
      <c r="L840" s="5">
        <f>88 / 86400</f>
        <v>1.0185185185185184E-3</v>
      </c>
    </row>
    <row r="841" spans="1:12" x14ac:dyDescent="0.25">
      <c r="A841" s="3">
        <v>45715.687164351853</v>
      </c>
      <c r="B841" t="s">
        <v>74</v>
      </c>
      <c r="C841" s="3">
        <v>45715.687916666662</v>
      </c>
      <c r="D841" t="s">
        <v>74</v>
      </c>
      <c r="E841" s="4">
        <v>2.3E-2</v>
      </c>
      <c r="F841" s="4">
        <v>408982.36599999998</v>
      </c>
      <c r="G841" s="4">
        <v>408982.38900000002</v>
      </c>
      <c r="H841" s="5">
        <f>21 / 86400</f>
        <v>2.4305555555555555E-4</v>
      </c>
      <c r="I841" t="s">
        <v>123</v>
      </c>
      <c r="J841" t="s">
        <v>67</v>
      </c>
      <c r="K841" s="5">
        <f>65 / 86400</f>
        <v>7.5231481481481482E-4</v>
      </c>
      <c r="L841" s="5">
        <f>322 / 86400</f>
        <v>3.7268518518518519E-3</v>
      </c>
    </row>
    <row r="842" spans="1:12" x14ac:dyDescent="0.25">
      <c r="A842" s="3">
        <v>45715.691643518519</v>
      </c>
      <c r="B842" t="s">
        <v>74</v>
      </c>
      <c r="C842" s="3">
        <v>45715.695902777778</v>
      </c>
      <c r="D842" t="s">
        <v>74</v>
      </c>
      <c r="E842" s="4">
        <v>5.5E-2</v>
      </c>
      <c r="F842" s="4">
        <v>408982.38900000002</v>
      </c>
      <c r="G842" s="4">
        <v>408982.44400000002</v>
      </c>
      <c r="H842" s="5">
        <f>280 / 86400</f>
        <v>3.2407407407407406E-3</v>
      </c>
      <c r="I842" t="s">
        <v>155</v>
      </c>
      <c r="J842" t="s">
        <v>67</v>
      </c>
      <c r="K842" s="5">
        <f>367 / 86400</f>
        <v>4.2476851851851851E-3</v>
      </c>
      <c r="L842" s="5">
        <f>205 / 86400</f>
        <v>2.3726851851851851E-3</v>
      </c>
    </row>
    <row r="843" spans="1:12" x14ac:dyDescent="0.25">
      <c r="A843" s="3">
        <v>45715.698275462964</v>
      </c>
      <c r="B843" t="s">
        <v>74</v>
      </c>
      <c r="C843" s="3">
        <v>45715.773564814815</v>
      </c>
      <c r="D843" t="s">
        <v>452</v>
      </c>
      <c r="E843" s="4">
        <v>35.076000000000001</v>
      </c>
      <c r="F843" s="4">
        <v>408982.44400000002</v>
      </c>
      <c r="G843" s="4">
        <v>409017.52</v>
      </c>
      <c r="H843" s="5">
        <f>1681 / 86400</f>
        <v>1.9456018518518518E-2</v>
      </c>
      <c r="I843" t="s">
        <v>79</v>
      </c>
      <c r="J843" t="s">
        <v>62</v>
      </c>
      <c r="K843" s="5">
        <f>6504 / 86400</f>
        <v>7.5277777777777777E-2</v>
      </c>
      <c r="L843" s="5">
        <f>83 / 86400</f>
        <v>9.6064814814814819E-4</v>
      </c>
    </row>
    <row r="844" spans="1:12" x14ac:dyDescent="0.25">
      <c r="A844" s="3">
        <v>45715.774525462963</v>
      </c>
      <c r="B844" t="s">
        <v>452</v>
      </c>
      <c r="C844" s="3">
        <v>45715.784201388888</v>
      </c>
      <c r="D844" t="s">
        <v>68</v>
      </c>
      <c r="E844" s="4">
        <v>1.075</v>
      </c>
      <c r="F844" s="4">
        <v>409017.52</v>
      </c>
      <c r="G844" s="4">
        <v>409018.59499999997</v>
      </c>
      <c r="H844" s="5">
        <f>479 / 86400</f>
        <v>5.5439814814814813E-3</v>
      </c>
      <c r="I844" t="s">
        <v>19</v>
      </c>
      <c r="J844" t="s">
        <v>99</v>
      </c>
      <c r="K844" s="5">
        <f>836 / 86400</f>
        <v>9.6759259259259264E-3</v>
      </c>
      <c r="L844" s="5">
        <f>219 / 86400</f>
        <v>2.5347222222222221E-3</v>
      </c>
    </row>
    <row r="845" spans="1:12" x14ac:dyDescent="0.25">
      <c r="A845" s="3">
        <v>45715.786736111113</v>
      </c>
      <c r="B845" t="s">
        <v>68</v>
      </c>
      <c r="C845" s="3">
        <v>45715.787222222221</v>
      </c>
      <c r="D845" t="s">
        <v>68</v>
      </c>
      <c r="E845" s="4">
        <v>0.01</v>
      </c>
      <c r="F845" s="4">
        <v>409018.59499999997</v>
      </c>
      <c r="G845" s="4">
        <v>409018.60499999998</v>
      </c>
      <c r="H845" s="5">
        <f>19 / 86400</f>
        <v>2.199074074074074E-4</v>
      </c>
      <c r="I845" t="s">
        <v>123</v>
      </c>
      <c r="J845" t="s">
        <v>67</v>
      </c>
      <c r="K845" s="5">
        <f>42 / 86400</f>
        <v>4.861111111111111E-4</v>
      </c>
      <c r="L845" s="5">
        <f>18383 / 86400</f>
        <v>0.21276620370370369</v>
      </c>
    </row>
    <row r="846" spans="1:1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</row>
    <row r="847" spans="1:1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</row>
    <row r="848" spans="1:12" s="10" customFormat="1" ht="20.100000000000001" customHeight="1" x14ac:dyDescent="0.35">
      <c r="A848" s="11" t="s">
        <v>528</v>
      </c>
      <c r="B848" s="11"/>
      <c r="C848" s="11"/>
      <c r="D848" s="11"/>
      <c r="E848" s="11"/>
      <c r="F848" s="11"/>
      <c r="G848" s="11"/>
      <c r="H848" s="11"/>
      <c r="I848" s="11"/>
      <c r="J848" s="11"/>
    </row>
    <row r="849" spans="1:12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</row>
    <row r="850" spans="1:12" ht="30" x14ac:dyDescent="0.25">
      <c r="A850" s="2" t="s">
        <v>5</v>
      </c>
      <c r="B850" s="2" t="s">
        <v>6</v>
      </c>
      <c r="C850" s="2" t="s">
        <v>7</v>
      </c>
      <c r="D850" s="2" t="s">
        <v>8</v>
      </c>
      <c r="E850" s="2" t="s">
        <v>9</v>
      </c>
      <c r="F850" s="2" t="s">
        <v>10</v>
      </c>
      <c r="G850" s="2" t="s">
        <v>11</v>
      </c>
      <c r="H850" s="2" t="s">
        <v>12</v>
      </c>
      <c r="I850" s="2" t="s">
        <v>13</v>
      </c>
      <c r="J850" s="2" t="s">
        <v>14</v>
      </c>
      <c r="K850" s="2" t="s">
        <v>15</v>
      </c>
      <c r="L850" s="2" t="s">
        <v>16</v>
      </c>
    </row>
    <row r="851" spans="1:12" x14ac:dyDescent="0.25">
      <c r="A851" s="3">
        <v>45715</v>
      </c>
      <c r="B851" t="s">
        <v>69</v>
      </c>
      <c r="C851" s="3">
        <v>45715.039710648147</v>
      </c>
      <c r="D851" t="s">
        <v>76</v>
      </c>
      <c r="E851" s="4">
        <v>19.103999999999999</v>
      </c>
      <c r="F851" s="4">
        <v>183.72499999999999</v>
      </c>
      <c r="G851" s="4">
        <v>202.82900000000001</v>
      </c>
      <c r="H851" s="5">
        <f>979 / 86400</f>
        <v>1.1331018518518518E-2</v>
      </c>
      <c r="I851" t="s">
        <v>144</v>
      </c>
      <c r="J851" t="s">
        <v>116</v>
      </c>
      <c r="K851" s="5">
        <f>3431 / 86400</f>
        <v>3.9710648148148148E-2</v>
      </c>
      <c r="L851" s="5">
        <f>533 / 86400</f>
        <v>6.1689814814814819E-3</v>
      </c>
    </row>
    <row r="852" spans="1:12" x14ac:dyDescent="0.25">
      <c r="A852" s="3">
        <v>45715.04587962963</v>
      </c>
      <c r="B852" t="s">
        <v>76</v>
      </c>
      <c r="C852" s="3">
        <v>45715.051469907412</v>
      </c>
      <c r="D852" t="s">
        <v>453</v>
      </c>
      <c r="E852" s="4">
        <v>2.9340000000000002</v>
      </c>
      <c r="F852" s="4">
        <v>202.82900000000001</v>
      </c>
      <c r="G852" s="4">
        <v>205.76300000000001</v>
      </c>
      <c r="H852" s="5">
        <f>139 / 86400</f>
        <v>1.6087962962962963E-3</v>
      </c>
      <c r="I852" t="s">
        <v>245</v>
      </c>
      <c r="J852" t="s">
        <v>34</v>
      </c>
      <c r="K852" s="5">
        <f>483 / 86400</f>
        <v>5.5902777777777773E-3</v>
      </c>
      <c r="L852" s="5">
        <f>66 / 86400</f>
        <v>7.6388888888888893E-4</v>
      </c>
    </row>
    <row r="853" spans="1:12" x14ac:dyDescent="0.25">
      <c r="A853" s="3">
        <v>45715.052233796298</v>
      </c>
      <c r="B853" t="s">
        <v>453</v>
      </c>
      <c r="C853" s="3">
        <v>45715.053043981483</v>
      </c>
      <c r="D853" t="s">
        <v>102</v>
      </c>
      <c r="E853" s="4">
        <v>5.0999999999999997E-2</v>
      </c>
      <c r="F853" s="4">
        <v>205.76300000000001</v>
      </c>
      <c r="G853" s="4">
        <v>205.81399999999999</v>
      </c>
      <c r="H853" s="5">
        <f>20 / 86400</f>
        <v>2.3148148148148149E-4</v>
      </c>
      <c r="I853" t="s">
        <v>155</v>
      </c>
      <c r="J853" t="s">
        <v>136</v>
      </c>
      <c r="K853" s="5">
        <f>70 / 86400</f>
        <v>8.1018518518518516E-4</v>
      </c>
      <c r="L853" s="5">
        <f>10572 / 86400</f>
        <v>0.12236111111111111</v>
      </c>
    </row>
    <row r="854" spans="1:12" x14ac:dyDescent="0.25">
      <c r="A854" s="3">
        <v>45715.175405092596</v>
      </c>
      <c r="B854" t="s">
        <v>102</v>
      </c>
      <c r="C854" s="3">
        <v>45715.348356481481</v>
      </c>
      <c r="D854" t="s">
        <v>158</v>
      </c>
      <c r="E854" s="4">
        <v>85.168999999999997</v>
      </c>
      <c r="F854" s="4">
        <v>205.81399999999999</v>
      </c>
      <c r="G854" s="4">
        <v>290.983</v>
      </c>
      <c r="H854" s="5">
        <f>4317 / 86400</f>
        <v>4.9965277777777775E-2</v>
      </c>
      <c r="I854" t="s">
        <v>50</v>
      </c>
      <c r="J854" t="s">
        <v>139</v>
      </c>
      <c r="K854" s="5">
        <f>14943 / 86400</f>
        <v>0.17295138888888889</v>
      </c>
      <c r="L854" s="5">
        <f>571 / 86400</f>
        <v>6.6087962962962966E-3</v>
      </c>
    </row>
    <row r="855" spans="1:12" x14ac:dyDescent="0.25">
      <c r="A855" s="3">
        <v>45715.354965277773</v>
      </c>
      <c r="B855" t="s">
        <v>158</v>
      </c>
      <c r="C855" s="3">
        <v>45715.356226851851</v>
      </c>
      <c r="D855" t="s">
        <v>74</v>
      </c>
      <c r="E855" s="4">
        <v>9.7000000000000003E-2</v>
      </c>
      <c r="F855" s="4">
        <v>290.983</v>
      </c>
      <c r="G855" s="4">
        <v>291.08</v>
      </c>
      <c r="H855" s="5">
        <f>20 / 86400</f>
        <v>2.3148148148148149E-4</v>
      </c>
      <c r="I855" t="s">
        <v>141</v>
      </c>
      <c r="J855" t="s">
        <v>136</v>
      </c>
      <c r="K855" s="5">
        <f>109 / 86400</f>
        <v>1.261574074074074E-3</v>
      </c>
      <c r="L855" s="5">
        <f>14 / 86400</f>
        <v>1.6203703703703703E-4</v>
      </c>
    </row>
    <row r="856" spans="1:12" x14ac:dyDescent="0.25">
      <c r="A856" s="3">
        <v>45715.356388888889</v>
      </c>
      <c r="B856" t="s">
        <v>74</v>
      </c>
      <c r="C856" s="3">
        <v>45715.356469907405</v>
      </c>
      <c r="D856" t="s">
        <v>74</v>
      </c>
      <c r="E856" s="4">
        <v>0</v>
      </c>
      <c r="F856" s="4">
        <v>291.08</v>
      </c>
      <c r="G856" s="4">
        <v>291.08</v>
      </c>
      <c r="H856" s="5">
        <f>0 / 86400</f>
        <v>0</v>
      </c>
      <c r="I856" t="s">
        <v>21</v>
      </c>
      <c r="J856" t="s">
        <v>21</v>
      </c>
      <c r="K856" s="5">
        <f>7 / 86400</f>
        <v>8.1018518518518516E-5</v>
      </c>
      <c r="L856" s="5">
        <f>205 / 86400</f>
        <v>2.3726851851851851E-3</v>
      </c>
    </row>
    <row r="857" spans="1:12" x14ac:dyDescent="0.25">
      <c r="A857" s="3">
        <v>45715.358842592592</v>
      </c>
      <c r="B857" t="s">
        <v>74</v>
      </c>
      <c r="C857" s="3">
        <v>45715.58488425926</v>
      </c>
      <c r="D857" t="s">
        <v>35</v>
      </c>
      <c r="E857" s="4">
        <v>89.239000000000004</v>
      </c>
      <c r="F857" s="4">
        <v>291.08</v>
      </c>
      <c r="G857" s="4">
        <v>380.31900000000002</v>
      </c>
      <c r="H857" s="5">
        <f>6498 / 86400</f>
        <v>7.5208333333333335E-2</v>
      </c>
      <c r="I857" t="s">
        <v>33</v>
      </c>
      <c r="J857" t="s">
        <v>26</v>
      </c>
      <c r="K857" s="5">
        <f>19530 / 86400</f>
        <v>0.22604166666666667</v>
      </c>
      <c r="L857" s="5">
        <f>364 / 86400</f>
        <v>4.2129629629629626E-3</v>
      </c>
    </row>
    <row r="858" spans="1:12" x14ac:dyDescent="0.25">
      <c r="A858" s="3">
        <v>45715.589097222226</v>
      </c>
      <c r="B858" t="s">
        <v>35</v>
      </c>
      <c r="C858" s="3">
        <v>45715.589386574073</v>
      </c>
      <c r="D858" t="s">
        <v>454</v>
      </c>
      <c r="E858" s="4">
        <v>3.1E-2</v>
      </c>
      <c r="F858" s="4">
        <v>380.31900000000002</v>
      </c>
      <c r="G858" s="4">
        <v>380.35</v>
      </c>
      <c r="H858" s="5">
        <f>0 / 86400</f>
        <v>0</v>
      </c>
      <c r="I858" t="s">
        <v>123</v>
      </c>
      <c r="J858" t="s">
        <v>99</v>
      </c>
      <c r="K858" s="5">
        <f>24 / 86400</f>
        <v>2.7777777777777778E-4</v>
      </c>
      <c r="L858" s="5">
        <f>430 / 86400</f>
        <v>4.9768518518518521E-3</v>
      </c>
    </row>
    <row r="859" spans="1:12" x14ac:dyDescent="0.25">
      <c r="A859" s="3">
        <v>45715.594363425931</v>
      </c>
      <c r="B859" t="s">
        <v>454</v>
      </c>
      <c r="C859" s="3">
        <v>45715.594537037032</v>
      </c>
      <c r="D859" t="s">
        <v>454</v>
      </c>
      <c r="E859" s="4">
        <v>0</v>
      </c>
      <c r="F859" s="4">
        <v>380.35</v>
      </c>
      <c r="G859" s="4">
        <v>380.35</v>
      </c>
      <c r="H859" s="5">
        <f>0 / 86400</f>
        <v>0</v>
      </c>
      <c r="I859" t="s">
        <v>21</v>
      </c>
      <c r="J859" t="s">
        <v>21</v>
      </c>
      <c r="K859" s="5">
        <f>14 / 86400</f>
        <v>1.6203703703703703E-4</v>
      </c>
      <c r="L859" s="5">
        <f>472 / 86400</f>
        <v>5.4629629629629629E-3</v>
      </c>
    </row>
    <row r="860" spans="1:12" x14ac:dyDescent="0.25">
      <c r="A860" s="3">
        <v>45715.6</v>
      </c>
      <c r="B860" t="s">
        <v>454</v>
      </c>
      <c r="C860" s="3">
        <v>45715.603703703702</v>
      </c>
      <c r="D860" t="s">
        <v>35</v>
      </c>
      <c r="E860" s="4">
        <v>1.351</v>
      </c>
      <c r="F860" s="4">
        <v>380.35</v>
      </c>
      <c r="G860" s="4">
        <v>381.70100000000002</v>
      </c>
      <c r="H860" s="5">
        <f>139 / 86400</f>
        <v>1.6087962962962963E-3</v>
      </c>
      <c r="I860" t="s">
        <v>146</v>
      </c>
      <c r="J860" t="s">
        <v>39</v>
      </c>
      <c r="K860" s="5">
        <f>319 / 86400</f>
        <v>3.6921296296296298E-3</v>
      </c>
      <c r="L860" s="5">
        <f>1636 / 86400</f>
        <v>1.8935185185185187E-2</v>
      </c>
    </row>
    <row r="861" spans="1:12" x14ac:dyDescent="0.25">
      <c r="A861" s="3">
        <v>45715.62263888889</v>
      </c>
      <c r="B861" t="s">
        <v>35</v>
      </c>
      <c r="C861" s="3">
        <v>45715.623541666668</v>
      </c>
      <c r="D861" t="s">
        <v>93</v>
      </c>
      <c r="E861" s="4">
        <v>0.20100000000000001</v>
      </c>
      <c r="F861" s="4">
        <v>381.70100000000002</v>
      </c>
      <c r="G861" s="4">
        <v>381.90199999999999</v>
      </c>
      <c r="H861" s="5">
        <f>0 / 86400</f>
        <v>0</v>
      </c>
      <c r="I861" t="s">
        <v>39</v>
      </c>
      <c r="J861" t="s">
        <v>135</v>
      </c>
      <c r="K861" s="5">
        <f>77 / 86400</f>
        <v>8.9120370370370373E-4</v>
      </c>
      <c r="L861" s="5">
        <f>314 / 86400</f>
        <v>3.6342592592592594E-3</v>
      </c>
    </row>
    <row r="862" spans="1:12" x14ac:dyDescent="0.25">
      <c r="A862" s="3">
        <v>45715.627175925925</v>
      </c>
      <c r="B862" t="s">
        <v>93</v>
      </c>
      <c r="C862" s="3">
        <v>45715.826041666667</v>
      </c>
      <c r="D862" t="s">
        <v>396</v>
      </c>
      <c r="E862" s="4">
        <v>73.078999999999994</v>
      </c>
      <c r="F862" s="4">
        <v>381.90199999999999</v>
      </c>
      <c r="G862" s="4">
        <v>454.98099999999999</v>
      </c>
      <c r="H862" s="5">
        <f>5962 / 86400</f>
        <v>6.9004629629629624E-2</v>
      </c>
      <c r="I862" t="s">
        <v>75</v>
      </c>
      <c r="J862" t="s">
        <v>39</v>
      </c>
      <c r="K862" s="5">
        <f>17182 / 86400</f>
        <v>0.19886574074074073</v>
      </c>
      <c r="L862" s="5">
        <f>71 / 86400</f>
        <v>8.2175925925925927E-4</v>
      </c>
    </row>
    <row r="863" spans="1:12" x14ac:dyDescent="0.25">
      <c r="A863" s="3">
        <v>45715.826863425929</v>
      </c>
      <c r="B863" t="s">
        <v>455</v>
      </c>
      <c r="C863" s="3">
        <v>45715.994976851856</v>
      </c>
      <c r="D863" t="s">
        <v>70</v>
      </c>
      <c r="E863" s="4">
        <v>77.188000000000002</v>
      </c>
      <c r="F863" s="4">
        <v>454.98099999999999</v>
      </c>
      <c r="G863" s="4">
        <v>532.16899999999998</v>
      </c>
      <c r="H863" s="5">
        <f>4659 / 86400</f>
        <v>5.392361111111111E-2</v>
      </c>
      <c r="I863" t="s">
        <v>58</v>
      </c>
      <c r="J863" t="s">
        <v>62</v>
      </c>
      <c r="K863" s="5">
        <f>14524 / 86400</f>
        <v>0.16810185185185186</v>
      </c>
      <c r="L863" s="5">
        <f>433 / 86400</f>
        <v>5.0115740740740737E-3</v>
      </c>
    </row>
    <row r="864" spans="1:1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</row>
    <row r="865" spans="1:1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</row>
    <row r="866" spans="1:12" s="10" customFormat="1" ht="20.100000000000001" customHeight="1" x14ac:dyDescent="0.35">
      <c r="A866" s="11" t="s">
        <v>529</v>
      </c>
      <c r="B866" s="11"/>
      <c r="C866" s="11"/>
      <c r="D866" s="11"/>
      <c r="E866" s="11"/>
      <c r="F866" s="11"/>
      <c r="G866" s="11"/>
      <c r="H866" s="11"/>
      <c r="I866" s="11"/>
      <c r="J866" s="11"/>
    </row>
    <row r="867" spans="1:1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</row>
    <row r="868" spans="1:12" ht="30" x14ac:dyDescent="0.25">
      <c r="A868" s="2" t="s">
        <v>5</v>
      </c>
      <c r="B868" s="2" t="s">
        <v>6</v>
      </c>
      <c r="C868" s="2" t="s">
        <v>7</v>
      </c>
      <c r="D868" s="2" t="s">
        <v>8</v>
      </c>
      <c r="E868" s="2" t="s">
        <v>9</v>
      </c>
      <c r="F868" s="2" t="s">
        <v>10</v>
      </c>
      <c r="G868" s="2" t="s">
        <v>11</v>
      </c>
      <c r="H868" s="2" t="s">
        <v>12</v>
      </c>
      <c r="I868" s="2" t="s">
        <v>13</v>
      </c>
      <c r="J868" s="2" t="s">
        <v>14</v>
      </c>
      <c r="K868" s="2" t="s">
        <v>15</v>
      </c>
      <c r="L868" s="2" t="s">
        <v>16</v>
      </c>
    </row>
    <row r="869" spans="1:12" x14ac:dyDescent="0.25">
      <c r="A869" s="3">
        <v>45715.001643518517</v>
      </c>
      <c r="B869" t="s">
        <v>70</v>
      </c>
      <c r="C869" s="3">
        <v>45715.00409722222</v>
      </c>
      <c r="D869" t="s">
        <v>70</v>
      </c>
      <c r="E869" s="4">
        <v>0.86399999999999999</v>
      </c>
      <c r="F869" s="4">
        <v>531798.23100000003</v>
      </c>
      <c r="G869" s="4">
        <v>531799.09499999997</v>
      </c>
      <c r="H869" s="5">
        <f>0 / 86400</f>
        <v>0</v>
      </c>
      <c r="I869" t="s">
        <v>169</v>
      </c>
      <c r="J869" t="s">
        <v>39</v>
      </c>
      <c r="K869" s="5">
        <f>211 / 86400</f>
        <v>2.4421296296296296E-3</v>
      </c>
      <c r="L869" s="5">
        <f>16477 / 86400</f>
        <v>0.19070601851851851</v>
      </c>
    </row>
    <row r="870" spans="1:12" x14ac:dyDescent="0.25">
      <c r="A870" s="3">
        <v>45715.193159722221</v>
      </c>
      <c r="B870" t="s">
        <v>70</v>
      </c>
      <c r="C870" s="3">
        <v>45715.364733796298</v>
      </c>
      <c r="D870" t="s">
        <v>83</v>
      </c>
      <c r="E870" s="4">
        <v>88.629000000059605</v>
      </c>
      <c r="F870" s="4">
        <v>531799.09499999997</v>
      </c>
      <c r="G870" s="4">
        <v>531887.72400000005</v>
      </c>
      <c r="H870" s="5">
        <f>3661 / 86400</f>
        <v>4.2372685185185187E-2</v>
      </c>
      <c r="I870" t="s">
        <v>71</v>
      </c>
      <c r="J870" t="s">
        <v>34</v>
      </c>
      <c r="K870" s="5">
        <f>14824 / 86400</f>
        <v>0.17157407407407407</v>
      </c>
      <c r="L870" s="5">
        <f>1996 / 86400</f>
        <v>2.3101851851851853E-2</v>
      </c>
    </row>
    <row r="871" spans="1:12" x14ac:dyDescent="0.25">
      <c r="A871" s="3">
        <v>45715.387835648144</v>
      </c>
      <c r="B871" t="s">
        <v>83</v>
      </c>
      <c r="C871" s="3">
        <v>45715.39444444445</v>
      </c>
      <c r="D871" t="s">
        <v>122</v>
      </c>
      <c r="E871" s="4">
        <v>1.9619999999403954</v>
      </c>
      <c r="F871" s="4">
        <v>531887.72400000005</v>
      </c>
      <c r="G871" s="4">
        <v>531889.68599999999</v>
      </c>
      <c r="H871" s="5">
        <f>139 / 86400</f>
        <v>1.6087962962962963E-3</v>
      </c>
      <c r="I871" t="s">
        <v>205</v>
      </c>
      <c r="J871" t="s">
        <v>85</v>
      </c>
      <c r="K871" s="5">
        <f>571 / 86400</f>
        <v>6.6087962962962966E-3</v>
      </c>
      <c r="L871" s="5">
        <f>1010 / 86400</f>
        <v>1.1689814814814814E-2</v>
      </c>
    </row>
    <row r="872" spans="1:12" x14ac:dyDescent="0.25">
      <c r="A872" s="3">
        <v>45715.406134259261</v>
      </c>
      <c r="B872" t="s">
        <v>122</v>
      </c>
      <c r="C872" s="3">
        <v>45715.541655092587</v>
      </c>
      <c r="D872" t="s">
        <v>358</v>
      </c>
      <c r="E872" s="4">
        <v>50.497999999999998</v>
      </c>
      <c r="F872" s="4">
        <v>531889.68599999999</v>
      </c>
      <c r="G872" s="4">
        <v>531940.18400000001</v>
      </c>
      <c r="H872" s="5">
        <f>4694 / 86400</f>
        <v>5.4328703703703705E-2</v>
      </c>
      <c r="I872" t="s">
        <v>110</v>
      </c>
      <c r="J872" t="s">
        <v>26</v>
      </c>
      <c r="K872" s="5">
        <f>11709 / 86400</f>
        <v>0.13552083333333334</v>
      </c>
      <c r="L872" s="5">
        <f>171 / 86400</f>
        <v>1.9791666666666668E-3</v>
      </c>
    </row>
    <row r="873" spans="1:12" x14ac:dyDescent="0.25">
      <c r="A873" s="3">
        <v>45715.543634259258</v>
      </c>
      <c r="B873" t="s">
        <v>356</v>
      </c>
      <c r="C873" s="3">
        <v>45715.670798611114</v>
      </c>
      <c r="D873" t="s">
        <v>74</v>
      </c>
      <c r="E873" s="4">
        <v>49.945999999999998</v>
      </c>
      <c r="F873" s="4">
        <v>531940.18400000001</v>
      </c>
      <c r="G873" s="4">
        <v>531990.13</v>
      </c>
      <c r="H873" s="5">
        <f>3639 / 86400</f>
        <v>4.2118055555555554E-2</v>
      </c>
      <c r="I873" t="s">
        <v>218</v>
      </c>
      <c r="J873" t="s">
        <v>26</v>
      </c>
      <c r="K873" s="5">
        <f>10986 / 86400</f>
        <v>0.12715277777777778</v>
      </c>
      <c r="L873" s="5">
        <f>293 / 86400</f>
        <v>3.3912037037037036E-3</v>
      </c>
    </row>
    <row r="874" spans="1:12" x14ac:dyDescent="0.25">
      <c r="A874" s="3">
        <v>45715.674189814818</v>
      </c>
      <c r="B874" t="s">
        <v>74</v>
      </c>
      <c r="C874" s="3">
        <v>45715.677175925928</v>
      </c>
      <c r="D874" t="s">
        <v>106</v>
      </c>
      <c r="E874" s="4">
        <v>0.11</v>
      </c>
      <c r="F874" s="4">
        <v>531990.13</v>
      </c>
      <c r="G874" s="4">
        <v>531990.24</v>
      </c>
      <c r="H874" s="5">
        <f>180 / 86400</f>
        <v>2.0833333333333333E-3</v>
      </c>
      <c r="I874" t="s">
        <v>123</v>
      </c>
      <c r="J874" t="s">
        <v>29</v>
      </c>
      <c r="K874" s="5">
        <f>257 / 86400</f>
        <v>2.9745370370370373E-3</v>
      </c>
      <c r="L874" s="5">
        <f>65 / 86400</f>
        <v>7.5231481481481482E-4</v>
      </c>
    </row>
    <row r="875" spans="1:12" x14ac:dyDescent="0.25">
      <c r="A875" s="3">
        <v>45715.677928240737</v>
      </c>
      <c r="B875" t="s">
        <v>74</v>
      </c>
      <c r="C875" s="3">
        <v>45715.67833333333</v>
      </c>
      <c r="D875" t="s">
        <v>74</v>
      </c>
      <c r="E875" s="4">
        <v>1.2E-2</v>
      </c>
      <c r="F875" s="4">
        <v>531990.24</v>
      </c>
      <c r="G875" s="4">
        <v>531990.25199999998</v>
      </c>
      <c r="H875" s="5">
        <f>20 / 86400</f>
        <v>2.3148148148148149E-4</v>
      </c>
      <c r="I875" t="s">
        <v>143</v>
      </c>
      <c r="J875" t="s">
        <v>67</v>
      </c>
      <c r="K875" s="5">
        <f>35 / 86400</f>
        <v>4.0509259259259258E-4</v>
      </c>
      <c r="L875" s="5">
        <f>520 / 86400</f>
        <v>6.0185185185185185E-3</v>
      </c>
    </row>
    <row r="876" spans="1:12" x14ac:dyDescent="0.25">
      <c r="A876" s="3">
        <v>45715.684351851851</v>
      </c>
      <c r="B876" t="s">
        <v>74</v>
      </c>
      <c r="C876" s="3">
        <v>45715.68478009259</v>
      </c>
      <c r="D876" t="s">
        <v>74</v>
      </c>
      <c r="E876" s="4">
        <v>1.3999999940395354E-2</v>
      </c>
      <c r="F876" s="4">
        <v>531990.25199999998</v>
      </c>
      <c r="G876" s="4">
        <v>531990.26599999995</v>
      </c>
      <c r="H876" s="5">
        <f>20 / 86400</f>
        <v>2.3148148148148149E-4</v>
      </c>
      <c r="I876" t="s">
        <v>99</v>
      </c>
      <c r="J876" t="s">
        <v>67</v>
      </c>
      <c r="K876" s="5">
        <f>37 / 86400</f>
        <v>4.2824074074074075E-4</v>
      </c>
      <c r="L876" s="5">
        <f>2063 / 86400</f>
        <v>2.3877314814814816E-2</v>
      </c>
    </row>
    <row r="877" spans="1:12" x14ac:dyDescent="0.25">
      <c r="A877" s="3">
        <v>45715.708657407406</v>
      </c>
      <c r="B877" t="s">
        <v>106</v>
      </c>
      <c r="C877" s="3">
        <v>45715.713564814811</v>
      </c>
      <c r="D877" t="s">
        <v>74</v>
      </c>
      <c r="E877" s="4">
        <v>0.22000000011920928</v>
      </c>
      <c r="F877" s="4">
        <v>531990.26599999995</v>
      </c>
      <c r="G877" s="4">
        <v>531990.48600000003</v>
      </c>
      <c r="H877" s="5">
        <f>199 / 86400</f>
        <v>2.3032407407407407E-3</v>
      </c>
      <c r="I877" t="s">
        <v>19</v>
      </c>
      <c r="J877" t="s">
        <v>29</v>
      </c>
      <c r="K877" s="5">
        <f>424 / 86400</f>
        <v>4.9074074074074072E-3</v>
      </c>
      <c r="L877" s="5">
        <f>358 / 86400</f>
        <v>4.1435185185185186E-3</v>
      </c>
    </row>
    <row r="878" spans="1:12" x14ac:dyDescent="0.25">
      <c r="A878" s="3">
        <v>45715.717708333337</v>
      </c>
      <c r="B878" t="s">
        <v>74</v>
      </c>
      <c r="C878" s="3">
        <v>45715.747511574074</v>
      </c>
      <c r="D878" t="s">
        <v>32</v>
      </c>
      <c r="E878" s="4">
        <v>12.793999999940395</v>
      </c>
      <c r="F878" s="4">
        <v>531990.48600000003</v>
      </c>
      <c r="G878" s="4">
        <v>532003.28</v>
      </c>
      <c r="H878" s="5">
        <f>620 / 86400</f>
        <v>7.1759259259259259E-3</v>
      </c>
      <c r="I878" t="s">
        <v>218</v>
      </c>
      <c r="J878" t="s">
        <v>30</v>
      </c>
      <c r="K878" s="5">
        <f>2574 / 86400</f>
        <v>2.9791666666666668E-2</v>
      </c>
      <c r="L878" s="5">
        <f>17 / 86400</f>
        <v>1.9675925925925926E-4</v>
      </c>
    </row>
    <row r="879" spans="1:12" x14ac:dyDescent="0.25">
      <c r="A879" s="3">
        <v>45715.747708333336</v>
      </c>
      <c r="B879" t="s">
        <v>32</v>
      </c>
      <c r="C879" s="3">
        <v>45715.752337962964</v>
      </c>
      <c r="D879" t="s">
        <v>212</v>
      </c>
      <c r="E879" s="4">
        <v>4.1740000000000004</v>
      </c>
      <c r="F879" s="4">
        <v>532003.28</v>
      </c>
      <c r="G879" s="4">
        <v>532007.45400000003</v>
      </c>
      <c r="H879" s="5">
        <f>60 / 86400</f>
        <v>6.9444444444444447E-4</v>
      </c>
      <c r="I879" t="s">
        <v>65</v>
      </c>
      <c r="J879" t="s">
        <v>214</v>
      </c>
      <c r="K879" s="5">
        <f>400 / 86400</f>
        <v>4.6296296296296294E-3</v>
      </c>
      <c r="L879" s="5">
        <f>6 / 86400</f>
        <v>6.9444444444444444E-5</v>
      </c>
    </row>
    <row r="880" spans="1:12" x14ac:dyDescent="0.25">
      <c r="A880" s="3">
        <v>45715.752407407403</v>
      </c>
      <c r="B880" t="s">
        <v>212</v>
      </c>
      <c r="C880" s="3">
        <v>45715.753472222219</v>
      </c>
      <c r="D880" t="s">
        <v>35</v>
      </c>
      <c r="E880" s="4">
        <v>0.84899999994039532</v>
      </c>
      <c r="F880" s="4">
        <v>532007.45400000003</v>
      </c>
      <c r="G880" s="4">
        <v>532008.30299999996</v>
      </c>
      <c r="H880" s="5">
        <f>0 / 86400</f>
        <v>0</v>
      </c>
      <c r="I880" t="s">
        <v>213</v>
      </c>
      <c r="J880" t="s">
        <v>154</v>
      </c>
      <c r="K880" s="5">
        <f>91 / 86400</f>
        <v>1.0532407407407407E-3</v>
      </c>
      <c r="L880" s="5">
        <f>292 / 86400</f>
        <v>3.3796296296296296E-3</v>
      </c>
    </row>
    <row r="881" spans="1:12" x14ac:dyDescent="0.25">
      <c r="A881" s="3">
        <v>45715.756851851853</v>
      </c>
      <c r="B881" t="s">
        <v>35</v>
      </c>
      <c r="C881" s="3">
        <v>45715.761863425927</v>
      </c>
      <c r="D881" t="s">
        <v>70</v>
      </c>
      <c r="E881" s="4">
        <v>0.93800000011920925</v>
      </c>
      <c r="F881" s="4">
        <v>532008.30299999996</v>
      </c>
      <c r="G881" s="4">
        <v>532009.24100000004</v>
      </c>
      <c r="H881" s="5">
        <f>120 / 86400</f>
        <v>1.3888888888888889E-3</v>
      </c>
      <c r="I881" t="s">
        <v>139</v>
      </c>
      <c r="J881" t="s">
        <v>155</v>
      </c>
      <c r="K881" s="5">
        <f>433 / 86400</f>
        <v>5.0115740740740737E-3</v>
      </c>
      <c r="L881" s="5">
        <f>20574 / 86400</f>
        <v>0.238125</v>
      </c>
    </row>
    <row r="882" spans="1:12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</row>
    <row r="883" spans="1:1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2" s="10" customFormat="1" ht="20.100000000000001" customHeight="1" x14ac:dyDescent="0.35">
      <c r="A884" s="11" t="s">
        <v>530</v>
      </c>
      <c r="B884" s="11"/>
      <c r="C884" s="11"/>
      <c r="D884" s="11"/>
      <c r="E884" s="11"/>
      <c r="F884" s="11"/>
      <c r="G884" s="11"/>
      <c r="H884" s="11"/>
      <c r="I884" s="11"/>
      <c r="J884" s="11"/>
    </row>
    <row r="885" spans="1:12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</row>
    <row r="886" spans="1:12" ht="30" x14ac:dyDescent="0.25">
      <c r="A886" s="2" t="s">
        <v>5</v>
      </c>
      <c r="B886" s="2" t="s">
        <v>6</v>
      </c>
      <c r="C886" s="2" t="s">
        <v>7</v>
      </c>
      <c r="D886" s="2" t="s">
        <v>8</v>
      </c>
      <c r="E886" s="2" t="s">
        <v>9</v>
      </c>
      <c r="F886" s="2" t="s">
        <v>10</v>
      </c>
      <c r="G886" s="2" t="s">
        <v>11</v>
      </c>
      <c r="H886" s="2" t="s">
        <v>12</v>
      </c>
      <c r="I886" s="2" t="s">
        <v>13</v>
      </c>
      <c r="J886" s="2" t="s">
        <v>14</v>
      </c>
      <c r="K886" s="2" t="s">
        <v>15</v>
      </c>
      <c r="L886" s="2" t="s">
        <v>16</v>
      </c>
    </row>
    <row r="887" spans="1:12" x14ac:dyDescent="0.25">
      <c r="A887" s="3">
        <v>45715.201886574076</v>
      </c>
      <c r="B887" t="s">
        <v>24</v>
      </c>
      <c r="C887" s="3">
        <v>45715.203645833331</v>
      </c>
      <c r="D887" t="s">
        <v>24</v>
      </c>
      <c r="E887" s="4">
        <v>3.3000000000000002E-2</v>
      </c>
      <c r="F887" s="4">
        <v>570317.93099999998</v>
      </c>
      <c r="G887" s="4">
        <v>570317.96400000004</v>
      </c>
      <c r="H887" s="5">
        <f>119 / 86400</f>
        <v>1.3773148148148147E-3</v>
      </c>
      <c r="I887" t="s">
        <v>132</v>
      </c>
      <c r="J887" t="s">
        <v>67</v>
      </c>
      <c r="K887" s="5">
        <f>152 / 86400</f>
        <v>1.7592592592592592E-3</v>
      </c>
      <c r="L887" s="5">
        <f>18176 / 86400</f>
        <v>0.21037037037037037</v>
      </c>
    </row>
    <row r="888" spans="1:12" x14ac:dyDescent="0.25">
      <c r="A888" s="3">
        <v>45715.212129629625</v>
      </c>
      <c r="B888" t="s">
        <v>24</v>
      </c>
      <c r="C888" s="3">
        <v>45715.219953703709</v>
      </c>
      <c r="D888" t="s">
        <v>206</v>
      </c>
      <c r="E888" s="4">
        <v>4.2279999999999998</v>
      </c>
      <c r="F888" s="4">
        <v>570317.96400000004</v>
      </c>
      <c r="G888" s="4">
        <v>570322.19200000004</v>
      </c>
      <c r="H888" s="5">
        <f>200 / 86400</f>
        <v>2.3148148148148147E-3</v>
      </c>
      <c r="I888" t="s">
        <v>105</v>
      </c>
      <c r="J888" t="s">
        <v>163</v>
      </c>
      <c r="K888" s="5">
        <f>676 / 86400</f>
        <v>7.8240740740740736E-3</v>
      </c>
      <c r="L888" s="5">
        <f>141 / 86400</f>
        <v>1.6319444444444445E-3</v>
      </c>
    </row>
    <row r="889" spans="1:12" x14ac:dyDescent="0.25">
      <c r="A889" s="3">
        <v>45715.221585648149</v>
      </c>
      <c r="B889" t="s">
        <v>206</v>
      </c>
      <c r="C889" s="3">
        <v>45715.310659722221</v>
      </c>
      <c r="D889" t="s">
        <v>269</v>
      </c>
      <c r="E889" s="4">
        <v>31.318999999999999</v>
      </c>
      <c r="F889" s="4">
        <v>570322.19200000004</v>
      </c>
      <c r="G889" s="4">
        <v>570353.51100000006</v>
      </c>
      <c r="H889" s="5">
        <f>2839 / 86400</f>
        <v>3.2858796296296296E-2</v>
      </c>
      <c r="I889" t="s">
        <v>152</v>
      </c>
      <c r="J889" t="s">
        <v>39</v>
      </c>
      <c r="K889" s="5">
        <f>7696 / 86400</f>
        <v>8.9074074074074069E-2</v>
      </c>
      <c r="L889" s="5">
        <f>47 / 86400</f>
        <v>5.4398148148148144E-4</v>
      </c>
    </row>
    <row r="890" spans="1:12" x14ac:dyDescent="0.25">
      <c r="A890" s="3">
        <v>45715.311203703706</v>
      </c>
      <c r="B890" t="s">
        <v>269</v>
      </c>
      <c r="C890" s="3">
        <v>45715.432812500003</v>
      </c>
      <c r="D890" t="s">
        <v>83</v>
      </c>
      <c r="E890" s="4">
        <v>50.231999999999999</v>
      </c>
      <c r="F890" s="4">
        <v>570353.51100000006</v>
      </c>
      <c r="G890" s="4">
        <v>570403.74300000002</v>
      </c>
      <c r="H890" s="5">
        <f>2879 / 86400</f>
        <v>3.3321759259259259E-2</v>
      </c>
      <c r="I890" t="s">
        <v>103</v>
      </c>
      <c r="J890" t="s">
        <v>19</v>
      </c>
      <c r="K890" s="5">
        <f>10507 / 86400</f>
        <v>0.1216087962962963</v>
      </c>
      <c r="L890" s="5">
        <f>2137 / 86400</f>
        <v>2.4733796296296295E-2</v>
      </c>
    </row>
    <row r="891" spans="1:12" x14ac:dyDescent="0.25">
      <c r="A891" s="3">
        <v>45715.457546296297</v>
      </c>
      <c r="B891" t="s">
        <v>83</v>
      </c>
      <c r="C891" s="3">
        <v>45715.462187500001</v>
      </c>
      <c r="D891" t="s">
        <v>122</v>
      </c>
      <c r="E891" s="4">
        <v>1.21</v>
      </c>
      <c r="F891" s="4">
        <v>570403.74300000002</v>
      </c>
      <c r="G891" s="4">
        <v>570404.95299999998</v>
      </c>
      <c r="H891" s="5">
        <f>40 / 86400</f>
        <v>4.6296296296296298E-4</v>
      </c>
      <c r="I891" t="s">
        <v>131</v>
      </c>
      <c r="J891" t="s">
        <v>141</v>
      </c>
      <c r="K891" s="5">
        <f>400 / 86400</f>
        <v>4.6296296296296294E-3</v>
      </c>
      <c r="L891" s="5">
        <f>1242 / 86400</f>
        <v>1.4375000000000001E-2</v>
      </c>
    </row>
    <row r="892" spans="1:12" x14ac:dyDescent="0.25">
      <c r="A892" s="3">
        <v>45715.4765625</v>
      </c>
      <c r="B892" t="s">
        <v>122</v>
      </c>
      <c r="C892" s="3">
        <v>45715.607997685191</v>
      </c>
      <c r="D892" t="s">
        <v>433</v>
      </c>
      <c r="E892" s="4">
        <v>51.747</v>
      </c>
      <c r="F892" s="4">
        <v>570404.95299999998</v>
      </c>
      <c r="G892" s="4">
        <v>570456.69999999995</v>
      </c>
      <c r="H892" s="5">
        <f>3601 / 86400</f>
        <v>4.1678240740740738E-2</v>
      </c>
      <c r="I892" t="s">
        <v>61</v>
      </c>
      <c r="J892" t="s">
        <v>26</v>
      </c>
      <c r="K892" s="5">
        <f>11355 / 86400</f>
        <v>0.13142361111111112</v>
      </c>
      <c r="L892" s="5">
        <f>1923 / 86400</f>
        <v>2.2256944444444444E-2</v>
      </c>
    </row>
    <row r="893" spans="1:12" x14ac:dyDescent="0.25">
      <c r="A893" s="3">
        <v>45715.630254629628</v>
      </c>
      <c r="B893" t="s">
        <v>433</v>
      </c>
      <c r="C893" s="3">
        <v>45715.76489583333</v>
      </c>
      <c r="D893" t="s">
        <v>35</v>
      </c>
      <c r="E893" s="4">
        <v>39.744</v>
      </c>
      <c r="F893" s="4">
        <v>570456.69999999995</v>
      </c>
      <c r="G893" s="4">
        <v>570496.44400000002</v>
      </c>
      <c r="H893" s="5">
        <f>4920 / 86400</f>
        <v>5.6944444444444443E-2</v>
      </c>
      <c r="I893" t="s">
        <v>152</v>
      </c>
      <c r="J893" t="s">
        <v>85</v>
      </c>
      <c r="K893" s="5">
        <f>11633 / 86400</f>
        <v>0.13464120370370369</v>
      </c>
      <c r="L893" s="5">
        <f>529 / 86400</f>
        <v>6.122685185185185E-3</v>
      </c>
    </row>
    <row r="894" spans="1:12" x14ac:dyDescent="0.25">
      <c r="A894" s="3">
        <v>45715.771018518513</v>
      </c>
      <c r="B894" t="s">
        <v>35</v>
      </c>
      <c r="C894" s="3">
        <v>45715.773599537039</v>
      </c>
      <c r="D894" t="s">
        <v>35</v>
      </c>
      <c r="E894" s="4">
        <v>1.381</v>
      </c>
      <c r="F894" s="4">
        <v>570496.44400000002</v>
      </c>
      <c r="G894" s="4">
        <v>570497.82499999995</v>
      </c>
      <c r="H894" s="5">
        <f>60 / 86400</f>
        <v>6.9444444444444447E-4</v>
      </c>
      <c r="I894" t="s">
        <v>296</v>
      </c>
      <c r="J894" t="s">
        <v>34</v>
      </c>
      <c r="K894" s="5">
        <f>222 / 86400</f>
        <v>2.5694444444444445E-3</v>
      </c>
      <c r="L894" s="5">
        <f>19560 / 86400</f>
        <v>0.22638888888888889</v>
      </c>
    </row>
    <row r="895" spans="1:12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</row>
    <row r="896" spans="1:12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</row>
    <row r="897" spans="1:12" s="10" customFormat="1" ht="20.100000000000001" customHeight="1" x14ac:dyDescent="0.35">
      <c r="A897" s="11" t="s">
        <v>531</v>
      </c>
      <c r="B897" s="11"/>
      <c r="C897" s="11"/>
      <c r="D897" s="11"/>
      <c r="E897" s="11"/>
      <c r="F897" s="11"/>
      <c r="G897" s="11"/>
      <c r="H897" s="11"/>
      <c r="I897" s="11"/>
      <c r="J897" s="11"/>
    </row>
    <row r="898" spans="1:12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</row>
    <row r="899" spans="1:12" ht="30" x14ac:dyDescent="0.25">
      <c r="A899" s="2" t="s">
        <v>5</v>
      </c>
      <c r="B899" s="2" t="s">
        <v>6</v>
      </c>
      <c r="C899" s="2" t="s">
        <v>7</v>
      </c>
      <c r="D899" s="2" t="s">
        <v>8</v>
      </c>
      <c r="E899" s="2" t="s">
        <v>9</v>
      </c>
      <c r="F899" s="2" t="s">
        <v>10</v>
      </c>
      <c r="G899" s="2" t="s">
        <v>11</v>
      </c>
      <c r="H899" s="2" t="s">
        <v>12</v>
      </c>
      <c r="I899" s="2" t="s">
        <v>13</v>
      </c>
      <c r="J899" s="2" t="s">
        <v>14</v>
      </c>
      <c r="K899" s="2" t="s">
        <v>15</v>
      </c>
      <c r="L899" s="2" t="s">
        <v>16</v>
      </c>
    </row>
    <row r="900" spans="1:12" x14ac:dyDescent="0.25">
      <c r="A900" s="3">
        <v>45715.231111111112</v>
      </c>
      <c r="B900" t="s">
        <v>72</v>
      </c>
      <c r="C900" s="3">
        <v>45715.306493055556</v>
      </c>
      <c r="D900" t="s">
        <v>122</v>
      </c>
      <c r="E900" s="4">
        <v>38.378999999999998</v>
      </c>
      <c r="F900" s="4">
        <v>437246.41899999999</v>
      </c>
      <c r="G900" s="4">
        <v>437284.79800000001</v>
      </c>
      <c r="H900" s="5">
        <f>1460 / 86400</f>
        <v>1.6898148148148148E-2</v>
      </c>
      <c r="I900" t="s">
        <v>103</v>
      </c>
      <c r="J900" t="s">
        <v>139</v>
      </c>
      <c r="K900" s="5">
        <f>6513 / 86400</f>
        <v>7.5381944444444446E-2</v>
      </c>
      <c r="L900" s="5">
        <f>22031 / 86400</f>
        <v>0.25498842592592591</v>
      </c>
    </row>
    <row r="901" spans="1:12" x14ac:dyDescent="0.25">
      <c r="A901" s="3">
        <v>45715.330370370371</v>
      </c>
      <c r="B901" t="s">
        <v>122</v>
      </c>
      <c r="C901" s="3">
        <v>45715.332326388889</v>
      </c>
      <c r="D901" t="s">
        <v>46</v>
      </c>
      <c r="E901" s="4">
        <v>0.46200000000000002</v>
      </c>
      <c r="F901" s="4">
        <v>437284.79800000001</v>
      </c>
      <c r="G901" s="4">
        <v>437285.26</v>
      </c>
      <c r="H901" s="5">
        <f>20 / 86400</f>
        <v>2.3148148148148149E-4</v>
      </c>
      <c r="I901" t="s">
        <v>19</v>
      </c>
      <c r="J901" t="s">
        <v>28</v>
      </c>
      <c r="K901" s="5">
        <f>169 / 86400</f>
        <v>1.9560185185185184E-3</v>
      </c>
      <c r="L901" s="5">
        <f>3653 / 86400</f>
        <v>4.2280092592592591E-2</v>
      </c>
    </row>
    <row r="902" spans="1:12" x14ac:dyDescent="0.25">
      <c r="A902" s="3">
        <v>45715.374606481477</v>
      </c>
      <c r="B902" t="s">
        <v>456</v>
      </c>
      <c r="C902" s="3">
        <v>45715.628541666665</v>
      </c>
      <c r="D902" t="s">
        <v>124</v>
      </c>
      <c r="E902" s="4">
        <v>101.89400000000001</v>
      </c>
      <c r="F902" s="4">
        <v>437285.26</v>
      </c>
      <c r="G902" s="4">
        <v>437387.15399999998</v>
      </c>
      <c r="H902" s="5">
        <f>6282 / 86400</f>
        <v>7.2708333333333333E-2</v>
      </c>
      <c r="I902" t="s">
        <v>73</v>
      </c>
      <c r="J902" t="s">
        <v>19</v>
      </c>
      <c r="K902" s="5">
        <f>21940 / 86400</f>
        <v>0.25393518518518521</v>
      </c>
      <c r="L902" s="5">
        <f>4667 / 86400</f>
        <v>5.4016203703703705E-2</v>
      </c>
    </row>
    <row r="903" spans="1:12" x14ac:dyDescent="0.25">
      <c r="A903" s="3">
        <v>45715.682557870372</v>
      </c>
      <c r="B903" t="s">
        <v>124</v>
      </c>
      <c r="C903" s="3">
        <v>45715.688692129625</v>
      </c>
      <c r="D903" t="s">
        <v>74</v>
      </c>
      <c r="E903" s="4">
        <v>0.95</v>
      </c>
      <c r="F903" s="4">
        <v>437387.15399999998</v>
      </c>
      <c r="G903" s="4">
        <v>437388.10399999999</v>
      </c>
      <c r="H903" s="5">
        <f>180 / 86400</f>
        <v>2.0833333333333333E-3</v>
      </c>
      <c r="I903" t="s">
        <v>34</v>
      </c>
      <c r="J903" t="s">
        <v>123</v>
      </c>
      <c r="K903" s="5">
        <f>530 / 86400</f>
        <v>6.1342592592592594E-3</v>
      </c>
      <c r="L903" s="5">
        <f>363 / 86400</f>
        <v>4.2013888888888891E-3</v>
      </c>
    </row>
    <row r="904" spans="1:12" x14ac:dyDescent="0.25">
      <c r="A904" s="3">
        <v>45715.692893518513</v>
      </c>
      <c r="B904" t="s">
        <v>74</v>
      </c>
      <c r="C904" s="3">
        <v>45715.693576388891</v>
      </c>
      <c r="D904" t="s">
        <v>74</v>
      </c>
      <c r="E904" s="4">
        <v>2.1999999999999999E-2</v>
      </c>
      <c r="F904" s="4">
        <v>437388.10399999999</v>
      </c>
      <c r="G904" s="4">
        <v>437388.12599999999</v>
      </c>
      <c r="H904" s="5">
        <f>20 / 86400</f>
        <v>2.3148148148148149E-4</v>
      </c>
      <c r="I904" t="s">
        <v>67</v>
      </c>
      <c r="J904" t="s">
        <v>67</v>
      </c>
      <c r="K904" s="5">
        <f>58 / 86400</f>
        <v>6.7129629629629625E-4</v>
      </c>
      <c r="L904" s="5">
        <f>1538 / 86400</f>
        <v>1.7800925925925925E-2</v>
      </c>
    </row>
    <row r="905" spans="1:12" x14ac:dyDescent="0.25">
      <c r="A905" s="3">
        <v>45715.711377314816</v>
      </c>
      <c r="B905" t="s">
        <v>74</v>
      </c>
      <c r="C905" s="3">
        <v>45715.919837962967</v>
      </c>
      <c r="D905" t="s">
        <v>457</v>
      </c>
      <c r="E905" s="4">
        <v>71.983000000000004</v>
      </c>
      <c r="F905" s="4">
        <v>437388.12599999999</v>
      </c>
      <c r="G905" s="4">
        <v>437460.109</v>
      </c>
      <c r="H905" s="5">
        <f>6200 / 86400</f>
        <v>7.1759259259259259E-2</v>
      </c>
      <c r="I905" t="s">
        <v>38</v>
      </c>
      <c r="J905" t="s">
        <v>41</v>
      </c>
      <c r="K905" s="5">
        <f>18010 / 86400</f>
        <v>0.20844907407407406</v>
      </c>
      <c r="L905" s="5">
        <f>588 / 86400</f>
        <v>6.8055555555555551E-3</v>
      </c>
    </row>
    <row r="906" spans="1:12" x14ac:dyDescent="0.25">
      <c r="A906" s="3">
        <v>45715.92664351852</v>
      </c>
      <c r="B906" t="s">
        <v>458</v>
      </c>
      <c r="C906" s="3">
        <v>45715.928912037038</v>
      </c>
      <c r="D906" t="s">
        <v>457</v>
      </c>
      <c r="E906" s="4">
        <v>4.3999999999999997E-2</v>
      </c>
      <c r="F906" s="4">
        <v>437460.109</v>
      </c>
      <c r="G906" s="4">
        <v>437460.15299999999</v>
      </c>
      <c r="H906" s="5">
        <f>139 / 86400</f>
        <v>1.6087962962962963E-3</v>
      </c>
      <c r="I906" t="s">
        <v>143</v>
      </c>
      <c r="J906" t="s">
        <v>67</v>
      </c>
      <c r="K906" s="5">
        <f>196 / 86400</f>
        <v>2.2685185185185187E-3</v>
      </c>
      <c r="L906" s="5">
        <f>1264 / 86400</f>
        <v>1.462962962962963E-2</v>
      </c>
    </row>
    <row r="907" spans="1:12" x14ac:dyDescent="0.25">
      <c r="A907" s="3">
        <v>45715.943541666667</v>
      </c>
      <c r="B907" t="s">
        <v>457</v>
      </c>
      <c r="C907" s="3">
        <v>45715.950138888889</v>
      </c>
      <c r="D907" t="s">
        <v>459</v>
      </c>
      <c r="E907" s="4">
        <v>0.56599999999999995</v>
      </c>
      <c r="F907" s="4">
        <v>437460.15299999999</v>
      </c>
      <c r="G907" s="4">
        <v>437460.71899999998</v>
      </c>
      <c r="H907" s="5">
        <f>420 / 86400</f>
        <v>4.8611111111111112E-3</v>
      </c>
      <c r="I907" t="s">
        <v>221</v>
      </c>
      <c r="J907" t="s">
        <v>132</v>
      </c>
      <c r="K907" s="5">
        <f>569 / 86400</f>
        <v>6.5856481481481478E-3</v>
      </c>
      <c r="L907" s="5">
        <f>447 / 86400</f>
        <v>5.1736111111111115E-3</v>
      </c>
    </row>
    <row r="908" spans="1:12" x14ac:dyDescent="0.25">
      <c r="A908" s="3">
        <v>45715.955312499995</v>
      </c>
      <c r="B908" t="s">
        <v>459</v>
      </c>
      <c r="C908" s="3">
        <v>45715.958402777775</v>
      </c>
      <c r="D908" t="s">
        <v>459</v>
      </c>
      <c r="E908" s="4">
        <v>3.5999999999999997E-2</v>
      </c>
      <c r="F908" s="4">
        <v>437460.71899999998</v>
      </c>
      <c r="G908" s="4">
        <v>437460.755</v>
      </c>
      <c r="H908" s="5">
        <f>259 / 86400</f>
        <v>2.9976851851851853E-3</v>
      </c>
      <c r="I908" t="s">
        <v>21</v>
      </c>
      <c r="J908" t="s">
        <v>21</v>
      </c>
      <c r="K908" s="5">
        <f>266 / 86400</f>
        <v>3.0787037037037037E-3</v>
      </c>
      <c r="L908" s="5">
        <f>719 / 86400</f>
        <v>8.3217592592592596E-3</v>
      </c>
    </row>
    <row r="909" spans="1:12" x14ac:dyDescent="0.25">
      <c r="A909" s="3">
        <v>45715.966724537036</v>
      </c>
      <c r="B909" t="s">
        <v>459</v>
      </c>
      <c r="C909" s="3">
        <v>45715.971087962964</v>
      </c>
      <c r="D909" t="s">
        <v>460</v>
      </c>
      <c r="E909" s="4">
        <v>0.52800000000000002</v>
      </c>
      <c r="F909" s="4">
        <v>437460.755</v>
      </c>
      <c r="G909" s="4">
        <v>437461.283</v>
      </c>
      <c r="H909" s="5">
        <f>220 / 86400</f>
        <v>2.5462962962962965E-3</v>
      </c>
      <c r="I909" t="s">
        <v>116</v>
      </c>
      <c r="J909" t="s">
        <v>99</v>
      </c>
      <c r="K909" s="5">
        <f>376 / 86400</f>
        <v>4.3518518518518515E-3</v>
      </c>
      <c r="L909" s="5">
        <f>1338 / 86400</f>
        <v>1.5486111111111112E-2</v>
      </c>
    </row>
    <row r="910" spans="1:12" x14ac:dyDescent="0.25">
      <c r="A910" s="3">
        <v>45715.986574074079</v>
      </c>
      <c r="B910" t="s">
        <v>460</v>
      </c>
      <c r="C910" s="3">
        <v>45715.992118055554</v>
      </c>
      <c r="D910" t="s">
        <v>72</v>
      </c>
      <c r="E910" s="4">
        <v>0.65100000000000002</v>
      </c>
      <c r="F910" s="4">
        <v>437461.283</v>
      </c>
      <c r="G910" s="4">
        <v>437461.93400000001</v>
      </c>
      <c r="H910" s="5">
        <f>240 / 86400</f>
        <v>2.7777777777777779E-3</v>
      </c>
      <c r="I910" t="s">
        <v>153</v>
      </c>
      <c r="J910" t="s">
        <v>99</v>
      </c>
      <c r="K910" s="5">
        <f>478 / 86400</f>
        <v>5.5324074074074078E-3</v>
      </c>
      <c r="L910" s="5">
        <f>680 / 86400</f>
        <v>7.8703703703703696E-3</v>
      </c>
    </row>
    <row r="911" spans="1:12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</row>
    <row r="912" spans="1:12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</row>
    <row r="913" spans="1:12" s="10" customFormat="1" ht="20.100000000000001" customHeight="1" x14ac:dyDescent="0.35">
      <c r="A913" s="11" t="s">
        <v>532</v>
      </c>
      <c r="B913" s="11"/>
      <c r="C913" s="11"/>
      <c r="D913" s="11"/>
      <c r="E913" s="11"/>
      <c r="F913" s="11"/>
      <c r="G913" s="11"/>
      <c r="H913" s="11"/>
      <c r="I913" s="11"/>
      <c r="J913" s="11"/>
    </row>
    <row r="914" spans="1:12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</row>
    <row r="915" spans="1:12" ht="30" x14ac:dyDescent="0.25">
      <c r="A915" s="2" t="s">
        <v>5</v>
      </c>
      <c r="B915" s="2" t="s">
        <v>6</v>
      </c>
      <c r="C915" s="2" t="s">
        <v>7</v>
      </c>
      <c r="D915" s="2" t="s">
        <v>8</v>
      </c>
      <c r="E915" s="2" t="s">
        <v>9</v>
      </c>
      <c r="F915" s="2" t="s">
        <v>10</v>
      </c>
      <c r="G915" s="2" t="s">
        <v>11</v>
      </c>
      <c r="H915" s="2" t="s">
        <v>12</v>
      </c>
      <c r="I915" s="2" t="s">
        <v>13</v>
      </c>
      <c r="J915" s="2" t="s">
        <v>14</v>
      </c>
      <c r="K915" s="2" t="s">
        <v>15</v>
      </c>
      <c r="L915" s="2" t="s">
        <v>16</v>
      </c>
    </row>
    <row r="916" spans="1:12" x14ac:dyDescent="0.25">
      <c r="A916" s="3">
        <v>45715.208055555559</v>
      </c>
      <c r="B916" t="s">
        <v>74</v>
      </c>
      <c r="C916" s="3">
        <v>45715.213993055557</v>
      </c>
      <c r="D916" t="s">
        <v>148</v>
      </c>
      <c r="E916" s="4">
        <v>0.82</v>
      </c>
      <c r="F916" s="4">
        <v>518272.92700000003</v>
      </c>
      <c r="G916" s="4">
        <v>518273.74699999997</v>
      </c>
      <c r="H916" s="5">
        <f>269 / 86400</f>
        <v>3.1134259259259257E-3</v>
      </c>
      <c r="I916" t="s">
        <v>116</v>
      </c>
      <c r="J916" t="s">
        <v>123</v>
      </c>
      <c r="K916" s="5">
        <f>513 / 86400</f>
        <v>5.9375000000000001E-3</v>
      </c>
      <c r="L916" s="5">
        <f>19998 / 86400</f>
        <v>0.23145833333333332</v>
      </c>
    </row>
    <row r="917" spans="1:12" x14ac:dyDescent="0.25">
      <c r="A917" s="3">
        <v>45715.237395833334</v>
      </c>
      <c r="B917" t="s">
        <v>148</v>
      </c>
      <c r="C917" s="3">
        <v>45715.263703703706</v>
      </c>
      <c r="D917" t="s">
        <v>32</v>
      </c>
      <c r="E917" s="4">
        <v>13.273</v>
      </c>
      <c r="F917" s="4">
        <v>518273.74699999997</v>
      </c>
      <c r="G917" s="4">
        <v>518287.02</v>
      </c>
      <c r="H917" s="5">
        <f>750 / 86400</f>
        <v>8.6805555555555559E-3</v>
      </c>
      <c r="I917" t="s">
        <v>152</v>
      </c>
      <c r="J917" t="s">
        <v>139</v>
      </c>
      <c r="K917" s="5">
        <f>2273 / 86400</f>
        <v>2.630787037037037E-2</v>
      </c>
      <c r="L917" s="5">
        <f>8 / 86400</f>
        <v>9.2592592592592588E-5</v>
      </c>
    </row>
    <row r="918" spans="1:12" x14ac:dyDescent="0.25">
      <c r="A918" s="3">
        <v>45715.263796296298</v>
      </c>
      <c r="B918" t="s">
        <v>210</v>
      </c>
      <c r="C918" s="3">
        <v>45715.313055555554</v>
      </c>
      <c r="D918" t="s">
        <v>109</v>
      </c>
      <c r="E918" s="4">
        <v>22.908000000000001</v>
      </c>
      <c r="F918" s="4">
        <v>518287.11099999998</v>
      </c>
      <c r="G918" s="4">
        <v>518310.01899999997</v>
      </c>
      <c r="H918" s="5">
        <f>1260 / 86400</f>
        <v>1.4583333333333334E-2</v>
      </c>
      <c r="I918" t="s">
        <v>75</v>
      </c>
      <c r="J918" t="s">
        <v>62</v>
      </c>
      <c r="K918" s="5">
        <f>4256 / 86400</f>
        <v>4.925925925925926E-2</v>
      </c>
      <c r="L918" s="5">
        <f>6 / 86400</f>
        <v>6.9444444444444444E-5</v>
      </c>
    </row>
    <row r="919" spans="1:12" x14ac:dyDescent="0.25">
      <c r="A919" s="3">
        <v>45715.313125000001</v>
      </c>
      <c r="B919" t="s">
        <v>237</v>
      </c>
      <c r="C919" s="3">
        <v>45715.313599537039</v>
      </c>
      <c r="D919" t="s">
        <v>64</v>
      </c>
      <c r="E919" s="4">
        <v>0.312</v>
      </c>
      <c r="F919" s="4">
        <v>518310.03200000001</v>
      </c>
      <c r="G919" s="4">
        <v>518310.34399999998</v>
      </c>
      <c r="H919" s="5">
        <f>0 / 86400</f>
        <v>0</v>
      </c>
      <c r="I919" t="s">
        <v>236</v>
      </c>
      <c r="J919" t="s">
        <v>131</v>
      </c>
      <c r="K919" s="5">
        <f>41 / 86400</f>
        <v>4.7453703703703704E-4</v>
      </c>
      <c r="L919" s="5">
        <f>5 / 86400</f>
        <v>5.7870370370370373E-5</v>
      </c>
    </row>
    <row r="920" spans="1:12" x14ac:dyDescent="0.25">
      <c r="A920" s="3">
        <v>45715.313657407409</v>
      </c>
      <c r="B920" t="s">
        <v>461</v>
      </c>
      <c r="C920" s="3">
        <v>45715.326851851853</v>
      </c>
      <c r="D920" t="s">
        <v>462</v>
      </c>
      <c r="E920" s="4">
        <v>3.6579999999999999</v>
      </c>
      <c r="F920" s="4">
        <v>518310.35100000002</v>
      </c>
      <c r="G920" s="4">
        <v>518314.00900000002</v>
      </c>
      <c r="H920" s="5">
        <f>510 / 86400</f>
        <v>5.9027777777777776E-3</v>
      </c>
      <c r="I920" t="s">
        <v>172</v>
      </c>
      <c r="J920" t="s">
        <v>85</v>
      </c>
      <c r="K920" s="5">
        <f>1140 / 86400</f>
        <v>1.3194444444444444E-2</v>
      </c>
      <c r="L920" s="5">
        <f>9 / 86400</f>
        <v>1.0416666666666667E-4</v>
      </c>
    </row>
    <row r="921" spans="1:12" x14ac:dyDescent="0.25">
      <c r="A921" s="3">
        <v>45715.326956018514</v>
      </c>
      <c r="B921" t="s">
        <v>463</v>
      </c>
      <c r="C921" s="3">
        <v>45715.328148148154</v>
      </c>
      <c r="D921" t="s">
        <v>246</v>
      </c>
      <c r="E921" s="4">
        <v>0.443</v>
      </c>
      <c r="F921" s="4">
        <v>518314.04100000003</v>
      </c>
      <c r="G921" s="4">
        <v>518314.484</v>
      </c>
      <c r="H921" s="5">
        <f>0 / 86400</f>
        <v>0</v>
      </c>
      <c r="I921" t="s">
        <v>226</v>
      </c>
      <c r="J921" t="s">
        <v>39</v>
      </c>
      <c r="K921" s="5">
        <f>103 / 86400</f>
        <v>1.1921296296296296E-3</v>
      </c>
      <c r="L921" s="5">
        <f>10 / 86400</f>
        <v>1.1574074074074075E-4</v>
      </c>
    </row>
    <row r="922" spans="1:12" x14ac:dyDescent="0.25">
      <c r="A922" s="3">
        <v>45715.328263888892</v>
      </c>
      <c r="B922" t="s">
        <v>246</v>
      </c>
      <c r="C922" s="3">
        <v>45715.329907407402</v>
      </c>
      <c r="D922" t="s">
        <v>246</v>
      </c>
      <c r="E922" s="4">
        <v>0.45200000000000001</v>
      </c>
      <c r="F922" s="4">
        <v>518314.49800000002</v>
      </c>
      <c r="G922" s="4">
        <v>518314.95</v>
      </c>
      <c r="H922" s="5">
        <f>27 / 86400</f>
        <v>3.1250000000000001E-4</v>
      </c>
      <c r="I922" t="s">
        <v>176</v>
      </c>
      <c r="J922" t="s">
        <v>141</v>
      </c>
      <c r="K922" s="5">
        <f>142 / 86400</f>
        <v>1.6435185185185185E-3</v>
      </c>
      <c r="L922" s="5">
        <f>3 / 86400</f>
        <v>3.4722222222222222E-5</v>
      </c>
    </row>
    <row r="923" spans="1:12" x14ac:dyDescent="0.25">
      <c r="A923" s="3">
        <v>45715.329942129625</v>
      </c>
      <c r="B923" t="s">
        <v>464</v>
      </c>
      <c r="C923" s="3">
        <v>45715.330277777779</v>
      </c>
      <c r="D923" t="s">
        <v>465</v>
      </c>
      <c r="E923" s="4">
        <v>0.121</v>
      </c>
      <c r="F923" s="4">
        <v>518314.95400000003</v>
      </c>
      <c r="G923" s="4">
        <v>518315.07500000001</v>
      </c>
      <c r="H923" s="5">
        <f t="shared" ref="H923:H930" si="7">0 / 86400</f>
        <v>0</v>
      </c>
      <c r="I923" t="s">
        <v>85</v>
      </c>
      <c r="J923" t="s">
        <v>39</v>
      </c>
      <c r="K923" s="5">
        <f>29 / 86400</f>
        <v>3.3564814814814812E-4</v>
      </c>
      <c r="L923" s="5">
        <f>2 / 86400</f>
        <v>2.3148148148148147E-5</v>
      </c>
    </row>
    <row r="924" spans="1:12" x14ac:dyDescent="0.25">
      <c r="A924" s="3">
        <v>45715.330300925925</v>
      </c>
      <c r="B924" t="s">
        <v>465</v>
      </c>
      <c r="C924" s="3">
        <v>45715.331134259264</v>
      </c>
      <c r="D924" t="s">
        <v>291</v>
      </c>
      <c r="E924" s="4">
        <v>0.27200000000000002</v>
      </c>
      <c r="F924" s="4">
        <v>518315.08100000001</v>
      </c>
      <c r="G924" s="4">
        <v>518315.353</v>
      </c>
      <c r="H924" s="5">
        <f t="shared" si="7"/>
        <v>0</v>
      </c>
      <c r="I924" t="s">
        <v>205</v>
      </c>
      <c r="J924" t="s">
        <v>41</v>
      </c>
      <c r="K924" s="5">
        <f>72 / 86400</f>
        <v>8.3333333333333339E-4</v>
      </c>
      <c r="L924" s="5">
        <f>23 / 86400</f>
        <v>2.6620370370370372E-4</v>
      </c>
    </row>
    <row r="925" spans="1:12" x14ac:dyDescent="0.25">
      <c r="A925" s="3">
        <v>45715.331400462965</v>
      </c>
      <c r="B925" t="s">
        <v>466</v>
      </c>
      <c r="C925" s="3">
        <v>45715.331435185188</v>
      </c>
      <c r="D925" t="s">
        <v>466</v>
      </c>
      <c r="E925" s="4">
        <v>7.0000000000000001E-3</v>
      </c>
      <c r="F925" s="4">
        <v>518315.37300000002</v>
      </c>
      <c r="G925" s="4">
        <v>518315.38</v>
      </c>
      <c r="H925" s="5">
        <f t="shared" si="7"/>
        <v>0</v>
      </c>
      <c r="I925" t="s">
        <v>39</v>
      </c>
      <c r="J925" t="s">
        <v>155</v>
      </c>
      <c r="K925" s="5">
        <f>3 / 86400</f>
        <v>3.4722222222222222E-5</v>
      </c>
      <c r="L925" s="5">
        <f>1 / 86400</f>
        <v>1.1574074074074073E-5</v>
      </c>
    </row>
    <row r="926" spans="1:12" x14ac:dyDescent="0.25">
      <c r="A926" s="3">
        <v>45715.331446759257</v>
      </c>
      <c r="B926" t="s">
        <v>466</v>
      </c>
      <c r="C926" s="3">
        <v>45715.331493055557</v>
      </c>
      <c r="D926" t="s">
        <v>466</v>
      </c>
      <c r="E926" s="4">
        <v>3.0000000000000001E-3</v>
      </c>
      <c r="F926" s="4">
        <v>518315.38299999997</v>
      </c>
      <c r="G926" s="4">
        <v>518315.386</v>
      </c>
      <c r="H926" s="5">
        <f t="shared" si="7"/>
        <v>0</v>
      </c>
      <c r="I926" t="s">
        <v>135</v>
      </c>
      <c r="J926" t="s">
        <v>136</v>
      </c>
      <c r="K926" s="5">
        <f>4 / 86400</f>
        <v>4.6296296296296294E-5</v>
      </c>
      <c r="L926" s="5">
        <f>32 / 86400</f>
        <v>3.7037037037037035E-4</v>
      </c>
    </row>
    <row r="927" spans="1:12" x14ac:dyDescent="0.25">
      <c r="A927" s="3">
        <v>45715.331863425927</v>
      </c>
      <c r="B927" t="s">
        <v>290</v>
      </c>
      <c r="C927" s="3">
        <v>45715.331932870366</v>
      </c>
      <c r="D927" t="s">
        <v>290</v>
      </c>
      <c r="E927" s="4">
        <v>2E-3</v>
      </c>
      <c r="F927" s="4">
        <v>518315.44500000001</v>
      </c>
      <c r="G927" s="4">
        <v>518315.44699999999</v>
      </c>
      <c r="H927" s="5">
        <f t="shared" si="7"/>
        <v>0</v>
      </c>
      <c r="I927" t="s">
        <v>155</v>
      </c>
      <c r="J927" t="s">
        <v>67</v>
      </c>
      <c r="K927" s="5">
        <f>6 / 86400</f>
        <v>6.9444444444444444E-5</v>
      </c>
      <c r="L927" s="5">
        <f>6 / 86400</f>
        <v>6.9444444444444444E-5</v>
      </c>
    </row>
    <row r="928" spans="1:12" x14ac:dyDescent="0.25">
      <c r="A928" s="3">
        <v>45715.332002314812</v>
      </c>
      <c r="B928" t="s">
        <v>290</v>
      </c>
      <c r="C928" s="3">
        <v>45715.332245370373</v>
      </c>
      <c r="D928" t="s">
        <v>290</v>
      </c>
      <c r="E928" s="4">
        <v>0.04</v>
      </c>
      <c r="F928" s="4">
        <v>518315.44699999999</v>
      </c>
      <c r="G928" s="4">
        <v>518315.48700000002</v>
      </c>
      <c r="H928" s="5">
        <f t="shared" si="7"/>
        <v>0</v>
      </c>
      <c r="I928" t="s">
        <v>135</v>
      </c>
      <c r="J928" t="s">
        <v>143</v>
      </c>
      <c r="K928" s="5">
        <f>21 / 86400</f>
        <v>2.4305555555555555E-4</v>
      </c>
      <c r="L928" s="5">
        <f>2 / 86400</f>
        <v>2.3148148148148147E-5</v>
      </c>
    </row>
    <row r="929" spans="1:12" x14ac:dyDescent="0.25">
      <c r="A929" s="3">
        <v>45715.332268518519</v>
      </c>
      <c r="B929" t="s">
        <v>290</v>
      </c>
      <c r="C929" s="3">
        <v>45715.332777777774</v>
      </c>
      <c r="D929" t="s">
        <v>467</v>
      </c>
      <c r="E929" s="4">
        <v>9.7000000000000003E-2</v>
      </c>
      <c r="F929" s="4">
        <v>518315.49</v>
      </c>
      <c r="G929" s="4">
        <v>518315.587</v>
      </c>
      <c r="H929" s="5">
        <f t="shared" si="7"/>
        <v>0</v>
      </c>
      <c r="I929" t="s">
        <v>85</v>
      </c>
      <c r="J929" t="s">
        <v>155</v>
      </c>
      <c r="K929" s="5">
        <f>44 / 86400</f>
        <v>5.0925925925925921E-4</v>
      </c>
      <c r="L929" s="5">
        <f>5 / 86400</f>
        <v>5.7870370370370373E-5</v>
      </c>
    </row>
    <row r="930" spans="1:12" x14ac:dyDescent="0.25">
      <c r="A930" s="3">
        <v>45715.332835648151</v>
      </c>
      <c r="B930" t="s">
        <v>467</v>
      </c>
      <c r="C930" s="3">
        <v>45715.33326388889</v>
      </c>
      <c r="D930" t="s">
        <v>290</v>
      </c>
      <c r="E930" s="4">
        <v>9.9000000000000005E-2</v>
      </c>
      <c r="F930" s="4">
        <v>518315.60100000002</v>
      </c>
      <c r="G930" s="4">
        <v>518315.7</v>
      </c>
      <c r="H930" s="5">
        <f t="shared" si="7"/>
        <v>0</v>
      </c>
      <c r="I930" t="s">
        <v>26</v>
      </c>
      <c r="J930" t="s">
        <v>28</v>
      </c>
      <c r="K930" s="5">
        <f>37 / 86400</f>
        <v>4.2824074074074075E-4</v>
      </c>
      <c r="L930" s="5">
        <f>1 / 86400</f>
        <v>1.1574074074074073E-5</v>
      </c>
    </row>
    <row r="931" spans="1:12" x14ac:dyDescent="0.25">
      <c r="A931" s="3">
        <v>45715.333275462966</v>
      </c>
      <c r="B931" t="s">
        <v>290</v>
      </c>
      <c r="C931" s="3">
        <v>45715.333449074074</v>
      </c>
      <c r="D931" t="s">
        <v>290</v>
      </c>
      <c r="E931" s="4">
        <v>0</v>
      </c>
      <c r="F931" s="4">
        <v>518315.7</v>
      </c>
      <c r="G931" s="4">
        <v>518315.7</v>
      </c>
      <c r="H931" s="5">
        <f>1 / 86400</f>
        <v>1.1574074074074073E-5</v>
      </c>
      <c r="I931" t="s">
        <v>99</v>
      </c>
      <c r="J931" t="s">
        <v>21</v>
      </c>
      <c r="K931" s="5">
        <f>15 / 86400</f>
        <v>1.7361111111111112E-4</v>
      </c>
      <c r="L931" s="5">
        <f>16 / 86400</f>
        <v>1.8518518518518518E-4</v>
      </c>
    </row>
    <row r="932" spans="1:12" x14ac:dyDescent="0.25">
      <c r="A932" s="3">
        <v>45715.333634259259</v>
      </c>
      <c r="B932" t="s">
        <v>290</v>
      </c>
      <c r="C932" s="3">
        <v>45715.333726851852</v>
      </c>
      <c r="D932" t="s">
        <v>468</v>
      </c>
      <c r="E932" s="4">
        <v>2E-3</v>
      </c>
      <c r="F932" s="4">
        <v>518315.71399999998</v>
      </c>
      <c r="G932" s="4">
        <v>518315.71600000001</v>
      </c>
      <c r="H932" s="5">
        <f>1 / 86400</f>
        <v>1.1574074074074073E-5</v>
      </c>
      <c r="I932" t="s">
        <v>135</v>
      </c>
      <c r="J932" t="s">
        <v>67</v>
      </c>
      <c r="K932" s="5">
        <f>8 / 86400</f>
        <v>9.2592592592592588E-5</v>
      </c>
      <c r="L932" s="5">
        <f>5 / 86400</f>
        <v>5.7870370370370373E-5</v>
      </c>
    </row>
    <row r="933" spans="1:12" x14ac:dyDescent="0.25">
      <c r="A933" s="3">
        <v>45715.333784722221</v>
      </c>
      <c r="B933" t="s">
        <v>468</v>
      </c>
      <c r="C933" s="3">
        <v>45715.333819444444</v>
      </c>
      <c r="D933" t="s">
        <v>469</v>
      </c>
      <c r="E933" s="4">
        <v>0</v>
      </c>
      <c r="F933" s="4">
        <v>518315.72200000001</v>
      </c>
      <c r="G933" s="4">
        <v>518315.72200000001</v>
      </c>
      <c r="H933" s="5">
        <f>0 / 86400</f>
        <v>0</v>
      </c>
      <c r="I933" t="s">
        <v>141</v>
      </c>
      <c r="J933" t="s">
        <v>21</v>
      </c>
      <c r="K933" s="5">
        <f>3 / 86400</f>
        <v>3.4722222222222222E-5</v>
      </c>
      <c r="L933" s="5">
        <f>5 / 86400</f>
        <v>5.7870370370370373E-5</v>
      </c>
    </row>
    <row r="934" spans="1:12" x14ac:dyDescent="0.25">
      <c r="A934" s="3">
        <v>45715.333877314813</v>
      </c>
      <c r="B934" t="s">
        <v>247</v>
      </c>
      <c r="C934" s="3">
        <v>45715.334733796291</v>
      </c>
      <c r="D934" t="s">
        <v>248</v>
      </c>
      <c r="E934" s="4">
        <v>0.13100000000000001</v>
      </c>
      <c r="F934" s="4">
        <v>518315.72700000001</v>
      </c>
      <c r="G934" s="4">
        <v>518315.85800000001</v>
      </c>
      <c r="H934" s="5">
        <f>0 / 86400</f>
        <v>0</v>
      </c>
      <c r="I934" t="s">
        <v>85</v>
      </c>
      <c r="J934" t="s">
        <v>123</v>
      </c>
      <c r="K934" s="5">
        <f>74 / 86400</f>
        <v>8.564814814814815E-4</v>
      </c>
      <c r="L934" s="5">
        <f>5 / 86400</f>
        <v>5.7870370370370373E-5</v>
      </c>
    </row>
    <row r="935" spans="1:12" x14ac:dyDescent="0.25">
      <c r="A935" s="3">
        <v>45715.334791666668</v>
      </c>
      <c r="B935" t="s">
        <v>248</v>
      </c>
      <c r="C935" s="3">
        <v>45715.335243055553</v>
      </c>
      <c r="D935" t="s">
        <v>290</v>
      </c>
      <c r="E935" s="4">
        <v>0.04</v>
      </c>
      <c r="F935" s="4">
        <v>518315.86</v>
      </c>
      <c r="G935" s="4">
        <v>518315.9</v>
      </c>
      <c r="H935" s="5">
        <f>9 / 86400</f>
        <v>1.0416666666666667E-4</v>
      </c>
      <c r="I935" t="s">
        <v>135</v>
      </c>
      <c r="J935" t="s">
        <v>132</v>
      </c>
      <c r="K935" s="5">
        <f>39 / 86400</f>
        <v>4.5138888888888887E-4</v>
      </c>
      <c r="L935" s="5">
        <f>1 / 86400</f>
        <v>1.1574074074074073E-5</v>
      </c>
    </row>
    <row r="936" spans="1:12" x14ac:dyDescent="0.25">
      <c r="A936" s="3">
        <v>45715.33525462963</v>
      </c>
      <c r="B936" t="s">
        <v>290</v>
      </c>
      <c r="C936" s="3">
        <v>45715.335370370369</v>
      </c>
      <c r="D936" t="s">
        <v>31</v>
      </c>
      <c r="E936" s="4">
        <v>1.4999999999999999E-2</v>
      </c>
      <c r="F936" s="4">
        <v>518315.90299999999</v>
      </c>
      <c r="G936" s="4">
        <v>518315.91800000001</v>
      </c>
      <c r="H936" s="5">
        <f>0 / 86400</f>
        <v>0</v>
      </c>
      <c r="I936" t="s">
        <v>135</v>
      </c>
      <c r="J936" t="s">
        <v>99</v>
      </c>
      <c r="K936" s="5">
        <f>10 / 86400</f>
        <v>1.1574074074074075E-4</v>
      </c>
      <c r="L936" s="5">
        <f>3 / 86400</f>
        <v>3.4722222222222222E-5</v>
      </c>
    </row>
    <row r="937" spans="1:12" x14ac:dyDescent="0.25">
      <c r="A937" s="3">
        <v>45715.335405092592</v>
      </c>
      <c r="B937" t="s">
        <v>249</v>
      </c>
      <c r="C937" s="3">
        <v>45715.335451388892</v>
      </c>
      <c r="D937" t="s">
        <v>249</v>
      </c>
      <c r="E937" s="4">
        <v>4.0000000000000001E-3</v>
      </c>
      <c r="F937" s="4">
        <v>518315.92200000002</v>
      </c>
      <c r="G937" s="4">
        <v>518315.92599999998</v>
      </c>
      <c r="H937" s="5">
        <f>0 / 86400</f>
        <v>0</v>
      </c>
      <c r="I937" t="s">
        <v>143</v>
      </c>
      <c r="J937" t="s">
        <v>132</v>
      </c>
      <c r="K937" s="5">
        <f>4 / 86400</f>
        <v>4.6296296296296294E-5</v>
      </c>
      <c r="L937" s="5">
        <f>12 / 86400</f>
        <v>1.3888888888888889E-4</v>
      </c>
    </row>
    <row r="938" spans="1:12" x14ac:dyDescent="0.25">
      <c r="A938" s="3">
        <v>45715.335590277777</v>
      </c>
      <c r="B938" t="s">
        <v>249</v>
      </c>
      <c r="C938" s="3">
        <v>45715.335613425923</v>
      </c>
      <c r="D938" t="s">
        <v>249</v>
      </c>
      <c r="E938" s="4">
        <v>0</v>
      </c>
      <c r="F938" s="4">
        <v>518315.92800000001</v>
      </c>
      <c r="G938" s="4">
        <v>518315.92800000001</v>
      </c>
      <c r="H938" s="5">
        <f>0 / 86400</f>
        <v>0</v>
      </c>
      <c r="I938" t="s">
        <v>136</v>
      </c>
      <c r="J938" t="s">
        <v>21</v>
      </c>
      <c r="K938" s="5">
        <f>2 / 86400</f>
        <v>2.3148148148148147E-5</v>
      </c>
      <c r="L938" s="5">
        <f>11 / 86400</f>
        <v>1.273148148148148E-4</v>
      </c>
    </row>
    <row r="939" spans="1:12" x14ac:dyDescent="0.25">
      <c r="A939" s="3">
        <v>45715.335740740746</v>
      </c>
      <c r="B939" t="s">
        <v>249</v>
      </c>
      <c r="C939" s="3">
        <v>45715.335856481484</v>
      </c>
      <c r="D939" t="s">
        <v>249</v>
      </c>
      <c r="E939" s="4">
        <v>0.02</v>
      </c>
      <c r="F939" s="4">
        <v>518315.93900000001</v>
      </c>
      <c r="G939" s="4">
        <v>518315.95899999997</v>
      </c>
      <c r="H939" s="5">
        <f>0 / 86400</f>
        <v>0</v>
      </c>
      <c r="I939" t="s">
        <v>34</v>
      </c>
      <c r="J939" t="s">
        <v>143</v>
      </c>
      <c r="K939" s="5">
        <f>10 / 86400</f>
        <v>1.1574074074074075E-4</v>
      </c>
      <c r="L939" s="5">
        <f>7 / 86400</f>
        <v>8.1018518518518516E-5</v>
      </c>
    </row>
    <row r="940" spans="1:12" x14ac:dyDescent="0.25">
      <c r="A940" s="3">
        <v>45715.3359375</v>
      </c>
      <c r="B940" t="s">
        <v>249</v>
      </c>
      <c r="C940" s="3">
        <v>45715.337476851855</v>
      </c>
      <c r="D940" t="s">
        <v>470</v>
      </c>
      <c r="E940" s="4">
        <v>0.17899999999999999</v>
      </c>
      <c r="F940" s="4">
        <v>518315.99300000002</v>
      </c>
      <c r="G940" s="4">
        <v>518316.17200000002</v>
      </c>
      <c r="H940" s="5">
        <f>90 / 86400</f>
        <v>1.0416666666666667E-3</v>
      </c>
      <c r="I940" t="s">
        <v>221</v>
      </c>
      <c r="J940" t="s">
        <v>99</v>
      </c>
      <c r="K940" s="5">
        <f>133 / 86400</f>
        <v>1.5393518518518519E-3</v>
      </c>
      <c r="L940" s="5">
        <f>21 / 86400</f>
        <v>2.4305555555555555E-4</v>
      </c>
    </row>
    <row r="941" spans="1:12" x14ac:dyDescent="0.25">
      <c r="A941" s="3">
        <v>45715.337719907402</v>
      </c>
      <c r="B941" t="s">
        <v>470</v>
      </c>
      <c r="C941" s="3">
        <v>45715.337997685187</v>
      </c>
      <c r="D941" t="s">
        <v>470</v>
      </c>
      <c r="E941" s="4">
        <v>0.06</v>
      </c>
      <c r="F941" s="4">
        <v>518316.18300000002</v>
      </c>
      <c r="G941" s="4">
        <v>518316.24300000002</v>
      </c>
      <c r="H941" s="5">
        <f>0 / 86400</f>
        <v>0</v>
      </c>
      <c r="I941" t="s">
        <v>41</v>
      </c>
      <c r="J941" t="s">
        <v>135</v>
      </c>
      <c r="K941" s="5">
        <f>24 / 86400</f>
        <v>2.7777777777777778E-4</v>
      </c>
      <c r="L941" s="5">
        <f>8 / 86400</f>
        <v>9.2592592592592588E-5</v>
      </c>
    </row>
    <row r="942" spans="1:12" x14ac:dyDescent="0.25">
      <c r="A942" s="3">
        <v>45715.338090277779</v>
      </c>
      <c r="B942" t="s">
        <v>470</v>
      </c>
      <c r="C942" s="3">
        <v>45715.338333333333</v>
      </c>
      <c r="D942" t="s">
        <v>471</v>
      </c>
      <c r="E942" s="4">
        <v>7.2999999999999995E-2</v>
      </c>
      <c r="F942" s="4">
        <v>518316.26</v>
      </c>
      <c r="G942" s="4">
        <v>518316.33299999998</v>
      </c>
      <c r="H942" s="5">
        <f>0 / 86400</f>
        <v>0</v>
      </c>
      <c r="I942" t="s">
        <v>176</v>
      </c>
      <c r="J942" t="s">
        <v>55</v>
      </c>
      <c r="K942" s="5">
        <f>21 / 86400</f>
        <v>2.4305555555555555E-4</v>
      </c>
      <c r="L942" s="5">
        <f>9 / 86400</f>
        <v>1.0416666666666667E-4</v>
      </c>
    </row>
    <row r="943" spans="1:12" x14ac:dyDescent="0.25">
      <c r="A943" s="3">
        <v>45715.338437500002</v>
      </c>
      <c r="B943" t="s">
        <v>471</v>
      </c>
      <c r="C943" s="3">
        <v>45715.338958333334</v>
      </c>
      <c r="D943" t="s">
        <v>472</v>
      </c>
      <c r="E943" s="4">
        <v>0.20399999999999999</v>
      </c>
      <c r="F943" s="4">
        <v>518316.364</v>
      </c>
      <c r="G943" s="4">
        <v>518316.56800000003</v>
      </c>
      <c r="H943" s="5">
        <f>0 / 86400</f>
        <v>0</v>
      </c>
      <c r="I943" t="s">
        <v>205</v>
      </c>
      <c r="J943" t="s">
        <v>26</v>
      </c>
      <c r="K943" s="5">
        <f>45 / 86400</f>
        <v>5.2083333333333333E-4</v>
      </c>
      <c r="L943" s="5">
        <f>11 / 86400</f>
        <v>1.273148148148148E-4</v>
      </c>
    </row>
    <row r="944" spans="1:12" x14ac:dyDescent="0.25">
      <c r="A944" s="3">
        <v>45715.339085648149</v>
      </c>
      <c r="B944" t="s">
        <v>472</v>
      </c>
      <c r="C944" s="3">
        <v>45715.340925925921</v>
      </c>
      <c r="D944" t="s">
        <v>343</v>
      </c>
      <c r="E944" s="4">
        <v>0.42499999999999999</v>
      </c>
      <c r="F944" s="4">
        <v>518316.59899999999</v>
      </c>
      <c r="G944" s="4">
        <v>518317.02399999998</v>
      </c>
      <c r="H944" s="5">
        <f>60 / 86400</f>
        <v>6.9444444444444447E-4</v>
      </c>
      <c r="I944" t="s">
        <v>240</v>
      </c>
      <c r="J944" t="s">
        <v>28</v>
      </c>
      <c r="K944" s="5">
        <f>159 / 86400</f>
        <v>1.8402777777777777E-3</v>
      </c>
      <c r="L944" s="5">
        <f>9 / 86400</f>
        <v>1.0416666666666667E-4</v>
      </c>
    </row>
    <row r="945" spans="1:12" x14ac:dyDescent="0.25">
      <c r="A945" s="3">
        <v>45715.34103009259</v>
      </c>
      <c r="B945" t="s">
        <v>473</v>
      </c>
      <c r="C945" s="3">
        <v>45715.345185185186</v>
      </c>
      <c r="D945" t="s">
        <v>372</v>
      </c>
      <c r="E945" s="4">
        <v>0.82</v>
      </c>
      <c r="F945" s="4">
        <v>518317.02399999998</v>
      </c>
      <c r="G945" s="4">
        <v>518317.84399999998</v>
      </c>
      <c r="H945" s="5">
        <f>161 / 86400</f>
        <v>1.8634259259259259E-3</v>
      </c>
      <c r="I945" t="s">
        <v>202</v>
      </c>
      <c r="J945" t="s">
        <v>155</v>
      </c>
      <c r="K945" s="5">
        <f>359 / 86400</f>
        <v>4.1550925925925922E-3</v>
      </c>
      <c r="L945" s="5">
        <f>20 / 86400</f>
        <v>2.3148148148148149E-4</v>
      </c>
    </row>
    <row r="946" spans="1:12" x14ac:dyDescent="0.25">
      <c r="A946" s="3">
        <v>45715.345416666663</v>
      </c>
      <c r="B946" t="s">
        <v>171</v>
      </c>
      <c r="C946" s="3">
        <v>45715.345972222218</v>
      </c>
      <c r="D946" t="s">
        <v>254</v>
      </c>
      <c r="E946" s="4">
        <v>0.27600000000000002</v>
      </c>
      <c r="F946" s="4">
        <v>518317.85499999998</v>
      </c>
      <c r="G946" s="4">
        <v>518318.13099999999</v>
      </c>
      <c r="H946" s="5">
        <f>0 / 86400</f>
        <v>0</v>
      </c>
      <c r="I946" t="s">
        <v>129</v>
      </c>
      <c r="J946" t="s">
        <v>139</v>
      </c>
      <c r="K946" s="5">
        <f>48 / 86400</f>
        <v>5.5555555555555556E-4</v>
      </c>
      <c r="L946" s="5">
        <f>5 / 86400</f>
        <v>5.7870370370370373E-5</v>
      </c>
    </row>
    <row r="947" spans="1:12" x14ac:dyDescent="0.25">
      <c r="A947" s="3">
        <v>45715.346030092594</v>
      </c>
      <c r="B947" t="s">
        <v>474</v>
      </c>
      <c r="C947" s="3">
        <v>45715.346689814818</v>
      </c>
      <c r="D947" t="s">
        <v>475</v>
      </c>
      <c r="E947" s="4">
        <v>0.48</v>
      </c>
      <c r="F947" s="4">
        <v>518318.14199999999</v>
      </c>
      <c r="G947" s="4">
        <v>518318.62199999997</v>
      </c>
      <c r="H947" s="5">
        <f>0 / 86400</f>
        <v>0</v>
      </c>
      <c r="I947" t="s">
        <v>223</v>
      </c>
      <c r="J947" t="s">
        <v>140</v>
      </c>
      <c r="K947" s="5">
        <f>57 / 86400</f>
        <v>6.5972222222222224E-4</v>
      </c>
      <c r="L947" s="5">
        <f>3 / 86400</f>
        <v>3.4722222222222222E-5</v>
      </c>
    </row>
    <row r="948" spans="1:12" x14ac:dyDescent="0.25">
      <c r="A948" s="3">
        <v>45715.346724537041</v>
      </c>
      <c r="B948" t="s">
        <v>475</v>
      </c>
      <c r="C948" s="3">
        <v>45715.351111111115</v>
      </c>
      <c r="D948" t="s">
        <v>476</v>
      </c>
      <c r="E948" s="4">
        <v>1.579</v>
      </c>
      <c r="F948" s="4">
        <v>518318.63</v>
      </c>
      <c r="G948" s="4">
        <v>518320.20899999997</v>
      </c>
      <c r="H948" s="5">
        <f>120 / 86400</f>
        <v>1.3888888888888889E-3</v>
      </c>
      <c r="I948" t="s">
        <v>245</v>
      </c>
      <c r="J948" t="s">
        <v>39</v>
      </c>
      <c r="K948" s="5">
        <f>379 / 86400</f>
        <v>4.386574074074074E-3</v>
      </c>
      <c r="L948" s="5">
        <f>3 / 86400</f>
        <v>3.4722222222222222E-5</v>
      </c>
    </row>
    <row r="949" spans="1:12" x14ac:dyDescent="0.25">
      <c r="A949" s="3">
        <v>45715.351145833338</v>
      </c>
      <c r="B949" t="s">
        <v>477</v>
      </c>
      <c r="C949" s="3">
        <v>45715.3512962963</v>
      </c>
      <c r="D949" t="s">
        <v>282</v>
      </c>
      <c r="E949" s="4">
        <v>6.3E-2</v>
      </c>
      <c r="F949" s="4">
        <v>518320.22200000001</v>
      </c>
      <c r="G949" s="4">
        <v>518320.28499999997</v>
      </c>
      <c r="H949" s="5">
        <f>0 / 86400</f>
        <v>0</v>
      </c>
      <c r="I949" t="s">
        <v>34</v>
      </c>
      <c r="J949" t="s">
        <v>19</v>
      </c>
      <c r="K949" s="5">
        <f>13 / 86400</f>
        <v>1.5046296296296297E-4</v>
      </c>
      <c r="L949" s="5">
        <f>30 / 86400</f>
        <v>3.4722222222222224E-4</v>
      </c>
    </row>
    <row r="950" spans="1:12" x14ac:dyDescent="0.25">
      <c r="A950" s="3">
        <v>45715.351643518516</v>
      </c>
      <c r="B950" t="s">
        <v>280</v>
      </c>
      <c r="C950" s="3">
        <v>45715.360162037032</v>
      </c>
      <c r="D950" t="s">
        <v>270</v>
      </c>
      <c r="E950" s="4">
        <v>1.903</v>
      </c>
      <c r="F950" s="4">
        <v>518320.413</v>
      </c>
      <c r="G950" s="4">
        <v>518322.31599999999</v>
      </c>
      <c r="H950" s="5">
        <f>390 / 86400</f>
        <v>4.5138888888888885E-3</v>
      </c>
      <c r="I950" t="s">
        <v>240</v>
      </c>
      <c r="J950" t="s">
        <v>135</v>
      </c>
      <c r="K950" s="5">
        <f>736 / 86400</f>
        <v>8.518518518518519E-3</v>
      </c>
      <c r="L950" s="5">
        <f>5 / 86400</f>
        <v>5.7870370370370373E-5</v>
      </c>
    </row>
    <row r="951" spans="1:12" x14ac:dyDescent="0.25">
      <c r="A951" s="3">
        <v>45715.360219907408</v>
      </c>
      <c r="B951" t="s">
        <v>270</v>
      </c>
      <c r="C951" s="3">
        <v>45715.365150462967</v>
      </c>
      <c r="D951" t="s">
        <v>478</v>
      </c>
      <c r="E951" s="4">
        <v>9.5000000000000001E-2</v>
      </c>
      <c r="F951" s="4">
        <v>518322.31599999999</v>
      </c>
      <c r="G951" s="4">
        <v>518322.41100000002</v>
      </c>
      <c r="H951" s="5">
        <f>368 / 86400</f>
        <v>4.2592592592592595E-3</v>
      </c>
      <c r="I951" t="s">
        <v>26</v>
      </c>
      <c r="J951" t="s">
        <v>67</v>
      </c>
      <c r="K951" s="5">
        <f>426 / 86400</f>
        <v>4.9305555555555552E-3</v>
      </c>
      <c r="L951" s="5">
        <f>11 / 86400</f>
        <v>1.273148148148148E-4</v>
      </c>
    </row>
    <row r="952" spans="1:12" x14ac:dyDescent="0.25">
      <c r="A952" s="3">
        <v>45715.365277777775</v>
      </c>
      <c r="B952" t="s">
        <v>479</v>
      </c>
      <c r="C952" s="3">
        <v>45715.371134259258</v>
      </c>
      <c r="D952" t="s">
        <v>361</v>
      </c>
      <c r="E952" s="4">
        <v>1.417</v>
      </c>
      <c r="F952" s="4">
        <v>518322.46799999999</v>
      </c>
      <c r="G952" s="4">
        <v>518323.88500000001</v>
      </c>
      <c r="H952" s="5">
        <f>180 / 86400</f>
        <v>2.0833333333333333E-3</v>
      </c>
      <c r="I952" t="s">
        <v>131</v>
      </c>
      <c r="J952" t="s">
        <v>28</v>
      </c>
      <c r="K952" s="5">
        <f>506 / 86400</f>
        <v>5.8564814814814816E-3</v>
      </c>
      <c r="L952" s="5">
        <f>11 / 86400</f>
        <v>1.273148148148148E-4</v>
      </c>
    </row>
    <row r="953" spans="1:12" x14ac:dyDescent="0.25">
      <c r="A953" s="3">
        <v>45715.371261574073</v>
      </c>
      <c r="B953" t="s">
        <v>361</v>
      </c>
      <c r="C953" s="3">
        <v>45715.383020833338</v>
      </c>
      <c r="D953" t="s">
        <v>257</v>
      </c>
      <c r="E953" s="4">
        <v>2.7309999999999999</v>
      </c>
      <c r="F953" s="4">
        <v>518323.95899999997</v>
      </c>
      <c r="G953" s="4">
        <v>518326.69</v>
      </c>
      <c r="H953" s="5">
        <f>450 / 86400</f>
        <v>5.208333333333333E-3</v>
      </c>
      <c r="I953" t="s">
        <v>216</v>
      </c>
      <c r="J953" t="s">
        <v>28</v>
      </c>
      <c r="K953" s="5">
        <f>1016 / 86400</f>
        <v>1.1759259259259259E-2</v>
      </c>
      <c r="L953" s="5">
        <f>27 / 86400</f>
        <v>3.1250000000000001E-4</v>
      </c>
    </row>
    <row r="954" spans="1:12" x14ac:dyDescent="0.25">
      <c r="A954" s="3">
        <v>45715.383333333331</v>
      </c>
      <c r="B954" t="s">
        <v>369</v>
      </c>
      <c r="C954" s="3">
        <v>45715.393506944441</v>
      </c>
      <c r="D954" t="s">
        <v>290</v>
      </c>
      <c r="E954" s="4">
        <v>1.9770000000000001</v>
      </c>
      <c r="F954" s="4">
        <v>518326.80699999997</v>
      </c>
      <c r="G954" s="4">
        <v>518328.78399999999</v>
      </c>
      <c r="H954" s="5">
        <f>480 / 86400</f>
        <v>5.5555555555555558E-3</v>
      </c>
      <c r="I954" t="s">
        <v>268</v>
      </c>
      <c r="J954" t="s">
        <v>155</v>
      </c>
      <c r="K954" s="5">
        <f>879 / 86400</f>
        <v>1.0173611111111111E-2</v>
      </c>
      <c r="L954" s="5">
        <f>2 / 86400</f>
        <v>2.3148148148148147E-5</v>
      </c>
    </row>
    <row r="955" spans="1:12" x14ac:dyDescent="0.25">
      <c r="A955" s="3">
        <v>45715.393530092595</v>
      </c>
      <c r="B955" t="s">
        <v>290</v>
      </c>
      <c r="C955" s="3">
        <v>45715.396168981482</v>
      </c>
      <c r="D955" t="s">
        <v>290</v>
      </c>
      <c r="E955" s="4">
        <v>0.57399999999999995</v>
      </c>
      <c r="F955" s="4">
        <v>518328.78399999999</v>
      </c>
      <c r="G955" s="4">
        <v>518329.35800000001</v>
      </c>
      <c r="H955" s="5">
        <f>120 / 86400</f>
        <v>1.3888888888888889E-3</v>
      </c>
      <c r="I955" t="s">
        <v>176</v>
      </c>
      <c r="J955" t="s">
        <v>135</v>
      </c>
      <c r="K955" s="5">
        <f>228 / 86400</f>
        <v>2.638888888888889E-3</v>
      </c>
      <c r="L955" s="5">
        <f>2 / 86400</f>
        <v>2.3148148148148147E-5</v>
      </c>
    </row>
    <row r="956" spans="1:12" x14ac:dyDescent="0.25">
      <c r="A956" s="3">
        <v>45715.396192129629</v>
      </c>
      <c r="B956" t="s">
        <v>290</v>
      </c>
      <c r="C956" s="3">
        <v>45715.397175925929</v>
      </c>
      <c r="D956" t="s">
        <v>291</v>
      </c>
      <c r="E956" s="4">
        <v>0.33</v>
      </c>
      <c r="F956" s="4">
        <v>518329.36499999999</v>
      </c>
      <c r="G956" s="4">
        <v>518329.69500000001</v>
      </c>
      <c r="H956" s="5">
        <f>0 / 86400</f>
        <v>0</v>
      </c>
      <c r="I956" t="s">
        <v>131</v>
      </c>
      <c r="J956" t="s">
        <v>41</v>
      </c>
      <c r="K956" s="5">
        <f>85 / 86400</f>
        <v>9.837962962962962E-4</v>
      </c>
      <c r="L956" s="5">
        <f>2 / 86400</f>
        <v>2.3148148148148147E-5</v>
      </c>
    </row>
    <row r="957" spans="1:12" x14ac:dyDescent="0.25">
      <c r="A957" s="3">
        <v>45715.397199074076</v>
      </c>
      <c r="B957" t="s">
        <v>291</v>
      </c>
      <c r="C957" s="3">
        <v>45715.489861111113</v>
      </c>
      <c r="D957" t="s">
        <v>122</v>
      </c>
      <c r="E957" s="4">
        <v>42.706000000000003</v>
      </c>
      <c r="F957" s="4">
        <v>518329.70199999999</v>
      </c>
      <c r="G957" s="4">
        <v>518372.408</v>
      </c>
      <c r="H957" s="5">
        <f>2446 / 86400</f>
        <v>2.8310185185185185E-2</v>
      </c>
      <c r="I957" t="s">
        <v>149</v>
      </c>
      <c r="J957" t="s">
        <v>62</v>
      </c>
      <c r="K957" s="5">
        <f>8006 / 86400</f>
        <v>9.2662037037037043E-2</v>
      </c>
      <c r="L957" s="5">
        <f>766 / 86400</f>
        <v>8.86574074074074E-3</v>
      </c>
    </row>
    <row r="958" spans="1:12" x14ac:dyDescent="0.25">
      <c r="A958" s="3">
        <v>45715.498726851853</v>
      </c>
      <c r="B958" t="s">
        <v>122</v>
      </c>
      <c r="C958" s="3">
        <v>45715.500833333332</v>
      </c>
      <c r="D958" t="s">
        <v>148</v>
      </c>
      <c r="E958" s="4">
        <v>0.65400000000000003</v>
      </c>
      <c r="F958" s="4">
        <v>518372.408</v>
      </c>
      <c r="G958" s="4">
        <v>518373.06199999998</v>
      </c>
      <c r="H958" s="5">
        <f>30 / 86400</f>
        <v>3.4722222222222224E-4</v>
      </c>
      <c r="I958" t="s">
        <v>176</v>
      </c>
      <c r="J958" t="s">
        <v>55</v>
      </c>
      <c r="K958" s="5">
        <f>182 / 86400</f>
        <v>2.1064814814814813E-3</v>
      </c>
      <c r="L958" s="5">
        <f>2783 / 86400</f>
        <v>3.2210648148148148E-2</v>
      </c>
    </row>
    <row r="959" spans="1:12" x14ac:dyDescent="0.25">
      <c r="A959" s="3">
        <v>45715.533043981486</v>
      </c>
      <c r="B959" t="s">
        <v>148</v>
      </c>
      <c r="C959" s="3">
        <v>45715.534710648149</v>
      </c>
      <c r="D959" t="s">
        <v>158</v>
      </c>
      <c r="E959" s="4">
        <v>0.55600000000000005</v>
      </c>
      <c r="F959" s="4">
        <v>518373.06199999998</v>
      </c>
      <c r="G959" s="4">
        <v>518373.61800000002</v>
      </c>
      <c r="H959" s="5">
        <f>0 / 86400</f>
        <v>0</v>
      </c>
      <c r="I959" t="s">
        <v>176</v>
      </c>
      <c r="J959" t="s">
        <v>41</v>
      </c>
      <c r="K959" s="5">
        <f>144 / 86400</f>
        <v>1.6666666666666668E-3</v>
      </c>
      <c r="L959" s="5">
        <f>4 / 86400</f>
        <v>4.6296296296296294E-5</v>
      </c>
    </row>
    <row r="960" spans="1:12" x14ac:dyDescent="0.25">
      <c r="A960" s="3">
        <v>45715.534756944442</v>
      </c>
      <c r="B960" t="s">
        <v>158</v>
      </c>
      <c r="C960" s="3">
        <v>45715.537835648152</v>
      </c>
      <c r="D960" t="s">
        <v>74</v>
      </c>
      <c r="E960" s="4">
        <v>4.4999999999999998E-2</v>
      </c>
      <c r="F960" s="4">
        <v>518373.625</v>
      </c>
      <c r="G960" s="4">
        <v>518373.67</v>
      </c>
      <c r="H960" s="5">
        <f>240 / 86400</f>
        <v>2.7777777777777779E-3</v>
      </c>
      <c r="I960" t="s">
        <v>98</v>
      </c>
      <c r="J960" t="s">
        <v>67</v>
      </c>
      <c r="K960" s="5">
        <f>266 / 86400</f>
        <v>3.0787037037037037E-3</v>
      </c>
      <c r="L960" s="5">
        <f>8 / 86400</f>
        <v>9.2592592592592588E-5</v>
      </c>
    </row>
    <row r="961" spans="1:12" x14ac:dyDescent="0.25">
      <c r="A961" s="3">
        <v>45715.537928240738</v>
      </c>
      <c r="B961" t="s">
        <v>74</v>
      </c>
      <c r="C961" s="3">
        <v>45715.537986111114</v>
      </c>
      <c r="D961" t="s">
        <v>74</v>
      </c>
      <c r="E961" s="4">
        <v>0</v>
      </c>
      <c r="F961" s="4">
        <v>518373.67</v>
      </c>
      <c r="G961" s="4">
        <v>518373.67</v>
      </c>
      <c r="H961" s="5">
        <f>4 / 86400</f>
        <v>4.6296296296296294E-5</v>
      </c>
      <c r="I961" t="s">
        <v>21</v>
      </c>
      <c r="J961" t="s">
        <v>21</v>
      </c>
      <c r="K961" s="5">
        <f>5 / 86400</f>
        <v>5.7870370370370373E-5</v>
      </c>
      <c r="L961" s="5">
        <f>6 / 86400</f>
        <v>6.9444444444444444E-5</v>
      </c>
    </row>
    <row r="962" spans="1:12" x14ac:dyDescent="0.25">
      <c r="A962" s="3">
        <v>45715.53805555556</v>
      </c>
      <c r="B962" t="s">
        <v>74</v>
      </c>
      <c r="C962" s="3">
        <v>45715.538263888884</v>
      </c>
      <c r="D962" t="s">
        <v>74</v>
      </c>
      <c r="E962" s="4">
        <v>0</v>
      </c>
      <c r="F962" s="4">
        <v>518373.67</v>
      </c>
      <c r="G962" s="4">
        <v>518373.67</v>
      </c>
      <c r="H962" s="5">
        <f>0 / 86400</f>
        <v>0</v>
      </c>
      <c r="I962" t="s">
        <v>21</v>
      </c>
      <c r="J962" t="s">
        <v>21</v>
      </c>
      <c r="K962" s="5">
        <f>18 / 86400</f>
        <v>2.0833333333333335E-4</v>
      </c>
      <c r="L962" s="5">
        <f>3 / 86400</f>
        <v>3.4722222222222222E-5</v>
      </c>
    </row>
    <row r="963" spans="1:12" x14ac:dyDescent="0.25">
      <c r="A963" s="3">
        <v>45715.538298611107</v>
      </c>
      <c r="B963" t="s">
        <v>74</v>
      </c>
      <c r="C963" s="3">
        <v>45715.538483796292</v>
      </c>
      <c r="D963" t="s">
        <v>74</v>
      </c>
      <c r="E963" s="4">
        <v>0</v>
      </c>
      <c r="F963" s="4">
        <v>518373.67</v>
      </c>
      <c r="G963" s="4">
        <v>518373.67</v>
      </c>
      <c r="H963" s="5">
        <f>2 / 86400</f>
        <v>2.3148148148148147E-5</v>
      </c>
      <c r="I963" t="s">
        <v>21</v>
      </c>
      <c r="J963" t="s">
        <v>21</v>
      </c>
      <c r="K963" s="5">
        <f>16 / 86400</f>
        <v>1.8518518518518518E-4</v>
      </c>
      <c r="L963" s="5">
        <f>21 / 86400</f>
        <v>2.4305555555555555E-4</v>
      </c>
    </row>
    <row r="964" spans="1:12" x14ac:dyDescent="0.25">
      <c r="A964" s="3">
        <v>45715.538726851853</v>
      </c>
      <c r="B964" t="s">
        <v>74</v>
      </c>
      <c r="C964" s="3">
        <v>45715.538900462961</v>
      </c>
      <c r="D964" t="s">
        <v>74</v>
      </c>
      <c r="E964" s="4">
        <v>0</v>
      </c>
      <c r="F964" s="4">
        <v>518373.67</v>
      </c>
      <c r="G964" s="4">
        <v>518373.67</v>
      </c>
      <c r="H964" s="5">
        <f>1 / 86400</f>
        <v>1.1574074074074073E-5</v>
      </c>
      <c r="I964" t="s">
        <v>21</v>
      </c>
      <c r="J964" t="s">
        <v>21</v>
      </c>
      <c r="K964" s="5">
        <f>15 / 86400</f>
        <v>1.7361111111111112E-4</v>
      </c>
      <c r="L964" s="5">
        <f>3 / 86400</f>
        <v>3.4722222222222222E-5</v>
      </c>
    </row>
    <row r="965" spans="1:12" x14ac:dyDescent="0.25">
      <c r="A965" s="3">
        <v>45715.538935185185</v>
      </c>
      <c r="B965" t="s">
        <v>74</v>
      </c>
      <c r="C965" s="3">
        <v>45715.544293981482</v>
      </c>
      <c r="D965" t="s">
        <v>158</v>
      </c>
      <c r="E965" s="4">
        <v>3.2000000000000001E-2</v>
      </c>
      <c r="F965" s="4">
        <v>518373.67</v>
      </c>
      <c r="G965" s="4">
        <v>518373.70199999999</v>
      </c>
      <c r="H965" s="5">
        <f>432 / 86400</f>
        <v>5.0000000000000001E-3</v>
      </c>
      <c r="I965" t="s">
        <v>135</v>
      </c>
      <c r="J965" t="s">
        <v>21</v>
      </c>
      <c r="K965" s="5">
        <f>463 / 86400</f>
        <v>5.3587962962962964E-3</v>
      </c>
      <c r="L965" s="5">
        <f>142 / 86400</f>
        <v>1.6435185185185185E-3</v>
      </c>
    </row>
    <row r="966" spans="1:12" x14ac:dyDescent="0.25">
      <c r="A966" s="3">
        <v>45715.545937499999</v>
      </c>
      <c r="B966" t="s">
        <v>158</v>
      </c>
      <c r="C966" s="3">
        <v>45715.54896990741</v>
      </c>
      <c r="D966" t="s">
        <v>322</v>
      </c>
      <c r="E966" s="4">
        <v>1.1220000000000001</v>
      </c>
      <c r="F966" s="4">
        <v>518373.70199999999</v>
      </c>
      <c r="G966" s="4">
        <v>518374.82400000002</v>
      </c>
      <c r="H966" s="5">
        <f>60 / 86400</f>
        <v>6.9444444444444447E-4</v>
      </c>
      <c r="I966" t="s">
        <v>207</v>
      </c>
      <c r="J966" t="s">
        <v>39</v>
      </c>
      <c r="K966" s="5">
        <f>262 / 86400</f>
        <v>3.0324074074074073E-3</v>
      </c>
      <c r="L966" s="5">
        <f>2 / 86400</f>
        <v>2.3148148148148147E-5</v>
      </c>
    </row>
    <row r="967" spans="1:12" x14ac:dyDescent="0.25">
      <c r="A967" s="3">
        <v>45715.548993055556</v>
      </c>
      <c r="B967" t="s">
        <v>322</v>
      </c>
      <c r="C967" s="3">
        <v>45715.549050925925</v>
      </c>
      <c r="D967" t="s">
        <v>322</v>
      </c>
      <c r="E967" s="4">
        <v>3.0000000000000001E-3</v>
      </c>
      <c r="F967" s="4">
        <v>518374.82400000002</v>
      </c>
      <c r="G967" s="4">
        <v>518374.82699999999</v>
      </c>
      <c r="H967" s="5">
        <f>0 / 86400</f>
        <v>0</v>
      </c>
      <c r="I967" t="s">
        <v>62</v>
      </c>
      <c r="J967" t="s">
        <v>29</v>
      </c>
      <c r="K967" s="5">
        <f>5 / 86400</f>
        <v>5.7870370370370373E-5</v>
      </c>
      <c r="L967" s="5">
        <f>2 / 86400</f>
        <v>2.3148148148148147E-5</v>
      </c>
    </row>
    <row r="968" spans="1:12" x14ac:dyDescent="0.25">
      <c r="A968" s="3">
        <v>45715.549074074079</v>
      </c>
      <c r="B968" t="s">
        <v>322</v>
      </c>
      <c r="C968" s="3">
        <v>45715.549155092594</v>
      </c>
      <c r="D968" t="s">
        <v>322</v>
      </c>
      <c r="E968" s="4">
        <v>4.0000000000000001E-3</v>
      </c>
      <c r="F968" s="4">
        <v>518374.83299999998</v>
      </c>
      <c r="G968" s="4">
        <v>518374.837</v>
      </c>
      <c r="H968" s="5">
        <f>0 / 86400</f>
        <v>0</v>
      </c>
      <c r="I968" t="s">
        <v>153</v>
      </c>
      <c r="J968" t="s">
        <v>29</v>
      </c>
      <c r="K968" s="5">
        <f>7 / 86400</f>
        <v>8.1018518518518516E-5</v>
      </c>
      <c r="L968" s="5">
        <f>2 / 86400</f>
        <v>2.3148148148148147E-5</v>
      </c>
    </row>
    <row r="969" spans="1:12" x14ac:dyDescent="0.25">
      <c r="A969" s="3">
        <v>45715.549178240741</v>
      </c>
      <c r="B969" t="s">
        <v>322</v>
      </c>
      <c r="C969" s="3">
        <v>45715.549201388887</v>
      </c>
      <c r="D969" t="s">
        <v>322</v>
      </c>
      <c r="E969" s="4">
        <v>1.2E-2</v>
      </c>
      <c r="F969" s="4">
        <v>518374.84100000001</v>
      </c>
      <c r="G969" s="4">
        <v>518374.853</v>
      </c>
      <c r="H969" s="5">
        <f>0 / 86400</f>
        <v>0</v>
      </c>
      <c r="I969" t="s">
        <v>131</v>
      </c>
      <c r="J969" t="s">
        <v>34</v>
      </c>
      <c r="K969" s="5">
        <f>2 / 86400</f>
        <v>2.3148148148148147E-5</v>
      </c>
      <c r="L969" s="5">
        <f>3 / 86400</f>
        <v>3.4722222222222222E-5</v>
      </c>
    </row>
    <row r="970" spans="1:12" x14ac:dyDescent="0.25">
      <c r="A970" s="3">
        <v>45715.54923611111</v>
      </c>
      <c r="B970" t="s">
        <v>322</v>
      </c>
      <c r="C970" s="3">
        <v>45715.549293981487</v>
      </c>
      <c r="D970" t="s">
        <v>322</v>
      </c>
      <c r="E970" s="4">
        <v>1.7999999999999999E-2</v>
      </c>
      <c r="F970" s="4">
        <v>518374.86200000002</v>
      </c>
      <c r="G970" s="4">
        <v>518374.88</v>
      </c>
      <c r="H970" s="5">
        <f>0 / 86400</f>
        <v>0</v>
      </c>
      <c r="I970" t="s">
        <v>129</v>
      </c>
      <c r="J970" t="s">
        <v>55</v>
      </c>
      <c r="K970" s="5">
        <f>5 / 86400</f>
        <v>5.7870370370370373E-5</v>
      </c>
      <c r="L970" s="5">
        <f>4 / 86400</f>
        <v>4.6296296296296294E-5</v>
      </c>
    </row>
    <row r="971" spans="1:12" x14ac:dyDescent="0.25">
      <c r="A971" s="3">
        <v>45715.549340277779</v>
      </c>
      <c r="B971" t="s">
        <v>322</v>
      </c>
      <c r="C971" s="3">
        <v>45715.552546296298</v>
      </c>
      <c r="D971" t="s">
        <v>20</v>
      </c>
      <c r="E971" s="4">
        <v>1.94</v>
      </c>
      <c r="F971" s="4">
        <v>518374.89299999998</v>
      </c>
      <c r="G971" s="4">
        <v>518376.83299999998</v>
      </c>
      <c r="H971" s="5">
        <f>60 / 86400</f>
        <v>6.9444444444444447E-4</v>
      </c>
      <c r="I971" t="s">
        <v>245</v>
      </c>
      <c r="J971" t="s">
        <v>176</v>
      </c>
      <c r="K971" s="5">
        <f>277 / 86400</f>
        <v>3.2060185185185186E-3</v>
      </c>
      <c r="L971" s="5">
        <f>7 / 86400</f>
        <v>8.1018518518518516E-5</v>
      </c>
    </row>
    <row r="972" spans="1:12" x14ac:dyDescent="0.25">
      <c r="A972" s="3">
        <v>45715.552627314813</v>
      </c>
      <c r="B972" t="s">
        <v>326</v>
      </c>
      <c r="C972" s="3">
        <v>45715.555891203709</v>
      </c>
      <c r="D972" t="s">
        <v>327</v>
      </c>
      <c r="E972" s="4">
        <v>1.054</v>
      </c>
      <c r="F972" s="4">
        <v>518376.86900000001</v>
      </c>
      <c r="G972" s="4">
        <v>518377.92300000001</v>
      </c>
      <c r="H972" s="5">
        <f>30 / 86400</f>
        <v>3.4722222222222224E-4</v>
      </c>
      <c r="I972" t="s">
        <v>131</v>
      </c>
      <c r="J972" t="s">
        <v>55</v>
      </c>
      <c r="K972" s="5">
        <f>282 / 86400</f>
        <v>3.2638888888888891E-3</v>
      </c>
      <c r="L972" s="5">
        <f>30 / 86400</f>
        <v>3.4722222222222224E-4</v>
      </c>
    </row>
    <row r="973" spans="1:12" x14ac:dyDescent="0.25">
      <c r="A973" s="3">
        <v>45715.556238425925</v>
      </c>
      <c r="B973" t="s">
        <v>399</v>
      </c>
      <c r="C973" s="3">
        <v>45715.558645833335</v>
      </c>
      <c r="D973" t="s">
        <v>328</v>
      </c>
      <c r="E973" s="4">
        <v>1.431</v>
      </c>
      <c r="F973" s="4">
        <v>518378.06800000003</v>
      </c>
      <c r="G973" s="4">
        <v>518379.49900000001</v>
      </c>
      <c r="H973" s="5">
        <f>60 / 86400</f>
        <v>6.9444444444444447E-4</v>
      </c>
      <c r="I973" t="s">
        <v>245</v>
      </c>
      <c r="J973" t="s">
        <v>176</v>
      </c>
      <c r="K973" s="5">
        <f>208 / 86400</f>
        <v>2.4074074074074076E-3</v>
      </c>
      <c r="L973" s="5">
        <f>6 / 86400</f>
        <v>6.9444444444444444E-5</v>
      </c>
    </row>
    <row r="974" spans="1:12" x14ac:dyDescent="0.25">
      <c r="A974" s="3">
        <v>45715.558715277773</v>
      </c>
      <c r="B974" t="s">
        <v>328</v>
      </c>
      <c r="C974" s="3">
        <v>45715.590868055559</v>
      </c>
      <c r="D974" t="s">
        <v>82</v>
      </c>
      <c r="E974" s="4">
        <v>20.323</v>
      </c>
      <c r="F974" s="4">
        <v>518379.549</v>
      </c>
      <c r="G974" s="4">
        <v>518399.87199999997</v>
      </c>
      <c r="H974" s="5">
        <f>930 / 86400</f>
        <v>1.0763888888888889E-2</v>
      </c>
      <c r="I974" t="s">
        <v>105</v>
      </c>
      <c r="J974" t="s">
        <v>98</v>
      </c>
      <c r="K974" s="5">
        <f>2778 / 86400</f>
        <v>3.215277777777778E-2</v>
      </c>
      <c r="L974" s="5">
        <f>2 / 86400</f>
        <v>2.3148148148148147E-5</v>
      </c>
    </row>
    <row r="975" spans="1:12" x14ac:dyDescent="0.25">
      <c r="A975" s="3">
        <v>45715.590891203705</v>
      </c>
      <c r="B975" t="s">
        <v>82</v>
      </c>
      <c r="C975" s="3">
        <v>45715.620891203704</v>
      </c>
      <c r="D975" t="s">
        <v>480</v>
      </c>
      <c r="E975" s="4">
        <v>11.693</v>
      </c>
      <c r="F975" s="4">
        <v>518399.88500000001</v>
      </c>
      <c r="G975" s="4">
        <v>518411.57799999998</v>
      </c>
      <c r="H975" s="5">
        <f>1045 / 86400</f>
        <v>1.2094907407407407E-2</v>
      </c>
      <c r="I975" t="s">
        <v>216</v>
      </c>
      <c r="J975" t="s">
        <v>26</v>
      </c>
      <c r="K975" s="5">
        <f>2592 / 86400</f>
        <v>0.03</v>
      </c>
      <c r="L975" s="5">
        <f>30 / 86400</f>
        <v>3.4722222222222224E-4</v>
      </c>
    </row>
    <row r="976" spans="1:12" x14ac:dyDescent="0.25">
      <c r="A976" s="3">
        <v>45715.621238425927</v>
      </c>
      <c r="B976" t="s">
        <v>244</v>
      </c>
      <c r="C976" s="3">
        <v>45715.625983796301</v>
      </c>
      <c r="D976" t="s">
        <v>246</v>
      </c>
      <c r="E976" s="4">
        <v>1.6240000000000001</v>
      </c>
      <c r="F976" s="4">
        <v>518411.78399999999</v>
      </c>
      <c r="G976" s="4">
        <v>518413.408</v>
      </c>
      <c r="H976" s="5">
        <f>210 / 86400</f>
        <v>2.4305555555555556E-3</v>
      </c>
      <c r="I976" t="s">
        <v>172</v>
      </c>
      <c r="J976" t="s">
        <v>41</v>
      </c>
      <c r="K976" s="5">
        <f>410 / 86400</f>
        <v>4.7453703703703703E-3</v>
      </c>
      <c r="L976" s="5">
        <f>3 / 86400</f>
        <v>3.4722222222222222E-5</v>
      </c>
    </row>
    <row r="977" spans="1:12" x14ac:dyDescent="0.25">
      <c r="A977" s="3">
        <v>45715.626018518524</v>
      </c>
      <c r="B977" t="s">
        <v>246</v>
      </c>
      <c r="C977" s="3">
        <v>45715.630787037036</v>
      </c>
      <c r="D977" t="s">
        <v>468</v>
      </c>
      <c r="E977" s="4">
        <v>1.4259999999999999</v>
      </c>
      <c r="F977" s="4">
        <v>518413.41100000002</v>
      </c>
      <c r="G977" s="4">
        <v>518414.837</v>
      </c>
      <c r="H977" s="5">
        <f>60 / 86400</f>
        <v>6.9444444444444447E-4</v>
      </c>
      <c r="I977" t="s">
        <v>62</v>
      </c>
      <c r="J977" t="s">
        <v>85</v>
      </c>
      <c r="K977" s="5">
        <f>412 / 86400</f>
        <v>4.7685185185185183E-3</v>
      </c>
      <c r="L977" s="5">
        <f>7 / 86400</f>
        <v>8.1018518518518516E-5</v>
      </c>
    </row>
    <row r="978" spans="1:12" x14ac:dyDescent="0.25">
      <c r="A978" s="3">
        <v>45715.630868055552</v>
      </c>
      <c r="B978" t="s">
        <v>247</v>
      </c>
      <c r="C978" s="3">
        <v>45715.633483796293</v>
      </c>
      <c r="D978" t="s">
        <v>470</v>
      </c>
      <c r="E978" s="4">
        <v>0.55600000000000005</v>
      </c>
      <c r="F978" s="4">
        <v>518414.84499999997</v>
      </c>
      <c r="G978" s="4">
        <v>518415.40100000001</v>
      </c>
      <c r="H978" s="5">
        <f>53 / 86400</f>
        <v>6.134259259259259E-4</v>
      </c>
      <c r="I978" t="s">
        <v>179</v>
      </c>
      <c r="J978" t="s">
        <v>135</v>
      </c>
      <c r="K978" s="5">
        <f>226 / 86400</f>
        <v>2.6157407407407405E-3</v>
      </c>
      <c r="L978" s="5">
        <f>17 / 86400</f>
        <v>1.9675925925925926E-4</v>
      </c>
    </row>
    <row r="979" spans="1:12" x14ac:dyDescent="0.25">
      <c r="A979" s="3">
        <v>45715.633680555555</v>
      </c>
      <c r="B979" t="s">
        <v>481</v>
      </c>
      <c r="C979" s="3">
        <v>45715.645173611112</v>
      </c>
      <c r="D979" t="s">
        <v>435</v>
      </c>
      <c r="E979" s="4">
        <v>4.1500000000000004</v>
      </c>
      <c r="F979" s="4">
        <v>518415.41100000002</v>
      </c>
      <c r="G979" s="4">
        <v>518419.56099999999</v>
      </c>
      <c r="H979" s="5">
        <f>360 / 86400</f>
        <v>4.1666666666666666E-3</v>
      </c>
      <c r="I979" t="s">
        <v>196</v>
      </c>
      <c r="J979" t="s">
        <v>39</v>
      </c>
      <c r="K979" s="5">
        <f>993 / 86400</f>
        <v>1.1493055555555555E-2</v>
      </c>
      <c r="L979" s="5">
        <f>1 / 86400</f>
        <v>1.1574074074074073E-5</v>
      </c>
    </row>
    <row r="980" spans="1:12" x14ac:dyDescent="0.25">
      <c r="A980" s="3">
        <v>45715.645185185189</v>
      </c>
      <c r="B980" t="s">
        <v>435</v>
      </c>
      <c r="C980" s="3">
        <v>45715.665914351848</v>
      </c>
      <c r="D980" t="s">
        <v>269</v>
      </c>
      <c r="E980" s="4">
        <v>4.0919999999999996</v>
      </c>
      <c r="F980" s="4">
        <v>518419.571</v>
      </c>
      <c r="G980" s="4">
        <v>518423.663</v>
      </c>
      <c r="H980" s="5">
        <f>930 / 86400</f>
        <v>1.0763888888888889E-2</v>
      </c>
      <c r="I980" t="s">
        <v>235</v>
      </c>
      <c r="J980" t="s">
        <v>155</v>
      </c>
      <c r="K980" s="5">
        <f>1791 / 86400</f>
        <v>2.0729166666666667E-2</v>
      </c>
      <c r="L980" s="5">
        <f>35 / 86400</f>
        <v>4.0509259259259258E-4</v>
      </c>
    </row>
    <row r="981" spans="1:12" x14ac:dyDescent="0.25">
      <c r="A981" s="3">
        <v>45715.666319444441</v>
      </c>
      <c r="B981" t="s">
        <v>269</v>
      </c>
      <c r="C981" s="3">
        <v>45715.666354166664</v>
      </c>
      <c r="D981" t="s">
        <v>269</v>
      </c>
      <c r="E981" s="4">
        <v>0</v>
      </c>
      <c r="F981" s="4">
        <v>518423.663</v>
      </c>
      <c r="G981" s="4">
        <v>518423.663</v>
      </c>
      <c r="H981" s="5">
        <f>0 / 86400</f>
        <v>0</v>
      </c>
      <c r="I981" t="s">
        <v>21</v>
      </c>
      <c r="J981" t="s">
        <v>21</v>
      </c>
      <c r="K981" s="5">
        <f>3 / 86400</f>
        <v>3.4722222222222222E-5</v>
      </c>
      <c r="L981" s="5">
        <f>3 / 86400</f>
        <v>3.4722222222222222E-5</v>
      </c>
    </row>
    <row r="982" spans="1:12" x14ac:dyDescent="0.25">
      <c r="A982" s="3">
        <v>45715.666388888887</v>
      </c>
      <c r="B982" t="s">
        <v>269</v>
      </c>
      <c r="C982" s="3">
        <v>45715.666435185187</v>
      </c>
      <c r="D982" t="s">
        <v>269</v>
      </c>
      <c r="E982" s="4">
        <v>0</v>
      </c>
      <c r="F982" s="4">
        <v>518423.663</v>
      </c>
      <c r="G982" s="4">
        <v>518423.663</v>
      </c>
      <c r="H982" s="5">
        <f>0 / 86400</f>
        <v>0</v>
      </c>
      <c r="I982" t="s">
        <v>21</v>
      </c>
      <c r="J982" t="s">
        <v>21</v>
      </c>
      <c r="K982" s="5">
        <f>4 / 86400</f>
        <v>4.6296296296296294E-5</v>
      </c>
      <c r="L982" s="5">
        <f>131 / 86400</f>
        <v>1.5162037037037036E-3</v>
      </c>
    </row>
    <row r="983" spans="1:12" x14ac:dyDescent="0.25">
      <c r="A983" s="3">
        <v>45715.667951388888</v>
      </c>
      <c r="B983" t="s">
        <v>269</v>
      </c>
      <c r="C983" s="3">
        <v>45715.678865740745</v>
      </c>
      <c r="D983" t="s">
        <v>262</v>
      </c>
      <c r="E983" s="4">
        <v>1.4379999999999999</v>
      </c>
      <c r="F983" s="4">
        <v>518423.663</v>
      </c>
      <c r="G983" s="4">
        <v>518425.10100000002</v>
      </c>
      <c r="H983" s="5">
        <f>539 / 86400</f>
        <v>6.2384259259259259E-3</v>
      </c>
      <c r="I983" t="s">
        <v>214</v>
      </c>
      <c r="J983" t="s">
        <v>99</v>
      </c>
      <c r="K983" s="5">
        <f>943 / 86400</f>
        <v>1.0914351851851852E-2</v>
      </c>
      <c r="L983" s="5">
        <f>30 / 86400</f>
        <v>3.4722222222222224E-4</v>
      </c>
    </row>
    <row r="984" spans="1:12" x14ac:dyDescent="0.25">
      <c r="A984" s="3">
        <v>45715.679212962961</v>
      </c>
      <c r="B984" t="s">
        <v>278</v>
      </c>
      <c r="C984" s="3">
        <v>45715.81894675926</v>
      </c>
      <c r="D984" t="s">
        <v>74</v>
      </c>
      <c r="E984" s="4">
        <v>49.396999999999998</v>
      </c>
      <c r="F984" s="4">
        <v>518425.21299999999</v>
      </c>
      <c r="G984" s="4">
        <v>518474.61</v>
      </c>
      <c r="H984" s="5">
        <f>3690 / 86400</f>
        <v>4.2708333333333334E-2</v>
      </c>
      <c r="I984" t="s">
        <v>89</v>
      </c>
      <c r="J984" t="s">
        <v>39</v>
      </c>
      <c r="K984" s="5">
        <f>12073 / 86400</f>
        <v>0.13973379629629629</v>
      </c>
      <c r="L984" s="5">
        <f>30 / 86400</f>
        <v>3.4722222222222224E-4</v>
      </c>
    </row>
    <row r="985" spans="1:12" x14ac:dyDescent="0.25">
      <c r="A985" s="3">
        <v>45715.819293981476</v>
      </c>
      <c r="B985" t="s">
        <v>74</v>
      </c>
      <c r="C985" s="3">
        <v>45715.819548611107</v>
      </c>
      <c r="D985" t="s">
        <v>74</v>
      </c>
      <c r="E985" s="4">
        <v>0</v>
      </c>
      <c r="F985" s="4">
        <v>518474.61300000001</v>
      </c>
      <c r="G985" s="4">
        <v>518474.61300000001</v>
      </c>
      <c r="H985" s="5">
        <f>0 / 86400</f>
        <v>0</v>
      </c>
      <c r="I985" t="s">
        <v>21</v>
      </c>
      <c r="J985" t="s">
        <v>21</v>
      </c>
      <c r="K985" s="5">
        <f>22 / 86400</f>
        <v>2.5462962962962961E-4</v>
      </c>
      <c r="L985" s="5">
        <f>867 / 86400</f>
        <v>1.0034722222222223E-2</v>
      </c>
    </row>
    <row r="986" spans="1:12" x14ac:dyDescent="0.25">
      <c r="A986" s="3">
        <v>45715.829583333332</v>
      </c>
      <c r="B986" t="s">
        <v>74</v>
      </c>
      <c r="C986" s="3">
        <v>45715.832361111112</v>
      </c>
      <c r="D986" t="s">
        <v>91</v>
      </c>
      <c r="E986" s="4">
        <v>0.67900000000000005</v>
      </c>
      <c r="F986" s="4">
        <v>518474.61300000001</v>
      </c>
      <c r="G986" s="4">
        <v>518475.29200000002</v>
      </c>
      <c r="H986" s="5">
        <f>60 / 86400</f>
        <v>6.9444444444444447E-4</v>
      </c>
      <c r="I986" t="s">
        <v>211</v>
      </c>
      <c r="J986" t="s">
        <v>28</v>
      </c>
      <c r="K986" s="5">
        <f>240 / 86400</f>
        <v>2.7777777777777779E-3</v>
      </c>
      <c r="L986" s="5">
        <f>537 / 86400</f>
        <v>6.2152777777777779E-3</v>
      </c>
    </row>
    <row r="987" spans="1:12" x14ac:dyDescent="0.25">
      <c r="A987" s="3">
        <v>45715.838576388887</v>
      </c>
      <c r="B987" t="s">
        <v>91</v>
      </c>
      <c r="C987" s="3">
        <v>45715.842256944445</v>
      </c>
      <c r="D987" t="s">
        <v>74</v>
      </c>
      <c r="E987" s="4">
        <v>0.64700000000000002</v>
      </c>
      <c r="F987" s="4">
        <v>518475.29200000002</v>
      </c>
      <c r="G987" s="4">
        <v>518475.93900000001</v>
      </c>
      <c r="H987" s="5">
        <f>119 / 86400</f>
        <v>1.3773148148148147E-3</v>
      </c>
      <c r="I987" t="s">
        <v>153</v>
      </c>
      <c r="J987" t="s">
        <v>143</v>
      </c>
      <c r="K987" s="5">
        <f>318 / 86400</f>
        <v>3.6805555555555554E-3</v>
      </c>
      <c r="L987" s="5">
        <f>13628 / 86400</f>
        <v>0.15773148148148147</v>
      </c>
    </row>
    <row r="988" spans="1:12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</row>
    <row r="989" spans="1:1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</row>
    <row r="990" spans="1:12" s="10" customFormat="1" ht="20.100000000000001" customHeight="1" x14ac:dyDescent="0.35">
      <c r="A990" s="11" t="s">
        <v>533</v>
      </c>
      <c r="B990" s="11"/>
      <c r="C990" s="11"/>
      <c r="D990" s="11"/>
      <c r="E990" s="11"/>
      <c r="F990" s="11"/>
      <c r="G990" s="11"/>
      <c r="H990" s="11"/>
      <c r="I990" s="11"/>
      <c r="J990" s="11"/>
    </row>
    <row r="991" spans="1:12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</row>
    <row r="992" spans="1:12" ht="30" x14ac:dyDescent="0.25">
      <c r="A992" s="2" t="s">
        <v>5</v>
      </c>
      <c r="B992" s="2" t="s">
        <v>6</v>
      </c>
      <c r="C992" s="2" t="s">
        <v>7</v>
      </c>
      <c r="D992" s="2" t="s">
        <v>8</v>
      </c>
      <c r="E992" s="2" t="s">
        <v>9</v>
      </c>
      <c r="F992" s="2" t="s">
        <v>10</v>
      </c>
      <c r="G992" s="2" t="s">
        <v>11</v>
      </c>
      <c r="H992" s="2" t="s">
        <v>12</v>
      </c>
      <c r="I992" s="2" t="s">
        <v>13</v>
      </c>
      <c r="J992" s="2" t="s">
        <v>14</v>
      </c>
      <c r="K992" s="2" t="s">
        <v>15</v>
      </c>
      <c r="L992" s="2" t="s">
        <v>16</v>
      </c>
    </row>
    <row r="993" spans="1:12" x14ac:dyDescent="0.25">
      <c r="A993" s="3">
        <v>45715.232638888891</v>
      </c>
      <c r="B993" t="s">
        <v>76</v>
      </c>
      <c r="C993" s="3">
        <v>45715.812152777777</v>
      </c>
      <c r="D993" t="s">
        <v>77</v>
      </c>
      <c r="E993" s="4">
        <v>200.13499999999999</v>
      </c>
      <c r="F993" s="4">
        <v>507504.74099999998</v>
      </c>
      <c r="G993" s="4">
        <v>507704.87599999999</v>
      </c>
      <c r="H993" s="5">
        <f>21008 / 86400</f>
        <v>0.24314814814814814</v>
      </c>
      <c r="I993" t="s">
        <v>50</v>
      </c>
      <c r="J993" t="s">
        <v>41</v>
      </c>
      <c r="K993" s="5">
        <f>50070 / 86400</f>
        <v>0.57951388888888888</v>
      </c>
      <c r="L993" s="5">
        <f>36329 / 86400</f>
        <v>0.42047453703703702</v>
      </c>
    </row>
    <row r="994" spans="1:12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</row>
    <row r="995" spans="1:12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</row>
    <row r="996" spans="1:12" s="10" customFormat="1" ht="20.100000000000001" customHeight="1" x14ac:dyDescent="0.35">
      <c r="A996" s="11" t="s">
        <v>534</v>
      </c>
      <c r="B996" s="11"/>
      <c r="C996" s="11"/>
      <c r="D996" s="11"/>
      <c r="E996" s="11"/>
      <c r="F996" s="11"/>
      <c r="G996" s="11"/>
      <c r="H996" s="11"/>
      <c r="I996" s="11"/>
      <c r="J996" s="11"/>
    </row>
    <row r="997" spans="1:12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</row>
    <row r="998" spans="1:12" ht="30" x14ac:dyDescent="0.25">
      <c r="A998" s="2" t="s">
        <v>5</v>
      </c>
      <c r="B998" s="2" t="s">
        <v>6</v>
      </c>
      <c r="C998" s="2" t="s">
        <v>7</v>
      </c>
      <c r="D998" s="2" t="s">
        <v>8</v>
      </c>
      <c r="E998" s="2" t="s">
        <v>9</v>
      </c>
      <c r="F998" s="2" t="s">
        <v>10</v>
      </c>
      <c r="G998" s="2" t="s">
        <v>11</v>
      </c>
      <c r="H998" s="2" t="s">
        <v>12</v>
      </c>
      <c r="I998" s="2" t="s">
        <v>13</v>
      </c>
      <c r="J998" s="2" t="s">
        <v>14</v>
      </c>
      <c r="K998" s="2" t="s">
        <v>15</v>
      </c>
      <c r="L998" s="2" t="s">
        <v>16</v>
      </c>
    </row>
    <row r="999" spans="1:12" x14ac:dyDescent="0.25">
      <c r="A999" s="3">
        <v>45715.215601851851</v>
      </c>
      <c r="B999" t="s">
        <v>78</v>
      </c>
      <c r="C999" s="3">
        <v>45715.216041666667</v>
      </c>
      <c r="D999" t="s">
        <v>78</v>
      </c>
      <c r="E999" s="4">
        <v>0</v>
      </c>
      <c r="F999" s="4">
        <v>413050.30599999998</v>
      </c>
      <c r="G999" s="4">
        <v>413050.30599999998</v>
      </c>
      <c r="H999" s="5">
        <f>19 / 86400</f>
        <v>2.199074074074074E-4</v>
      </c>
      <c r="I999" t="s">
        <v>21</v>
      </c>
      <c r="J999" t="s">
        <v>21</v>
      </c>
      <c r="K999" s="5">
        <f>38 / 86400</f>
        <v>4.3981481481481481E-4</v>
      </c>
      <c r="L999" s="5">
        <f>18671 / 86400</f>
        <v>0.21609953703703705</v>
      </c>
    </row>
    <row r="1000" spans="1:12" x14ac:dyDescent="0.25">
      <c r="A1000" s="3">
        <v>45715.216539351852</v>
      </c>
      <c r="B1000" t="s">
        <v>78</v>
      </c>
      <c r="C1000" s="3">
        <v>45715.235416666663</v>
      </c>
      <c r="D1000" t="s">
        <v>482</v>
      </c>
      <c r="E1000" s="4">
        <v>9.7390000000000008</v>
      </c>
      <c r="F1000" s="4">
        <v>413050.30599999998</v>
      </c>
      <c r="G1000" s="4">
        <v>413060.04499999998</v>
      </c>
      <c r="H1000" s="5">
        <f>599 / 86400</f>
        <v>6.9328703703703705E-3</v>
      </c>
      <c r="I1000" t="s">
        <v>216</v>
      </c>
      <c r="J1000" t="s">
        <v>139</v>
      </c>
      <c r="K1000" s="5">
        <f>1631 / 86400</f>
        <v>1.8877314814814816E-2</v>
      </c>
      <c r="L1000" s="5">
        <f>5504 / 86400</f>
        <v>6.3703703703703707E-2</v>
      </c>
    </row>
    <row r="1001" spans="1:12" x14ac:dyDescent="0.25">
      <c r="A1001" s="3">
        <v>45715.299120370371</v>
      </c>
      <c r="B1001" t="s">
        <v>482</v>
      </c>
      <c r="C1001" s="3">
        <v>45715.312962962962</v>
      </c>
      <c r="D1001" t="s">
        <v>78</v>
      </c>
      <c r="E1001" s="4">
        <v>9.4670000000000005</v>
      </c>
      <c r="F1001" s="4">
        <v>413060.04499999998</v>
      </c>
      <c r="G1001" s="4">
        <v>413069.51199999999</v>
      </c>
      <c r="H1001" s="5">
        <f>159 / 86400</f>
        <v>1.8402777777777777E-3</v>
      </c>
      <c r="I1001" t="s">
        <v>38</v>
      </c>
      <c r="J1001" t="s">
        <v>219</v>
      </c>
      <c r="K1001" s="5">
        <f>1196 / 86400</f>
        <v>1.3842592592592592E-2</v>
      </c>
      <c r="L1001" s="5">
        <f>46434 / 86400</f>
        <v>0.53743055555555552</v>
      </c>
    </row>
    <row r="1002" spans="1:12" x14ac:dyDescent="0.25">
      <c r="A1002" s="3">
        <v>45715.850393518514</v>
      </c>
      <c r="B1002" t="s">
        <v>78</v>
      </c>
      <c r="C1002" s="3">
        <v>45715.852962962963</v>
      </c>
      <c r="D1002" t="s">
        <v>78</v>
      </c>
      <c r="E1002" s="4">
        <v>3.3000000000000002E-2</v>
      </c>
      <c r="F1002" s="4">
        <v>413069.51199999999</v>
      </c>
      <c r="G1002" s="4">
        <v>413069.54499999998</v>
      </c>
      <c r="H1002" s="5">
        <f>179 / 86400</f>
        <v>2.0717592592592593E-3</v>
      </c>
      <c r="I1002" t="s">
        <v>29</v>
      </c>
      <c r="J1002" t="s">
        <v>67</v>
      </c>
      <c r="K1002" s="5">
        <f>222 / 86400</f>
        <v>2.5694444444444445E-3</v>
      </c>
      <c r="L1002" s="5">
        <f>12703 / 86400</f>
        <v>0.14702546296296296</v>
      </c>
    </row>
    <row r="1003" spans="1:12" x14ac:dyDescent="0.2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</row>
    <row r="1004" spans="1:12" x14ac:dyDescent="0.2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</row>
    <row r="1005" spans="1:12" s="10" customFormat="1" ht="20.100000000000001" customHeight="1" x14ac:dyDescent="0.35">
      <c r="A1005" s="11" t="s">
        <v>535</v>
      </c>
      <c r="B1005" s="11"/>
      <c r="C1005" s="11"/>
      <c r="D1005" s="11"/>
      <c r="E1005" s="11"/>
      <c r="F1005" s="11"/>
      <c r="G1005" s="11"/>
      <c r="H1005" s="11"/>
      <c r="I1005" s="11"/>
      <c r="J1005" s="11"/>
    </row>
    <row r="1006" spans="1:12" x14ac:dyDescent="0.2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</row>
    <row r="1007" spans="1:12" ht="30" x14ac:dyDescent="0.25">
      <c r="A1007" s="2" t="s">
        <v>5</v>
      </c>
      <c r="B1007" s="2" t="s">
        <v>6</v>
      </c>
      <c r="C1007" s="2" t="s">
        <v>7</v>
      </c>
      <c r="D1007" s="2" t="s">
        <v>8</v>
      </c>
      <c r="E1007" s="2" t="s">
        <v>9</v>
      </c>
      <c r="F1007" s="2" t="s">
        <v>10</v>
      </c>
      <c r="G1007" s="2" t="s">
        <v>11</v>
      </c>
      <c r="H1007" s="2" t="s">
        <v>12</v>
      </c>
      <c r="I1007" s="2" t="s">
        <v>13</v>
      </c>
      <c r="J1007" s="2" t="s">
        <v>14</v>
      </c>
      <c r="K1007" s="2" t="s">
        <v>15</v>
      </c>
      <c r="L1007" s="2" t="s">
        <v>16</v>
      </c>
    </row>
    <row r="1008" spans="1:12" x14ac:dyDescent="0.25">
      <c r="A1008" s="3">
        <v>45715.150023148148</v>
      </c>
      <c r="B1008" t="s">
        <v>24</v>
      </c>
      <c r="C1008" s="3">
        <v>45715.213171296295</v>
      </c>
      <c r="D1008" t="s">
        <v>269</v>
      </c>
      <c r="E1008" s="4">
        <v>34.603999999999999</v>
      </c>
      <c r="F1008" s="4">
        <v>443948.348</v>
      </c>
      <c r="G1008" s="4">
        <v>443982.95199999999</v>
      </c>
      <c r="H1008" s="5">
        <f>1039 / 86400</f>
        <v>1.2025462962962963E-2</v>
      </c>
      <c r="I1008" t="s">
        <v>25</v>
      </c>
      <c r="J1008" t="s">
        <v>163</v>
      </c>
      <c r="K1008" s="5">
        <f>5456 / 86400</f>
        <v>6.3148148148148148E-2</v>
      </c>
      <c r="L1008" s="5">
        <f>13607 / 86400</f>
        <v>0.15748842592592593</v>
      </c>
    </row>
    <row r="1009" spans="1:12" x14ac:dyDescent="0.25">
      <c r="A1009" s="3">
        <v>45715.220636574071</v>
      </c>
      <c r="B1009" t="s">
        <v>269</v>
      </c>
      <c r="C1009" s="3">
        <v>45715.3200462963</v>
      </c>
      <c r="D1009" t="s">
        <v>122</v>
      </c>
      <c r="E1009" s="4">
        <v>50.677</v>
      </c>
      <c r="F1009" s="4">
        <v>443982.95199999999</v>
      </c>
      <c r="G1009" s="4">
        <v>444033.62900000002</v>
      </c>
      <c r="H1009" s="5">
        <f>2039 / 86400</f>
        <v>2.3599537037037037E-2</v>
      </c>
      <c r="I1009" t="s">
        <v>149</v>
      </c>
      <c r="J1009" t="s">
        <v>139</v>
      </c>
      <c r="K1009" s="5">
        <f>8588 / 86400</f>
        <v>9.9398148148148152E-2</v>
      </c>
      <c r="L1009" s="5">
        <f>2546 / 86400</f>
        <v>2.9467592592592594E-2</v>
      </c>
    </row>
    <row r="1010" spans="1:12" x14ac:dyDescent="0.25">
      <c r="A1010" s="3">
        <v>45715.34951388889</v>
      </c>
      <c r="B1010" t="s">
        <v>122</v>
      </c>
      <c r="C1010" s="3">
        <v>45715.47625</v>
      </c>
      <c r="D1010" t="s">
        <v>147</v>
      </c>
      <c r="E1010" s="4">
        <v>51.021000000000001</v>
      </c>
      <c r="F1010" s="4">
        <v>444033.62900000002</v>
      </c>
      <c r="G1010" s="4">
        <v>444084.65</v>
      </c>
      <c r="H1010" s="5">
        <f>3480 / 86400</f>
        <v>4.027777777777778E-2</v>
      </c>
      <c r="I1010" t="s">
        <v>79</v>
      </c>
      <c r="J1010" t="s">
        <v>19</v>
      </c>
      <c r="K1010" s="5">
        <f>10949 / 86400</f>
        <v>0.12672453703703704</v>
      </c>
      <c r="L1010" s="5">
        <f>3949 / 86400</f>
        <v>4.5706018518518521E-2</v>
      </c>
    </row>
    <row r="1011" spans="1:12" x14ac:dyDescent="0.25">
      <c r="A1011" s="3">
        <v>45715.521956018521</v>
      </c>
      <c r="B1011" t="s">
        <v>147</v>
      </c>
      <c r="C1011" s="3">
        <v>45715.682928240742</v>
      </c>
      <c r="D1011" t="s">
        <v>151</v>
      </c>
      <c r="E1011" s="4">
        <v>68.346000000000004</v>
      </c>
      <c r="F1011" s="4">
        <v>444084.65</v>
      </c>
      <c r="G1011" s="4">
        <v>444152.99599999998</v>
      </c>
      <c r="H1011" s="5">
        <f>3921 / 86400</f>
        <v>4.5381944444444447E-2</v>
      </c>
      <c r="I1011" t="s">
        <v>149</v>
      </c>
      <c r="J1011" t="s">
        <v>30</v>
      </c>
      <c r="K1011" s="5">
        <f>13907 / 86400</f>
        <v>0.16096064814814814</v>
      </c>
      <c r="L1011" s="5">
        <f>370 / 86400</f>
        <v>4.2824074074074075E-3</v>
      </c>
    </row>
    <row r="1012" spans="1:12" x14ac:dyDescent="0.25">
      <c r="A1012" s="3">
        <v>45715.687210648146</v>
      </c>
      <c r="B1012" t="s">
        <v>151</v>
      </c>
      <c r="C1012" s="3">
        <v>45715.69395833333</v>
      </c>
      <c r="D1012" t="s">
        <v>444</v>
      </c>
      <c r="E1012" s="4">
        <v>2.173</v>
      </c>
      <c r="F1012" s="4">
        <v>444152.99599999998</v>
      </c>
      <c r="G1012" s="4">
        <v>444155.16899999999</v>
      </c>
      <c r="H1012" s="5">
        <f>120 / 86400</f>
        <v>1.3888888888888889E-3</v>
      </c>
      <c r="I1012" t="s">
        <v>173</v>
      </c>
      <c r="J1012" t="s">
        <v>55</v>
      </c>
      <c r="K1012" s="5">
        <f>583 / 86400</f>
        <v>6.7476851851851856E-3</v>
      </c>
      <c r="L1012" s="5">
        <f>8530 / 86400</f>
        <v>9.8726851851851857E-2</v>
      </c>
    </row>
    <row r="1013" spans="1:12" x14ac:dyDescent="0.25">
      <c r="A1013" s="3">
        <v>45715.792685185181</v>
      </c>
      <c r="B1013" t="s">
        <v>444</v>
      </c>
      <c r="C1013" s="3">
        <v>45715.818622685183</v>
      </c>
      <c r="D1013" t="s">
        <v>24</v>
      </c>
      <c r="E1013" s="4">
        <v>7</v>
      </c>
      <c r="F1013" s="4">
        <v>444155.16899999999</v>
      </c>
      <c r="G1013" s="4">
        <v>444162.16899999999</v>
      </c>
      <c r="H1013" s="5">
        <f>738 / 86400</f>
        <v>8.5416666666666662E-3</v>
      </c>
      <c r="I1013" t="s">
        <v>223</v>
      </c>
      <c r="J1013" t="s">
        <v>141</v>
      </c>
      <c r="K1013" s="5">
        <f>2240 / 86400</f>
        <v>2.5925925925925925E-2</v>
      </c>
      <c r="L1013" s="5">
        <f>15670 / 86400</f>
        <v>0.18136574074074074</v>
      </c>
    </row>
    <row r="1014" spans="1:12" x14ac:dyDescent="0.2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</row>
    <row r="1015" spans="1:12" x14ac:dyDescent="0.2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</row>
    <row r="1016" spans="1:12" s="10" customFormat="1" ht="20.100000000000001" customHeight="1" x14ac:dyDescent="0.35">
      <c r="A1016" s="11" t="s">
        <v>536</v>
      </c>
      <c r="B1016" s="11"/>
      <c r="C1016" s="11"/>
      <c r="D1016" s="11"/>
      <c r="E1016" s="11"/>
      <c r="F1016" s="11"/>
      <c r="G1016" s="11"/>
      <c r="H1016" s="11"/>
      <c r="I1016" s="11"/>
      <c r="J1016" s="11"/>
    </row>
    <row r="1017" spans="1:12" x14ac:dyDescent="0.2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</row>
    <row r="1018" spans="1:12" ht="30" x14ac:dyDescent="0.25">
      <c r="A1018" s="2" t="s">
        <v>5</v>
      </c>
      <c r="B1018" s="2" t="s">
        <v>6</v>
      </c>
      <c r="C1018" s="2" t="s">
        <v>7</v>
      </c>
      <c r="D1018" s="2" t="s">
        <v>8</v>
      </c>
      <c r="E1018" s="2" t="s">
        <v>9</v>
      </c>
      <c r="F1018" s="2" t="s">
        <v>10</v>
      </c>
      <c r="G1018" s="2" t="s">
        <v>11</v>
      </c>
      <c r="H1018" s="2" t="s">
        <v>12</v>
      </c>
      <c r="I1018" s="2" t="s">
        <v>13</v>
      </c>
      <c r="J1018" s="2" t="s">
        <v>14</v>
      </c>
      <c r="K1018" s="2" t="s">
        <v>15</v>
      </c>
      <c r="L1018" s="2" t="s">
        <v>16</v>
      </c>
    </row>
    <row r="1019" spans="1:12" x14ac:dyDescent="0.25">
      <c r="A1019" s="3">
        <v>45715.214247685188</v>
      </c>
      <c r="B1019" t="s">
        <v>80</v>
      </c>
      <c r="C1019" s="3">
        <v>45715.214699074073</v>
      </c>
      <c r="D1019" t="s">
        <v>80</v>
      </c>
      <c r="E1019" s="4">
        <v>1.2999999999999999E-2</v>
      </c>
      <c r="F1019" s="4">
        <v>476249.71399999998</v>
      </c>
      <c r="G1019" s="4">
        <v>476249.72700000001</v>
      </c>
      <c r="H1019" s="5">
        <f>19 / 86400</f>
        <v>2.199074074074074E-4</v>
      </c>
      <c r="I1019" t="s">
        <v>21</v>
      </c>
      <c r="J1019" t="s">
        <v>67</v>
      </c>
      <c r="K1019" s="5">
        <f>38 / 86400</f>
        <v>4.3981481481481481E-4</v>
      </c>
      <c r="L1019" s="5">
        <f>20942 / 86400</f>
        <v>0.24238425925925927</v>
      </c>
    </row>
    <row r="1020" spans="1:12" x14ac:dyDescent="0.25">
      <c r="A1020" s="3">
        <v>45715.242835648147</v>
      </c>
      <c r="B1020" t="s">
        <v>80</v>
      </c>
      <c r="C1020" s="3">
        <v>45715.248344907406</v>
      </c>
      <c r="D1020" t="s">
        <v>80</v>
      </c>
      <c r="E1020" s="4">
        <v>0</v>
      </c>
      <c r="F1020" s="4">
        <v>476249.72700000001</v>
      </c>
      <c r="G1020" s="4">
        <v>476249.72700000001</v>
      </c>
      <c r="H1020" s="5">
        <f>459 / 86400</f>
        <v>5.3125000000000004E-3</v>
      </c>
      <c r="I1020" t="s">
        <v>21</v>
      </c>
      <c r="J1020" t="s">
        <v>21</v>
      </c>
      <c r="K1020" s="5">
        <f>475 / 86400</f>
        <v>5.4976851851851853E-3</v>
      </c>
      <c r="L1020" s="5">
        <f>551 / 86400</f>
        <v>6.3773148148148148E-3</v>
      </c>
    </row>
    <row r="1021" spans="1:12" x14ac:dyDescent="0.25">
      <c r="A1021" s="3">
        <v>45715.25472222222</v>
      </c>
      <c r="B1021" t="s">
        <v>80</v>
      </c>
      <c r="C1021" s="3">
        <v>45715.254907407405</v>
      </c>
      <c r="D1021" t="s">
        <v>80</v>
      </c>
      <c r="E1021" s="4">
        <v>0</v>
      </c>
      <c r="F1021" s="4">
        <v>476249.72700000001</v>
      </c>
      <c r="G1021" s="4">
        <v>476249.72700000001</v>
      </c>
      <c r="H1021" s="5">
        <f>0 / 86400</f>
        <v>0</v>
      </c>
      <c r="I1021" t="s">
        <v>21</v>
      </c>
      <c r="J1021" t="s">
        <v>21</v>
      </c>
      <c r="K1021" s="5">
        <f>16 / 86400</f>
        <v>1.8518518518518518E-4</v>
      </c>
      <c r="L1021" s="5">
        <f>33 / 86400</f>
        <v>3.8194444444444446E-4</v>
      </c>
    </row>
    <row r="1022" spans="1:12" x14ac:dyDescent="0.25">
      <c r="A1022" s="3">
        <v>45715.255289351851</v>
      </c>
      <c r="B1022" t="s">
        <v>80</v>
      </c>
      <c r="C1022" s="3">
        <v>45715.257673611108</v>
      </c>
      <c r="D1022" t="s">
        <v>398</v>
      </c>
      <c r="E1022" s="4">
        <v>0.68200000000000005</v>
      </c>
      <c r="F1022" s="4">
        <v>476249.72700000001</v>
      </c>
      <c r="G1022" s="4">
        <v>476250.40899999999</v>
      </c>
      <c r="H1022" s="5">
        <f>0 / 86400</f>
        <v>0</v>
      </c>
      <c r="I1022" t="s">
        <v>34</v>
      </c>
      <c r="J1022" t="s">
        <v>85</v>
      </c>
      <c r="K1022" s="5">
        <f>206 / 86400</f>
        <v>2.3842592592592591E-3</v>
      </c>
      <c r="L1022" s="5">
        <f>584 / 86400</f>
        <v>6.7592592592592591E-3</v>
      </c>
    </row>
    <row r="1023" spans="1:12" x14ac:dyDescent="0.25">
      <c r="A1023" s="3">
        <v>45715.264432870375</v>
      </c>
      <c r="B1023" t="s">
        <v>398</v>
      </c>
      <c r="C1023" s="3">
        <v>45715.520358796297</v>
      </c>
      <c r="D1023" t="s">
        <v>483</v>
      </c>
      <c r="E1023" s="4">
        <v>93.210999999999999</v>
      </c>
      <c r="F1023" s="4">
        <v>476250.40899999999</v>
      </c>
      <c r="G1023" s="4">
        <v>476343.62</v>
      </c>
      <c r="H1023" s="5">
        <f>8217 / 86400</f>
        <v>9.510416666666667E-2</v>
      </c>
      <c r="I1023" t="s">
        <v>56</v>
      </c>
      <c r="J1023" t="s">
        <v>39</v>
      </c>
      <c r="K1023" s="5">
        <f>22111 / 86400</f>
        <v>0.25591435185185185</v>
      </c>
      <c r="L1023" s="5">
        <f>365 / 86400</f>
        <v>4.2245370370370371E-3</v>
      </c>
    </row>
    <row r="1024" spans="1:12" x14ac:dyDescent="0.25">
      <c r="A1024" s="3">
        <v>45715.524583333332</v>
      </c>
      <c r="B1024" t="s">
        <v>483</v>
      </c>
      <c r="C1024" s="3">
        <v>45715.528356481482</v>
      </c>
      <c r="D1024" t="s">
        <v>80</v>
      </c>
      <c r="E1024" s="4">
        <v>0.79600000000000004</v>
      </c>
      <c r="F1024" s="4">
        <v>476343.62</v>
      </c>
      <c r="G1024" s="4">
        <v>476344.41600000003</v>
      </c>
      <c r="H1024" s="5">
        <f>79 / 86400</f>
        <v>9.1435185185185185E-4</v>
      </c>
      <c r="I1024" t="s">
        <v>140</v>
      </c>
      <c r="J1024" t="s">
        <v>135</v>
      </c>
      <c r="K1024" s="5">
        <f>326 / 86400</f>
        <v>3.7731481481481483E-3</v>
      </c>
      <c r="L1024" s="5">
        <f>40749 / 86400</f>
        <v>0.47163194444444445</v>
      </c>
    </row>
    <row r="1025" spans="1:12" x14ac:dyDescent="0.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</row>
    <row r="1026" spans="1:12" x14ac:dyDescent="0.2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</row>
    <row r="1027" spans="1:12" s="10" customFormat="1" ht="20.100000000000001" customHeight="1" x14ac:dyDescent="0.35">
      <c r="A1027" s="11" t="s">
        <v>537</v>
      </c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 spans="1:12" x14ac:dyDescent="0.25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</row>
    <row r="1029" spans="1:12" ht="30" x14ac:dyDescent="0.25">
      <c r="A1029" s="2" t="s">
        <v>5</v>
      </c>
      <c r="B1029" s="2" t="s">
        <v>6</v>
      </c>
      <c r="C1029" s="2" t="s">
        <v>7</v>
      </c>
      <c r="D1029" s="2" t="s">
        <v>8</v>
      </c>
      <c r="E1029" s="2" t="s">
        <v>9</v>
      </c>
      <c r="F1029" s="2" t="s">
        <v>10</v>
      </c>
      <c r="G1029" s="2" t="s">
        <v>11</v>
      </c>
      <c r="H1029" s="2" t="s">
        <v>12</v>
      </c>
      <c r="I1029" s="2" t="s">
        <v>13</v>
      </c>
      <c r="J1029" s="2" t="s">
        <v>14</v>
      </c>
      <c r="K1029" s="2" t="s">
        <v>15</v>
      </c>
      <c r="L1029" s="2" t="s">
        <v>16</v>
      </c>
    </row>
    <row r="1030" spans="1:12" x14ac:dyDescent="0.25">
      <c r="A1030" s="3">
        <v>45715.294733796298</v>
      </c>
      <c r="B1030" t="s">
        <v>77</v>
      </c>
      <c r="C1030" s="3">
        <v>45715.297916666663</v>
      </c>
      <c r="D1030" t="s">
        <v>77</v>
      </c>
      <c r="E1030" s="4">
        <v>3.6999999999999998E-2</v>
      </c>
      <c r="F1030" s="4">
        <v>416625.38199999998</v>
      </c>
      <c r="G1030" s="4">
        <v>416625.41899999999</v>
      </c>
      <c r="H1030" s="5">
        <f>239 / 86400</f>
        <v>2.7662037037037039E-3</v>
      </c>
      <c r="I1030" t="s">
        <v>123</v>
      </c>
      <c r="J1030" t="s">
        <v>21</v>
      </c>
      <c r="K1030" s="5">
        <f>275 / 86400</f>
        <v>3.1828703703703702E-3</v>
      </c>
      <c r="L1030" s="5">
        <f>51057 / 86400</f>
        <v>0.5909375</v>
      </c>
    </row>
    <row r="1031" spans="1:12" x14ac:dyDescent="0.25">
      <c r="A1031" s="3">
        <v>45715.59412037037</v>
      </c>
      <c r="B1031" t="s">
        <v>77</v>
      </c>
      <c r="C1031" s="3">
        <v>45715.602546296301</v>
      </c>
      <c r="D1031" t="s">
        <v>76</v>
      </c>
      <c r="E1031" s="4">
        <v>1.496</v>
      </c>
      <c r="F1031" s="4">
        <v>416625.41899999999</v>
      </c>
      <c r="G1031" s="4">
        <v>416626.91499999998</v>
      </c>
      <c r="H1031" s="5">
        <f>499 / 86400</f>
        <v>5.7754629629629631E-3</v>
      </c>
      <c r="I1031" t="s">
        <v>54</v>
      </c>
      <c r="J1031" t="s">
        <v>143</v>
      </c>
      <c r="K1031" s="5">
        <f>728 / 86400</f>
        <v>8.4259259259259253E-3</v>
      </c>
      <c r="L1031" s="5">
        <f>86 / 86400</f>
        <v>9.9537037037037042E-4</v>
      </c>
    </row>
    <row r="1032" spans="1:12" x14ac:dyDescent="0.25">
      <c r="A1032" s="3">
        <v>45715.603541666671</v>
      </c>
      <c r="B1032" t="s">
        <v>76</v>
      </c>
      <c r="C1032" s="3">
        <v>45715.644479166665</v>
      </c>
      <c r="D1032" t="s">
        <v>440</v>
      </c>
      <c r="E1032" s="4">
        <v>22.2</v>
      </c>
      <c r="F1032" s="4">
        <v>416626.91499999998</v>
      </c>
      <c r="G1032" s="4">
        <v>416649.11499999999</v>
      </c>
      <c r="H1032" s="5">
        <f>899 / 86400</f>
        <v>1.0405092592592593E-2</v>
      </c>
      <c r="I1032" t="s">
        <v>103</v>
      </c>
      <c r="J1032" t="s">
        <v>163</v>
      </c>
      <c r="K1032" s="5">
        <f>3537 / 86400</f>
        <v>4.0937500000000002E-2</v>
      </c>
      <c r="L1032" s="5">
        <f>584 / 86400</f>
        <v>6.7592592592592591E-3</v>
      </c>
    </row>
    <row r="1033" spans="1:12" x14ac:dyDescent="0.25">
      <c r="A1033" s="3">
        <v>45715.651238425926</v>
      </c>
      <c r="B1033" t="s">
        <v>440</v>
      </c>
      <c r="C1033" s="3">
        <v>45715.84611111111</v>
      </c>
      <c r="D1033" t="s">
        <v>484</v>
      </c>
      <c r="E1033" s="4">
        <v>77.864000000000004</v>
      </c>
      <c r="F1033" s="4">
        <v>416649.11499999999</v>
      </c>
      <c r="G1033" s="4">
        <v>416726.97899999999</v>
      </c>
      <c r="H1033" s="5">
        <f>5839 / 86400</f>
        <v>6.7581018518518512E-2</v>
      </c>
      <c r="I1033" t="s">
        <v>50</v>
      </c>
      <c r="J1033" t="s">
        <v>19</v>
      </c>
      <c r="K1033" s="5">
        <f>16837 / 86400</f>
        <v>0.19487268518518519</v>
      </c>
      <c r="L1033" s="5">
        <f>51 / 86400</f>
        <v>5.9027777777777778E-4</v>
      </c>
    </row>
    <row r="1034" spans="1:12" x14ac:dyDescent="0.25">
      <c r="A1034" s="3">
        <v>45715.846701388888</v>
      </c>
      <c r="B1034" t="s">
        <v>484</v>
      </c>
      <c r="C1034" s="3">
        <v>45715.928252314814</v>
      </c>
      <c r="D1034" t="s">
        <v>133</v>
      </c>
      <c r="E1034" s="4">
        <v>38.488999999999997</v>
      </c>
      <c r="F1034" s="4">
        <v>416726.97899999999</v>
      </c>
      <c r="G1034" s="4">
        <v>416765.46799999999</v>
      </c>
      <c r="H1034" s="5">
        <f>2420 / 86400</f>
        <v>2.8009259259259258E-2</v>
      </c>
      <c r="I1034" t="s">
        <v>81</v>
      </c>
      <c r="J1034" t="s">
        <v>116</v>
      </c>
      <c r="K1034" s="5">
        <f>7046 / 86400</f>
        <v>8.1550925925925929E-2</v>
      </c>
      <c r="L1034" s="5">
        <f>77 / 86400</f>
        <v>8.9120370370370373E-4</v>
      </c>
    </row>
    <row r="1035" spans="1:12" x14ac:dyDescent="0.25">
      <c r="A1035" s="3">
        <v>45715.929143518515</v>
      </c>
      <c r="B1035" t="s">
        <v>133</v>
      </c>
      <c r="C1035" s="3">
        <v>45715.992314814815</v>
      </c>
      <c r="D1035" t="s">
        <v>76</v>
      </c>
      <c r="E1035" s="4">
        <v>27.359000000000002</v>
      </c>
      <c r="F1035" s="4">
        <v>416765.46799999999</v>
      </c>
      <c r="G1035" s="4">
        <v>416792.82699999999</v>
      </c>
      <c r="H1035" s="5">
        <f>1840 / 86400</f>
        <v>2.1296296296296296E-2</v>
      </c>
      <c r="I1035" t="s">
        <v>71</v>
      </c>
      <c r="J1035" t="s">
        <v>30</v>
      </c>
      <c r="K1035" s="5">
        <f>5457 / 86400</f>
        <v>6.3159722222222228E-2</v>
      </c>
      <c r="L1035" s="5">
        <f>663 / 86400</f>
        <v>7.6736111111111111E-3</v>
      </c>
    </row>
    <row r="1036" spans="1:12" x14ac:dyDescent="0.25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</row>
    <row r="1037" spans="1:12" x14ac:dyDescent="0.25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</row>
    <row r="1038" spans="1:12" s="10" customFormat="1" ht="20.100000000000001" customHeight="1" x14ac:dyDescent="0.35">
      <c r="A1038" s="11" t="s">
        <v>538</v>
      </c>
      <c r="B1038" s="11"/>
      <c r="C1038" s="11"/>
      <c r="D1038" s="11"/>
      <c r="E1038" s="11"/>
      <c r="F1038" s="11"/>
      <c r="G1038" s="11"/>
      <c r="H1038" s="11"/>
      <c r="I1038" s="11"/>
      <c r="J1038" s="11"/>
    </row>
    <row r="1039" spans="1:12" x14ac:dyDescent="0.25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</row>
    <row r="1040" spans="1:12" ht="30" x14ac:dyDescent="0.25">
      <c r="A1040" s="2" t="s">
        <v>5</v>
      </c>
      <c r="B1040" s="2" t="s">
        <v>6</v>
      </c>
      <c r="C1040" s="2" t="s">
        <v>7</v>
      </c>
      <c r="D1040" s="2" t="s">
        <v>8</v>
      </c>
      <c r="E1040" s="2" t="s">
        <v>9</v>
      </c>
      <c r="F1040" s="2" t="s">
        <v>10</v>
      </c>
      <c r="G1040" s="2" t="s">
        <v>11</v>
      </c>
      <c r="H1040" s="2" t="s">
        <v>12</v>
      </c>
      <c r="I1040" s="2" t="s">
        <v>13</v>
      </c>
      <c r="J1040" s="2" t="s">
        <v>14</v>
      </c>
      <c r="K1040" s="2" t="s">
        <v>15</v>
      </c>
      <c r="L1040" s="2" t="s">
        <v>16</v>
      </c>
    </row>
    <row r="1041" spans="1:12" x14ac:dyDescent="0.25">
      <c r="A1041" s="3">
        <v>45715</v>
      </c>
      <c r="B1041" t="s">
        <v>24</v>
      </c>
      <c r="C1041" s="3">
        <v>45715.003402777773</v>
      </c>
      <c r="D1041" t="s">
        <v>24</v>
      </c>
      <c r="E1041" s="4">
        <v>0.309</v>
      </c>
      <c r="F1041" s="4">
        <v>331523.196</v>
      </c>
      <c r="G1041" s="4">
        <v>331523.505</v>
      </c>
      <c r="H1041" s="5">
        <f>180 / 86400</f>
        <v>2.0833333333333333E-3</v>
      </c>
      <c r="I1041" t="s">
        <v>19</v>
      </c>
      <c r="J1041" t="s">
        <v>132</v>
      </c>
      <c r="K1041" s="5">
        <f>294 / 86400</f>
        <v>3.4027777777777776E-3</v>
      </c>
      <c r="L1041" s="5">
        <f>14264 / 86400</f>
        <v>0.1650925925925926</v>
      </c>
    </row>
    <row r="1042" spans="1:12" x14ac:dyDescent="0.25">
      <c r="A1042" s="3">
        <v>45715.168495370366</v>
      </c>
      <c r="B1042" t="s">
        <v>24</v>
      </c>
      <c r="C1042" s="3">
        <v>45715.170138888891</v>
      </c>
      <c r="D1042" t="s">
        <v>24</v>
      </c>
      <c r="E1042" s="4">
        <v>5.0999999999999997E-2</v>
      </c>
      <c r="F1042" s="4">
        <v>331523.505</v>
      </c>
      <c r="G1042" s="4">
        <v>331523.55599999998</v>
      </c>
      <c r="H1042" s="5">
        <f>79 / 86400</f>
        <v>9.1435185185185185E-4</v>
      </c>
      <c r="I1042" t="s">
        <v>143</v>
      </c>
      <c r="J1042" t="s">
        <v>67</v>
      </c>
      <c r="K1042" s="5">
        <f>141 / 86400</f>
        <v>1.6319444444444445E-3</v>
      </c>
      <c r="L1042" s="5">
        <f>165 / 86400</f>
        <v>1.9097222222222222E-3</v>
      </c>
    </row>
    <row r="1043" spans="1:12" x14ac:dyDescent="0.25">
      <c r="A1043" s="3">
        <v>45715.172048611115</v>
      </c>
      <c r="B1043" t="s">
        <v>24</v>
      </c>
      <c r="C1043" s="3">
        <v>45715.333229166667</v>
      </c>
      <c r="D1043" t="s">
        <v>83</v>
      </c>
      <c r="E1043" s="4">
        <v>81.686000000000007</v>
      </c>
      <c r="F1043" s="4">
        <v>331523.55599999998</v>
      </c>
      <c r="G1043" s="4">
        <v>331605.24200000003</v>
      </c>
      <c r="H1043" s="5">
        <f>2580 / 86400</f>
        <v>2.9861111111111113E-2</v>
      </c>
      <c r="I1043" t="s">
        <v>89</v>
      </c>
      <c r="J1043" t="s">
        <v>139</v>
      </c>
      <c r="K1043" s="5">
        <f>13925 / 86400</f>
        <v>0.16116898148148148</v>
      </c>
      <c r="L1043" s="5">
        <f>2761 / 86400</f>
        <v>3.1956018518518516E-2</v>
      </c>
    </row>
    <row r="1044" spans="1:12" x14ac:dyDescent="0.25">
      <c r="A1044" s="3">
        <v>45715.36518518519</v>
      </c>
      <c r="B1044" t="s">
        <v>83</v>
      </c>
      <c r="C1044" s="3">
        <v>45715.369768518518</v>
      </c>
      <c r="D1044" t="s">
        <v>122</v>
      </c>
      <c r="E1044" s="4">
        <v>1.1299999999999999</v>
      </c>
      <c r="F1044" s="4">
        <v>331605.24200000003</v>
      </c>
      <c r="G1044" s="4">
        <v>331606.37199999997</v>
      </c>
      <c r="H1044" s="5">
        <f>20 / 86400</f>
        <v>2.3148148148148149E-4</v>
      </c>
      <c r="I1044" t="s">
        <v>163</v>
      </c>
      <c r="J1044" t="s">
        <v>28</v>
      </c>
      <c r="K1044" s="5">
        <f>395 / 86400</f>
        <v>4.5717592592592589E-3</v>
      </c>
      <c r="L1044" s="5">
        <f>3812 / 86400</f>
        <v>4.4120370370370372E-2</v>
      </c>
    </row>
    <row r="1045" spans="1:12" x14ac:dyDescent="0.25">
      <c r="A1045" s="3">
        <v>45715.413888888885</v>
      </c>
      <c r="B1045" t="s">
        <v>122</v>
      </c>
      <c r="C1045" s="3">
        <v>45715.642974537041</v>
      </c>
      <c r="D1045" t="s">
        <v>444</v>
      </c>
      <c r="E1045" s="4">
        <v>93.16</v>
      </c>
      <c r="F1045" s="4">
        <v>331606.37199999997</v>
      </c>
      <c r="G1045" s="4">
        <v>331699.53200000001</v>
      </c>
      <c r="H1045" s="5">
        <f>6258 / 86400</f>
        <v>7.2430555555555554E-2</v>
      </c>
      <c r="I1045" t="s">
        <v>23</v>
      </c>
      <c r="J1045" t="s">
        <v>19</v>
      </c>
      <c r="K1045" s="5">
        <f>19793 / 86400</f>
        <v>0.22908564814814814</v>
      </c>
      <c r="L1045" s="5">
        <f>285 / 86400</f>
        <v>3.2986111111111111E-3</v>
      </c>
    </row>
    <row r="1046" spans="1:12" x14ac:dyDescent="0.25">
      <c r="A1046" s="3">
        <v>45715.646273148144</v>
      </c>
      <c r="B1046" t="s">
        <v>444</v>
      </c>
      <c r="C1046" s="3">
        <v>45715.649768518517</v>
      </c>
      <c r="D1046" t="s">
        <v>24</v>
      </c>
      <c r="E1046" s="4">
        <v>0.51500000000000001</v>
      </c>
      <c r="F1046" s="4">
        <v>331699.53200000001</v>
      </c>
      <c r="G1046" s="4">
        <v>331700.04700000002</v>
      </c>
      <c r="H1046" s="5">
        <f>80 / 86400</f>
        <v>9.2592592592592596E-4</v>
      </c>
      <c r="I1046" t="s">
        <v>19</v>
      </c>
      <c r="J1046" t="s">
        <v>123</v>
      </c>
      <c r="K1046" s="5">
        <f>301 / 86400</f>
        <v>3.4837962962962965E-3</v>
      </c>
      <c r="L1046" s="5">
        <f>449 / 86400</f>
        <v>5.1967592592592595E-3</v>
      </c>
    </row>
    <row r="1047" spans="1:12" x14ac:dyDescent="0.25">
      <c r="A1047" s="3">
        <v>45715.654965277776</v>
      </c>
      <c r="B1047" t="s">
        <v>24</v>
      </c>
      <c r="C1047" s="3">
        <v>45715.660057870366</v>
      </c>
      <c r="D1047" t="s">
        <v>485</v>
      </c>
      <c r="E1047" s="4">
        <v>0.54800000000000004</v>
      </c>
      <c r="F1047" s="4">
        <v>331700.04700000002</v>
      </c>
      <c r="G1047" s="4">
        <v>331700.59499999997</v>
      </c>
      <c r="H1047" s="5">
        <f>299 / 86400</f>
        <v>3.460648148148148E-3</v>
      </c>
      <c r="I1047" t="s">
        <v>39</v>
      </c>
      <c r="J1047" t="s">
        <v>132</v>
      </c>
      <c r="K1047" s="5">
        <f>440 / 86400</f>
        <v>5.092592592592593E-3</v>
      </c>
      <c r="L1047" s="5">
        <f>42 / 86400</f>
        <v>4.861111111111111E-4</v>
      </c>
    </row>
    <row r="1048" spans="1:12" x14ac:dyDescent="0.25">
      <c r="A1048" s="3">
        <v>45715.660543981481</v>
      </c>
      <c r="B1048" t="s">
        <v>485</v>
      </c>
      <c r="C1048" s="3">
        <v>45715.667280092588</v>
      </c>
      <c r="D1048" t="s">
        <v>35</v>
      </c>
      <c r="E1048" s="4">
        <v>4.8179999999999996</v>
      </c>
      <c r="F1048" s="4">
        <v>331700.59499999997</v>
      </c>
      <c r="G1048" s="4">
        <v>331705.413</v>
      </c>
      <c r="H1048" s="5">
        <f>59 / 86400</f>
        <v>6.8287037037037036E-4</v>
      </c>
      <c r="I1048" t="s">
        <v>149</v>
      </c>
      <c r="J1048" t="s">
        <v>140</v>
      </c>
      <c r="K1048" s="5">
        <f>581 / 86400</f>
        <v>6.7245370370370367E-3</v>
      </c>
      <c r="L1048" s="5">
        <f>201 / 86400</f>
        <v>2.3263888888888887E-3</v>
      </c>
    </row>
    <row r="1049" spans="1:12" x14ac:dyDescent="0.25">
      <c r="A1049" s="3">
        <v>45715.669606481482</v>
      </c>
      <c r="B1049" t="s">
        <v>35</v>
      </c>
      <c r="C1049" s="3">
        <v>45715.98537037037</v>
      </c>
      <c r="D1049" t="s">
        <v>190</v>
      </c>
      <c r="E1049" s="4">
        <v>129.77699999999999</v>
      </c>
      <c r="F1049" s="4">
        <v>331705.413</v>
      </c>
      <c r="G1049" s="4">
        <v>331835.19</v>
      </c>
      <c r="H1049" s="5">
        <f>9581 / 86400</f>
        <v>0.1108912037037037</v>
      </c>
      <c r="I1049" t="s">
        <v>50</v>
      </c>
      <c r="J1049" t="s">
        <v>19</v>
      </c>
      <c r="K1049" s="5">
        <f>27282 / 86400</f>
        <v>0.3157638888888889</v>
      </c>
      <c r="L1049" s="5">
        <f>150 / 86400</f>
        <v>1.736111111111111E-3</v>
      </c>
    </row>
    <row r="1050" spans="1:12" x14ac:dyDescent="0.25">
      <c r="A1050" s="3">
        <v>45715.98710648148</v>
      </c>
      <c r="B1050" t="s">
        <v>190</v>
      </c>
      <c r="C1050" s="3">
        <v>45715.99998842593</v>
      </c>
      <c r="D1050" t="s">
        <v>82</v>
      </c>
      <c r="E1050" s="4">
        <v>8.4030000000000005</v>
      </c>
      <c r="F1050" s="4">
        <v>331835.19</v>
      </c>
      <c r="G1050" s="4">
        <v>331843.59299999999</v>
      </c>
      <c r="H1050" s="5">
        <f>39 / 86400</f>
        <v>4.5138888888888887E-4</v>
      </c>
      <c r="I1050" t="s">
        <v>146</v>
      </c>
      <c r="J1050" t="s">
        <v>131</v>
      </c>
      <c r="K1050" s="5">
        <f>1113 / 86400</f>
        <v>1.2881944444444444E-2</v>
      </c>
      <c r="L1050" s="5">
        <f>0 / 86400</f>
        <v>0</v>
      </c>
    </row>
    <row r="1051" spans="1:12" x14ac:dyDescent="0.2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</row>
    <row r="1052" spans="1:12" x14ac:dyDescent="0.25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</row>
    <row r="1053" spans="1:12" s="10" customFormat="1" ht="20.100000000000001" customHeight="1" x14ac:dyDescent="0.35">
      <c r="A1053" s="11" t="s">
        <v>539</v>
      </c>
      <c r="B1053" s="11"/>
      <c r="C1053" s="11"/>
      <c r="D1053" s="11"/>
      <c r="E1053" s="11"/>
      <c r="F1053" s="11"/>
      <c r="G1053" s="11"/>
      <c r="H1053" s="11"/>
      <c r="I1053" s="11"/>
      <c r="J1053" s="11"/>
    </row>
    <row r="1054" spans="1:12" x14ac:dyDescent="0.25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</row>
    <row r="1055" spans="1:12" ht="30" x14ac:dyDescent="0.25">
      <c r="A1055" s="2" t="s">
        <v>5</v>
      </c>
      <c r="B1055" s="2" t="s">
        <v>6</v>
      </c>
      <c r="C1055" s="2" t="s">
        <v>7</v>
      </c>
      <c r="D1055" s="2" t="s">
        <v>8</v>
      </c>
      <c r="E1055" s="2" t="s">
        <v>9</v>
      </c>
      <c r="F1055" s="2" t="s">
        <v>10</v>
      </c>
      <c r="G1055" s="2" t="s">
        <v>11</v>
      </c>
      <c r="H1055" s="2" t="s">
        <v>12</v>
      </c>
      <c r="I1055" s="2" t="s">
        <v>13</v>
      </c>
      <c r="J1055" s="2" t="s">
        <v>14</v>
      </c>
      <c r="K1055" s="2" t="s">
        <v>15</v>
      </c>
      <c r="L1055" s="2" t="s">
        <v>16</v>
      </c>
    </row>
    <row r="1056" spans="1:12" x14ac:dyDescent="0.25">
      <c r="A1056" s="3">
        <v>45715.287152777775</v>
      </c>
      <c r="B1056" t="s">
        <v>24</v>
      </c>
      <c r="C1056" s="3">
        <v>45715.522465277776</v>
      </c>
      <c r="D1056" t="s">
        <v>74</v>
      </c>
      <c r="E1056" s="4">
        <v>81.436999999999998</v>
      </c>
      <c r="F1056" s="4">
        <v>362074.91100000002</v>
      </c>
      <c r="G1056" s="4">
        <v>362156.348</v>
      </c>
      <c r="H1056" s="5">
        <f>7800 / 86400</f>
        <v>9.0277777777777776E-2</v>
      </c>
      <c r="I1056" t="s">
        <v>25</v>
      </c>
      <c r="J1056" t="s">
        <v>41</v>
      </c>
      <c r="K1056" s="5">
        <f>20331 / 86400</f>
        <v>0.23531250000000001</v>
      </c>
      <c r="L1056" s="5">
        <f>25011 / 86400</f>
        <v>0.28947916666666668</v>
      </c>
    </row>
    <row r="1057" spans="1:12" x14ac:dyDescent="0.25">
      <c r="A1057" s="3">
        <v>45715.52479166667</v>
      </c>
      <c r="B1057" t="s">
        <v>74</v>
      </c>
      <c r="C1057" s="3">
        <v>45715.526886574073</v>
      </c>
      <c r="D1057" t="s">
        <v>83</v>
      </c>
      <c r="E1057" s="4">
        <v>0.82799999999999996</v>
      </c>
      <c r="F1057" s="4">
        <v>362156.348</v>
      </c>
      <c r="G1057" s="4">
        <v>362157.17599999998</v>
      </c>
      <c r="H1057" s="5">
        <f>20 / 86400</f>
        <v>2.3148148148148149E-4</v>
      </c>
      <c r="I1057" t="s">
        <v>169</v>
      </c>
      <c r="J1057" t="s">
        <v>19</v>
      </c>
      <c r="K1057" s="5">
        <f>180 / 86400</f>
        <v>2.0833333333333333E-3</v>
      </c>
      <c r="L1057" s="5">
        <f>1724 / 86400</f>
        <v>1.9953703703703703E-2</v>
      </c>
    </row>
    <row r="1058" spans="1:12" x14ac:dyDescent="0.25">
      <c r="A1058" s="3">
        <v>45715.546840277777</v>
      </c>
      <c r="B1058" t="s">
        <v>83</v>
      </c>
      <c r="C1058" s="3">
        <v>45715.551631944443</v>
      </c>
      <c r="D1058" t="s">
        <v>122</v>
      </c>
      <c r="E1058" s="4">
        <v>1.2929999999999999</v>
      </c>
      <c r="F1058" s="4">
        <v>362157.17599999998</v>
      </c>
      <c r="G1058" s="4">
        <v>362158.46899999998</v>
      </c>
      <c r="H1058" s="5">
        <f>60 / 86400</f>
        <v>6.9444444444444447E-4</v>
      </c>
      <c r="I1058" t="s">
        <v>98</v>
      </c>
      <c r="J1058" t="s">
        <v>141</v>
      </c>
      <c r="K1058" s="5">
        <f>414 / 86400</f>
        <v>4.7916666666666663E-3</v>
      </c>
      <c r="L1058" s="5">
        <f>7407 / 86400</f>
        <v>8.5729166666666662E-2</v>
      </c>
    </row>
    <row r="1059" spans="1:12" x14ac:dyDescent="0.25">
      <c r="A1059" s="3">
        <v>45715.637361111112</v>
      </c>
      <c r="B1059" t="s">
        <v>486</v>
      </c>
      <c r="C1059" s="3">
        <v>45715.922662037032</v>
      </c>
      <c r="D1059" t="s">
        <v>24</v>
      </c>
      <c r="E1059" s="4">
        <v>86.001000000000005</v>
      </c>
      <c r="F1059" s="4">
        <v>362158.46899999998</v>
      </c>
      <c r="G1059" s="4">
        <v>362244.47</v>
      </c>
      <c r="H1059" s="5">
        <f>10819 / 86400</f>
        <v>0.1252199074074074</v>
      </c>
      <c r="I1059" t="s">
        <v>61</v>
      </c>
      <c r="J1059" t="s">
        <v>55</v>
      </c>
      <c r="K1059" s="5">
        <f>24650 / 86400</f>
        <v>0.28530092592592593</v>
      </c>
      <c r="L1059" s="5">
        <f>6681 / 86400</f>
        <v>7.7326388888888889E-2</v>
      </c>
    </row>
    <row r="1060" spans="1:12" x14ac:dyDescent="0.25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</row>
    <row r="1061" spans="1:12" x14ac:dyDescent="0.25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</row>
    <row r="1062" spans="1:12" s="10" customFormat="1" ht="20.100000000000001" customHeight="1" x14ac:dyDescent="0.35">
      <c r="A1062" s="11" t="s">
        <v>540</v>
      </c>
      <c r="B1062" s="11"/>
      <c r="C1062" s="11"/>
      <c r="D1062" s="11"/>
      <c r="E1062" s="11"/>
      <c r="F1062" s="11"/>
      <c r="G1062" s="11"/>
      <c r="H1062" s="11"/>
      <c r="I1062" s="11"/>
      <c r="J1062" s="11"/>
    </row>
    <row r="1063" spans="1:12" x14ac:dyDescent="0.25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</row>
    <row r="1064" spans="1:12" ht="30" x14ac:dyDescent="0.25">
      <c r="A1064" s="2" t="s">
        <v>5</v>
      </c>
      <c r="B1064" s="2" t="s">
        <v>6</v>
      </c>
      <c r="C1064" s="2" t="s">
        <v>7</v>
      </c>
      <c r="D1064" s="2" t="s">
        <v>8</v>
      </c>
      <c r="E1064" s="2" t="s">
        <v>9</v>
      </c>
      <c r="F1064" s="2" t="s">
        <v>10</v>
      </c>
      <c r="G1064" s="2" t="s">
        <v>11</v>
      </c>
      <c r="H1064" s="2" t="s">
        <v>12</v>
      </c>
      <c r="I1064" s="2" t="s">
        <v>13</v>
      </c>
      <c r="J1064" s="2" t="s">
        <v>14</v>
      </c>
      <c r="K1064" s="2" t="s">
        <v>15</v>
      </c>
      <c r="L1064" s="2" t="s">
        <v>16</v>
      </c>
    </row>
    <row r="1065" spans="1:12" x14ac:dyDescent="0.25">
      <c r="A1065" s="3">
        <v>45715.204432870371</v>
      </c>
      <c r="B1065" t="s">
        <v>36</v>
      </c>
      <c r="C1065" s="3">
        <v>45715.212592592594</v>
      </c>
      <c r="D1065" t="s">
        <v>150</v>
      </c>
      <c r="E1065" s="4">
        <v>0.57799999999999996</v>
      </c>
      <c r="F1065" s="4">
        <v>472381.48300000001</v>
      </c>
      <c r="G1065" s="4">
        <v>472382.06099999999</v>
      </c>
      <c r="H1065" s="5">
        <f>519 / 86400</f>
        <v>6.0069444444444441E-3</v>
      </c>
      <c r="I1065" t="s">
        <v>176</v>
      </c>
      <c r="J1065" t="s">
        <v>136</v>
      </c>
      <c r="K1065" s="5">
        <f>704 / 86400</f>
        <v>8.1481481481481474E-3</v>
      </c>
      <c r="L1065" s="5">
        <f>17713 / 86400</f>
        <v>0.20501157407407408</v>
      </c>
    </row>
    <row r="1066" spans="1:12" x14ac:dyDescent="0.25">
      <c r="A1066" s="3">
        <v>45715.213171296295</v>
      </c>
      <c r="B1066" t="s">
        <v>487</v>
      </c>
      <c r="C1066" s="3">
        <v>45715.326388888891</v>
      </c>
      <c r="D1066" t="s">
        <v>269</v>
      </c>
      <c r="E1066" s="4">
        <v>50.982999999999997</v>
      </c>
      <c r="F1066" s="4">
        <v>472382.06099999999</v>
      </c>
      <c r="G1066" s="4">
        <v>472433.04399999999</v>
      </c>
      <c r="H1066" s="5">
        <f>2959 / 86400</f>
        <v>3.4247685185185187E-2</v>
      </c>
      <c r="I1066" t="s">
        <v>52</v>
      </c>
      <c r="J1066" t="s">
        <v>62</v>
      </c>
      <c r="K1066" s="5">
        <f>9781 / 86400</f>
        <v>0.11320601851851853</v>
      </c>
      <c r="L1066" s="5">
        <f>179 / 86400</f>
        <v>2.0717592592592593E-3</v>
      </c>
    </row>
    <row r="1067" spans="1:12" x14ac:dyDescent="0.25">
      <c r="A1067" s="3">
        <v>45715.328460648147</v>
      </c>
      <c r="B1067" t="s">
        <v>269</v>
      </c>
      <c r="C1067" s="3">
        <v>45715.454513888893</v>
      </c>
      <c r="D1067" t="s">
        <v>122</v>
      </c>
      <c r="E1067" s="4">
        <v>50.521000000000001</v>
      </c>
      <c r="F1067" s="4">
        <v>472433.04399999999</v>
      </c>
      <c r="G1067" s="4">
        <v>472483.565</v>
      </c>
      <c r="H1067" s="5">
        <f>3540 / 86400</f>
        <v>4.0972222222222222E-2</v>
      </c>
      <c r="I1067" t="s">
        <v>25</v>
      </c>
      <c r="J1067" t="s">
        <v>19</v>
      </c>
      <c r="K1067" s="5">
        <f>10891 / 86400</f>
        <v>0.12605324074074073</v>
      </c>
      <c r="L1067" s="5">
        <f>868 / 86400</f>
        <v>1.0046296296296296E-2</v>
      </c>
    </row>
    <row r="1068" spans="1:12" x14ac:dyDescent="0.25">
      <c r="A1068" s="3">
        <v>45715.464560185181</v>
      </c>
      <c r="B1068" t="s">
        <v>122</v>
      </c>
      <c r="C1068" s="3">
        <v>45715.469861111109</v>
      </c>
      <c r="D1068" t="s">
        <v>74</v>
      </c>
      <c r="E1068" s="4">
        <v>1.369</v>
      </c>
      <c r="F1068" s="4">
        <v>472483.565</v>
      </c>
      <c r="G1068" s="4">
        <v>472484.93400000001</v>
      </c>
      <c r="H1068" s="5">
        <f>120 / 86400</f>
        <v>1.3888888888888889E-3</v>
      </c>
      <c r="I1068" t="s">
        <v>179</v>
      </c>
      <c r="J1068" t="s">
        <v>141</v>
      </c>
      <c r="K1068" s="5">
        <f>458 / 86400</f>
        <v>5.3009259259259259E-3</v>
      </c>
      <c r="L1068" s="5">
        <f>3028 / 86400</f>
        <v>3.5046296296296298E-2</v>
      </c>
    </row>
    <row r="1069" spans="1:12" x14ac:dyDescent="0.25">
      <c r="A1069" s="3">
        <v>45715.504907407405</v>
      </c>
      <c r="B1069" t="s">
        <v>74</v>
      </c>
      <c r="C1069" s="3">
        <v>45715.505960648152</v>
      </c>
      <c r="D1069" t="s">
        <v>74</v>
      </c>
      <c r="E1069" s="4">
        <v>3.2000000000000001E-2</v>
      </c>
      <c r="F1069" s="4">
        <v>472484.93400000001</v>
      </c>
      <c r="G1069" s="4">
        <v>472484.96600000001</v>
      </c>
      <c r="H1069" s="5">
        <f>39 / 86400</f>
        <v>4.5138888888888887E-4</v>
      </c>
      <c r="I1069" t="s">
        <v>132</v>
      </c>
      <c r="J1069" t="s">
        <v>67</v>
      </c>
      <c r="K1069" s="5">
        <f>91 / 86400</f>
        <v>1.0532407407407407E-3</v>
      </c>
      <c r="L1069" s="5">
        <f>757 / 86400</f>
        <v>8.7615740740740744E-3</v>
      </c>
    </row>
    <row r="1070" spans="1:12" x14ac:dyDescent="0.25">
      <c r="A1070" s="3">
        <v>45715.514722222222</v>
      </c>
      <c r="B1070" t="s">
        <v>74</v>
      </c>
      <c r="C1070" s="3">
        <v>45715.516377314816</v>
      </c>
      <c r="D1070" t="s">
        <v>436</v>
      </c>
      <c r="E1070" s="4">
        <v>0.77500000000000002</v>
      </c>
      <c r="F1070" s="4">
        <v>472484.96600000001</v>
      </c>
      <c r="G1070" s="4">
        <v>472485.74099999998</v>
      </c>
      <c r="H1070" s="5">
        <f>0 / 86400</f>
        <v>0</v>
      </c>
      <c r="I1070" t="s">
        <v>140</v>
      </c>
      <c r="J1070" t="s">
        <v>116</v>
      </c>
      <c r="K1070" s="5">
        <f>143 / 86400</f>
        <v>1.6550925925925926E-3</v>
      </c>
      <c r="L1070" s="5">
        <f>188 / 86400</f>
        <v>2.1759259259259258E-3</v>
      </c>
    </row>
    <row r="1071" spans="1:12" x14ac:dyDescent="0.25">
      <c r="A1071" s="3">
        <v>45715.518553240741</v>
      </c>
      <c r="B1071" t="s">
        <v>436</v>
      </c>
      <c r="C1071" s="3">
        <v>45715.743252314816</v>
      </c>
      <c r="D1071" t="s">
        <v>74</v>
      </c>
      <c r="E1071" s="4">
        <v>94.284999999999997</v>
      </c>
      <c r="F1071" s="4">
        <v>472485.74099999998</v>
      </c>
      <c r="G1071" s="4">
        <v>472580.02600000001</v>
      </c>
      <c r="H1071" s="5">
        <f>6538 / 86400</f>
        <v>7.5671296296296292E-2</v>
      </c>
      <c r="I1071" t="s">
        <v>23</v>
      </c>
      <c r="J1071" t="s">
        <v>19</v>
      </c>
      <c r="K1071" s="5">
        <f>19414 / 86400</f>
        <v>0.22469907407407408</v>
      </c>
      <c r="L1071" s="5">
        <f>835 / 86400</f>
        <v>9.6643518518518511E-3</v>
      </c>
    </row>
    <row r="1072" spans="1:12" x14ac:dyDescent="0.25">
      <c r="A1072" s="3">
        <v>45715.752916666665</v>
      </c>
      <c r="B1072" t="s">
        <v>74</v>
      </c>
      <c r="C1072" s="3">
        <v>45715.756631944445</v>
      </c>
      <c r="D1072" t="s">
        <v>83</v>
      </c>
      <c r="E1072" s="4">
        <v>1.0289999999999999</v>
      </c>
      <c r="F1072" s="4">
        <v>472580.02600000001</v>
      </c>
      <c r="G1072" s="4">
        <v>472581.05499999999</v>
      </c>
      <c r="H1072" s="5">
        <f>39 / 86400</f>
        <v>4.5138888888888887E-4</v>
      </c>
      <c r="I1072" t="s">
        <v>140</v>
      </c>
      <c r="J1072" t="s">
        <v>85</v>
      </c>
      <c r="K1072" s="5">
        <f>321 / 86400</f>
        <v>3.7152777777777778E-3</v>
      </c>
      <c r="L1072" s="5">
        <f>21026 / 86400</f>
        <v>0.24335648148148148</v>
      </c>
    </row>
    <row r="1073" spans="1:12" x14ac:dyDescent="0.25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</row>
    <row r="1074" spans="1:12" x14ac:dyDescent="0.25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</row>
    <row r="1075" spans="1:12" s="10" customFormat="1" ht="20.100000000000001" customHeight="1" x14ac:dyDescent="0.35">
      <c r="A1075" s="11" t="s">
        <v>541</v>
      </c>
      <c r="B1075" s="11"/>
      <c r="C1075" s="11"/>
      <c r="D1075" s="11"/>
      <c r="E1075" s="11"/>
      <c r="F1075" s="11"/>
      <c r="G1075" s="11"/>
      <c r="H1075" s="11"/>
      <c r="I1075" s="11"/>
      <c r="J1075" s="11"/>
    </row>
    <row r="1076" spans="1:12" x14ac:dyDescent="0.25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</row>
    <row r="1077" spans="1:12" ht="30" x14ac:dyDescent="0.25">
      <c r="A1077" s="2" t="s">
        <v>5</v>
      </c>
      <c r="B1077" s="2" t="s">
        <v>6</v>
      </c>
      <c r="C1077" s="2" t="s">
        <v>7</v>
      </c>
      <c r="D1077" s="2" t="s">
        <v>8</v>
      </c>
      <c r="E1077" s="2" t="s">
        <v>9</v>
      </c>
      <c r="F1077" s="2" t="s">
        <v>10</v>
      </c>
      <c r="G1077" s="2" t="s">
        <v>11</v>
      </c>
      <c r="H1077" s="2" t="s">
        <v>12</v>
      </c>
      <c r="I1077" s="2" t="s">
        <v>13</v>
      </c>
      <c r="J1077" s="2" t="s">
        <v>14</v>
      </c>
      <c r="K1077" s="2" t="s">
        <v>15</v>
      </c>
      <c r="L1077" s="2" t="s">
        <v>16</v>
      </c>
    </row>
    <row r="1078" spans="1:12" x14ac:dyDescent="0.25">
      <c r="A1078" s="3">
        <v>45715.005671296298</v>
      </c>
      <c r="B1078" t="s">
        <v>84</v>
      </c>
      <c r="C1078" s="3">
        <v>45715.016331018516</v>
      </c>
      <c r="D1078" t="s">
        <v>84</v>
      </c>
      <c r="E1078" s="4">
        <v>0</v>
      </c>
      <c r="F1078" s="4">
        <v>428213.33600000001</v>
      </c>
      <c r="G1078" s="4">
        <v>428213.33600000001</v>
      </c>
      <c r="H1078" s="5">
        <f>919 / 86400</f>
        <v>1.0636574074074074E-2</v>
      </c>
      <c r="I1078" t="s">
        <v>21</v>
      </c>
      <c r="J1078" t="s">
        <v>21</v>
      </c>
      <c r="K1078" s="5">
        <f>921 / 86400</f>
        <v>1.0659722222222221E-2</v>
      </c>
      <c r="L1078" s="5">
        <f>694 / 86400</f>
        <v>8.0324074074074082E-3</v>
      </c>
    </row>
    <row r="1079" spans="1:12" x14ac:dyDescent="0.25">
      <c r="A1079" s="3">
        <v>45715.018692129626</v>
      </c>
      <c r="B1079" t="s">
        <v>84</v>
      </c>
      <c r="C1079" s="3">
        <v>45715.055821759262</v>
      </c>
      <c r="D1079" t="s">
        <v>84</v>
      </c>
      <c r="E1079" s="4">
        <v>0</v>
      </c>
      <c r="F1079" s="4">
        <v>428213.33600000001</v>
      </c>
      <c r="G1079" s="4">
        <v>428213.33600000001</v>
      </c>
      <c r="H1079" s="5">
        <f>3189 / 86400</f>
        <v>3.6909722222222219E-2</v>
      </c>
      <c r="I1079" t="s">
        <v>21</v>
      </c>
      <c r="J1079" t="s">
        <v>21</v>
      </c>
      <c r="K1079" s="5">
        <f>3208 / 86400</f>
        <v>3.712962962962963E-2</v>
      </c>
      <c r="L1079" s="5">
        <f>564 / 86400</f>
        <v>6.5277777777777782E-3</v>
      </c>
    </row>
    <row r="1080" spans="1:12" x14ac:dyDescent="0.25">
      <c r="A1080" s="3">
        <v>45715.062349537038</v>
      </c>
      <c r="B1080" t="s">
        <v>84</v>
      </c>
      <c r="C1080" s="3">
        <v>45715.078981481478</v>
      </c>
      <c r="D1080" t="s">
        <v>84</v>
      </c>
      <c r="E1080" s="4">
        <v>0</v>
      </c>
      <c r="F1080" s="4">
        <v>428213.33600000001</v>
      </c>
      <c r="G1080" s="4">
        <v>428213.33600000001</v>
      </c>
      <c r="H1080" s="5">
        <f>1419 / 86400</f>
        <v>1.6423611111111111E-2</v>
      </c>
      <c r="I1080" t="s">
        <v>21</v>
      </c>
      <c r="J1080" t="s">
        <v>21</v>
      </c>
      <c r="K1080" s="5">
        <f>1437 / 86400</f>
        <v>1.6631944444444446E-2</v>
      </c>
      <c r="L1080" s="5">
        <f>385 / 86400</f>
        <v>4.4560185185185189E-3</v>
      </c>
    </row>
    <row r="1081" spans="1:12" x14ac:dyDescent="0.25">
      <c r="A1081" s="3">
        <v>45715.083437499998</v>
      </c>
      <c r="B1081" t="s">
        <v>84</v>
      </c>
      <c r="C1081" s="3">
        <v>45715.088923611111</v>
      </c>
      <c r="D1081" t="s">
        <v>84</v>
      </c>
      <c r="E1081" s="4">
        <v>0</v>
      </c>
      <c r="F1081" s="4">
        <v>428213.33600000001</v>
      </c>
      <c r="G1081" s="4">
        <v>428213.33600000001</v>
      </c>
      <c r="H1081" s="5">
        <f>459 / 86400</f>
        <v>5.3125000000000004E-3</v>
      </c>
      <c r="I1081" t="s">
        <v>21</v>
      </c>
      <c r="J1081" t="s">
        <v>21</v>
      </c>
      <c r="K1081" s="5">
        <f>474 / 86400</f>
        <v>5.4861111111111109E-3</v>
      </c>
      <c r="L1081" s="5">
        <f>250 / 86400</f>
        <v>2.8935185185185184E-3</v>
      </c>
    </row>
    <row r="1082" spans="1:12" x14ac:dyDescent="0.25">
      <c r="A1082" s="3">
        <v>45715.091817129629</v>
      </c>
      <c r="B1082" t="s">
        <v>84</v>
      </c>
      <c r="C1082" s="3">
        <v>45715.092083333337</v>
      </c>
      <c r="D1082" t="s">
        <v>84</v>
      </c>
      <c r="E1082" s="4">
        <v>0</v>
      </c>
      <c r="F1082" s="4">
        <v>428213.33600000001</v>
      </c>
      <c r="G1082" s="4">
        <v>428213.33600000001</v>
      </c>
      <c r="H1082" s="5">
        <f>19 / 86400</f>
        <v>2.199074074074074E-4</v>
      </c>
      <c r="I1082" t="s">
        <v>21</v>
      </c>
      <c r="J1082" t="s">
        <v>21</v>
      </c>
      <c r="K1082" s="5">
        <f>23 / 86400</f>
        <v>2.6620370370370372E-4</v>
      </c>
      <c r="L1082" s="5">
        <f>2 / 86400</f>
        <v>2.3148148148148147E-5</v>
      </c>
    </row>
    <row r="1083" spans="1:12" x14ac:dyDescent="0.25">
      <c r="A1083" s="3">
        <v>45715.092106481483</v>
      </c>
      <c r="B1083" t="s">
        <v>84</v>
      </c>
      <c r="C1083" s="3">
        <v>45715.092280092591</v>
      </c>
      <c r="D1083" t="s">
        <v>84</v>
      </c>
      <c r="E1083" s="4">
        <v>0</v>
      </c>
      <c r="F1083" s="4">
        <v>428213.33600000001</v>
      </c>
      <c r="G1083" s="4">
        <v>428213.33600000001</v>
      </c>
      <c r="H1083" s="5">
        <f>0 / 86400</f>
        <v>0</v>
      </c>
      <c r="I1083" t="s">
        <v>21</v>
      </c>
      <c r="J1083" t="s">
        <v>21</v>
      </c>
      <c r="K1083" s="5">
        <f>15 / 86400</f>
        <v>1.7361111111111112E-4</v>
      </c>
      <c r="L1083" s="5">
        <f>17671 / 86400</f>
        <v>0.20452546296296295</v>
      </c>
    </row>
    <row r="1084" spans="1:12" x14ac:dyDescent="0.25">
      <c r="A1084" s="3">
        <v>45715.296805555554</v>
      </c>
      <c r="B1084" t="s">
        <v>84</v>
      </c>
      <c r="C1084" s="3">
        <v>45715.29850694444</v>
      </c>
      <c r="D1084" t="s">
        <v>84</v>
      </c>
      <c r="E1084" s="4">
        <v>0</v>
      </c>
      <c r="F1084" s="4">
        <v>428213.33600000001</v>
      </c>
      <c r="G1084" s="4">
        <v>428213.33600000001</v>
      </c>
      <c r="H1084" s="5">
        <f>139 / 86400</f>
        <v>1.6087962962962963E-3</v>
      </c>
      <c r="I1084" t="s">
        <v>21</v>
      </c>
      <c r="J1084" t="s">
        <v>21</v>
      </c>
      <c r="K1084" s="5">
        <f>146 / 86400</f>
        <v>1.6898148148148148E-3</v>
      </c>
      <c r="L1084" s="5">
        <f>975 / 86400</f>
        <v>1.1284722222222222E-2</v>
      </c>
    </row>
    <row r="1085" spans="1:12" x14ac:dyDescent="0.25">
      <c r="A1085" s="3">
        <v>45715.309791666667</v>
      </c>
      <c r="B1085" t="s">
        <v>84</v>
      </c>
      <c r="C1085" s="3">
        <v>45715.337002314816</v>
      </c>
      <c r="D1085" t="s">
        <v>84</v>
      </c>
      <c r="E1085" s="4">
        <v>0</v>
      </c>
      <c r="F1085" s="4">
        <v>428213.33600000001</v>
      </c>
      <c r="G1085" s="4">
        <v>428213.33600000001</v>
      </c>
      <c r="H1085" s="5">
        <f>2349 / 86400</f>
        <v>2.71875E-2</v>
      </c>
      <c r="I1085" t="s">
        <v>21</v>
      </c>
      <c r="J1085" t="s">
        <v>21</v>
      </c>
      <c r="K1085" s="5">
        <f>2351 / 86400</f>
        <v>2.7210648148148147E-2</v>
      </c>
      <c r="L1085" s="5">
        <f>442 / 86400</f>
        <v>5.115740740740741E-3</v>
      </c>
    </row>
    <row r="1086" spans="1:12" x14ac:dyDescent="0.25">
      <c r="A1086" s="3">
        <v>45715.34211805556</v>
      </c>
      <c r="B1086" t="s">
        <v>84</v>
      </c>
      <c r="C1086" s="3">
        <v>45715.346377314811</v>
      </c>
      <c r="D1086" t="s">
        <v>84</v>
      </c>
      <c r="E1086" s="4">
        <v>0</v>
      </c>
      <c r="F1086" s="4">
        <v>428213.33600000001</v>
      </c>
      <c r="G1086" s="4">
        <v>428213.33600000001</v>
      </c>
      <c r="H1086" s="5">
        <f>359 / 86400</f>
        <v>4.1550925925925922E-3</v>
      </c>
      <c r="I1086" t="s">
        <v>21</v>
      </c>
      <c r="J1086" t="s">
        <v>21</v>
      </c>
      <c r="K1086" s="5">
        <f>368 / 86400</f>
        <v>4.2592592592592595E-3</v>
      </c>
      <c r="L1086" s="5">
        <f>80 / 86400</f>
        <v>9.2592592592592596E-4</v>
      </c>
    </row>
    <row r="1087" spans="1:12" x14ac:dyDescent="0.25">
      <c r="A1087" s="3">
        <v>45715.347303240742</v>
      </c>
      <c r="B1087" t="s">
        <v>84</v>
      </c>
      <c r="C1087" s="3">
        <v>45715.347986111112</v>
      </c>
      <c r="D1087" t="s">
        <v>84</v>
      </c>
      <c r="E1087" s="4">
        <v>0</v>
      </c>
      <c r="F1087" s="4">
        <v>428213.33600000001</v>
      </c>
      <c r="G1087" s="4">
        <v>428213.33600000001</v>
      </c>
      <c r="H1087" s="5">
        <f>39 / 86400</f>
        <v>4.5138888888888887E-4</v>
      </c>
      <c r="I1087" t="s">
        <v>21</v>
      </c>
      <c r="J1087" t="s">
        <v>21</v>
      </c>
      <c r="K1087" s="5">
        <f>59 / 86400</f>
        <v>6.8287037037037036E-4</v>
      </c>
      <c r="L1087" s="5">
        <f>332 / 86400</f>
        <v>3.8425925925925928E-3</v>
      </c>
    </row>
    <row r="1088" spans="1:12" x14ac:dyDescent="0.25">
      <c r="A1088" s="3">
        <v>45715.3518287037</v>
      </c>
      <c r="B1088" t="s">
        <v>84</v>
      </c>
      <c r="C1088" s="3">
        <v>45715.355069444442</v>
      </c>
      <c r="D1088" t="s">
        <v>84</v>
      </c>
      <c r="E1088" s="4">
        <v>0</v>
      </c>
      <c r="F1088" s="4">
        <v>428213.33600000001</v>
      </c>
      <c r="G1088" s="4">
        <v>428213.33600000001</v>
      </c>
      <c r="H1088" s="5">
        <f>279 / 86400</f>
        <v>3.2291666666666666E-3</v>
      </c>
      <c r="I1088" t="s">
        <v>21</v>
      </c>
      <c r="J1088" t="s">
        <v>21</v>
      </c>
      <c r="K1088" s="5">
        <f>280 / 86400</f>
        <v>3.2407407407407406E-3</v>
      </c>
      <c r="L1088" s="5">
        <f>7118 / 86400</f>
        <v>8.2384259259259254E-2</v>
      </c>
    </row>
    <row r="1089" spans="1:12" x14ac:dyDescent="0.25">
      <c r="A1089" s="3">
        <v>45715.437453703707</v>
      </c>
      <c r="B1089" t="s">
        <v>84</v>
      </c>
      <c r="C1089" s="3">
        <v>45715.46603009259</v>
      </c>
      <c r="D1089" t="s">
        <v>84</v>
      </c>
      <c r="E1089" s="4">
        <v>0</v>
      </c>
      <c r="F1089" s="4">
        <v>428213.33600000001</v>
      </c>
      <c r="G1089" s="4">
        <v>428213.33600000001</v>
      </c>
      <c r="H1089" s="5">
        <f>2449 / 86400</f>
        <v>2.8344907407407409E-2</v>
      </c>
      <c r="I1089" t="s">
        <v>21</v>
      </c>
      <c r="J1089" t="s">
        <v>21</v>
      </c>
      <c r="K1089" s="5">
        <f>2468 / 86400</f>
        <v>2.8564814814814814E-2</v>
      </c>
      <c r="L1089" s="5">
        <f>22844 / 86400</f>
        <v>0.26439814814814816</v>
      </c>
    </row>
    <row r="1090" spans="1:12" x14ac:dyDescent="0.25">
      <c r="A1090" s="3">
        <v>45715.730428240742</v>
      </c>
      <c r="B1090" t="s">
        <v>84</v>
      </c>
      <c r="C1090" s="3">
        <v>45715.730462962965</v>
      </c>
      <c r="D1090" t="s">
        <v>84</v>
      </c>
      <c r="E1090" s="4">
        <v>0</v>
      </c>
      <c r="F1090" s="4">
        <v>428213.33600000001</v>
      </c>
      <c r="G1090" s="4">
        <v>428213.33600000001</v>
      </c>
      <c r="H1090" s="5">
        <f>0 / 86400</f>
        <v>0</v>
      </c>
      <c r="I1090" t="s">
        <v>21</v>
      </c>
      <c r="J1090" t="s">
        <v>21</v>
      </c>
      <c r="K1090" s="5">
        <f>3 / 86400</f>
        <v>3.4722222222222222E-5</v>
      </c>
      <c r="L1090" s="5">
        <f>1244 / 86400</f>
        <v>1.4398148148148148E-2</v>
      </c>
    </row>
    <row r="1091" spans="1:12" x14ac:dyDescent="0.25">
      <c r="A1091" s="3">
        <v>45715.74486111111</v>
      </c>
      <c r="B1091" t="s">
        <v>84</v>
      </c>
      <c r="C1091" s="3">
        <v>45715.746041666665</v>
      </c>
      <c r="D1091" t="s">
        <v>84</v>
      </c>
      <c r="E1091" s="4">
        <v>0</v>
      </c>
      <c r="F1091" s="4">
        <v>428213.33600000001</v>
      </c>
      <c r="G1091" s="4">
        <v>428213.33600000001</v>
      </c>
      <c r="H1091" s="5">
        <f>99 / 86400</f>
        <v>1.1458333333333333E-3</v>
      </c>
      <c r="I1091" t="s">
        <v>21</v>
      </c>
      <c r="J1091" t="s">
        <v>21</v>
      </c>
      <c r="K1091" s="5">
        <f>102 / 86400</f>
        <v>1.1805555555555556E-3</v>
      </c>
      <c r="L1091" s="5">
        <f>175 / 86400</f>
        <v>2.0254629629629629E-3</v>
      </c>
    </row>
    <row r="1092" spans="1:12" x14ac:dyDescent="0.25">
      <c r="A1092" s="3">
        <v>45715.748067129629</v>
      </c>
      <c r="B1092" t="s">
        <v>84</v>
      </c>
      <c r="C1092" s="3">
        <v>45715.748252314814</v>
      </c>
      <c r="D1092" t="s">
        <v>84</v>
      </c>
      <c r="E1092" s="4">
        <v>0</v>
      </c>
      <c r="F1092" s="4">
        <v>428213.33600000001</v>
      </c>
      <c r="G1092" s="4">
        <v>428213.33600000001</v>
      </c>
      <c r="H1092" s="5">
        <f>0 / 86400</f>
        <v>0</v>
      </c>
      <c r="I1092" t="s">
        <v>21</v>
      </c>
      <c r="J1092" t="s">
        <v>21</v>
      </c>
      <c r="K1092" s="5">
        <f>16 / 86400</f>
        <v>1.8518518518518518E-4</v>
      </c>
      <c r="L1092" s="5">
        <f>74 / 86400</f>
        <v>8.564814814814815E-4</v>
      </c>
    </row>
    <row r="1093" spans="1:12" x14ac:dyDescent="0.25">
      <c r="A1093" s="3">
        <v>45715.749108796299</v>
      </c>
      <c r="B1093" t="s">
        <v>84</v>
      </c>
      <c r="C1093" s="3">
        <v>45715.749386574069</v>
      </c>
      <c r="D1093" t="s">
        <v>84</v>
      </c>
      <c r="E1093" s="4">
        <v>0</v>
      </c>
      <c r="F1093" s="4">
        <v>428213.33600000001</v>
      </c>
      <c r="G1093" s="4">
        <v>428213.33600000001</v>
      </c>
      <c r="H1093" s="5">
        <f>19 / 86400</f>
        <v>2.199074074074074E-4</v>
      </c>
      <c r="I1093" t="s">
        <v>21</v>
      </c>
      <c r="J1093" t="s">
        <v>21</v>
      </c>
      <c r="K1093" s="5">
        <f>24 / 86400</f>
        <v>2.7777777777777778E-4</v>
      </c>
      <c r="L1093" s="5">
        <f>456 / 86400</f>
        <v>5.2777777777777779E-3</v>
      </c>
    </row>
    <row r="1094" spans="1:12" x14ac:dyDescent="0.25">
      <c r="A1094" s="3">
        <v>45715.754664351851</v>
      </c>
      <c r="B1094" t="s">
        <v>84</v>
      </c>
      <c r="C1094" s="3">
        <v>45715.755914351852</v>
      </c>
      <c r="D1094" t="s">
        <v>84</v>
      </c>
      <c r="E1094" s="4">
        <v>0</v>
      </c>
      <c r="F1094" s="4">
        <v>428213.33600000001</v>
      </c>
      <c r="G1094" s="4">
        <v>428213.33600000001</v>
      </c>
      <c r="H1094" s="5">
        <f>99 / 86400</f>
        <v>1.1458333333333333E-3</v>
      </c>
      <c r="I1094" t="s">
        <v>21</v>
      </c>
      <c r="J1094" t="s">
        <v>21</v>
      </c>
      <c r="K1094" s="5">
        <f>108 / 86400</f>
        <v>1.25E-3</v>
      </c>
      <c r="L1094" s="5">
        <f>3 / 86400</f>
        <v>3.4722222222222222E-5</v>
      </c>
    </row>
    <row r="1095" spans="1:12" x14ac:dyDescent="0.25">
      <c r="A1095" s="3">
        <v>45715.755949074075</v>
      </c>
      <c r="B1095" t="s">
        <v>84</v>
      </c>
      <c r="C1095" s="3">
        <v>45715.756249999999</v>
      </c>
      <c r="D1095" t="s">
        <v>84</v>
      </c>
      <c r="E1095" s="4">
        <v>0</v>
      </c>
      <c r="F1095" s="4">
        <v>428213.33600000001</v>
      </c>
      <c r="G1095" s="4">
        <v>428213.33600000001</v>
      </c>
      <c r="H1095" s="5">
        <f>8 / 86400</f>
        <v>9.2592592592592588E-5</v>
      </c>
      <c r="I1095" t="s">
        <v>21</v>
      </c>
      <c r="J1095" t="s">
        <v>21</v>
      </c>
      <c r="K1095" s="5">
        <f>26 / 86400</f>
        <v>3.0092592592592595E-4</v>
      </c>
      <c r="L1095" s="5">
        <f>1761 / 86400</f>
        <v>2.0381944444444446E-2</v>
      </c>
    </row>
    <row r="1096" spans="1:12" x14ac:dyDescent="0.25">
      <c r="A1096" s="3">
        <v>45715.776631944449</v>
      </c>
      <c r="B1096" t="s">
        <v>84</v>
      </c>
      <c r="C1096" s="3">
        <v>45715.786006944443</v>
      </c>
      <c r="D1096" t="s">
        <v>84</v>
      </c>
      <c r="E1096" s="4">
        <v>0</v>
      </c>
      <c r="F1096" s="4">
        <v>428213.33600000001</v>
      </c>
      <c r="G1096" s="4">
        <v>428213.33600000001</v>
      </c>
      <c r="H1096" s="5">
        <f>799 / 86400</f>
        <v>9.2476851851851852E-3</v>
      </c>
      <c r="I1096" t="s">
        <v>21</v>
      </c>
      <c r="J1096" t="s">
        <v>21</v>
      </c>
      <c r="K1096" s="5">
        <f>809 / 86400</f>
        <v>9.3634259259259261E-3</v>
      </c>
      <c r="L1096" s="5">
        <f>27 / 86400</f>
        <v>3.1250000000000001E-4</v>
      </c>
    </row>
    <row r="1097" spans="1:12" x14ac:dyDescent="0.25">
      <c r="A1097" s="3">
        <v>45715.786319444444</v>
      </c>
      <c r="B1097" t="s">
        <v>84</v>
      </c>
      <c r="C1097" s="3">
        <v>45715.798136574071</v>
      </c>
      <c r="D1097" t="s">
        <v>84</v>
      </c>
      <c r="E1097" s="4">
        <v>0</v>
      </c>
      <c r="F1097" s="4">
        <v>428213.33600000001</v>
      </c>
      <c r="G1097" s="4">
        <v>428213.33600000001</v>
      </c>
      <c r="H1097" s="5">
        <f>1019 / 86400</f>
        <v>1.1793981481481482E-2</v>
      </c>
      <c r="I1097" t="s">
        <v>21</v>
      </c>
      <c r="J1097" t="s">
        <v>21</v>
      </c>
      <c r="K1097" s="5">
        <f>1020 / 86400</f>
        <v>1.1805555555555555E-2</v>
      </c>
      <c r="L1097" s="5">
        <f>67 / 86400</f>
        <v>7.7546296296296293E-4</v>
      </c>
    </row>
    <row r="1098" spans="1:12" x14ac:dyDescent="0.25">
      <c r="A1098" s="3">
        <v>45715.798912037033</v>
      </c>
      <c r="B1098" t="s">
        <v>84</v>
      </c>
      <c r="C1098" s="3">
        <v>45715.799444444448</v>
      </c>
      <c r="D1098" t="s">
        <v>84</v>
      </c>
      <c r="E1098" s="4">
        <v>0</v>
      </c>
      <c r="F1098" s="4">
        <v>428213.33600000001</v>
      </c>
      <c r="G1098" s="4">
        <v>428213.33600000001</v>
      </c>
      <c r="H1098" s="5">
        <f>39 / 86400</f>
        <v>4.5138888888888887E-4</v>
      </c>
      <c r="I1098" t="s">
        <v>21</v>
      </c>
      <c r="J1098" t="s">
        <v>21</v>
      </c>
      <c r="K1098" s="5">
        <f>45 / 86400</f>
        <v>5.2083333333333333E-4</v>
      </c>
      <c r="L1098" s="5">
        <f>3520 / 86400</f>
        <v>4.0740740740740744E-2</v>
      </c>
    </row>
    <row r="1099" spans="1:12" x14ac:dyDescent="0.25">
      <c r="A1099" s="3">
        <v>45715.840185185181</v>
      </c>
      <c r="B1099" t="s">
        <v>84</v>
      </c>
      <c r="C1099" s="3">
        <v>45715.841793981483</v>
      </c>
      <c r="D1099" t="s">
        <v>84</v>
      </c>
      <c r="E1099" s="4">
        <v>0</v>
      </c>
      <c r="F1099" s="4">
        <v>428213.33600000001</v>
      </c>
      <c r="G1099" s="4">
        <v>428213.33600000001</v>
      </c>
      <c r="H1099" s="5">
        <f>119 / 86400</f>
        <v>1.3773148148148147E-3</v>
      </c>
      <c r="I1099" t="s">
        <v>21</v>
      </c>
      <c r="J1099" t="s">
        <v>21</v>
      </c>
      <c r="K1099" s="5">
        <f>138 / 86400</f>
        <v>1.5972222222222223E-3</v>
      </c>
      <c r="L1099" s="5">
        <f>90 / 86400</f>
        <v>1.0416666666666667E-3</v>
      </c>
    </row>
    <row r="1100" spans="1:12" x14ac:dyDescent="0.25">
      <c r="A1100" s="3">
        <v>45715.842835648145</v>
      </c>
      <c r="B1100" t="s">
        <v>84</v>
      </c>
      <c r="C1100" s="3">
        <v>45715.843784722223</v>
      </c>
      <c r="D1100" t="s">
        <v>84</v>
      </c>
      <c r="E1100" s="4">
        <v>0</v>
      </c>
      <c r="F1100" s="4">
        <v>428213.33600000001</v>
      </c>
      <c r="G1100" s="4">
        <v>428213.33600000001</v>
      </c>
      <c r="H1100" s="5">
        <f>79 / 86400</f>
        <v>9.1435185185185185E-4</v>
      </c>
      <c r="I1100" t="s">
        <v>21</v>
      </c>
      <c r="J1100" t="s">
        <v>21</v>
      </c>
      <c r="K1100" s="5">
        <f>81 / 86400</f>
        <v>9.3749999999999997E-4</v>
      </c>
      <c r="L1100" s="5">
        <f>235 / 86400</f>
        <v>2.7199074074074074E-3</v>
      </c>
    </row>
    <row r="1101" spans="1:12" x14ac:dyDescent="0.25">
      <c r="A1101" s="3">
        <v>45715.846504629633</v>
      </c>
      <c r="B1101" t="s">
        <v>84</v>
      </c>
      <c r="C1101" s="3">
        <v>45715.847916666666</v>
      </c>
      <c r="D1101" t="s">
        <v>84</v>
      </c>
      <c r="E1101" s="4">
        <v>0</v>
      </c>
      <c r="F1101" s="4">
        <v>428213.33600000001</v>
      </c>
      <c r="G1101" s="4">
        <v>428213.33600000001</v>
      </c>
      <c r="H1101" s="5">
        <f>119 / 86400</f>
        <v>1.3773148148148147E-3</v>
      </c>
      <c r="I1101" t="s">
        <v>21</v>
      </c>
      <c r="J1101" t="s">
        <v>21</v>
      </c>
      <c r="K1101" s="5">
        <f>122 / 86400</f>
        <v>1.4120370370370369E-3</v>
      </c>
      <c r="L1101" s="5">
        <f>13139 / 86400</f>
        <v>0.15207175925925925</v>
      </c>
    </row>
    <row r="1102" spans="1:12" x14ac:dyDescent="0.25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</row>
    <row r="1103" spans="1:12" x14ac:dyDescent="0.2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</row>
    <row r="1104" spans="1:12" s="10" customFormat="1" ht="20.100000000000001" customHeight="1" x14ac:dyDescent="0.35">
      <c r="A1104" s="11" t="s">
        <v>542</v>
      </c>
      <c r="B1104" s="11"/>
      <c r="C1104" s="11"/>
      <c r="D1104" s="11"/>
      <c r="E1104" s="11"/>
      <c r="F1104" s="11"/>
      <c r="G1104" s="11"/>
      <c r="H1104" s="11"/>
      <c r="I1104" s="11"/>
      <c r="J1104" s="11"/>
    </row>
    <row r="1105" spans="1:12" x14ac:dyDescent="0.2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</row>
    <row r="1106" spans="1:12" ht="30" x14ac:dyDescent="0.25">
      <c r="A1106" s="2" t="s">
        <v>5</v>
      </c>
      <c r="B1106" s="2" t="s">
        <v>6</v>
      </c>
      <c r="C1106" s="2" t="s">
        <v>7</v>
      </c>
      <c r="D1106" s="2" t="s">
        <v>8</v>
      </c>
      <c r="E1106" s="2" t="s">
        <v>9</v>
      </c>
      <c r="F1106" s="2" t="s">
        <v>10</v>
      </c>
      <c r="G1106" s="2" t="s">
        <v>11</v>
      </c>
      <c r="H1106" s="2" t="s">
        <v>12</v>
      </c>
      <c r="I1106" s="2" t="s">
        <v>13</v>
      </c>
      <c r="J1106" s="2" t="s">
        <v>14</v>
      </c>
      <c r="K1106" s="2" t="s">
        <v>15</v>
      </c>
      <c r="L1106" s="2" t="s">
        <v>16</v>
      </c>
    </row>
    <row r="1107" spans="1:12" x14ac:dyDescent="0.25">
      <c r="A1107" s="3">
        <v>45715.250925925924</v>
      </c>
      <c r="B1107" t="s">
        <v>24</v>
      </c>
      <c r="C1107" s="3">
        <v>45715.259340277778</v>
      </c>
      <c r="D1107" t="s">
        <v>485</v>
      </c>
      <c r="E1107" s="4">
        <v>1.6339999999999999</v>
      </c>
      <c r="F1107" s="4">
        <v>577930.03399999999</v>
      </c>
      <c r="G1107" s="4">
        <v>577931.66799999995</v>
      </c>
      <c r="H1107" s="5">
        <f>379 / 86400</f>
        <v>4.386574074074074E-3</v>
      </c>
      <c r="I1107" t="s">
        <v>129</v>
      </c>
      <c r="J1107" t="s">
        <v>155</v>
      </c>
      <c r="K1107" s="5">
        <f>726 / 86400</f>
        <v>8.4027777777777781E-3</v>
      </c>
      <c r="L1107" s="5">
        <f>21833 / 86400</f>
        <v>0.25269675925925927</v>
      </c>
    </row>
    <row r="1108" spans="1:12" x14ac:dyDescent="0.25">
      <c r="A1108" s="3">
        <v>45715.261111111111</v>
      </c>
      <c r="B1108" t="s">
        <v>485</v>
      </c>
      <c r="C1108" s="3">
        <v>45715.394965277781</v>
      </c>
      <c r="D1108" t="s">
        <v>74</v>
      </c>
      <c r="E1108" s="4">
        <v>62.884</v>
      </c>
      <c r="F1108" s="4">
        <v>577931.66799999995</v>
      </c>
      <c r="G1108" s="4">
        <v>577994.55200000003</v>
      </c>
      <c r="H1108" s="5">
        <f>2952 / 86400</f>
        <v>3.4166666666666665E-2</v>
      </c>
      <c r="I1108" t="s">
        <v>23</v>
      </c>
      <c r="J1108" t="s">
        <v>116</v>
      </c>
      <c r="K1108" s="5">
        <f>11565 / 86400</f>
        <v>0.13385416666666666</v>
      </c>
      <c r="L1108" s="5">
        <f>898 / 86400</f>
        <v>1.0393518518518519E-2</v>
      </c>
    </row>
    <row r="1109" spans="1:12" x14ac:dyDescent="0.25">
      <c r="A1109" s="3">
        <v>45715.405358796299</v>
      </c>
      <c r="B1109" t="s">
        <v>74</v>
      </c>
      <c r="C1109" s="3">
        <v>45715.413090277776</v>
      </c>
      <c r="D1109" t="s">
        <v>122</v>
      </c>
      <c r="E1109" s="4">
        <v>1.3540000000000001</v>
      </c>
      <c r="F1109" s="4">
        <v>577994.55200000003</v>
      </c>
      <c r="G1109" s="4">
        <v>577995.90599999996</v>
      </c>
      <c r="H1109" s="5">
        <f>360 / 86400</f>
        <v>4.1666666666666666E-3</v>
      </c>
      <c r="I1109" t="s">
        <v>173</v>
      </c>
      <c r="J1109" t="s">
        <v>143</v>
      </c>
      <c r="K1109" s="5">
        <f>667 / 86400</f>
        <v>7.7199074074074071E-3</v>
      </c>
      <c r="L1109" s="5">
        <f>1658 / 86400</f>
        <v>1.9189814814814816E-2</v>
      </c>
    </row>
    <row r="1110" spans="1:12" x14ac:dyDescent="0.25">
      <c r="A1110" s="3">
        <v>45715.432280092587</v>
      </c>
      <c r="B1110" t="s">
        <v>122</v>
      </c>
      <c r="C1110" s="3">
        <v>45715.43644675926</v>
      </c>
      <c r="D1110" t="s">
        <v>150</v>
      </c>
      <c r="E1110" s="4">
        <v>0.75700000000000001</v>
      </c>
      <c r="F1110" s="4">
        <v>577995.90599999996</v>
      </c>
      <c r="G1110" s="4">
        <v>577996.66299999994</v>
      </c>
      <c r="H1110" s="5">
        <f>199 / 86400</f>
        <v>2.3032407407407407E-3</v>
      </c>
      <c r="I1110" t="s">
        <v>179</v>
      </c>
      <c r="J1110" t="s">
        <v>155</v>
      </c>
      <c r="K1110" s="5">
        <f>360 / 86400</f>
        <v>4.1666666666666666E-3</v>
      </c>
      <c r="L1110" s="5">
        <f>62 / 86400</f>
        <v>7.1759259259259259E-4</v>
      </c>
    </row>
    <row r="1111" spans="1:12" x14ac:dyDescent="0.25">
      <c r="A1111" s="3">
        <v>45715.437164351853</v>
      </c>
      <c r="B1111" t="s">
        <v>150</v>
      </c>
      <c r="C1111" s="3">
        <v>45715.437303240746</v>
      </c>
      <c r="D1111" t="s">
        <v>150</v>
      </c>
      <c r="E1111" s="4">
        <v>7.0000000000000001E-3</v>
      </c>
      <c r="F1111" s="4">
        <v>577996.66299999994</v>
      </c>
      <c r="G1111" s="4">
        <v>577996.67000000004</v>
      </c>
      <c r="H1111" s="5">
        <f>0 / 86400</f>
        <v>0</v>
      </c>
      <c r="I1111" t="s">
        <v>21</v>
      </c>
      <c r="J1111" t="s">
        <v>29</v>
      </c>
      <c r="K1111" s="5">
        <f>11 / 86400</f>
        <v>1.273148148148148E-4</v>
      </c>
      <c r="L1111" s="5">
        <f>355 / 86400</f>
        <v>4.1087962962962962E-3</v>
      </c>
    </row>
    <row r="1112" spans="1:12" x14ac:dyDescent="0.25">
      <c r="A1112" s="3">
        <v>45715.441412037035</v>
      </c>
      <c r="B1112" t="s">
        <v>150</v>
      </c>
      <c r="C1112" s="3">
        <v>45715.442615740743</v>
      </c>
      <c r="D1112" t="s">
        <v>487</v>
      </c>
      <c r="E1112" s="4">
        <v>0.01</v>
      </c>
      <c r="F1112" s="4">
        <v>577996.67000000004</v>
      </c>
      <c r="G1112" s="4">
        <v>577996.68000000005</v>
      </c>
      <c r="H1112" s="5">
        <f>79 / 86400</f>
        <v>9.1435185185185185E-4</v>
      </c>
      <c r="I1112" t="s">
        <v>99</v>
      </c>
      <c r="J1112" t="s">
        <v>21</v>
      </c>
      <c r="K1112" s="5">
        <f>104 / 86400</f>
        <v>1.2037037037037038E-3</v>
      </c>
      <c r="L1112" s="5">
        <f>365 / 86400</f>
        <v>4.2245370370370371E-3</v>
      </c>
    </row>
    <row r="1113" spans="1:12" x14ac:dyDescent="0.25">
      <c r="A1113" s="3">
        <v>45715.446840277778</v>
      </c>
      <c r="B1113" t="s">
        <v>487</v>
      </c>
      <c r="C1113" s="3">
        <v>45715.578182870369</v>
      </c>
      <c r="D1113" t="s">
        <v>488</v>
      </c>
      <c r="E1113" s="4">
        <v>49.631999999999998</v>
      </c>
      <c r="F1113" s="4">
        <v>577996.68000000005</v>
      </c>
      <c r="G1113" s="4">
        <v>578046.31200000003</v>
      </c>
      <c r="H1113" s="5">
        <f>4239 / 86400</f>
        <v>4.9062500000000002E-2</v>
      </c>
      <c r="I1113" t="s">
        <v>79</v>
      </c>
      <c r="J1113" t="s">
        <v>26</v>
      </c>
      <c r="K1113" s="5">
        <f>11348 / 86400</f>
        <v>0.13134259259259259</v>
      </c>
      <c r="L1113" s="5">
        <f>3117 / 86400</f>
        <v>3.6076388888888887E-2</v>
      </c>
    </row>
    <row r="1114" spans="1:12" x14ac:dyDescent="0.25">
      <c r="A1114" s="3">
        <v>45715.614259259259</v>
      </c>
      <c r="B1114" t="s">
        <v>488</v>
      </c>
      <c r="C1114" s="3">
        <v>45715.89543981482</v>
      </c>
      <c r="D1114" t="s">
        <v>24</v>
      </c>
      <c r="E1114" s="4">
        <v>53.924999999999997</v>
      </c>
      <c r="F1114" s="4">
        <v>578046.31200000003</v>
      </c>
      <c r="G1114" s="4">
        <v>578100.23699999996</v>
      </c>
      <c r="H1114" s="5">
        <f>13911 / 86400</f>
        <v>0.16100694444444444</v>
      </c>
      <c r="I1114" t="s">
        <v>89</v>
      </c>
      <c r="J1114" t="s">
        <v>155</v>
      </c>
      <c r="K1114" s="5">
        <f>24293 / 86400</f>
        <v>0.28116898148148151</v>
      </c>
      <c r="L1114" s="5">
        <f>4226 / 86400</f>
        <v>4.8912037037037039E-2</v>
      </c>
    </row>
    <row r="1115" spans="1:12" x14ac:dyDescent="0.25">
      <c r="A1115" s="3">
        <v>45715.944351851853</v>
      </c>
      <c r="B1115" t="s">
        <v>24</v>
      </c>
      <c r="C1115" s="3">
        <v>45715.945706018523</v>
      </c>
      <c r="D1115" t="s">
        <v>24</v>
      </c>
      <c r="E1115" s="4">
        <v>6.0000000000000001E-3</v>
      </c>
      <c r="F1115" s="4">
        <v>578100.23699999996</v>
      </c>
      <c r="G1115" s="4">
        <v>578100.24300000002</v>
      </c>
      <c r="H1115" s="5">
        <f>59 / 86400</f>
        <v>6.8287037037037036E-4</v>
      </c>
      <c r="I1115" t="s">
        <v>67</v>
      </c>
      <c r="J1115" t="s">
        <v>21</v>
      </c>
      <c r="K1115" s="5">
        <f>117 / 86400</f>
        <v>1.3541666666666667E-3</v>
      </c>
      <c r="L1115" s="5">
        <f>4690 / 86400</f>
        <v>5.4282407407407404E-2</v>
      </c>
    </row>
    <row r="1116" spans="1:12" x14ac:dyDescent="0.25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</row>
    <row r="1117" spans="1:12" x14ac:dyDescent="0.25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</row>
    <row r="1118" spans="1:12" s="10" customFormat="1" ht="20.100000000000001" customHeight="1" x14ac:dyDescent="0.35">
      <c r="A1118" s="11" t="s">
        <v>543</v>
      </c>
      <c r="B1118" s="11"/>
      <c r="C1118" s="11"/>
      <c r="D1118" s="11"/>
      <c r="E1118" s="11"/>
      <c r="F1118" s="11"/>
      <c r="G1118" s="11"/>
      <c r="H1118" s="11"/>
      <c r="I1118" s="11"/>
      <c r="J1118" s="11"/>
    </row>
    <row r="1119" spans="1:12" x14ac:dyDescent="0.25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</row>
    <row r="1120" spans="1:12" ht="30" x14ac:dyDescent="0.25">
      <c r="A1120" s="2" t="s">
        <v>5</v>
      </c>
      <c r="B1120" s="2" t="s">
        <v>6</v>
      </c>
      <c r="C1120" s="2" t="s">
        <v>7</v>
      </c>
      <c r="D1120" s="2" t="s">
        <v>8</v>
      </c>
      <c r="E1120" s="2" t="s">
        <v>9</v>
      </c>
      <c r="F1120" s="2" t="s">
        <v>10</v>
      </c>
      <c r="G1120" s="2" t="s">
        <v>11</v>
      </c>
      <c r="H1120" s="2" t="s">
        <v>12</v>
      </c>
      <c r="I1120" s="2" t="s">
        <v>13</v>
      </c>
      <c r="J1120" s="2" t="s">
        <v>14</v>
      </c>
      <c r="K1120" s="2" t="s">
        <v>15</v>
      </c>
      <c r="L1120" s="2" t="s">
        <v>16</v>
      </c>
    </row>
    <row r="1121" spans="1:12" x14ac:dyDescent="0.25">
      <c r="A1121" s="3">
        <v>45715.235208333332</v>
      </c>
      <c r="B1121" t="s">
        <v>86</v>
      </c>
      <c r="C1121" s="3">
        <v>45715.317442129628</v>
      </c>
      <c r="D1121" t="s">
        <v>121</v>
      </c>
      <c r="E1121" s="4">
        <v>37.107999999999997</v>
      </c>
      <c r="F1121" s="4">
        <v>418587.95600000001</v>
      </c>
      <c r="G1121" s="4">
        <v>418625.06400000001</v>
      </c>
      <c r="H1121" s="5">
        <f>2369 / 86400</f>
        <v>2.7418981481481482E-2</v>
      </c>
      <c r="I1121" t="s">
        <v>204</v>
      </c>
      <c r="J1121" t="s">
        <v>62</v>
      </c>
      <c r="K1121" s="5">
        <f>7104 / 86400</f>
        <v>8.2222222222222224E-2</v>
      </c>
      <c r="L1121" s="5">
        <f>20340 / 86400</f>
        <v>0.23541666666666666</v>
      </c>
    </row>
    <row r="1122" spans="1:12" x14ac:dyDescent="0.25">
      <c r="A1122" s="3">
        <v>45715.317650462966</v>
      </c>
      <c r="B1122" t="s">
        <v>121</v>
      </c>
      <c r="C1122" s="3">
        <v>45715.317685185189</v>
      </c>
      <c r="D1122" t="s">
        <v>121</v>
      </c>
      <c r="E1122" s="4">
        <v>0</v>
      </c>
      <c r="F1122" s="4">
        <v>418625.06400000001</v>
      </c>
      <c r="G1122" s="4">
        <v>418625.06400000001</v>
      </c>
      <c r="H1122" s="5">
        <f>0 / 86400</f>
        <v>0</v>
      </c>
      <c r="I1122" t="s">
        <v>21</v>
      </c>
      <c r="J1122" t="s">
        <v>21</v>
      </c>
      <c r="K1122" s="5">
        <f>3 / 86400</f>
        <v>3.4722222222222222E-5</v>
      </c>
      <c r="L1122" s="5">
        <f>763 / 86400</f>
        <v>8.8310185185185193E-3</v>
      </c>
    </row>
    <row r="1123" spans="1:12" x14ac:dyDescent="0.25">
      <c r="A1123" s="3">
        <v>45715.326516203699</v>
      </c>
      <c r="B1123" t="s">
        <v>121</v>
      </c>
      <c r="C1123" s="3">
        <v>45715.621365740742</v>
      </c>
      <c r="D1123" t="s">
        <v>432</v>
      </c>
      <c r="E1123" s="4">
        <v>101.346</v>
      </c>
      <c r="F1123" s="4">
        <v>418625.06400000001</v>
      </c>
      <c r="G1123" s="4">
        <v>418726.41</v>
      </c>
      <c r="H1123" s="5">
        <f>10061 / 86400</f>
        <v>0.11644675925925926</v>
      </c>
      <c r="I1123" t="s">
        <v>25</v>
      </c>
      <c r="J1123" t="s">
        <v>41</v>
      </c>
      <c r="K1123" s="5">
        <f>25475 / 86400</f>
        <v>0.29484953703703703</v>
      </c>
      <c r="L1123" s="5">
        <f>912 / 86400</f>
        <v>1.0555555555555556E-2</v>
      </c>
    </row>
    <row r="1124" spans="1:12" x14ac:dyDescent="0.25">
      <c r="A1124" s="3">
        <v>45715.631921296299</v>
      </c>
      <c r="B1124" t="s">
        <v>432</v>
      </c>
      <c r="C1124" s="3">
        <v>45715.633506944447</v>
      </c>
      <c r="D1124" t="s">
        <v>74</v>
      </c>
      <c r="E1124" s="4">
        <v>0.30299999999999999</v>
      </c>
      <c r="F1124" s="4">
        <v>418726.41</v>
      </c>
      <c r="G1124" s="4">
        <v>418726.71299999999</v>
      </c>
      <c r="H1124" s="5">
        <f>40 / 86400</f>
        <v>4.6296296296296298E-4</v>
      </c>
      <c r="I1124" t="s">
        <v>176</v>
      </c>
      <c r="J1124" t="s">
        <v>155</v>
      </c>
      <c r="K1124" s="5">
        <f>137 / 86400</f>
        <v>1.5856481481481481E-3</v>
      </c>
      <c r="L1124" s="5">
        <f>370 / 86400</f>
        <v>4.2824074074074075E-3</v>
      </c>
    </row>
    <row r="1125" spans="1:12" x14ac:dyDescent="0.25">
      <c r="A1125" s="3">
        <v>45715.637789351851</v>
      </c>
      <c r="B1125" t="s">
        <v>74</v>
      </c>
      <c r="C1125" s="3">
        <v>45715.638391203705</v>
      </c>
      <c r="D1125" t="s">
        <v>74</v>
      </c>
      <c r="E1125" s="4">
        <v>3.9E-2</v>
      </c>
      <c r="F1125" s="4">
        <v>418726.71299999999</v>
      </c>
      <c r="G1125" s="4">
        <v>418726.75199999998</v>
      </c>
      <c r="H1125" s="5">
        <f>0 / 86400</f>
        <v>0</v>
      </c>
      <c r="I1125" t="s">
        <v>143</v>
      </c>
      <c r="J1125" t="s">
        <v>136</v>
      </c>
      <c r="K1125" s="5">
        <f>52 / 86400</f>
        <v>6.018518518518519E-4</v>
      </c>
      <c r="L1125" s="5">
        <f>281 / 86400</f>
        <v>3.2523148148148147E-3</v>
      </c>
    </row>
    <row r="1126" spans="1:12" x14ac:dyDescent="0.25">
      <c r="A1126" s="3">
        <v>45715.641643518524</v>
      </c>
      <c r="B1126" t="s">
        <v>74</v>
      </c>
      <c r="C1126" s="3">
        <v>45715.872743055559</v>
      </c>
      <c r="D1126" t="s">
        <v>86</v>
      </c>
      <c r="E1126" s="4">
        <v>71.677000000000007</v>
      </c>
      <c r="F1126" s="4">
        <v>418726.75199999998</v>
      </c>
      <c r="G1126" s="4">
        <v>418798.429</v>
      </c>
      <c r="H1126" s="5">
        <f>7986 / 86400</f>
        <v>9.2430555555555557E-2</v>
      </c>
      <c r="I1126" t="s">
        <v>103</v>
      </c>
      <c r="J1126" t="s">
        <v>55</v>
      </c>
      <c r="K1126" s="5">
        <f>19967 / 86400</f>
        <v>0.23109953703703703</v>
      </c>
      <c r="L1126" s="5">
        <f>10994 / 86400</f>
        <v>0.12724537037037037</v>
      </c>
    </row>
    <row r="1127" spans="1:12" x14ac:dyDescent="0.25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</row>
    <row r="1128" spans="1:12" x14ac:dyDescent="0.25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</row>
    <row r="1129" spans="1:12" s="10" customFormat="1" ht="20.100000000000001" customHeight="1" x14ac:dyDescent="0.35">
      <c r="A1129" s="11" t="s">
        <v>544</v>
      </c>
      <c r="B1129" s="11"/>
      <c r="C1129" s="11"/>
      <c r="D1129" s="11"/>
      <c r="E1129" s="11"/>
      <c r="F1129" s="11"/>
      <c r="G1129" s="11"/>
      <c r="H1129" s="11"/>
      <c r="I1129" s="11"/>
      <c r="J1129" s="11"/>
    </row>
    <row r="1130" spans="1:12" x14ac:dyDescent="0.25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</row>
    <row r="1131" spans="1:12" ht="30" x14ac:dyDescent="0.25">
      <c r="A1131" s="2" t="s">
        <v>5</v>
      </c>
      <c r="B1131" s="2" t="s">
        <v>6</v>
      </c>
      <c r="C1131" s="2" t="s">
        <v>7</v>
      </c>
      <c r="D1131" s="2" t="s">
        <v>8</v>
      </c>
      <c r="E1131" s="2" t="s">
        <v>9</v>
      </c>
      <c r="F1131" s="2" t="s">
        <v>10</v>
      </c>
      <c r="G1131" s="2" t="s">
        <v>11</v>
      </c>
      <c r="H1131" s="2" t="s">
        <v>12</v>
      </c>
      <c r="I1131" s="2" t="s">
        <v>13</v>
      </c>
      <c r="J1131" s="2" t="s">
        <v>14</v>
      </c>
      <c r="K1131" s="2" t="s">
        <v>15</v>
      </c>
      <c r="L1131" s="2" t="s">
        <v>16</v>
      </c>
    </row>
    <row r="1132" spans="1:12" x14ac:dyDescent="0.25">
      <c r="A1132" s="3">
        <v>45715.001087962963</v>
      </c>
      <c r="B1132" t="s">
        <v>87</v>
      </c>
      <c r="C1132" s="3">
        <v>45715.001562500001</v>
      </c>
      <c r="D1132" t="s">
        <v>87</v>
      </c>
      <c r="E1132" s="4">
        <v>0</v>
      </c>
      <c r="F1132" s="4">
        <v>402122.69400000002</v>
      </c>
      <c r="G1132" s="4">
        <v>402122.69400000002</v>
      </c>
      <c r="H1132" s="5">
        <f>39 / 86400</f>
        <v>4.5138888888888887E-4</v>
      </c>
      <c r="I1132" t="s">
        <v>21</v>
      </c>
      <c r="J1132" t="s">
        <v>21</v>
      </c>
      <c r="K1132" s="5">
        <f>40 / 86400</f>
        <v>4.6296296296296298E-4</v>
      </c>
      <c r="L1132" s="5">
        <f>345 / 86400</f>
        <v>3.9930555555555552E-3</v>
      </c>
    </row>
    <row r="1133" spans="1:12" x14ac:dyDescent="0.25">
      <c r="A1133" s="3">
        <v>45715.004467592589</v>
      </c>
      <c r="B1133" t="s">
        <v>87</v>
      </c>
      <c r="C1133" s="3">
        <v>45715.021412037036</v>
      </c>
      <c r="D1133" t="s">
        <v>88</v>
      </c>
      <c r="E1133" s="4">
        <v>9.3369999999999997</v>
      </c>
      <c r="F1133" s="4">
        <v>402122.69400000002</v>
      </c>
      <c r="G1133" s="4">
        <v>402132.03100000002</v>
      </c>
      <c r="H1133" s="5">
        <f>119 / 86400</f>
        <v>1.3773148148148147E-3</v>
      </c>
      <c r="I1133" t="s">
        <v>172</v>
      </c>
      <c r="J1133" t="s">
        <v>163</v>
      </c>
      <c r="K1133" s="5">
        <f>1464 / 86400</f>
        <v>1.6944444444444446E-2</v>
      </c>
      <c r="L1133" s="5">
        <f>28039 / 86400</f>
        <v>0.32452546296296297</v>
      </c>
    </row>
    <row r="1134" spans="1:12" x14ac:dyDescent="0.25">
      <c r="A1134" s="3">
        <v>45715.345937499995</v>
      </c>
      <c r="B1134" t="s">
        <v>88</v>
      </c>
      <c r="C1134" s="3">
        <v>45715.362974537042</v>
      </c>
      <c r="D1134" t="s">
        <v>122</v>
      </c>
      <c r="E1134" s="4">
        <v>9.4339999999999993</v>
      </c>
      <c r="F1134" s="4">
        <v>402132.03100000002</v>
      </c>
      <c r="G1134" s="4">
        <v>402141.46500000003</v>
      </c>
      <c r="H1134" s="5">
        <f>499 / 86400</f>
        <v>5.7754629629629631E-3</v>
      </c>
      <c r="I1134" t="s">
        <v>236</v>
      </c>
      <c r="J1134" t="s">
        <v>163</v>
      </c>
      <c r="K1134" s="5">
        <f>1471 / 86400</f>
        <v>1.7025462962962964E-2</v>
      </c>
      <c r="L1134" s="5">
        <f>269 / 86400</f>
        <v>3.1134259259259257E-3</v>
      </c>
    </row>
    <row r="1135" spans="1:12" x14ac:dyDescent="0.25">
      <c r="A1135" s="3">
        <v>45715.366087962961</v>
      </c>
      <c r="B1135" t="s">
        <v>122</v>
      </c>
      <c r="C1135" s="3">
        <v>45715.368611111116</v>
      </c>
      <c r="D1135" t="s">
        <v>150</v>
      </c>
      <c r="E1135" s="4">
        <v>0.76300000000000001</v>
      </c>
      <c r="F1135" s="4">
        <v>402141.46500000003</v>
      </c>
      <c r="G1135" s="4">
        <v>402142.228</v>
      </c>
      <c r="H1135" s="5">
        <f>20 / 86400</f>
        <v>2.3148148148148149E-4</v>
      </c>
      <c r="I1135" t="s">
        <v>98</v>
      </c>
      <c r="J1135" t="s">
        <v>55</v>
      </c>
      <c r="K1135" s="5">
        <f>217 / 86400</f>
        <v>2.5115740740740741E-3</v>
      </c>
      <c r="L1135" s="5">
        <f>41 / 86400</f>
        <v>4.7453703703703704E-4</v>
      </c>
    </row>
    <row r="1136" spans="1:12" x14ac:dyDescent="0.25">
      <c r="A1136" s="3">
        <v>45715.369085648148</v>
      </c>
      <c r="B1136" t="s">
        <v>150</v>
      </c>
      <c r="C1136" s="3">
        <v>45715.518263888887</v>
      </c>
      <c r="D1136" t="s">
        <v>489</v>
      </c>
      <c r="E1136" s="4">
        <v>50.534999999999997</v>
      </c>
      <c r="F1136" s="4">
        <v>402142.228</v>
      </c>
      <c r="G1136" s="4">
        <v>402192.76299999998</v>
      </c>
      <c r="H1136" s="5">
        <f>4942 / 86400</f>
        <v>5.7199074074074076E-2</v>
      </c>
      <c r="I1136" t="s">
        <v>89</v>
      </c>
      <c r="J1136" t="s">
        <v>41</v>
      </c>
      <c r="K1136" s="5">
        <f>12888 / 86400</f>
        <v>0.14916666666666667</v>
      </c>
      <c r="L1136" s="5">
        <f>6087 / 86400</f>
        <v>7.0451388888888883E-2</v>
      </c>
    </row>
    <row r="1137" spans="1:12" x14ac:dyDescent="0.25">
      <c r="A1137" s="3">
        <v>45715.58871527778</v>
      </c>
      <c r="B1137" t="s">
        <v>488</v>
      </c>
      <c r="C1137" s="3">
        <v>45715.752395833333</v>
      </c>
      <c r="D1137" t="s">
        <v>148</v>
      </c>
      <c r="E1137" s="4">
        <v>50.304000000000002</v>
      </c>
      <c r="F1137" s="4">
        <v>402192.76299999998</v>
      </c>
      <c r="G1137" s="4">
        <v>402243.06699999998</v>
      </c>
      <c r="H1137" s="5">
        <f>5620 / 86400</f>
        <v>6.5046296296296297E-2</v>
      </c>
      <c r="I1137" t="s">
        <v>236</v>
      </c>
      <c r="J1137" t="s">
        <v>55</v>
      </c>
      <c r="K1137" s="5">
        <f>14142 / 86400</f>
        <v>0.16368055555555555</v>
      </c>
      <c r="L1137" s="5">
        <f>1941 / 86400</f>
        <v>2.2465277777777778E-2</v>
      </c>
    </row>
    <row r="1138" spans="1:12" x14ac:dyDescent="0.25">
      <c r="A1138" s="3">
        <v>45715.774861111116</v>
      </c>
      <c r="B1138" t="s">
        <v>148</v>
      </c>
      <c r="C1138" s="3">
        <v>45715.774942129632</v>
      </c>
      <c r="D1138" t="s">
        <v>148</v>
      </c>
      <c r="E1138" s="4">
        <v>0</v>
      </c>
      <c r="F1138" s="4">
        <v>402243.06699999998</v>
      </c>
      <c r="G1138" s="4">
        <v>402243.06699999998</v>
      </c>
      <c r="H1138" s="5">
        <f>0 / 86400</f>
        <v>0</v>
      </c>
      <c r="I1138" t="s">
        <v>21</v>
      </c>
      <c r="J1138" t="s">
        <v>21</v>
      </c>
      <c r="K1138" s="5">
        <f>7 / 86400</f>
        <v>8.1018518518518516E-5</v>
      </c>
      <c r="L1138" s="5">
        <f>152 / 86400</f>
        <v>1.7592592592592592E-3</v>
      </c>
    </row>
    <row r="1139" spans="1:12" x14ac:dyDescent="0.25">
      <c r="A1139" s="3">
        <v>45715.776701388888</v>
      </c>
      <c r="B1139" t="s">
        <v>148</v>
      </c>
      <c r="C1139" s="3">
        <v>45715.777407407411</v>
      </c>
      <c r="D1139" t="s">
        <v>150</v>
      </c>
      <c r="E1139" s="4">
        <v>8.6999999999999994E-2</v>
      </c>
      <c r="F1139" s="4">
        <v>402243.06699999998</v>
      </c>
      <c r="G1139" s="4">
        <v>402243.15399999998</v>
      </c>
      <c r="H1139" s="5">
        <f>20 / 86400</f>
        <v>2.3148148148148149E-4</v>
      </c>
      <c r="I1139" t="s">
        <v>26</v>
      </c>
      <c r="J1139" t="s">
        <v>99</v>
      </c>
      <c r="K1139" s="5">
        <f>60 / 86400</f>
        <v>6.9444444444444447E-4</v>
      </c>
      <c r="L1139" s="5">
        <f>243 / 86400</f>
        <v>2.8124999999999999E-3</v>
      </c>
    </row>
    <row r="1140" spans="1:12" x14ac:dyDescent="0.25">
      <c r="A1140" s="3">
        <v>45715.780219907407</v>
      </c>
      <c r="B1140" t="s">
        <v>150</v>
      </c>
      <c r="C1140" s="3">
        <v>45715.951944444445</v>
      </c>
      <c r="D1140" t="s">
        <v>74</v>
      </c>
      <c r="E1140" s="4">
        <v>68.991</v>
      </c>
      <c r="F1140" s="4">
        <v>402243.15399999998</v>
      </c>
      <c r="G1140" s="4">
        <v>402312.14500000002</v>
      </c>
      <c r="H1140" s="5">
        <f>5138 / 86400</f>
        <v>5.9467592592592593E-2</v>
      </c>
      <c r="I1140" t="s">
        <v>216</v>
      </c>
      <c r="J1140" t="s">
        <v>19</v>
      </c>
      <c r="K1140" s="5">
        <f>14836 / 86400</f>
        <v>0.17171296296296296</v>
      </c>
      <c r="L1140" s="5">
        <f>1475 / 86400</f>
        <v>1.7071759259259259E-2</v>
      </c>
    </row>
    <row r="1141" spans="1:12" x14ac:dyDescent="0.25">
      <c r="A1141" s="3">
        <v>45715.9690162037</v>
      </c>
      <c r="B1141" t="s">
        <v>74</v>
      </c>
      <c r="C1141" s="3">
        <v>45715.985914351855</v>
      </c>
      <c r="D1141" t="s">
        <v>88</v>
      </c>
      <c r="E1141" s="4">
        <v>9.07</v>
      </c>
      <c r="F1141" s="4">
        <v>402312.14500000002</v>
      </c>
      <c r="G1141" s="4">
        <v>402321.21500000003</v>
      </c>
      <c r="H1141" s="5">
        <f>120 / 86400</f>
        <v>1.3888888888888889E-3</v>
      </c>
      <c r="I1141" t="s">
        <v>235</v>
      </c>
      <c r="J1141" t="s">
        <v>34</v>
      </c>
      <c r="K1141" s="5">
        <f>1459 / 86400</f>
        <v>1.6886574074074075E-2</v>
      </c>
      <c r="L1141" s="5">
        <f>1216 / 86400</f>
        <v>1.4074074074074074E-2</v>
      </c>
    </row>
    <row r="1142" spans="1:12" x14ac:dyDescent="0.25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</row>
    <row r="1143" spans="1:12" x14ac:dyDescent="0.2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</row>
    <row r="1144" spans="1:12" s="10" customFormat="1" ht="20.100000000000001" customHeight="1" x14ac:dyDescent="0.35">
      <c r="A1144" s="11" t="s">
        <v>545</v>
      </c>
      <c r="B1144" s="11"/>
      <c r="C1144" s="11"/>
      <c r="D1144" s="11"/>
      <c r="E1144" s="11"/>
      <c r="F1144" s="11"/>
      <c r="G1144" s="11"/>
      <c r="H1144" s="11"/>
      <c r="I1144" s="11"/>
      <c r="J1144" s="11"/>
    </row>
    <row r="1145" spans="1:12" x14ac:dyDescent="0.2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</row>
    <row r="1146" spans="1:12" ht="30" x14ac:dyDescent="0.25">
      <c r="A1146" s="2" t="s">
        <v>5</v>
      </c>
      <c r="B1146" s="2" t="s">
        <v>6</v>
      </c>
      <c r="C1146" s="2" t="s">
        <v>7</v>
      </c>
      <c r="D1146" s="2" t="s">
        <v>8</v>
      </c>
      <c r="E1146" s="2" t="s">
        <v>9</v>
      </c>
      <c r="F1146" s="2" t="s">
        <v>10</v>
      </c>
      <c r="G1146" s="2" t="s">
        <v>11</v>
      </c>
      <c r="H1146" s="2" t="s">
        <v>12</v>
      </c>
      <c r="I1146" s="2" t="s">
        <v>13</v>
      </c>
      <c r="J1146" s="2" t="s">
        <v>14</v>
      </c>
      <c r="K1146" s="2" t="s">
        <v>15</v>
      </c>
      <c r="L1146" s="2" t="s">
        <v>16</v>
      </c>
    </row>
    <row r="1147" spans="1:12" x14ac:dyDescent="0.25">
      <c r="A1147" s="3">
        <v>45715.268923611111</v>
      </c>
      <c r="B1147" t="s">
        <v>24</v>
      </c>
      <c r="C1147" s="3">
        <v>45715.269282407404</v>
      </c>
      <c r="D1147" t="s">
        <v>24</v>
      </c>
      <c r="E1147" s="4">
        <v>0</v>
      </c>
      <c r="F1147" s="4">
        <v>384336.84700000001</v>
      </c>
      <c r="G1147" s="4">
        <v>384336.84700000001</v>
      </c>
      <c r="H1147" s="5">
        <f>19 / 86400</f>
        <v>2.199074074074074E-4</v>
      </c>
      <c r="I1147" t="s">
        <v>21</v>
      </c>
      <c r="J1147" t="s">
        <v>21</v>
      </c>
      <c r="K1147" s="5">
        <f>30 / 86400</f>
        <v>3.4722222222222224E-4</v>
      </c>
      <c r="L1147" s="5">
        <f>23237 / 86400</f>
        <v>0.26894675925925926</v>
      </c>
    </row>
    <row r="1148" spans="1:12" x14ac:dyDescent="0.25">
      <c r="A1148" s="3">
        <v>45715.269305555557</v>
      </c>
      <c r="B1148" t="s">
        <v>24</v>
      </c>
      <c r="C1148" s="3">
        <v>45715.269942129627</v>
      </c>
      <c r="D1148" t="s">
        <v>24</v>
      </c>
      <c r="E1148" s="4">
        <v>1.2E-2</v>
      </c>
      <c r="F1148" s="4">
        <v>384336.84700000001</v>
      </c>
      <c r="G1148" s="4">
        <v>384336.859</v>
      </c>
      <c r="H1148" s="5">
        <f>26 / 86400</f>
        <v>3.0092592592592595E-4</v>
      </c>
      <c r="I1148" t="s">
        <v>67</v>
      </c>
      <c r="J1148" t="s">
        <v>67</v>
      </c>
      <c r="K1148" s="5">
        <f>55 / 86400</f>
        <v>6.3657407407407413E-4</v>
      </c>
      <c r="L1148" s="5">
        <f>11 / 86400</f>
        <v>1.273148148148148E-4</v>
      </c>
    </row>
    <row r="1149" spans="1:12" x14ac:dyDescent="0.25">
      <c r="A1149" s="3">
        <v>45715.270069444443</v>
      </c>
      <c r="B1149" t="s">
        <v>24</v>
      </c>
      <c r="C1149" s="3">
        <v>45715.270925925928</v>
      </c>
      <c r="D1149" t="s">
        <v>24</v>
      </c>
      <c r="E1149" s="4">
        <v>4.0000000000000001E-3</v>
      </c>
      <c r="F1149" s="4">
        <v>384336.859</v>
      </c>
      <c r="G1149" s="4">
        <v>384336.86300000001</v>
      </c>
      <c r="H1149" s="5">
        <f>60 / 86400</f>
        <v>6.9444444444444447E-4</v>
      </c>
      <c r="I1149" t="s">
        <v>99</v>
      </c>
      <c r="J1149" t="s">
        <v>21</v>
      </c>
      <c r="K1149" s="5">
        <f>73 / 86400</f>
        <v>8.4490740740740739E-4</v>
      </c>
      <c r="L1149" s="5">
        <f>4 / 86400</f>
        <v>4.6296296296296294E-5</v>
      </c>
    </row>
    <row r="1150" spans="1:12" x14ac:dyDescent="0.25">
      <c r="A1150" s="3">
        <v>45715.270972222221</v>
      </c>
      <c r="B1150" t="s">
        <v>24</v>
      </c>
      <c r="C1150" s="3">
        <v>45715.271400462967</v>
      </c>
      <c r="D1150" t="s">
        <v>24</v>
      </c>
      <c r="E1150" s="4">
        <v>6.0000000000000001E-3</v>
      </c>
      <c r="F1150" s="4">
        <v>384336.86300000001</v>
      </c>
      <c r="G1150" s="4">
        <v>384336.86900000001</v>
      </c>
      <c r="H1150" s="5">
        <f>26 / 86400</f>
        <v>3.0092592592592595E-4</v>
      </c>
      <c r="I1150" t="s">
        <v>21</v>
      </c>
      <c r="J1150" t="s">
        <v>67</v>
      </c>
      <c r="K1150" s="5">
        <f>37 / 86400</f>
        <v>4.2824074074074075E-4</v>
      </c>
      <c r="L1150" s="5">
        <f>817 / 86400</f>
        <v>9.4560185185185181E-3</v>
      </c>
    </row>
    <row r="1151" spans="1:12" x14ac:dyDescent="0.25">
      <c r="A1151" s="3">
        <v>45715.280856481477</v>
      </c>
      <c r="B1151" t="s">
        <v>24</v>
      </c>
      <c r="C1151" s="3">
        <v>45715.282511574071</v>
      </c>
      <c r="D1151" t="s">
        <v>490</v>
      </c>
      <c r="E1151" s="4">
        <v>0.50800000000000001</v>
      </c>
      <c r="F1151" s="4">
        <v>384336.86900000001</v>
      </c>
      <c r="G1151" s="4">
        <v>384337.37699999998</v>
      </c>
      <c r="H1151" s="5">
        <f>20 / 86400</f>
        <v>2.3148148148148149E-4</v>
      </c>
      <c r="I1151" t="s">
        <v>139</v>
      </c>
      <c r="J1151" t="s">
        <v>55</v>
      </c>
      <c r="K1151" s="5">
        <f>142 / 86400</f>
        <v>1.6435185185185185E-3</v>
      </c>
      <c r="L1151" s="5">
        <f>2 / 86400</f>
        <v>2.3148148148148147E-5</v>
      </c>
    </row>
    <row r="1152" spans="1:12" x14ac:dyDescent="0.25">
      <c r="A1152" s="3">
        <v>45715.282534722224</v>
      </c>
      <c r="B1152" t="s">
        <v>490</v>
      </c>
      <c r="C1152" s="3">
        <v>45715.324814814812</v>
      </c>
      <c r="D1152" t="s">
        <v>491</v>
      </c>
      <c r="E1152" s="4">
        <v>23.202999999999999</v>
      </c>
      <c r="F1152" s="4">
        <v>384337.37699999998</v>
      </c>
      <c r="G1152" s="4">
        <v>384360.58</v>
      </c>
      <c r="H1152" s="5">
        <f>360 / 86400</f>
        <v>4.1666666666666666E-3</v>
      </c>
      <c r="I1152" t="s">
        <v>168</v>
      </c>
      <c r="J1152" t="s">
        <v>163</v>
      </c>
      <c r="K1152" s="5">
        <f>3653 / 86400</f>
        <v>4.2280092592592591E-2</v>
      </c>
      <c r="L1152" s="5">
        <f>349 / 86400</f>
        <v>4.0393518518518521E-3</v>
      </c>
    </row>
    <row r="1153" spans="1:12" x14ac:dyDescent="0.25">
      <c r="A1153" s="3">
        <v>45715.32885416667</v>
      </c>
      <c r="B1153" t="s">
        <v>491</v>
      </c>
      <c r="C1153" s="3">
        <v>45715.336331018523</v>
      </c>
      <c r="D1153" t="s">
        <v>158</v>
      </c>
      <c r="E1153" s="4">
        <v>0.46</v>
      </c>
      <c r="F1153" s="4">
        <v>384360.58</v>
      </c>
      <c r="G1153" s="4">
        <v>384361.04</v>
      </c>
      <c r="H1153" s="5">
        <f>439 / 86400</f>
        <v>5.0810185185185186E-3</v>
      </c>
      <c r="I1153" t="s">
        <v>116</v>
      </c>
      <c r="J1153" t="s">
        <v>136</v>
      </c>
      <c r="K1153" s="5">
        <f>646 / 86400</f>
        <v>7.4768518518518517E-3</v>
      </c>
      <c r="L1153" s="5">
        <f>407 / 86400</f>
        <v>4.7106481481481478E-3</v>
      </c>
    </row>
    <row r="1154" spans="1:12" x14ac:dyDescent="0.25">
      <c r="A1154" s="3">
        <v>45715.341041666667</v>
      </c>
      <c r="B1154" t="s">
        <v>158</v>
      </c>
      <c r="C1154" s="3">
        <v>45715.343402777777</v>
      </c>
      <c r="D1154" t="s">
        <v>74</v>
      </c>
      <c r="E1154" s="4">
        <v>9.4E-2</v>
      </c>
      <c r="F1154" s="4">
        <v>384361.04</v>
      </c>
      <c r="G1154" s="4">
        <v>384361.13400000002</v>
      </c>
      <c r="H1154" s="5">
        <f>120 / 86400</f>
        <v>1.3888888888888889E-3</v>
      </c>
      <c r="I1154" t="s">
        <v>155</v>
      </c>
      <c r="J1154" t="s">
        <v>29</v>
      </c>
      <c r="K1154" s="5">
        <f>204 / 86400</f>
        <v>2.3611111111111111E-3</v>
      </c>
      <c r="L1154" s="5">
        <f>4669 / 86400</f>
        <v>5.4039351851851852E-2</v>
      </c>
    </row>
    <row r="1155" spans="1:12" x14ac:dyDescent="0.25">
      <c r="A1155" s="3">
        <v>45715.39744212963</v>
      </c>
      <c r="B1155" t="s">
        <v>74</v>
      </c>
      <c r="C1155" s="3">
        <v>45715.399548611109</v>
      </c>
      <c r="D1155" t="s">
        <v>74</v>
      </c>
      <c r="E1155" s="4">
        <v>0</v>
      </c>
      <c r="F1155" s="4">
        <v>384361.13400000002</v>
      </c>
      <c r="G1155" s="4">
        <v>384361.13400000002</v>
      </c>
      <c r="H1155" s="5">
        <f>179 / 86400</f>
        <v>2.0717592592592593E-3</v>
      </c>
      <c r="I1155" t="s">
        <v>21</v>
      </c>
      <c r="J1155" t="s">
        <v>21</v>
      </c>
      <c r="K1155" s="5">
        <f>182 / 86400</f>
        <v>2.1064814814814813E-3</v>
      </c>
      <c r="L1155" s="5">
        <f>125 / 86400</f>
        <v>1.4467592592592592E-3</v>
      </c>
    </row>
    <row r="1156" spans="1:12" x14ac:dyDescent="0.25">
      <c r="A1156" s="3">
        <v>45715.400995370372</v>
      </c>
      <c r="B1156" t="s">
        <v>74</v>
      </c>
      <c r="C1156" s="3">
        <v>45715.401180555556</v>
      </c>
      <c r="D1156" t="s">
        <v>74</v>
      </c>
      <c r="E1156" s="4">
        <v>0</v>
      </c>
      <c r="F1156" s="4">
        <v>384361.13400000002</v>
      </c>
      <c r="G1156" s="4">
        <v>384361.13400000002</v>
      </c>
      <c r="H1156" s="5">
        <f>0 / 86400</f>
        <v>0</v>
      </c>
      <c r="I1156" t="s">
        <v>21</v>
      </c>
      <c r="J1156" t="s">
        <v>21</v>
      </c>
      <c r="K1156" s="5">
        <f>16 / 86400</f>
        <v>1.8518518518518518E-4</v>
      </c>
      <c r="L1156" s="5">
        <f>1679 / 86400</f>
        <v>1.9432870370370371E-2</v>
      </c>
    </row>
    <row r="1157" spans="1:12" x14ac:dyDescent="0.25">
      <c r="A1157" s="3">
        <v>45715.420613425929</v>
      </c>
      <c r="B1157" t="s">
        <v>74</v>
      </c>
      <c r="C1157" s="3">
        <v>45715.428159722222</v>
      </c>
      <c r="D1157" t="s">
        <v>106</v>
      </c>
      <c r="E1157" s="4">
        <v>0.32700000000000001</v>
      </c>
      <c r="F1157" s="4">
        <v>384361.13400000002</v>
      </c>
      <c r="G1157" s="4">
        <v>384361.46100000001</v>
      </c>
      <c r="H1157" s="5">
        <f>520 / 86400</f>
        <v>6.0185185185185185E-3</v>
      </c>
      <c r="I1157" t="s">
        <v>34</v>
      </c>
      <c r="J1157" t="s">
        <v>29</v>
      </c>
      <c r="K1157" s="5">
        <f>652 / 86400</f>
        <v>7.5462962962962966E-3</v>
      </c>
      <c r="L1157" s="5">
        <f>2197 / 86400</f>
        <v>2.5428240740740741E-2</v>
      </c>
    </row>
    <row r="1158" spans="1:12" x14ac:dyDescent="0.25">
      <c r="A1158" s="3">
        <v>45715.453587962962</v>
      </c>
      <c r="B1158" t="s">
        <v>106</v>
      </c>
      <c r="C1158" s="3">
        <v>45715.454050925924</v>
      </c>
      <c r="D1158" t="s">
        <v>106</v>
      </c>
      <c r="E1158" s="4">
        <v>0</v>
      </c>
      <c r="F1158" s="4">
        <v>384361.46100000001</v>
      </c>
      <c r="G1158" s="4">
        <v>384361.46100000001</v>
      </c>
      <c r="H1158" s="5">
        <f>39 / 86400</f>
        <v>4.5138888888888887E-4</v>
      </c>
      <c r="I1158" t="s">
        <v>21</v>
      </c>
      <c r="J1158" t="s">
        <v>21</v>
      </c>
      <c r="K1158" s="5">
        <f>40 / 86400</f>
        <v>4.6296296296296298E-4</v>
      </c>
      <c r="L1158" s="5">
        <f>307 / 86400</f>
        <v>3.5532407407407409E-3</v>
      </c>
    </row>
    <row r="1159" spans="1:12" x14ac:dyDescent="0.25">
      <c r="A1159" s="3">
        <v>45715.457604166666</v>
      </c>
      <c r="B1159" t="s">
        <v>106</v>
      </c>
      <c r="C1159" s="3">
        <v>45715.468912037039</v>
      </c>
      <c r="D1159" t="s">
        <v>83</v>
      </c>
      <c r="E1159" s="4">
        <v>1.242</v>
      </c>
      <c r="F1159" s="4">
        <v>384361.46100000001</v>
      </c>
      <c r="G1159" s="4">
        <v>384362.70299999998</v>
      </c>
      <c r="H1159" s="5">
        <f>639 / 86400</f>
        <v>7.3958333333333333E-3</v>
      </c>
      <c r="I1159" t="s">
        <v>202</v>
      </c>
      <c r="J1159" t="s">
        <v>99</v>
      </c>
      <c r="K1159" s="5">
        <f>976 / 86400</f>
        <v>1.1296296296296296E-2</v>
      </c>
      <c r="L1159" s="5">
        <f>317 / 86400</f>
        <v>3.6689814814814814E-3</v>
      </c>
    </row>
    <row r="1160" spans="1:12" x14ac:dyDescent="0.25">
      <c r="A1160" s="3">
        <v>45715.472581018519</v>
      </c>
      <c r="B1160" t="s">
        <v>83</v>
      </c>
      <c r="C1160" s="3">
        <v>45715.473009259258</v>
      </c>
      <c r="D1160" t="s">
        <v>83</v>
      </c>
      <c r="E1160" s="4">
        <v>1.0999999999999999E-2</v>
      </c>
      <c r="F1160" s="4">
        <v>384362.70299999998</v>
      </c>
      <c r="G1160" s="4">
        <v>384362.71399999998</v>
      </c>
      <c r="H1160" s="5">
        <f>0 / 86400</f>
        <v>0</v>
      </c>
      <c r="I1160" t="s">
        <v>132</v>
      </c>
      <c r="J1160" t="s">
        <v>67</v>
      </c>
      <c r="K1160" s="5">
        <f>37 / 86400</f>
        <v>4.2824074074074075E-4</v>
      </c>
      <c r="L1160" s="5">
        <f>152 / 86400</f>
        <v>1.7592592592592592E-3</v>
      </c>
    </row>
    <row r="1161" spans="1:12" x14ac:dyDescent="0.25">
      <c r="A1161" s="3">
        <v>45715.474768518514</v>
      </c>
      <c r="B1161" t="s">
        <v>83</v>
      </c>
      <c r="C1161" s="3">
        <v>45715.479166666672</v>
      </c>
      <c r="D1161" t="s">
        <v>323</v>
      </c>
      <c r="E1161" s="4">
        <v>1.6659999999999999</v>
      </c>
      <c r="F1161" s="4">
        <v>384362.71399999998</v>
      </c>
      <c r="G1161" s="4">
        <v>384364.38</v>
      </c>
      <c r="H1161" s="5">
        <f>59 / 86400</f>
        <v>6.8287037037037036E-4</v>
      </c>
      <c r="I1161" t="s">
        <v>154</v>
      </c>
      <c r="J1161" t="s">
        <v>26</v>
      </c>
      <c r="K1161" s="5">
        <f>379 / 86400</f>
        <v>4.386574074074074E-3</v>
      </c>
      <c r="L1161" s="5">
        <f>116 / 86400</f>
        <v>1.3425925925925925E-3</v>
      </c>
    </row>
    <row r="1162" spans="1:12" x14ac:dyDescent="0.25">
      <c r="A1162" s="3">
        <v>45715.480509259258</v>
      </c>
      <c r="B1162" t="s">
        <v>323</v>
      </c>
      <c r="C1162" s="3">
        <v>45715.480902777781</v>
      </c>
      <c r="D1162" t="s">
        <v>323</v>
      </c>
      <c r="E1162" s="4">
        <v>4.0000000000000001E-3</v>
      </c>
      <c r="F1162" s="4">
        <v>384364.38</v>
      </c>
      <c r="G1162" s="4">
        <v>384364.38400000002</v>
      </c>
      <c r="H1162" s="5">
        <f>19 / 86400</f>
        <v>2.199074074074074E-4</v>
      </c>
      <c r="I1162" t="s">
        <v>21</v>
      </c>
      <c r="J1162" t="s">
        <v>21</v>
      </c>
      <c r="K1162" s="5">
        <f>33 / 86400</f>
        <v>3.8194444444444446E-4</v>
      </c>
      <c r="L1162" s="5">
        <f>162 / 86400</f>
        <v>1.8749999999999999E-3</v>
      </c>
    </row>
    <row r="1163" spans="1:12" x14ac:dyDescent="0.25">
      <c r="A1163" s="3">
        <v>45715.482777777783</v>
      </c>
      <c r="B1163" t="s">
        <v>323</v>
      </c>
      <c r="C1163" s="3">
        <v>45715.484467592592</v>
      </c>
      <c r="D1163" t="s">
        <v>323</v>
      </c>
      <c r="E1163" s="4">
        <v>0.13900000000000001</v>
      </c>
      <c r="F1163" s="4">
        <v>384364.38400000002</v>
      </c>
      <c r="G1163" s="4">
        <v>384364.52299999999</v>
      </c>
      <c r="H1163" s="5">
        <f>19 / 86400</f>
        <v>2.199074074074074E-4</v>
      </c>
      <c r="I1163" t="s">
        <v>55</v>
      </c>
      <c r="J1163" t="s">
        <v>136</v>
      </c>
      <c r="K1163" s="5">
        <f>146 / 86400</f>
        <v>1.6898148148148148E-3</v>
      </c>
      <c r="L1163" s="5">
        <f>150 / 86400</f>
        <v>1.736111111111111E-3</v>
      </c>
    </row>
    <row r="1164" spans="1:12" x14ac:dyDescent="0.25">
      <c r="A1164" s="3">
        <v>45715.486203703702</v>
      </c>
      <c r="B1164" t="s">
        <v>323</v>
      </c>
      <c r="C1164" s="3">
        <v>45715.486446759256</v>
      </c>
      <c r="D1164" t="s">
        <v>90</v>
      </c>
      <c r="E1164" s="4">
        <v>3.0000000000000001E-3</v>
      </c>
      <c r="F1164" s="4">
        <v>384364.52299999999</v>
      </c>
      <c r="G1164" s="4">
        <v>384364.52600000001</v>
      </c>
      <c r="H1164" s="5">
        <f>19 / 86400</f>
        <v>2.199074074074074E-4</v>
      </c>
      <c r="I1164" t="s">
        <v>21</v>
      </c>
      <c r="J1164" t="s">
        <v>67</v>
      </c>
      <c r="K1164" s="5">
        <f>20 / 86400</f>
        <v>2.3148148148148149E-4</v>
      </c>
      <c r="L1164" s="5">
        <f>144 / 86400</f>
        <v>1.6666666666666668E-3</v>
      </c>
    </row>
    <row r="1165" spans="1:12" x14ac:dyDescent="0.25">
      <c r="A1165" s="3">
        <v>45715.488113425927</v>
      </c>
      <c r="B1165" t="s">
        <v>90</v>
      </c>
      <c r="C1165" s="3">
        <v>45715.489293981482</v>
      </c>
      <c r="D1165" t="s">
        <v>90</v>
      </c>
      <c r="E1165" s="4">
        <v>3.1E-2</v>
      </c>
      <c r="F1165" s="4">
        <v>384364.52600000001</v>
      </c>
      <c r="G1165" s="4">
        <v>384364.55699999997</v>
      </c>
      <c r="H1165" s="5">
        <f>99 / 86400</f>
        <v>1.1458333333333333E-3</v>
      </c>
      <c r="I1165" t="s">
        <v>21</v>
      </c>
      <c r="J1165" t="s">
        <v>67</v>
      </c>
      <c r="K1165" s="5">
        <f>101 / 86400</f>
        <v>1.1689814814814816E-3</v>
      </c>
      <c r="L1165" s="5">
        <f>735 / 86400</f>
        <v>8.5069444444444437E-3</v>
      </c>
    </row>
    <row r="1166" spans="1:12" x14ac:dyDescent="0.25">
      <c r="A1166" s="3">
        <v>45715.497800925921</v>
      </c>
      <c r="B1166" t="s">
        <v>90</v>
      </c>
      <c r="C1166" s="3">
        <v>45715.514305555553</v>
      </c>
      <c r="D1166" t="s">
        <v>83</v>
      </c>
      <c r="E1166" s="4">
        <v>1.696</v>
      </c>
      <c r="F1166" s="4">
        <v>384364.55699999997</v>
      </c>
      <c r="G1166" s="4">
        <v>384366.25300000003</v>
      </c>
      <c r="H1166" s="5">
        <f>1020 / 86400</f>
        <v>1.1805555555555555E-2</v>
      </c>
      <c r="I1166" t="s">
        <v>129</v>
      </c>
      <c r="J1166" t="s">
        <v>132</v>
      </c>
      <c r="K1166" s="5">
        <f>1426 / 86400</f>
        <v>1.650462962962963E-2</v>
      </c>
      <c r="L1166" s="5">
        <f>4511 / 86400</f>
        <v>5.2210648148148145E-2</v>
      </c>
    </row>
    <row r="1167" spans="1:12" x14ac:dyDescent="0.25">
      <c r="A1167" s="3">
        <v>45715.566516203704</v>
      </c>
      <c r="B1167" t="s">
        <v>83</v>
      </c>
      <c r="C1167" s="3">
        <v>45715.56858796296</v>
      </c>
      <c r="D1167" t="s">
        <v>36</v>
      </c>
      <c r="E1167" s="4">
        <v>2.7E-2</v>
      </c>
      <c r="F1167" s="4">
        <v>384366.25300000003</v>
      </c>
      <c r="G1167" s="4">
        <v>384366.28</v>
      </c>
      <c r="H1167" s="5">
        <f>139 / 86400</f>
        <v>1.6087962962962963E-3</v>
      </c>
      <c r="I1167" t="s">
        <v>132</v>
      </c>
      <c r="J1167" t="s">
        <v>67</v>
      </c>
      <c r="K1167" s="5">
        <f>179 / 86400</f>
        <v>2.0717592592592593E-3</v>
      </c>
      <c r="L1167" s="5">
        <f>6843 / 86400</f>
        <v>7.9201388888888891E-2</v>
      </c>
    </row>
    <row r="1168" spans="1:12" x14ac:dyDescent="0.25">
      <c r="A1168" s="3">
        <v>45715.647789351853</v>
      </c>
      <c r="B1168" t="s">
        <v>36</v>
      </c>
      <c r="C1168" s="3">
        <v>45715.648090277777</v>
      </c>
      <c r="D1168" t="s">
        <v>36</v>
      </c>
      <c r="E1168" s="4">
        <v>0</v>
      </c>
      <c r="F1168" s="4">
        <v>384366.28</v>
      </c>
      <c r="G1168" s="4">
        <v>384366.28</v>
      </c>
      <c r="H1168" s="5">
        <f>19 / 86400</f>
        <v>2.199074074074074E-4</v>
      </c>
      <c r="I1168" t="s">
        <v>21</v>
      </c>
      <c r="J1168" t="s">
        <v>21</v>
      </c>
      <c r="K1168" s="5">
        <f>25 / 86400</f>
        <v>2.8935185185185184E-4</v>
      </c>
      <c r="L1168" s="5">
        <f>2 / 86400</f>
        <v>2.3148148148148147E-5</v>
      </c>
    </row>
    <row r="1169" spans="1:12" x14ac:dyDescent="0.25">
      <c r="A1169" s="3">
        <v>45715.648113425923</v>
      </c>
      <c r="B1169" t="s">
        <v>36</v>
      </c>
      <c r="C1169" s="3">
        <v>45715.649918981479</v>
      </c>
      <c r="D1169" t="s">
        <v>83</v>
      </c>
      <c r="E1169" s="4">
        <v>3.3000000000000002E-2</v>
      </c>
      <c r="F1169" s="4">
        <v>384366.28</v>
      </c>
      <c r="G1169" s="4">
        <v>384366.31300000002</v>
      </c>
      <c r="H1169" s="5">
        <f>120 / 86400</f>
        <v>1.3888888888888889E-3</v>
      </c>
      <c r="I1169" t="s">
        <v>29</v>
      </c>
      <c r="J1169" t="s">
        <v>67</v>
      </c>
      <c r="K1169" s="5">
        <f>156 / 86400</f>
        <v>1.8055555555555555E-3</v>
      </c>
      <c r="L1169" s="5">
        <f>2 / 86400</f>
        <v>2.3148148148148147E-5</v>
      </c>
    </row>
    <row r="1170" spans="1:12" x14ac:dyDescent="0.25">
      <c r="A1170" s="3">
        <v>45715.649942129632</v>
      </c>
      <c r="B1170" t="s">
        <v>83</v>
      </c>
      <c r="C1170" s="3">
        <v>45715.651377314818</v>
      </c>
      <c r="D1170" t="s">
        <v>436</v>
      </c>
      <c r="E1170" s="4">
        <v>0.27500000000000002</v>
      </c>
      <c r="F1170" s="4">
        <v>384366.31300000002</v>
      </c>
      <c r="G1170" s="4">
        <v>384366.58799999999</v>
      </c>
      <c r="H1170" s="5">
        <f>20 / 86400</f>
        <v>2.3148148148148149E-4</v>
      </c>
      <c r="I1170" t="s">
        <v>116</v>
      </c>
      <c r="J1170" t="s">
        <v>155</v>
      </c>
      <c r="K1170" s="5">
        <f>124 / 86400</f>
        <v>1.4351851851851852E-3</v>
      </c>
      <c r="L1170" s="5">
        <f>2 / 86400</f>
        <v>2.3148148148148147E-5</v>
      </c>
    </row>
    <row r="1171" spans="1:12" x14ac:dyDescent="0.25">
      <c r="A1171" s="3">
        <v>45715.651400462964</v>
      </c>
      <c r="B1171" t="s">
        <v>436</v>
      </c>
      <c r="C1171" s="3">
        <v>45715.653981481482</v>
      </c>
      <c r="D1171" t="s">
        <v>74</v>
      </c>
      <c r="E1171" s="4">
        <v>0.68600000000000005</v>
      </c>
      <c r="F1171" s="4">
        <v>384366.58799999999</v>
      </c>
      <c r="G1171" s="4">
        <v>384367.27399999998</v>
      </c>
      <c r="H1171" s="5">
        <f>60 / 86400</f>
        <v>6.9444444444444447E-4</v>
      </c>
      <c r="I1171" t="s">
        <v>221</v>
      </c>
      <c r="J1171" t="s">
        <v>141</v>
      </c>
      <c r="K1171" s="5">
        <f>223 / 86400</f>
        <v>2.5810185185185185E-3</v>
      </c>
      <c r="L1171" s="5">
        <f>457 / 86400</f>
        <v>5.2893518518518515E-3</v>
      </c>
    </row>
    <row r="1172" spans="1:12" x14ac:dyDescent="0.25">
      <c r="A1172" s="3">
        <v>45715.659270833334</v>
      </c>
      <c r="B1172" t="s">
        <v>74</v>
      </c>
      <c r="C1172" s="3">
        <v>45715.65934027778</v>
      </c>
      <c r="D1172" t="s">
        <v>74</v>
      </c>
      <c r="E1172" s="4">
        <v>0</v>
      </c>
      <c r="F1172" s="4">
        <v>384367.27399999998</v>
      </c>
      <c r="G1172" s="4">
        <v>384367.27399999998</v>
      </c>
      <c r="H1172" s="5">
        <f>0 / 86400</f>
        <v>0</v>
      </c>
      <c r="I1172" t="s">
        <v>21</v>
      </c>
      <c r="J1172" t="s">
        <v>21</v>
      </c>
      <c r="K1172" s="5">
        <f>6 / 86400</f>
        <v>6.9444444444444444E-5</v>
      </c>
      <c r="L1172" s="5">
        <f>901 / 86400</f>
        <v>1.0428240740740741E-2</v>
      </c>
    </row>
    <row r="1173" spans="1:12" x14ac:dyDescent="0.25">
      <c r="A1173" s="3">
        <v>45715.669768518521</v>
      </c>
      <c r="B1173" t="s">
        <v>74</v>
      </c>
      <c r="C1173" s="3">
        <v>45715.669930555552</v>
      </c>
      <c r="D1173" t="s">
        <v>74</v>
      </c>
      <c r="E1173" s="4">
        <v>0</v>
      </c>
      <c r="F1173" s="4">
        <v>384367.27399999998</v>
      </c>
      <c r="G1173" s="4">
        <v>384367.27399999998</v>
      </c>
      <c r="H1173" s="5">
        <f>0 / 86400</f>
        <v>0</v>
      </c>
      <c r="I1173" t="s">
        <v>21</v>
      </c>
      <c r="J1173" t="s">
        <v>21</v>
      </c>
      <c r="K1173" s="5">
        <f>14 / 86400</f>
        <v>1.6203703703703703E-4</v>
      </c>
      <c r="L1173" s="5">
        <f>51 / 86400</f>
        <v>5.9027777777777778E-4</v>
      </c>
    </row>
    <row r="1174" spans="1:12" x14ac:dyDescent="0.25">
      <c r="A1174" s="3">
        <v>45715.67052083333</v>
      </c>
      <c r="B1174" t="s">
        <v>74</v>
      </c>
      <c r="C1174" s="3">
        <v>45715.67386574074</v>
      </c>
      <c r="D1174" t="s">
        <v>74</v>
      </c>
      <c r="E1174" s="4">
        <v>0</v>
      </c>
      <c r="F1174" s="4">
        <v>384367.27399999998</v>
      </c>
      <c r="G1174" s="4">
        <v>384367.27399999998</v>
      </c>
      <c r="H1174" s="5">
        <f>279 / 86400</f>
        <v>3.2291666666666666E-3</v>
      </c>
      <c r="I1174" t="s">
        <v>21</v>
      </c>
      <c r="J1174" t="s">
        <v>21</v>
      </c>
      <c r="K1174" s="5">
        <f>289 / 86400</f>
        <v>3.3449074074074076E-3</v>
      </c>
      <c r="L1174" s="5">
        <f>226 / 86400</f>
        <v>2.6157407407407405E-3</v>
      </c>
    </row>
    <row r="1175" spans="1:12" x14ac:dyDescent="0.25">
      <c r="A1175" s="3">
        <v>45715.676481481481</v>
      </c>
      <c r="B1175" t="s">
        <v>74</v>
      </c>
      <c r="C1175" s="3">
        <v>45715.679432870369</v>
      </c>
      <c r="D1175" t="s">
        <v>158</v>
      </c>
      <c r="E1175" s="4">
        <v>6.2E-2</v>
      </c>
      <c r="F1175" s="4">
        <v>384367.27399999998</v>
      </c>
      <c r="G1175" s="4">
        <v>384367.33600000001</v>
      </c>
      <c r="H1175" s="5">
        <f>179 / 86400</f>
        <v>2.0717592592592593E-3</v>
      </c>
      <c r="I1175" t="s">
        <v>143</v>
      </c>
      <c r="J1175" t="s">
        <v>67</v>
      </c>
      <c r="K1175" s="5">
        <f>255 / 86400</f>
        <v>2.9513888888888888E-3</v>
      </c>
      <c r="L1175" s="5">
        <f>552 / 86400</f>
        <v>6.3888888888888893E-3</v>
      </c>
    </row>
    <row r="1176" spans="1:12" x14ac:dyDescent="0.25">
      <c r="A1176" s="3">
        <v>45715.68582175926</v>
      </c>
      <c r="B1176" t="s">
        <v>158</v>
      </c>
      <c r="C1176" s="3">
        <v>45715.686620370368</v>
      </c>
      <c r="D1176" t="s">
        <v>158</v>
      </c>
      <c r="E1176" s="4">
        <v>0</v>
      </c>
      <c r="F1176" s="4">
        <v>384367.33600000001</v>
      </c>
      <c r="G1176" s="4">
        <v>384367.33600000001</v>
      </c>
      <c r="H1176" s="5">
        <f>59 / 86400</f>
        <v>6.8287037037037036E-4</v>
      </c>
      <c r="I1176" t="s">
        <v>21</v>
      </c>
      <c r="J1176" t="s">
        <v>21</v>
      </c>
      <c r="K1176" s="5">
        <f>69 / 86400</f>
        <v>7.9861111111111116E-4</v>
      </c>
      <c r="L1176" s="5">
        <f>96 / 86400</f>
        <v>1.1111111111111111E-3</v>
      </c>
    </row>
    <row r="1177" spans="1:12" x14ac:dyDescent="0.25">
      <c r="A1177" s="3">
        <v>45715.687731481477</v>
      </c>
      <c r="B1177" t="s">
        <v>158</v>
      </c>
      <c r="C1177" s="3">
        <v>45715.732523148152</v>
      </c>
      <c r="D1177" t="s">
        <v>24</v>
      </c>
      <c r="E1177" s="4">
        <v>23.895</v>
      </c>
      <c r="F1177" s="4">
        <v>384367.33600000001</v>
      </c>
      <c r="G1177" s="4">
        <v>384391.23100000003</v>
      </c>
      <c r="H1177" s="5">
        <f>879 / 86400</f>
        <v>1.0173611111111111E-2</v>
      </c>
      <c r="I1177" t="s">
        <v>23</v>
      </c>
      <c r="J1177" t="s">
        <v>34</v>
      </c>
      <c r="K1177" s="5">
        <f>3870 / 86400</f>
        <v>4.4791666666666667E-2</v>
      </c>
      <c r="L1177" s="5">
        <f>23109 / 86400</f>
        <v>0.26746527777777779</v>
      </c>
    </row>
    <row r="1178" spans="1:12" x14ac:dyDescent="0.25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</row>
    <row r="1179" spans="1:12" x14ac:dyDescent="0.25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</row>
    <row r="1180" spans="1:12" s="10" customFormat="1" ht="20.100000000000001" customHeight="1" x14ac:dyDescent="0.35">
      <c r="A1180" s="11" t="s">
        <v>546</v>
      </c>
      <c r="B1180" s="11"/>
      <c r="C1180" s="11"/>
      <c r="D1180" s="11"/>
      <c r="E1180" s="11"/>
      <c r="F1180" s="11"/>
      <c r="G1180" s="11"/>
      <c r="H1180" s="11"/>
      <c r="I1180" s="11"/>
      <c r="J1180" s="11"/>
    </row>
    <row r="1181" spans="1:12" x14ac:dyDescent="0.25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</row>
    <row r="1182" spans="1:12" ht="30" x14ac:dyDescent="0.25">
      <c r="A1182" s="2" t="s">
        <v>5</v>
      </c>
      <c r="B1182" s="2" t="s">
        <v>6</v>
      </c>
      <c r="C1182" s="2" t="s">
        <v>7</v>
      </c>
      <c r="D1182" s="2" t="s">
        <v>8</v>
      </c>
      <c r="E1182" s="2" t="s">
        <v>9</v>
      </c>
      <c r="F1182" s="2" t="s">
        <v>10</v>
      </c>
      <c r="G1182" s="2" t="s">
        <v>11</v>
      </c>
      <c r="H1182" s="2" t="s">
        <v>12</v>
      </c>
      <c r="I1182" s="2" t="s">
        <v>13</v>
      </c>
      <c r="J1182" s="2" t="s">
        <v>14</v>
      </c>
      <c r="K1182" s="2" t="s">
        <v>15</v>
      </c>
      <c r="L1182" s="2" t="s">
        <v>16</v>
      </c>
    </row>
    <row r="1183" spans="1:12" x14ac:dyDescent="0.25">
      <c r="A1183" s="3">
        <v>45715.220196759255</v>
      </c>
      <c r="B1183" t="s">
        <v>90</v>
      </c>
      <c r="C1183" s="3">
        <v>45715.345277777778</v>
      </c>
      <c r="D1183" t="s">
        <v>147</v>
      </c>
      <c r="E1183" s="4">
        <v>50.033000000000001</v>
      </c>
      <c r="F1183" s="4">
        <v>548384.57900000003</v>
      </c>
      <c r="G1183" s="4">
        <v>548434.61199999996</v>
      </c>
      <c r="H1183" s="5">
        <f>3699 / 86400</f>
        <v>4.2812500000000003E-2</v>
      </c>
      <c r="I1183" t="s">
        <v>92</v>
      </c>
      <c r="J1183" t="s">
        <v>19</v>
      </c>
      <c r="K1183" s="5">
        <f>10807 / 86400</f>
        <v>0.12508101851851852</v>
      </c>
      <c r="L1183" s="5">
        <f>20743 / 86400</f>
        <v>0.24008101851851851</v>
      </c>
    </row>
    <row r="1184" spans="1:12" x14ac:dyDescent="0.25">
      <c r="A1184" s="3">
        <v>45715.365162037036</v>
      </c>
      <c r="B1184" t="s">
        <v>147</v>
      </c>
      <c r="C1184" s="3">
        <v>45715.502905092595</v>
      </c>
      <c r="D1184" t="s">
        <v>158</v>
      </c>
      <c r="E1184" s="4">
        <v>51.953000000000003</v>
      </c>
      <c r="F1184" s="4">
        <v>548434.61199999996</v>
      </c>
      <c r="G1184" s="4">
        <v>548486.56499999994</v>
      </c>
      <c r="H1184" s="5">
        <f>3587 / 86400</f>
        <v>4.1516203703703701E-2</v>
      </c>
      <c r="I1184" t="s">
        <v>146</v>
      </c>
      <c r="J1184" t="s">
        <v>26</v>
      </c>
      <c r="K1184" s="5">
        <f>11901 / 86400</f>
        <v>0.13774305555555555</v>
      </c>
      <c r="L1184" s="5">
        <f>10614 / 86400</f>
        <v>0.12284722222222222</v>
      </c>
    </row>
    <row r="1185" spans="1:12" x14ac:dyDescent="0.25">
      <c r="A1185" s="3">
        <v>45715.625752314816</v>
      </c>
      <c r="B1185" t="s">
        <v>158</v>
      </c>
      <c r="C1185" s="3">
        <v>45715.629861111112</v>
      </c>
      <c r="D1185" t="s">
        <v>492</v>
      </c>
      <c r="E1185" s="4">
        <v>0.246</v>
      </c>
      <c r="F1185" s="4">
        <v>548486.56499999994</v>
      </c>
      <c r="G1185" s="4">
        <v>548486.81099999999</v>
      </c>
      <c r="H1185" s="5">
        <f>239 / 86400</f>
        <v>2.7662037037037039E-3</v>
      </c>
      <c r="I1185" t="s">
        <v>139</v>
      </c>
      <c r="J1185" t="s">
        <v>136</v>
      </c>
      <c r="K1185" s="5">
        <f>354 / 86400</f>
        <v>4.0972222222222226E-3</v>
      </c>
      <c r="L1185" s="5">
        <f>864 / 86400</f>
        <v>0.01</v>
      </c>
    </row>
    <row r="1186" spans="1:12" x14ac:dyDescent="0.25">
      <c r="A1186" s="3">
        <v>45715.639861111107</v>
      </c>
      <c r="B1186" t="s">
        <v>492</v>
      </c>
      <c r="C1186" s="3">
        <v>45715.747870370367</v>
      </c>
      <c r="D1186" t="s">
        <v>133</v>
      </c>
      <c r="E1186" s="4">
        <v>46.223999999999997</v>
      </c>
      <c r="F1186" s="4">
        <v>548486.81099999999</v>
      </c>
      <c r="G1186" s="4">
        <v>548533.03500000003</v>
      </c>
      <c r="H1186" s="5">
        <f>2881 / 86400</f>
        <v>3.3344907407407406E-2</v>
      </c>
      <c r="I1186" t="s">
        <v>162</v>
      </c>
      <c r="J1186" t="s">
        <v>30</v>
      </c>
      <c r="K1186" s="5">
        <f>9332 / 86400</f>
        <v>0.10800925925925926</v>
      </c>
      <c r="L1186" s="5">
        <f>224 / 86400</f>
        <v>2.5925925925925925E-3</v>
      </c>
    </row>
    <row r="1187" spans="1:12" x14ac:dyDescent="0.25">
      <c r="A1187" s="3">
        <v>45715.750462962962</v>
      </c>
      <c r="B1187" t="s">
        <v>493</v>
      </c>
      <c r="C1187" s="3">
        <v>45715.874467592592</v>
      </c>
      <c r="D1187" t="s">
        <v>74</v>
      </c>
      <c r="E1187" s="4">
        <v>45.487000000000002</v>
      </c>
      <c r="F1187" s="4">
        <v>548533.03500000003</v>
      </c>
      <c r="G1187" s="4">
        <v>548578.522</v>
      </c>
      <c r="H1187" s="5">
        <f>3280 / 86400</f>
        <v>3.7962962962962962E-2</v>
      </c>
      <c r="I1187" t="s">
        <v>65</v>
      </c>
      <c r="J1187" t="s">
        <v>39</v>
      </c>
      <c r="K1187" s="5">
        <f>10713 / 86400</f>
        <v>0.12399305555555555</v>
      </c>
      <c r="L1187" s="5">
        <f>703 / 86400</f>
        <v>8.1365740740740738E-3</v>
      </c>
    </row>
    <row r="1188" spans="1:12" x14ac:dyDescent="0.25">
      <c r="A1188" s="3">
        <v>45715.882604166662</v>
      </c>
      <c r="B1188" t="s">
        <v>74</v>
      </c>
      <c r="C1188" s="3">
        <v>45715.884571759263</v>
      </c>
      <c r="D1188" t="s">
        <v>91</v>
      </c>
      <c r="E1188" s="4">
        <v>0.58599999999999997</v>
      </c>
      <c r="F1188" s="4">
        <v>548578.522</v>
      </c>
      <c r="G1188" s="4">
        <v>548579.10800000001</v>
      </c>
      <c r="H1188" s="5">
        <f>20 / 86400</f>
        <v>2.3148148148148149E-4</v>
      </c>
      <c r="I1188" t="s">
        <v>219</v>
      </c>
      <c r="J1188" t="s">
        <v>85</v>
      </c>
      <c r="K1188" s="5">
        <f>169 / 86400</f>
        <v>1.9560185185185184E-3</v>
      </c>
      <c r="L1188" s="5">
        <f>9972 / 86400</f>
        <v>0.11541666666666667</v>
      </c>
    </row>
    <row r="1189" spans="1:12" x14ac:dyDescent="0.25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</row>
    <row r="1190" spans="1:12" x14ac:dyDescent="0.25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</row>
    <row r="1191" spans="1:12" s="10" customFormat="1" ht="20.100000000000001" customHeight="1" x14ac:dyDescent="0.35">
      <c r="A1191" s="11" t="s">
        <v>547</v>
      </c>
      <c r="B1191" s="11"/>
      <c r="C1191" s="11"/>
      <c r="D1191" s="11"/>
      <c r="E1191" s="11"/>
      <c r="F1191" s="11"/>
      <c r="G1191" s="11"/>
      <c r="H1191" s="11"/>
      <c r="I1191" s="11"/>
      <c r="J1191" s="11"/>
    </row>
    <row r="1192" spans="1:12" x14ac:dyDescent="0.25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</row>
    <row r="1193" spans="1:12" ht="30" x14ac:dyDescent="0.25">
      <c r="A1193" s="2" t="s">
        <v>5</v>
      </c>
      <c r="B1193" s="2" t="s">
        <v>6</v>
      </c>
      <c r="C1193" s="2" t="s">
        <v>7</v>
      </c>
      <c r="D1193" s="2" t="s">
        <v>8</v>
      </c>
      <c r="E1193" s="2" t="s">
        <v>9</v>
      </c>
      <c r="F1193" s="2" t="s">
        <v>10</v>
      </c>
      <c r="G1193" s="2" t="s">
        <v>11</v>
      </c>
      <c r="H1193" s="2" t="s">
        <v>12</v>
      </c>
      <c r="I1193" s="2" t="s">
        <v>13</v>
      </c>
      <c r="J1193" s="2" t="s">
        <v>14</v>
      </c>
      <c r="K1193" s="2" t="s">
        <v>15</v>
      </c>
      <c r="L1193" s="2" t="s">
        <v>16</v>
      </c>
    </row>
    <row r="1194" spans="1:12" x14ac:dyDescent="0.25">
      <c r="A1194" s="3">
        <v>45715</v>
      </c>
      <c r="B1194" t="s">
        <v>93</v>
      </c>
      <c r="C1194" s="3">
        <v>45715.029120370367</v>
      </c>
      <c r="D1194" t="s">
        <v>107</v>
      </c>
      <c r="E1194" s="4">
        <v>16.864000000000001</v>
      </c>
      <c r="F1194" s="4">
        <v>107396.424</v>
      </c>
      <c r="G1194" s="4">
        <v>107413.288</v>
      </c>
      <c r="H1194" s="5">
        <f>481 / 86400</f>
        <v>5.5671296296296293E-3</v>
      </c>
      <c r="I1194" t="s">
        <v>146</v>
      </c>
      <c r="J1194" t="s">
        <v>153</v>
      </c>
      <c r="K1194" s="5">
        <f>2516 / 86400</f>
        <v>2.9120370370370369E-2</v>
      </c>
      <c r="L1194" s="5">
        <f>1249 / 86400</f>
        <v>1.4456018518518519E-2</v>
      </c>
    </row>
    <row r="1195" spans="1:12" x14ac:dyDescent="0.25">
      <c r="A1195" s="3">
        <v>45715.043576388889</v>
      </c>
      <c r="B1195" t="s">
        <v>107</v>
      </c>
      <c r="C1195" s="3">
        <v>45715.044108796297</v>
      </c>
      <c r="D1195" t="s">
        <v>107</v>
      </c>
      <c r="E1195" s="4">
        <v>6.5000000000000002E-2</v>
      </c>
      <c r="F1195" s="4">
        <v>107413.288</v>
      </c>
      <c r="G1195" s="4">
        <v>107413.353</v>
      </c>
      <c r="H1195" s="5">
        <f>0 / 86400</f>
        <v>0</v>
      </c>
      <c r="I1195" t="s">
        <v>55</v>
      </c>
      <c r="J1195" t="s">
        <v>99</v>
      </c>
      <c r="K1195" s="5">
        <f>46 / 86400</f>
        <v>5.3240740740740744E-4</v>
      </c>
      <c r="L1195" s="5">
        <f>14812 / 86400</f>
        <v>0.17143518518518519</v>
      </c>
    </row>
    <row r="1196" spans="1:12" x14ac:dyDescent="0.25">
      <c r="A1196" s="3">
        <v>45715.215543981481</v>
      </c>
      <c r="B1196" t="s">
        <v>107</v>
      </c>
      <c r="C1196" s="3">
        <v>45715.216400462959</v>
      </c>
      <c r="D1196" t="s">
        <v>107</v>
      </c>
      <c r="E1196" s="4">
        <v>0</v>
      </c>
      <c r="F1196" s="4">
        <v>107413.353</v>
      </c>
      <c r="G1196" s="4">
        <v>107413.353</v>
      </c>
      <c r="H1196" s="5">
        <f>58 / 86400</f>
        <v>6.7129629629629625E-4</v>
      </c>
      <c r="I1196" t="s">
        <v>21</v>
      </c>
      <c r="J1196" t="s">
        <v>21</v>
      </c>
      <c r="K1196" s="5">
        <f>74 / 86400</f>
        <v>8.564814814814815E-4</v>
      </c>
      <c r="L1196" s="5">
        <f>7034 / 86400</f>
        <v>8.1412037037037033E-2</v>
      </c>
    </row>
    <row r="1197" spans="1:12" x14ac:dyDescent="0.25">
      <c r="A1197" s="3">
        <v>45715.297812500001</v>
      </c>
      <c r="B1197" t="s">
        <v>107</v>
      </c>
      <c r="C1197" s="3">
        <v>45715.467731481476</v>
      </c>
      <c r="D1197" t="s">
        <v>436</v>
      </c>
      <c r="E1197" s="4">
        <v>78.873999999999995</v>
      </c>
      <c r="F1197" s="4">
        <v>107413.353</v>
      </c>
      <c r="G1197" s="4">
        <v>107492.227</v>
      </c>
      <c r="H1197" s="5">
        <f>4679 / 86400</f>
        <v>5.4155092592592595E-2</v>
      </c>
      <c r="I1197" t="s">
        <v>23</v>
      </c>
      <c r="J1197" t="s">
        <v>62</v>
      </c>
      <c r="K1197" s="5">
        <f>14681 / 86400</f>
        <v>0.16991898148148149</v>
      </c>
      <c r="L1197" s="5">
        <f>133 / 86400</f>
        <v>1.5393518518518519E-3</v>
      </c>
    </row>
    <row r="1198" spans="1:12" x14ac:dyDescent="0.25">
      <c r="A1198" s="3">
        <v>45715.469270833331</v>
      </c>
      <c r="B1198" t="s">
        <v>436</v>
      </c>
      <c r="C1198" s="3">
        <v>45715.469444444447</v>
      </c>
      <c r="D1198" t="s">
        <v>436</v>
      </c>
      <c r="E1198" s="4">
        <v>0</v>
      </c>
      <c r="F1198" s="4">
        <v>107492.227</v>
      </c>
      <c r="G1198" s="4">
        <v>107492.227</v>
      </c>
      <c r="H1198" s="5">
        <f>0 / 86400</f>
        <v>0</v>
      </c>
      <c r="I1198" t="s">
        <v>21</v>
      </c>
      <c r="J1198" t="s">
        <v>21</v>
      </c>
      <c r="K1198" s="5">
        <f>15 / 86400</f>
        <v>1.7361111111111112E-4</v>
      </c>
      <c r="L1198" s="5">
        <f>135 / 86400</f>
        <v>1.5625000000000001E-3</v>
      </c>
    </row>
    <row r="1199" spans="1:12" x14ac:dyDescent="0.25">
      <c r="A1199" s="3">
        <v>45715.471006944441</v>
      </c>
      <c r="B1199" t="s">
        <v>436</v>
      </c>
      <c r="C1199" s="3">
        <v>45715.472372685181</v>
      </c>
      <c r="D1199" t="s">
        <v>83</v>
      </c>
      <c r="E1199" s="4">
        <v>0.21099999999999999</v>
      </c>
      <c r="F1199" s="4">
        <v>107492.227</v>
      </c>
      <c r="G1199" s="4">
        <v>107492.43799999999</v>
      </c>
      <c r="H1199" s="5">
        <f>18 / 86400</f>
        <v>2.0833333333333335E-4</v>
      </c>
      <c r="I1199" t="s">
        <v>55</v>
      </c>
      <c r="J1199" t="s">
        <v>123</v>
      </c>
      <c r="K1199" s="5">
        <f>118 / 86400</f>
        <v>1.3657407407407407E-3</v>
      </c>
      <c r="L1199" s="5">
        <f>56 / 86400</f>
        <v>6.4814814814814813E-4</v>
      </c>
    </row>
    <row r="1200" spans="1:12" x14ac:dyDescent="0.25">
      <c r="A1200" s="3">
        <v>45715.473020833335</v>
      </c>
      <c r="B1200" t="s">
        <v>83</v>
      </c>
      <c r="C1200" s="3">
        <v>45715.473090277781</v>
      </c>
      <c r="D1200" t="s">
        <v>83</v>
      </c>
      <c r="E1200" s="4">
        <v>0</v>
      </c>
      <c r="F1200" s="4">
        <v>107492.43799999999</v>
      </c>
      <c r="G1200" s="4">
        <v>107492.43799999999</v>
      </c>
      <c r="H1200" s="5">
        <f>0 / 86400</f>
        <v>0</v>
      </c>
      <c r="I1200" t="s">
        <v>21</v>
      </c>
      <c r="J1200" t="s">
        <v>21</v>
      </c>
      <c r="K1200" s="5">
        <f>6 / 86400</f>
        <v>6.9444444444444444E-5</v>
      </c>
      <c r="L1200" s="5">
        <f>1700 / 86400</f>
        <v>1.9675925925925927E-2</v>
      </c>
    </row>
    <row r="1201" spans="1:12" x14ac:dyDescent="0.25">
      <c r="A1201" s="3">
        <v>45715.492766203708</v>
      </c>
      <c r="B1201" t="s">
        <v>83</v>
      </c>
      <c r="C1201" s="3">
        <v>45715.496215277773</v>
      </c>
      <c r="D1201" t="s">
        <v>122</v>
      </c>
      <c r="E1201" s="4">
        <v>0.95699999999999996</v>
      </c>
      <c r="F1201" s="4">
        <v>107492.43799999999</v>
      </c>
      <c r="G1201" s="4">
        <v>107493.395</v>
      </c>
      <c r="H1201" s="5">
        <f>18 / 86400</f>
        <v>2.0833333333333335E-4</v>
      </c>
      <c r="I1201" t="s">
        <v>154</v>
      </c>
      <c r="J1201" t="s">
        <v>85</v>
      </c>
      <c r="K1201" s="5">
        <f>298 / 86400</f>
        <v>3.449074074074074E-3</v>
      </c>
      <c r="L1201" s="5">
        <f>742 / 86400</f>
        <v>8.5879629629629622E-3</v>
      </c>
    </row>
    <row r="1202" spans="1:12" x14ac:dyDescent="0.25">
      <c r="A1202" s="3">
        <v>45715.504803240736</v>
      </c>
      <c r="B1202" t="s">
        <v>122</v>
      </c>
      <c r="C1202" s="3">
        <v>45715.725682870368</v>
      </c>
      <c r="D1202" t="s">
        <v>436</v>
      </c>
      <c r="E1202" s="4">
        <v>94.563999999999993</v>
      </c>
      <c r="F1202" s="4">
        <v>107493.395</v>
      </c>
      <c r="G1202" s="4">
        <v>107587.959</v>
      </c>
      <c r="H1202" s="5">
        <f>6619 / 86400</f>
        <v>7.66087962962963E-2</v>
      </c>
      <c r="I1202" t="s">
        <v>43</v>
      </c>
      <c r="J1202" t="s">
        <v>30</v>
      </c>
      <c r="K1202" s="5">
        <f>19084 / 86400</f>
        <v>0.22087962962962962</v>
      </c>
      <c r="L1202" s="5">
        <f>328 / 86400</f>
        <v>3.7962962962962963E-3</v>
      </c>
    </row>
    <row r="1203" spans="1:12" x14ac:dyDescent="0.25">
      <c r="A1203" s="3">
        <v>45715.729479166665</v>
      </c>
      <c r="B1203" t="s">
        <v>436</v>
      </c>
      <c r="C1203" s="3">
        <v>45715.730821759258</v>
      </c>
      <c r="D1203" t="s">
        <v>432</v>
      </c>
      <c r="E1203" s="4">
        <v>0.57299999999999995</v>
      </c>
      <c r="F1203" s="4">
        <v>107587.959</v>
      </c>
      <c r="G1203" s="4">
        <v>107588.53200000001</v>
      </c>
      <c r="H1203" s="5">
        <f>0 / 86400</f>
        <v>0</v>
      </c>
      <c r="I1203" t="s">
        <v>189</v>
      </c>
      <c r="J1203" t="s">
        <v>30</v>
      </c>
      <c r="K1203" s="5">
        <f>116 / 86400</f>
        <v>1.3425925925925925E-3</v>
      </c>
      <c r="L1203" s="5">
        <f>1210 / 86400</f>
        <v>1.4004629629629629E-2</v>
      </c>
    </row>
    <row r="1204" spans="1:12" x14ac:dyDescent="0.25">
      <c r="A1204" s="3">
        <v>45715.744826388887</v>
      </c>
      <c r="B1204" t="s">
        <v>432</v>
      </c>
      <c r="C1204" s="3">
        <v>45715.902731481481</v>
      </c>
      <c r="D1204" t="s">
        <v>398</v>
      </c>
      <c r="E1204" s="4">
        <v>75.119</v>
      </c>
      <c r="F1204" s="4">
        <v>107588.53200000001</v>
      </c>
      <c r="G1204" s="4">
        <v>107663.651</v>
      </c>
      <c r="H1204" s="5">
        <f>4980 / 86400</f>
        <v>5.7638888888888892E-2</v>
      </c>
      <c r="I1204" t="s">
        <v>494</v>
      </c>
      <c r="J1204" t="s">
        <v>116</v>
      </c>
      <c r="K1204" s="5">
        <f>13643 / 86400</f>
        <v>0.15790509259259258</v>
      </c>
      <c r="L1204" s="5">
        <f>172 / 86400</f>
        <v>1.9907407407407408E-3</v>
      </c>
    </row>
    <row r="1205" spans="1:12" x14ac:dyDescent="0.25">
      <c r="A1205" s="3">
        <v>45715.904722222222</v>
      </c>
      <c r="B1205" t="s">
        <v>398</v>
      </c>
      <c r="C1205" s="3">
        <v>45715.904826388884</v>
      </c>
      <c r="D1205" t="s">
        <v>398</v>
      </c>
      <c r="E1205" s="4">
        <v>0</v>
      </c>
      <c r="F1205" s="4">
        <v>107663.651</v>
      </c>
      <c r="G1205" s="4">
        <v>107663.651</v>
      </c>
      <c r="H1205" s="5">
        <f>0 / 86400</f>
        <v>0</v>
      </c>
      <c r="I1205" t="s">
        <v>21</v>
      </c>
      <c r="J1205" t="s">
        <v>21</v>
      </c>
      <c r="K1205" s="5">
        <f>9 / 86400</f>
        <v>1.0416666666666667E-4</v>
      </c>
      <c r="L1205" s="5">
        <f>20 / 86400</f>
        <v>2.3148148148148149E-4</v>
      </c>
    </row>
    <row r="1206" spans="1:12" x14ac:dyDescent="0.25">
      <c r="A1206" s="3">
        <v>45715.905057870375</v>
      </c>
      <c r="B1206" t="s">
        <v>398</v>
      </c>
      <c r="C1206" s="3">
        <v>45715.905439814815</v>
      </c>
      <c r="D1206" t="s">
        <v>398</v>
      </c>
      <c r="E1206" s="4">
        <v>0</v>
      </c>
      <c r="F1206" s="4">
        <v>107663.651</v>
      </c>
      <c r="G1206" s="4">
        <v>107663.651</v>
      </c>
      <c r="H1206" s="5">
        <f>18 / 86400</f>
        <v>2.0833333333333335E-4</v>
      </c>
      <c r="I1206" t="s">
        <v>21</v>
      </c>
      <c r="J1206" t="s">
        <v>21</v>
      </c>
      <c r="K1206" s="5">
        <f>33 / 86400</f>
        <v>3.8194444444444446E-4</v>
      </c>
      <c r="L1206" s="5">
        <f>70 / 86400</f>
        <v>8.1018518518518516E-4</v>
      </c>
    </row>
    <row r="1207" spans="1:12" x14ac:dyDescent="0.25">
      <c r="A1207" s="3">
        <v>45715.90625</v>
      </c>
      <c r="B1207" t="s">
        <v>398</v>
      </c>
      <c r="C1207" s="3">
        <v>45715.989768518513</v>
      </c>
      <c r="D1207" t="s">
        <v>94</v>
      </c>
      <c r="E1207" s="4">
        <v>44.246000000000002</v>
      </c>
      <c r="F1207" s="4">
        <v>107663.651</v>
      </c>
      <c r="G1207" s="4">
        <v>107707.897</v>
      </c>
      <c r="H1207" s="5">
        <f>2679 / 86400</f>
        <v>3.1006944444444445E-2</v>
      </c>
      <c r="I1207" t="s">
        <v>95</v>
      </c>
      <c r="J1207" t="s">
        <v>34</v>
      </c>
      <c r="K1207" s="5">
        <f>7216 / 86400</f>
        <v>8.351851851851852E-2</v>
      </c>
      <c r="L1207" s="5">
        <f>883 / 86400</f>
        <v>1.0219907407407407E-2</v>
      </c>
    </row>
    <row r="1208" spans="1:12" x14ac:dyDescent="0.25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</row>
    <row r="1209" spans="1:12" x14ac:dyDescent="0.25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</row>
    <row r="1210" spans="1:12" s="10" customFormat="1" ht="20.100000000000001" customHeight="1" x14ac:dyDescent="0.35">
      <c r="A1210" s="11" t="s">
        <v>548</v>
      </c>
      <c r="B1210" s="11"/>
      <c r="C1210" s="11"/>
      <c r="D1210" s="11"/>
      <c r="E1210" s="11"/>
      <c r="F1210" s="11"/>
      <c r="G1210" s="11"/>
      <c r="H1210" s="11"/>
      <c r="I1210" s="11"/>
      <c r="J1210" s="11"/>
    </row>
    <row r="1211" spans="1:12" x14ac:dyDescent="0.25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</row>
    <row r="1212" spans="1:12" ht="30" x14ac:dyDescent="0.25">
      <c r="A1212" s="2" t="s">
        <v>5</v>
      </c>
      <c r="B1212" s="2" t="s">
        <v>6</v>
      </c>
      <c r="C1212" s="2" t="s">
        <v>7</v>
      </c>
      <c r="D1212" s="2" t="s">
        <v>8</v>
      </c>
      <c r="E1212" s="2" t="s">
        <v>9</v>
      </c>
      <c r="F1212" s="2" t="s">
        <v>10</v>
      </c>
      <c r="G1212" s="2" t="s">
        <v>11</v>
      </c>
      <c r="H1212" s="2" t="s">
        <v>12</v>
      </c>
      <c r="I1212" s="2" t="s">
        <v>13</v>
      </c>
      <c r="J1212" s="2" t="s">
        <v>14</v>
      </c>
      <c r="K1212" s="2" t="s">
        <v>15</v>
      </c>
      <c r="L1212" s="2" t="s">
        <v>16</v>
      </c>
    </row>
    <row r="1213" spans="1:12" x14ac:dyDescent="0.25">
      <c r="A1213" s="3">
        <v>45715.680428240739</v>
      </c>
      <c r="B1213" t="s">
        <v>96</v>
      </c>
      <c r="C1213" s="3">
        <v>45715.683865740742</v>
      </c>
      <c r="D1213" t="s">
        <v>96</v>
      </c>
      <c r="E1213" s="4">
        <v>0</v>
      </c>
      <c r="F1213" s="4">
        <v>54578.572999999997</v>
      </c>
      <c r="G1213" s="4">
        <v>54578.572999999997</v>
      </c>
      <c r="H1213" s="5">
        <f>280 / 86400</f>
        <v>3.2407407407407406E-3</v>
      </c>
      <c r="I1213" t="s">
        <v>21</v>
      </c>
      <c r="J1213" t="s">
        <v>21</v>
      </c>
      <c r="K1213" s="5">
        <f>297 / 86400</f>
        <v>3.4375E-3</v>
      </c>
      <c r="L1213" s="5">
        <f>58881 / 86400</f>
        <v>0.6814930555555555</v>
      </c>
    </row>
    <row r="1214" spans="1:12" x14ac:dyDescent="0.25">
      <c r="A1214" s="3">
        <v>45715.684930555552</v>
      </c>
      <c r="B1214" t="s">
        <v>96</v>
      </c>
      <c r="C1214" s="3">
        <v>45715.688402777778</v>
      </c>
      <c r="D1214" t="s">
        <v>97</v>
      </c>
      <c r="E1214" s="4">
        <v>0.81499999999999995</v>
      </c>
      <c r="F1214" s="4">
        <v>54578.572999999997</v>
      </c>
      <c r="G1214" s="4">
        <v>54579.387999999999</v>
      </c>
      <c r="H1214" s="5">
        <f>118 / 86400</f>
        <v>1.3657407407407407E-3</v>
      </c>
      <c r="I1214" t="s">
        <v>62</v>
      </c>
      <c r="J1214" t="s">
        <v>28</v>
      </c>
      <c r="K1214" s="5">
        <f>300 / 86400</f>
        <v>3.472222222222222E-3</v>
      </c>
      <c r="L1214" s="5">
        <f>29 / 86400</f>
        <v>3.3564814814814812E-4</v>
      </c>
    </row>
    <row r="1215" spans="1:12" x14ac:dyDescent="0.25">
      <c r="A1215" s="3">
        <v>45715.688738425924</v>
      </c>
      <c r="B1215" t="s">
        <v>97</v>
      </c>
      <c r="C1215" s="3">
        <v>45715.688993055555</v>
      </c>
      <c r="D1215" t="s">
        <v>97</v>
      </c>
      <c r="E1215" s="4">
        <v>6.0000000000000001E-3</v>
      </c>
      <c r="F1215" s="4">
        <v>54579.387999999999</v>
      </c>
      <c r="G1215" s="4">
        <v>54579.394</v>
      </c>
      <c r="H1215" s="5">
        <f>18 / 86400</f>
        <v>2.0833333333333335E-4</v>
      </c>
      <c r="I1215" t="s">
        <v>21</v>
      </c>
      <c r="J1215" t="s">
        <v>67</v>
      </c>
      <c r="K1215" s="5">
        <f>22 / 86400</f>
        <v>2.5462962962962961E-4</v>
      </c>
      <c r="L1215" s="5">
        <f>1796 / 86400</f>
        <v>2.0787037037037038E-2</v>
      </c>
    </row>
    <row r="1216" spans="1:12" x14ac:dyDescent="0.25">
      <c r="A1216" s="3">
        <v>45715.709780092591</v>
      </c>
      <c r="B1216" t="s">
        <v>97</v>
      </c>
      <c r="C1216" s="3">
        <v>45715.712418981479</v>
      </c>
      <c r="D1216" t="s">
        <v>495</v>
      </c>
      <c r="E1216" s="4">
        <v>0.33800000000000002</v>
      </c>
      <c r="F1216" s="4">
        <v>54579.394</v>
      </c>
      <c r="G1216" s="4">
        <v>54579.732000000004</v>
      </c>
      <c r="H1216" s="5">
        <f>137 / 86400</f>
        <v>1.5856481481481481E-3</v>
      </c>
      <c r="I1216" t="s">
        <v>139</v>
      </c>
      <c r="J1216" t="s">
        <v>99</v>
      </c>
      <c r="K1216" s="5">
        <f>228 / 86400</f>
        <v>2.638888888888889E-3</v>
      </c>
      <c r="L1216" s="5">
        <f>3242 / 86400</f>
        <v>3.7523148148148146E-2</v>
      </c>
    </row>
    <row r="1217" spans="1:12" x14ac:dyDescent="0.25">
      <c r="A1217" s="3">
        <v>45715.749942129631</v>
      </c>
      <c r="B1217" t="s">
        <v>495</v>
      </c>
      <c r="C1217" s="3">
        <v>45715.751307870371</v>
      </c>
      <c r="D1217" t="s">
        <v>495</v>
      </c>
      <c r="E1217" s="4">
        <v>0</v>
      </c>
      <c r="F1217" s="4">
        <v>54579.732000000004</v>
      </c>
      <c r="G1217" s="4">
        <v>54579.732000000004</v>
      </c>
      <c r="H1217" s="5">
        <f>98 / 86400</f>
        <v>1.1342592592592593E-3</v>
      </c>
      <c r="I1217" t="s">
        <v>21</v>
      </c>
      <c r="J1217" t="s">
        <v>21</v>
      </c>
      <c r="K1217" s="5">
        <f>118 / 86400</f>
        <v>1.3657407407407407E-3</v>
      </c>
      <c r="L1217" s="5">
        <f>271 / 86400</f>
        <v>3.1365740740740742E-3</v>
      </c>
    </row>
    <row r="1218" spans="1:12" x14ac:dyDescent="0.25">
      <c r="A1218" s="3">
        <v>45715.754444444443</v>
      </c>
      <c r="B1218" t="s">
        <v>495</v>
      </c>
      <c r="C1218" s="3">
        <v>45715.758715277778</v>
      </c>
      <c r="D1218" t="s">
        <v>496</v>
      </c>
      <c r="E1218" s="4">
        <v>1.028</v>
      </c>
      <c r="F1218" s="4">
        <v>54579.732000000004</v>
      </c>
      <c r="G1218" s="4">
        <v>54580.76</v>
      </c>
      <c r="H1218" s="5">
        <f>98 / 86400</f>
        <v>1.1342592592592593E-3</v>
      </c>
      <c r="I1218" t="s">
        <v>98</v>
      </c>
      <c r="J1218" t="s">
        <v>28</v>
      </c>
      <c r="K1218" s="5">
        <f>369 / 86400</f>
        <v>4.2708333333333331E-3</v>
      </c>
      <c r="L1218" s="5">
        <f>2028 / 86400</f>
        <v>2.3472222222222221E-2</v>
      </c>
    </row>
    <row r="1219" spans="1:12" x14ac:dyDescent="0.25">
      <c r="A1219" s="3">
        <v>45715.782187500001</v>
      </c>
      <c r="B1219" t="s">
        <v>496</v>
      </c>
      <c r="C1219" s="3">
        <v>45715.784664351857</v>
      </c>
      <c r="D1219" t="s">
        <v>97</v>
      </c>
      <c r="E1219" s="4">
        <v>3.7999999999999999E-2</v>
      </c>
      <c r="F1219" s="4">
        <v>54580.76</v>
      </c>
      <c r="G1219" s="4">
        <v>54580.798000000003</v>
      </c>
      <c r="H1219" s="5">
        <f>177 / 86400</f>
        <v>2.0486111111111113E-3</v>
      </c>
      <c r="I1219" t="s">
        <v>99</v>
      </c>
      <c r="J1219" t="s">
        <v>67</v>
      </c>
      <c r="K1219" s="5">
        <f>214 / 86400</f>
        <v>2.476851851851852E-3</v>
      </c>
      <c r="L1219" s="5">
        <f>18604 / 86400</f>
        <v>0.21532407407407408</v>
      </c>
    </row>
    <row r="1220" spans="1:12" x14ac:dyDescent="0.25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</row>
    <row r="1221" spans="1:12" x14ac:dyDescent="0.25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</row>
    <row r="1222" spans="1:12" s="10" customFormat="1" ht="20.100000000000001" customHeight="1" x14ac:dyDescent="0.35">
      <c r="A1222" s="11" t="s">
        <v>549</v>
      </c>
      <c r="B1222" s="11"/>
      <c r="C1222" s="11"/>
      <c r="D1222" s="11"/>
      <c r="E1222" s="11"/>
      <c r="F1222" s="11"/>
      <c r="G1222" s="11"/>
      <c r="H1222" s="11"/>
      <c r="I1222" s="11"/>
      <c r="J1222" s="11"/>
    </row>
    <row r="1223" spans="1:12" x14ac:dyDescent="0.25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</row>
    <row r="1224" spans="1:12" ht="30" x14ac:dyDescent="0.25">
      <c r="A1224" s="2" t="s">
        <v>5</v>
      </c>
      <c r="B1224" s="2" t="s">
        <v>6</v>
      </c>
      <c r="C1224" s="2" t="s">
        <v>7</v>
      </c>
      <c r="D1224" s="2" t="s">
        <v>8</v>
      </c>
      <c r="E1224" s="2" t="s">
        <v>9</v>
      </c>
      <c r="F1224" s="2" t="s">
        <v>10</v>
      </c>
      <c r="G1224" s="2" t="s">
        <v>11</v>
      </c>
      <c r="H1224" s="2" t="s">
        <v>12</v>
      </c>
      <c r="I1224" s="2" t="s">
        <v>13</v>
      </c>
      <c r="J1224" s="2" t="s">
        <v>14</v>
      </c>
      <c r="K1224" s="2" t="s">
        <v>15</v>
      </c>
      <c r="L1224" s="2" t="s">
        <v>16</v>
      </c>
    </row>
    <row r="1225" spans="1:12" x14ac:dyDescent="0.25">
      <c r="A1225" s="3">
        <v>45715.249745370369</v>
      </c>
      <c r="B1225" t="s">
        <v>100</v>
      </c>
      <c r="C1225" s="3">
        <v>45715.255856481483</v>
      </c>
      <c r="D1225" t="s">
        <v>20</v>
      </c>
      <c r="E1225" s="4">
        <v>2.379</v>
      </c>
      <c r="F1225" s="4">
        <v>47936.762000000002</v>
      </c>
      <c r="G1225" s="4">
        <v>47939.141000000003</v>
      </c>
      <c r="H1225" s="5">
        <f>120 / 86400</f>
        <v>1.3888888888888889E-3</v>
      </c>
      <c r="I1225" t="s">
        <v>245</v>
      </c>
      <c r="J1225" t="s">
        <v>26</v>
      </c>
      <c r="K1225" s="5">
        <f>528 / 86400</f>
        <v>6.1111111111111114E-3</v>
      </c>
      <c r="L1225" s="5">
        <f>21587 / 86400</f>
        <v>0.24984953703703705</v>
      </c>
    </row>
    <row r="1226" spans="1:12" x14ac:dyDescent="0.25">
      <c r="A1226" s="3">
        <v>45715.255960648152</v>
      </c>
      <c r="B1226" t="s">
        <v>20</v>
      </c>
      <c r="C1226" s="3">
        <v>45715.348101851851</v>
      </c>
      <c r="D1226" t="s">
        <v>234</v>
      </c>
      <c r="E1226" s="4">
        <v>43.835999999999999</v>
      </c>
      <c r="F1226" s="4">
        <v>47939.144999999997</v>
      </c>
      <c r="G1226" s="4">
        <v>47982.981</v>
      </c>
      <c r="H1226" s="5">
        <f>2560 / 86400</f>
        <v>2.9629629629629631E-2</v>
      </c>
      <c r="I1226" t="s">
        <v>71</v>
      </c>
      <c r="J1226" t="s">
        <v>116</v>
      </c>
      <c r="K1226" s="5">
        <f>7961 / 86400</f>
        <v>9.2141203703703697E-2</v>
      </c>
      <c r="L1226" s="5">
        <f>9 / 86400</f>
        <v>1.0416666666666667E-4</v>
      </c>
    </row>
    <row r="1227" spans="1:12" x14ac:dyDescent="0.25">
      <c r="A1227" s="3">
        <v>45715.34820601852</v>
      </c>
      <c r="B1227" t="s">
        <v>234</v>
      </c>
      <c r="C1227" s="3">
        <v>45715.356886574074</v>
      </c>
      <c r="D1227" t="s">
        <v>84</v>
      </c>
      <c r="E1227" s="4">
        <v>3.181</v>
      </c>
      <c r="F1227" s="4">
        <v>47982.981</v>
      </c>
      <c r="G1227" s="4">
        <v>47986.161999999997</v>
      </c>
      <c r="H1227" s="5">
        <f>179 / 86400</f>
        <v>2.0717592592592593E-3</v>
      </c>
      <c r="I1227" t="s">
        <v>196</v>
      </c>
      <c r="J1227" t="s">
        <v>39</v>
      </c>
      <c r="K1227" s="5">
        <f>750 / 86400</f>
        <v>8.6805555555555559E-3</v>
      </c>
      <c r="L1227" s="5">
        <f>12 / 86400</f>
        <v>1.3888888888888889E-4</v>
      </c>
    </row>
    <row r="1228" spans="1:12" x14ac:dyDescent="0.25">
      <c r="A1228" s="3">
        <v>45715.357025462959</v>
      </c>
      <c r="B1228" t="s">
        <v>84</v>
      </c>
      <c r="C1228" s="3">
        <v>45715.408599537041</v>
      </c>
      <c r="D1228" t="s">
        <v>145</v>
      </c>
      <c r="E1228" s="4">
        <v>30.805</v>
      </c>
      <c r="F1228" s="4">
        <v>47986.161999999997</v>
      </c>
      <c r="G1228" s="4">
        <v>48016.966999999997</v>
      </c>
      <c r="H1228" s="5">
        <f>920 / 86400</f>
        <v>1.0648148148148148E-2</v>
      </c>
      <c r="I1228" t="s">
        <v>50</v>
      </c>
      <c r="J1228" t="s">
        <v>176</v>
      </c>
      <c r="K1228" s="5">
        <f>4456 / 86400</f>
        <v>5.1574074074074071E-2</v>
      </c>
      <c r="L1228" s="5">
        <f>160 / 86400</f>
        <v>1.8518518518518519E-3</v>
      </c>
    </row>
    <row r="1229" spans="1:12" x14ac:dyDescent="0.25">
      <c r="A1229" s="3">
        <v>45715.410451388889</v>
      </c>
      <c r="B1229" t="s">
        <v>145</v>
      </c>
      <c r="C1229" s="3">
        <v>45715.410509259258</v>
      </c>
      <c r="D1229" t="s">
        <v>145</v>
      </c>
      <c r="E1229" s="4">
        <v>0</v>
      </c>
      <c r="F1229" s="4">
        <v>48016.966999999997</v>
      </c>
      <c r="G1229" s="4">
        <v>48016.966999999997</v>
      </c>
      <c r="H1229" s="5">
        <f>0 / 86400</f>
        <v>0</v>
      </c>
      <c r="I1229" t="s">
        <v>21</v>
      </c>
      <c r="J1229" t="s">
        <v>21</v>
      </c>
      <c r="K1229" s="5">
        <f>5 / 86400</f>
        <v>5.7870370370370373E-5</v>
      </c>
      <c r="L1229" s="5">
        <f>1367 / 86400</f>
        <v>1.5821759259259258E-2</v>
      </c>
    </row>
    <row r="1230" spans="1:12" x14ac:dyDescent="0.25">
      <c r="A1230" s="3">
        <v>45715.42633101852</v>
      </c>
      <c r="B1230" t="s">
        <v>145</v>
      </c>
      <c r="C1230" s="3">
        <v>45715.426631944443</v>
      </c>
      <c r="D1230" t="s">
        <v>145</v>
      </c>
      <c r="E1230" s="4">
        <v>0</v>
      </c>
      <c r="F1230" s="4">
        <v>48016.966999999997</v>
      </c>
      <c r="G1230" s="4">
        <v>48016.966999999997</v>
      </c>
      <c r="H1230" s="5">
        <f>18 / 86400</f>
        <v>2.0833333333333335E-4</v>
      </c>
      <c r="I1230" t="s">
        <v>21</v>
      </c>
      <c r="J1230" t="s">
        <v>21</v>
      </c>
      <c r="K1230" s="5">
        <f>26 / 86400</f>
        <v>3.0092592592592595E-4</v>
      </c>
      <c r="L1230" s="5">
        <f>1454 / 86400</f>
        <v>1.6828703703703703E-2</v>
      </c>
    </row>
    <row r="1231" spans="1:12" x14ac:dyDescent="0.25">
      <c r="A1231" s="3">
        <v>45715.443460648152</v>
      </c>
      <c r="B1231" t="s">
        <v>145</v>
      </c>
      <c r="C1231" s="3">
        <v>45715.447939814811</v>
      </c>
      <c r="D1231" t="s">
        <v>46</v>
      </c>
      <c r="E1231" s="4">
        <v>0.74099999999999999</v>
      </c>
      <c r="F1231" s="4">
        <v>48016.966999999997</v>
      </c>
      <c r="G1231" s="4">
        <v>48017.707999999999</v>
      </c>
      <c r="H1231" s="5">
        <f>238 / 86400</f>
        <v>2.7546296296296294E-3</v>
      </c>
      <c r="I1231" t="s">
        <v>34</v>
      </c>
      <c r="J1231" t="s">
        <v>143</v>
      </c>
      <c r="K1231" s="5">
        <f>387 / 86400</f>
        <v>4.4791666666666669E-3</v>
      </c>
      <c r="L1231" s="5">
        <f>2835 / 86400</f>
        <v>3.2812500000000001E-2</v>
      </c>
    </row>
    <row r="1232" spans="1:12" x14ac:dyDescent="0.25">
      <c r="A1232" s="3">
        <v>45715.480752314819</v>
      </c>
      <c r="B1232" t="s">
        <v>46</v>
      </c>
      <c r="C1232" s="3">
        <v>45715.702777777777</v>
      </c>
      <c r="D1232" t="s">
        <v>440</v>
      </c>
      <c r="E1232" s="4">
        <v>93.304000000000002</v>
      </c>
      <c r="F1232" s="4">
        <v>48017.707999999999</v>
      </c>
      <c r="G1232" s="4">
        <v>48111.012000000002</v>
      </c>
      <c r="H1232" s="5">
        <f>6719 / 86400</f>
        <v>7.7766203703703699E-2</v>
      </c>
      <c r="I1232" t="s">
        <v>79</v>
      </c>
      <c r="J1232" t="s">
        <v>30</v>
      </c>
      <c r="K1232" s="5">
        <f>19183 / 86400</f>
        <v>0.22202546296296297</v>
      </c>
      <c r="L1232" s="5">
        <f>314 / 86400</f>
        <v>3.6342592592592594E-3</v>
      </c>
    </row>
    <row r="1233" spans="1:12" x14ac:dyDescent="0.25">
      <c r="A1233" s="3">
        <v>45715.706412037034</v>
      </c>
      <c r="B1233" t="s">
        <v>440</v>
      </c>
      <c r="C1233" s="3">
        <v>45715.708182870367</v>
      </c>
      <c r="D1233" t="s">
        <v>74</v>
      </c>
      <c r="E1233" s="4">
        <v>0.51</v>
      </c>
      <c r="F1233" s="4">
        <v>48111.012000000002</v>
      </c>
      <c r="G1233" s="4">
        <v>48111.521999999997</v>
      </c>
      <c r="H1233" s="5">
        <f>18 / 86400</f>
        <v>2.0833333333333335E-4</v>
      </c>
      <c r="I1233" t="s">
        <v>240</v>
      </c>
      <c r="J1233" t="s">
        <v>85</v>
      </c>
      <c r="K1233" s="5">
        <f>153 / 86400</f>
        <v>1.7708333333333332E-3</v>
      </c>
      <c r="L1233" s="5">
        <f>830 / 86400</f>
        <v>9.6064814814814815E-3</v>
      </c>
    </row>
    <row r="1234" spans="1:12" x14ac:dyDescent="0.25">
      <c r="A1234" s="3">
        <v>45715.717789351853</v>
      </c>
      <c r="B1234" t="s">
        <v>74</v>
      </c>
      <c r="C1234" s="3">
        <v>45715.718645833331</v>
      </c>
      <c r="D1234" t="s">
        <v>158</v>
      </c>
      <c r="E1234" s="4">
        <v>0.14699999999999999</v>
      </c>
      <c r="F1234" s="4">
        <v>48111.521999999997</v>
      </c>
      <c r="G1234" s="4">
        <v>48111.669000000002</v>
      </c>
      <c r="H1234" s="5">
        <f>0 / 86400</f>
        <v>0</v>
      </c>
      <c r="I1234" t="s">
        <v>41</v>
      </c>
      <c r="J1234" t="s">
        <v>143</v>
      </c>
      <c r="K1234" s="5">
        <f>74 / 86400</f>
        <v>8.564814814814815E-4</v>
      </c>
      <c r="L1234" s="5">
        <f>252 / 86400</f>
        <v>2.9166666666666668E-3</v>
      </c>
    </row>
    <row r="1235" spans="1:12" x14ac:dyDescent="0.25">
      <c r="A1235" s="3">
        <v>45715.721562499995</v>
      </c>
      <c r="B1235" t="s">
        <v>158</v>
      </c>
      <c r="C1235" s="3">
        <v>45715.725694444445</v>
      </c>
      <c r="D1235" t="s">
        <v>497</v>
      </c>
      <c r="E1235" s="4">
        <v>1.0900000000000001</v>
      </c>
      <c r="F1235" s="4">
        <v>48111.669000000002</v>
      </c>
      <c r="G1235" s="4">
        <v>48112.758999999998</v>
      </c>
      <c r="H1235" s="5">
        <f>77 / 86400</f>
        <v>8.9120370370370373E-4</v>
      </c>
      <c r="I1235" t="s">
        <v>176</v>
      </c>
      <c r="J1235" t="s">
        <v>141</v>
      </c>
      <c r="K1235" s="5">
        <f>357 / 86400</f>
        <v>4.1319444444444442E-3</v>
      </c>
      <c r="L1235" s="5">
        <f>392 / 86400</f>
        <v>4.5370370370370373E-3</v>
      </c>
    </row>
    <row r="1236" spans="1:12" x14ac:dyDescent="0.25">
      <c r="A1236" s="3">
        <v>45715.730231481481</v>
      </c>
      <c r="B1236" t="s">
        <v>497</v>
      </c>
      <c r="C1236" s="3">
        <v>45715.731249999997</v>
      </c>
      <c r="D1236" t="s">
        <v>498</v>
      </c>
      <c r="E1236" s="4">
        <v>0.115</v>
      </c>
      <c r="F1236" s="4">
        <v>48112.758999999998</v>
      </c>
      <c r="G1236" s="4">
        <v>48112.874000000003</v>
      </c>
      <c r="H1236" s="5">
        <f>17 / 86400</f>
        <v>1.9675925925925926E-4</v>
      </c>
      <c r="I1236" t="s">
        <v>41</v>
      </c>
      <c r="J1236" t="s">
        <v>99</v>
      </c>
      <c r="K1236" s="5">
        <f>88 / 86400</f>
        <v>1.0185185185185184E-3</v>
      </c>
      <c r="L1236" s="5">
        <f>2240 / 86400</f>
        <v>2.5925925925925925E-2</v>
      </c>
    </row>
    <row r="1237" spans="1:12" x14ac:dyDescent="0.25">
      <c r="A1237" s="3">
        <v>45715.75717592593</v>
      </c>
      <c r="B1237" t="s">
        <v>498</v>
      </c>
      <c r="C1237" s="3">
        <v>45715.760150462964</v>
      </c>
      <c r="D1237" t="s">
        <v>101</v>
      </c>
      <c r="E1237" s="4">
        <v>0.41099999999999998</v>
      </c>
      <c r="F1237" s="4">
        <v>48112.874000000003</v>
      </c>
      <c r="G1237" s="4">
        <v>48113.285000000003</v>
      </c>
      <c r="H1237" s="5">
        <f>81 / 86400</f>
        <v>9.3749999999999997E-4</v>
      </c>
      <c r="I1237" t="s">
        <v>39</v>
      </c>
      <c r="J1237" t="s">
        <v>123</v>
      </c>
      <c r="K1237" s="5">
        <f>257 / 86400</f>
        <v>2.9745370370370373E-3</v>
      </c>
      <c r="L1237" s="5">
        <f>3961 / 86400</f>
        <v>4.5844907407407411E-2</v>
      </c>
    </row>
    <row r="1238" spans="1:12" x14ac:dyDescent="0.25">
      <c r="A1238" s="3">
        <v>45715.805995370371</v>
      </c>
      <c r="B1238" t="s">
        <v>101</v>
      </c>
      <c r="C1238" s="3">
        <v>45715.80673611111</v>
      </c>
      <c r="D1238" t="s">
        <v>101</v>
      </c>
      <c r="E1238" s="4">
        <v>0</v>
      </c>
      <c r="F1238" s="4">
        <v>48113.285000000003</v>
      </c>
      <c r="G1238" s="4">
        <v>48113.285000000003</v>
      </c>
      <c r="H1238" s="5">
        <f>58 / 86400</f>
        <v>6.7129629629629625E-4</v>
      </c>
      <c r="I1238" t="s">
        <v>21</v>
      </c>
      <c r="J1238" t="s">
        <v>21</v>
      </c>
      <c r="K1238" s="5">
        <f>64 / 86400</f>
        <v>7.407407407407407E-4</v>
      </c>
      <c r="L1238" s="5">
        <f>16697 / 86400</f>
        <v>0.19325231481481481</v>
      </c>
    </row>
    <row r="1239" spans="1:12" x14ac:dyDescent="0.25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</row>
    <row r="1240" spans="1:12" x14ac:dyDescent="0.25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</row>
    <row r="1241" spans="1:12" s="10" customFormat="1" ht="20.100000000000001" customHeight="1" x14ac:dyDescent="0.35">
      <c r="A1241" s="11" t="s">
        <v>550</v>
      </c>
      <c r="B1241" s="11"/>
      <c r="C1241" s="11"/>
      <c r="D1241" s="11"/>
      <c r="E1241" s="11"/>
      <c r="F1241" s="11"/>
      <c r="G1241" s="11"/>
      <c r="H1241" s="11"/>
      <c r="I1241" s="11"/>
      <c r="J1241" s="11"/>
    </row>
    <row r="1242" spans="1:12" x14ac:dyDescent="0.25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</row>
    <row r="1243" spans="1:12" ht="30" x14ac:dyDescent="0.25">
      <c r="A1243" s="2" t="s">
        <v>5</v>
      </c>
      <c r="B1243" s="2" t="s">
        <v>6</v>
      </c>
      <c r="C1243" s="2" t="s">
        <v>7</v>
      </c>
      <c r="D1243" s="2" t="s">
        <v>8</v>
      </c>
      <c r="E1243" s="2" t="s">
        <v>9</v>
      </c>
      <c r="F1243" s="2" t="s">
        <v>10</v>
      </c>
      <c r="G1243" s="2" t="s">
        <v>11</v>
      </c>
      <c r="H1243" s="2" t="s">
        <v>12</v>
      </c>
      <c r="I1243" s="2" t="s">
        <v>13</v>
      </c>
      <c r="J1243" s="2" t="s">
        <v>14</v>
      </c>
      <c r="K1243" s="2" t="s">
        <v>15</v>
      </c>
      <c r="L1243" s="2" t="s">
        <v>16</v>
      </c>
    </row>
    <row r="1244" spans="1:12" x14ac:dyDescent="0.25">
      <c r="A1244" s="3">
        <v>45715.16342592593</v>
      </c>
      <c r="B1244" t="s">
        <v>90</v>
      </c>
      <c r="C1244" s="3">
        <v>45715.165810185186</v>
      </c>
      <c r="D1244" t="s">
        <v>90</v>
      </c>
      <c r="E1244" s="4">
        <v>0</v>
      </c>
      <c r="F1244" s="4">
        <v>81499.001000000004</v>
      </c>
      <c r="G1244" s="4">
        <v>81499.001000000004</v>
      </c>
      <c r="H1244" s="5">
        <f>197 / 86400</f>
        <v>2.2800925925925927E-3</v>
      </c>
      <c r="I1244" t="s">
        <v>21</v>
      </c>
      <c r="J1244" t="s">
        <v>21</v>
      </c>
      <c r="K1244" s="5">
        <f>206 / 86400</f>
        <v>2.3842592592592591E-3</v>
      </c>
      <c r="L1244" s="5">
        <f>14148 / 86400</f>
        <v>0.16375000000000001</v>
      </c>
    </row>
    <row r="1245" spans="1:12" x14ac:dyDescent="0.25">
      <c r="A1245" s="3">
        <v>45715.166134259256</v>
      </c>
      <c r="B1245" t="s">
        <v>90</v>
      </c>
      <c r="C1245" s="3">
        <v>45715.237951388888</v>
      </c>
      <c r="D1245" t="s">
        <v>499</v>
      </c>
      <c r="E1245" s="4">
        <v>51.212000000000003</v>
      </c>
      <c r="F1245" s="4">
        <v>81499.001000000004</v>
      </c>
      <c r="G1245" s="4">
        <v>81550.213000000003</v>
      </c>
      <c r="H1245" s="5">
        <f>918 / 86400</f>
        <v>1.0625000000000001E-2</v>
      </c>
      <c r="I1245" t="s">
        <v>61</v>
      </c>
      <c r="J1245" t="s">
        <v>140</v>
      </c>
      <c r="K1245" s="5">
        <f>6205 / 86400</f>
        <v>7.1817129629629634E-2</v>
      </c>
      <c r="L1245" s="5">
        <f>39 / 86400</f>
        <v>4.5138888888888887E-4</v>
      </c>
    </row>
    <row r="1246" spans="1:12" x14ac:dyDescent="0.25">
      <c r="A1246" s="3">
        <v>45715.238402777773</v>
      </c>
      <c r="B1246" t="s">
        <v>499</v>
      </c>
      <c r="C1246" s="3">
        <v>45715.334386574075</v>
      </c>
      <c r="D1246" t="s">
        <v>158</v>
      </c>
      <c r="E1246" s="4">
        <v>50.348999999999997</v>
      </c>
      <c r="F1246" s="4">
        <v>81550.213000000003</v>
      </c>
      <c r="G1246" s="4">
        <v>81600.562000000005</v>
      </c>
      <c r="H1246" s="5">
        <f>2100 / 86400</f>
        <v>2.4305555555555556E-2</v>
      </c>
      <c r="I1246" t="s">
        <v>218</v>
      </c>
      <c r="J1246" t="s">
        <v>34</v>
      </c>
      <c r="K1246" s="5">
        <f>8293 / 86400</f>
        <v>9.5983796296296303E-2</v>
      </c>
      <c r="L1246" s="5">
        <f>26 / 86400</f>
        <v>3.0092592592592595E-4</v>
      </c>
    </row>
    <row r="1247" spans="1:12" x14ac:dyDescent="0.25">
      <c r="A1247" s="3">
        <v>45715.334687499999</v>
      </c>
      <c r="B1247" t="s">
        <v>158</v>
      </c>
      <c r="C1247" s="3">
        <v>45715.33525462963</v>
      </c>
      <c r="D1247" t="s">
        <v>158</v>
      </c>
      <c r="E1247" s="4">
        <v>0.11</v>
      </c>
      <c r="F1247" s="4">
        <v>81600.562000000005</v>
      </c>
      <c r="G1247" s="4">
        <v>81600.672000000006</v>
      </c>
      <c r="H1247" s="5">
        <f>20 / 86400</f>
        <v>2.3148148148148149E-4</v>
      </c>
      <c r="I1247" t="s">
        <v>155</v>
      </c>
      <c r="J1247" t="s">
        <v>155</v>
      </c>
      <c r="K1247" s="5">
        <f>49 / 86400</f>
        <v>5.6712962962962967E-4</v>
      </c>
      <c r="L1247" s="5">
        <f>487 / 86400</f>
        <v>5.6365740740740742E-3</v>
      </c>
    </row>
    <row r="1248" spans="1:12" x14ac:dyDescent="0.25">
      <c r="A1248" s="3">
        <v>45715.340891203705</v>
      </c>
      <c r="B1248" t="s">
        <v>158</v>
      </c>
      <c r="C1248" s="3">
        <v>45715.342777777776</v>
      </c>
      <c r="D1248" t="s">
        <v>158</v>
      </c>
      <c r="E1248" s="4">
        <v>0.29499999999999998</v>
      </c>
      <c r="F1248" s="4">
        <v>81600.672000000006</v>
      </c>
      <c r="G1248" s="4">
        <v>81600.967000000004</v>
      </c>
      <c r="H1248" s="5">
        <f>38 / 86400</f>
        <v>4.3981481481481481E-4</v>
      </c>
      <c r="I1248" t="s">
        <v>139</v>
      </c>
      <c r="J1248" t="s">
        <v>143</v>
      </c>
      <c r="K1248" s="5">
        <f>163 / 86400</f>
        <v>1.8865740740740742E-3</v>
      </c>
      <c r="L1248" s="5">
        <f>205 / 86400</f>
        <v>2.3726851851851851E-3</v>
      </c>
    </row>
    <row r="1249" spans="1:12" x14ac:dyDescent="0.25">
      <c r="A1249" s="3">
        <v>45715.345150462963</v>
      </c>
      <c r="B1249" t="s">
        <v>158</v>
      </c>
      <c r="C1249" s="3">
        <v>45715.346250000002</v>
      </c>
      <c r="D1249" t="s">
        <v>432</v>
      </c>
      <c r="E1249" s="4">
        <v>0.153</v>
      </c>
      <c r="F1249" s="4">
        <v>81600.967000000004</v>
      </c>
      <c r="G1249" s="4">
        <v>81601.119999999995</v>
      </c>
      <c r="H1249" s="5">
        <f>57 / 86400</f>
        <v>6.5972222222222224E-4</v>
      </c>
      <c r="I1249" t="s">
        <v>55</v>
      </c>
      <c r="J1249" t="s">
        <v>123</v>
      </c>
      <c r="K1249" s="5">
        <f>95 / 86400</f>
        <v>1.0995370370370371E-3</v>
      </c>
      <c r="L1249" s="5">
        <f>25 / 86400</f>
        <v>2.8935185185185184E-4</v>
      </c>
    </row>
    <row r="1250" spans="1:12" x14ac:dyDescent="0.25">
      <c r="A1250" s="3">
        <v>45715.346539351856</v>
      </c>
      <c r="B1250" t="s">
        <v>432</v>
      </c>
      <c r="C1250" s="3">
        <v>45715.349918981483</v>
      </c>
      <c r="D1250" t="s">
        <v>122</v>
      </c>
      <c r="E1250" s="4">
        <v>1.1559999999999999</v>
      </c>
      <c r="F1250" s="4">
        <v>81601.119999999995</v>
      </c>
      <c r="G1250" s="4">
        <v>81602.275999999998</v>
      </c>
      <c r="H1250" s="5">
        <f>60 / 86400</f>
        <v>6.9444444444444447E-4</v>
      </c>
      <c r="I1250" t="s">
        <v>173</v>
      </c>
      <c r="J1250" t="s">
        <v>41</v>
      </c>
      <c r="K1250" s="5">
        <f>292 / 86400</f>
        <v>3.3796296296296296E-3</v>
      </c>
      <c r="L1250" s="5">
        <f>997 / 86400</f>
        <v>1.1539351851851851E-2</v>
      </c>
    </row>
    <row r="1251" spans="1:12" x14ac:dyDescent="0.25">
      <c r="A1251" s="3">
        <v>45715.361458333333</v>
      </c>
      <c r="B1251" t="s">
        <v>122</v>
      </c>
      <c r="C1251" s="3">
        <v>45715.592164351852</v>
      </c>
      <c r="D1251" t="s">
        <v>74</v>
      </c>
      <c r="E1251" s="4">
        <v>95.012</v>
      </c>
      <c r="F1251" s="4">
        <v>81602.275999999998</v>
      </c>
      <c r="G1251" s="4">
        <v>81697.288</v>
      </c>
      <c r="H1251" s="5">
        <f>6879 / 86400</f>
        <v>7.9618055555555553E-2</v>
      </c>
      <c r="I1251" t="s">
        <v>56</v>
      </c>
      <c r="J1251" t="s">
        <v>19</v>
      </c>
      <c r="K1251" s="5">
        <f>19933 / 86400</f>
        <v>0.23070601851851852</v>
      </c>
      <c r="L1251" s="5">
        <f>244 / 86400</f>
        <v>2.8240740740740739E-3</v>
      </c>
    </row>
    <row r="1252" spans="1:12" x14ac:dyDescent="0.25">
      <c r="A1252" s="3">
        <v>45715.594988425924</v>
      </c>
      <c r="B1252" t="s">
        <v>74</v>
      </c>
      <c r="C1252" s="3">
        <v>45715.596168981487</v>
      </c>
      <c r="D1252" t="s">
        <v>432</v>
      </c>
      <c r="E1252" s="4">
        <v>0.20300000000000001</v>
      </c>
      <c r="F1252" s="4">
        <v>81697.288</v>
      </c>
      <c r="G1252" s="4">
        <v>81697.490999999995</v>
      </c>
      <c r="H1252" s="5">
        <f>37 / 86400</f>
        <v>4.2824074074074075E-4</v>
      </c>
      <c r="I1252" t="s">
        <v>116</v>
      </c>
      <c r="J1252" t="s">
        <v>143</v>
      </c>
      <c r="K1252" s="5">
        <f>102 / 86400</f>
        <v>1.1805555555555556E-3</v>
      </c>
      <c r="L1252" s="5">
        <f>99 / 86400</f>
        <v>1.1458333333333333E-3</v>
      </c>
    </row>
    <row r="1253" spans="1:12" x14ac:dyDescent="0.25">
      <c r="A1253" s="3">
        <v>45715.597314814819</v>
      </c>
      <c r="B1253" t="s">
        <v>432</v>
      </c>
      <c r="C1253" s="3">
        <v>45715.702662037038</v>
      </c>
      <c r="D1253" t="s">
        <v>500</v>
      </c>
      <c r="E1253" s="4">
        <v>46.542000000000002</v>
      </c>
      <c r="F1253" s="4">
        <v>81697.490999999995</v>
      </c>
      <c r="G1253" s="4">
        <v>81744.032999999996</v>
      </c>
      <c r="H1253" s="5">
        <f>3076 / 86400</f>
        <v>3.560185185185185E-2</v>
      </c>
      <c r="I1253" t="s">
        <v>50</v>
      </c>
      <c r="J1253" t="s">
        <v>30</v>
      </c>
      <c r="K1253" s="5">
        <f>9102 / 86400</f>
        <v>0.10534722222222222</v>
      </c>
      <c r="L1253" s="5">
        <f>2721 / 86400</f>
        <v>3.1493055555555559E-2</v>
      </c>
    </row>
    <row r="1254" spans="1:12" x14ac:dyDescent="0.25">
      <c r="A1254" s="3">
        <v>45715.734155092592</v>
      </c>
      <c r="B1254" t="s">
        <v>500</v>
      </c>
      <c r="C1254" s="3">
        <v>45715.858587962968</v>
      </c>
      <c r="D1254" t="s">
        <v>432</v>
      </c>
      <c r="E1254" s="4">
        <v>47.029000000000003</v>
      </c>
      <c r="F1254" s="4">
        <v>81744.032999999996</v>
      </c>
      <c r="G1254" s="4">
        <v>81791.062000000005</v>
      </c>
      <c r="H1254" s="5">
        <f>3639 / 86400</f>
        <v>4.2118055555555554E-2</v>
      </c>
      <c r="I1254" t="s">
        <v>162</v>
      </c>
      <c r="J1254" t="s">
        <v>26</v>
      </c>
      <c r="K1254" s="5">
        <f>10751 / 86400</f>
        <v>0.12443287037037037</v>
      </c>
      <c r="L1254" s="5">
        <f>839 / 86400</f>
        <v>9.7106481481481488E-3</v>
      </c>
    </row>
    <row r="1255" spans="1:12" x14ac:dyDescent="0.25">
      <c r="A1255" s="3">
        <v>45715.868298611109</v>
      </c>
      <c r="B1255" t="s">
        <v>432</v>
      </c>
      <c r="C1255" s="3">
        <v>45715.870694444442</v>
      </c>
      <c r="D1255" t="s">
        <v>90</v>
      </c>
      <c r="E1255" s="4">
        <v>0.69699999999999995</v>
      </c>
      <c r="F1255" s="4">
        <v>81791.062000000005</v>
      </c>
      <c r="G1255" s="4">
        <v>81791.759000000005</v>
      </c>
      <c r="H1255" s="5">
        <f>60 / 86400</f>
        <v>6.9444444444444447E-4</v>
      </c>
      <c r="I1255" t="s">
        <v>131</v>
      </c>
      <c r="J1255" t="s">
        <v>85</v>
      </c>
      <c r="K1255" s="5">
        <f>207 / 86400</f>
        <v>2.3958333333333331E-3</v>
      </c>
      <c r="L1255" s="5">
        <f>11171 / 86400</f>
        <v>0.12929398148148147</v>
      </c>
    </row>
    <row r="1256" spans="1:12" x14ac:dyDescent="0.25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</row>
    <row r="1257" spans="1:12" x14ac:dyDescent="0.25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</row>
    <row r="1258" spans="1:12" s="10" customFormat="1" ht="20.100000000000001" customHeight="1" x14ac:dyDescent="0.35">
      <c r="A1258" s="11" t="s">
        <v>551</v>
      </c>
      <c r="B1258" s="11"/>
      <c r="C1258" s="11"/>
      <c r="D1258" s="11"/>
      <c r="E1258" s="11"/>
      <c r="F1258" s="11"/>
      <c r="G1258" s="11"/>
      <c r="H1258" s="11"/>
      <c r="I1258" s="11"/>
      <c r="J1258" s="11"/>
    </row>
    <row r="1259" spans="1:12" x14ac:dyDescent="0.25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</row>
    <row r="1260" spans="1:12" ht="30" x14ac:dyDescent="0.25">
      <c r="A1260" s="2" t="s">
        <v>5</v>
      </c>
      <c r="B1260" s="2" t="s">
        <v>6</v>
      </c>
      <c r="C1260" s="2" t="s">
        <v>7</v>
      </c>
      <c r="D1260" s="2" t="s">
        <v>8</v>
      </c>
      <c r="E1260" s="2" t="s">
        <v>9</v>
      </c>
      <c r="F1260" s="2" t="s">
        <v>10</v>
      </c>
      <c r="G1260" s="2" t="s">
        <v>11</v>
      </c>
      <c r="H1260" s="2" t="s">
        <v>12</v>
      </c>
      <c r="I1260" s="2" t="s">
        <v>13</v>
      </c>
      <c r="J1260" s="2" t="s">
        <v>14</v>
      </c>
      <c r="K1260" s="2" t="s">
        <v>15</v>
      </c>
      <c r="L1260" s="2" t="s">
        <v>16</v>
      </c>
    </row>
    <row r="1261" spans="1:12" x14ac:dyDescent="0.25">
      <c r="A1261" s="3">
        <v>45715.250127314815</v>
      </c>
      <c r="B1261" t="s">
        <v>102</v>
      </c>
      <c r="C1261" s="3">
        <v>45715.255879629629</v>
      </c>
      <c r="D1261" t="s">
        <v>501</v>
      </c>
      <c r="E1261" s="4">
        <v>0.17699999999999999</v>
      </c>
      <c r="F1261" s="4">
        <v>44215.968999999997</v>
      </c>
      <c r="G1261" s="4">
        <v>44216.146000000001</v>
      </c>
      <c r="H1261" s="5">
        <f>360 / 86400</f>
        <v>4.1666666666666666E-3</v>
      </c>
      <c r="I1261" t="s">
        <v>141</v>
      </c>
      <c r="J1261" t="s">
        <v>67</v>
      </c>
      <c r="K1261" s="5">
        <f>497 / 86400</f>
        <v>5.7523148148148151E-3</v>
      </c>
      <c r="L1261" s="5">
        <f>47617 / 86400</f>
        <v>0.55112268518518515</v>
      </c>
    </row>
    <row r="1262" spans="1:12" x14ac:dyDescent="0.25">
      <c r="A1262" s="3">
        <v>45715.556874999995</v>
      </c>
      <c r="B1262" t="s">
        <v>501</v>
      </c>
      <c r="C1262" s="3">
        <v>45715.564201388886</v>
      </c>
      <c r="D1262" t="s">
        <v>63</v>
      </c>
      <c r="E1262" s="4">
        <v>2.7480000000000002</v>
      </c>
      <c r="F1262" s="4">
        <v>44216.146000000001</v>
      </c>
      <c r="G1262" s="4">
        <v>44218.894</v>
      </c>
      <c r="H1262" s="5">
        <f>180 / 86400</f>
        <v>2.0833333333333333E-3</v>
      </c>
      <c r="I1262" t="s">
        <v>236</v>
      </c>
      <c r="J1262" t="s">
        <v>26</v>
      </c>
      <c r="K1262" s="5">
        <f>633 / 86400</f>
        <v>7.3263888888888892E-3</v>
      </c>
      <c r="L1262" s="5">
        <f>1449 / 86400</f>
        <v>1.6770833333333332E-2</v>
      </c>
    </row>
    <row r="1263" spans="1:12" x14ac:dyDescent="0.25">
      <c r="A1263" s="3">
        <v>45715.580972222218</v>
      </c>
      <c r="B1263" t="s">
        <v>63</v>
      </c>
      <c r="C1263" s="3">
        <v>45715.584710648152</v>
      </c>
      <c r="D1263" t="s">
        <v>203</v>
      </c>
      <c r="E1263" s="4">
        <v>1.5029999999999999</v>
      </c>
      <c r="F1263" s="4">
        <v>44218.894</v>
      </c>
      <c r="G1263" s="4">
        <v>44220.396999999997</v>
      </c>
      <c r="H1263" s="5">
        <f>103 / 86400</f>
        <v>1.1921296296296296E-3</v>
      </c>
      <c r="I1263" t="s">
        <v>192</v>
      </c>
      <c r="J1263" t="s">
        <v>19</v>
      </c>
      <c r="K1263" s="5">
        <f>323 / 86400</f>
        <v>3.7384259259259259E-3</v>
      </c>
      <c r="L1263" s="5">
        <f>2297 / 86400</f>
        <v>2.6585648148148146E-2</v>
      </c>
    </row>
    <row r="1264" spans="1:12" x14ac:dyDescent="0.25">
      <c r="A1264" s="3">
        <v>45715.611296296294</v>
      </c>
      <c r="B1264" t="s">
        <v>203</v>
      </c>
      <c r="C1264" s="3">
        <v>45715.884108796294</v>
      </c>
      <c r="D1264" t="s">
        <v>35</v>
      </c>
      <c r="E1264" s="4">
        <v>108.282</v>
      </c>
      <c r="F1264" s="4">
        <v>44220.396999999997</v>
      </c>
      <c r="G1264" s="4">
        <v>44328.678999999996</v>
      </c>
      <c r="H1264" s="5">
        <f>7891 / 86400</f>
        <v>9.133101851851852E-2</v>
      </c>
      <c r="I1264" t="s">
        <v>103</v>
      </c>
      <c r="J1264" t="s">
        <v>19</v>
      </c>
      <c r="K1264" s="5">
        <f>23571 / 86400</f>
        <v>0.27281250000000001</v>
      </c>
      <c r="L1264" s="5">
        <f>894 / 86400</f>
        <v>1.0347222222222223E-2</v>
      </c>
    </row>
    <row r="1265" spans="1:12" x14ac:dyDescent="0.25">
      <c r="A1265" s="3">
        <v>45715.894456018519</v>
      </c>
      <c r="B1265" t="s">
        <v>35</v>
      </c>
      <c r="C1265" s="3">
        <v>45715.900405092594</v>
      </c>
      <c r="D1265" t="s">
        <v>102</v>
      </c>
      <c r="E1265" s="4">
        <v>2.4609999999999999</v>
      </c>
      <c r="F1265" s="4">
        <v>44328.678999999996</v>
      </c>
      <c r="G1265" s="4">
        <v>44331.14</v>
      </c>
      <c r="H1265" s="5">
        <f>91 / 86400</f>
        <v>1.0532407407407407E-3</v>
      </c>
      <c r="I1265" t="s">
        <v>129</v>
      </c>
      <c r="J1265" t="s">
        <v>19</v>
      </c>
      <c r="K1265" s="5">
        <f>514 / 86400</f>
        <v>5.9490740740740745E-3</v>
      </c>
      <c r="L1265" s="5">
        <f>8604 / 86400</f>
        <v>9.9583333333333329E-2</v>
      </c>
    </row>
    <row r="1266" spans="1:12" x14ac:dyDescent="0.25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</row>
    <row r="1267" spans="1:12" x14ac:dyDescent="0.25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</row>
    <row r="1268" spans="1:12" s="10" customFormat="1" ht="20.100000000000001" customHeight="1" x14ac:dyDescent="0.35">
      <c r="A1268" s="11" t="s">
        <v>552</v>
      </c>
      <c r="B1268" s="11"/>
      <c r="C1268" s="11"/>
      <c r="D1268" s="11"/>
      <c r="E1268" s="11"/>
      <c r="F1268" s="11"/>
      <c r="G1268" s="11"/>
      <c r="H1268" s="11"/>
      <c r="I1268" s="11"/>
      <c r="J1268" s="11"/>
    </row>
    <row r="1269" spans="1:12" x14ac:dyDescent="0.25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</row>
    <row r="1270" spans="1:12" ht="30" x14ac:dyDescent="0.25">
      <c r="A1270" s="2" t="s">
        <v>5</v>
      </c>
      <c r="B1270" s="2" t="s">
        <v>6</v>
      </c>
      <c r="C1270" s="2" t="s">
        <v>7</v>
      </c>
      <c r="D1270" s="2" t="s">
        <v>8</v>
      </c>
      <c r="E1270" s="2" t="s">
        <v>9</v>
      </c>
      <c r="F1270" s="2" t="s">
        <v>10</v>
      </c>
      <c r="G1270" s="2" t="s">
        <v>11</v>
      </c>
      <c r="H1270" s="2" t="s">
        <v>12</v>
      </c>
      <c r="I1270" s="2" t="s">
        <v>13</v>
      </c>
      <c r="J1270" s="2" t="s">
        <v>14</v>
      </c>
      <c r="K1270" s="2" t="s">
        <v>15</v>
      </c>
      <c r="L1270" s="2" t="s">
        <v>16</v>
      </c>
    </row>
    <row r="1271" spans="1:12" x14ac:dyDescent="0.25">
      <c r="A1271" s="3">
        <v>45715.321840277778</v>
      </c>
      <c r="B1271" t="s">
        <v>104</v>
      </c>
      <c r="C1271" s="3">
        <v>45715.348622685182</v>
      </c>
      <c r="D1271" t="s">
        <v>389</v>
      </c>
      <c r="E1271" s="4">
        <v>10.792</v>
      </c>
      <c r="F1271" s="4">
        <v>194064.09899999999</v>
      </c>
      <c r="G1271" s="4">
        <v>194074.891</v>
      </c>
      <c r="H1271" s="5">
        <f>579 / 86400</f>
        <v>6.7013888888888887E-3</v>
      </c>
      <c r="I1271" t="s">
        <v>213</v>
      </c>
      <c r="J1271" t="s">
        <v>19</v>
      </c>
      <c r="K1271" s="5">
        <f>2314 / 86400</f>
        <v>2.6782407407407408E-2</v>
      </c>
      <c r="L1271" s="5">
        <f>28222 / 86400</f>
        <v>0.32664351851851853</v>
      </c>
    </row>
    <row r="1272" spans="1:12" x14ac:dyDescent="0.25">
      <c r="A1272" s="3">
        <v>45715.353425925925</v>
      </c>
      <c r="B1272" t="s">
        <v>389</v>
      </c>
      <c r="C1272" s="3">
        <v>45715.354502314818</v>
      </c>
      <c r="D1272" t="s">
        <v>389</v>
      </c>
      <c r="E1272" s="4">
        <v>0</v>
      </c>
      <c r="F1272" s="4">
        <v>194074.891</v>
      </c>
      <c r="G1272" s="4">
        <v>194074.891</v>
      </c>
      <c r="H1272" s="5">
        <f>79 / 86400</f>
        <v>9.1435185185185185E-4</v>
      </c>
      <c r="I1272" t="s">
        <v>21</v>
      </c>
      <c r="J1272" t="s">
        <v>21</v>
      </c>
      <c r="K1272" s="5">
        <f>92 / 86400</f>
        <v>1.0648148148148149E-3</v>
      </c>
      <c r="L1272" s="5">
        <f>543 / 86400</f>
        <v>6.2847222222222219E-3</v>
      </c>
    </row>
    <row r="1273" spans="1:12" x14ac:dyDescent="0.25">
      <c r="A1273" s="3">
        <v>45715.360787037032</v>
      </c>
      <c r="B1273" t="s">
        <v>389</v>
      </c>
      <c r="C1273" s="3">
        <v>45715.361481481479</v>
      </c>
      <c r="D1273" t="s">
        <v>389</v>
      </c>
      <c r="E1273" s="4">
        <v>3.0000000000000001E-3</v>
      </c>
      <c r="F1273" s="4">
        <v>194074.891</v>
      </c>
      <c r="G1273" s="4">
        <v>194074.894</v>
      </c>
      <c r="H1273" s="5">
        <f>19 / 86400</f>
        <v>2.199074074074074E-4</v>
      </c>
      <c r="I1273" t="s">
        <v>67</v>
      </c>
      <c r="J1273" t="s">
        <v>21</v>
      </c>
      <c r="K1273" s="5">
        <f>60 / 86400</f>
        <v>6.9444444444444447E-4</v>
      </c>
      <c r="L1273" s="5">
        <f>903 / 86400</f>
        <v>1.0451388888888889E-2</v>
      </c>
    </row>
    <row r="1274" spans="1:12" x14ac:dyDescent="0.25">
      <c r="A1274" s="3">
        <v>45715.371932870374</v>
      </c>
      <c r="B1274" t="s">
        <v>389</v>
      </c>
      <c r="C1274" s="3">
        <v>45715.372152777782</v>
      </c>
      <c r="D1274" t="s">
        <v>203</v>
      </c>
      <c r="E1274" s="4">
        <v>0</v>
      </c>
      <c r="F1274" s="4">
        <v>194074.894</v>
      </c>
      <c r="G1274" s="4">
        <v>194074.894</v>
      </c>
      <c r="H1274" s="5">
        <f>0 / 86400</f>
        <v>0</v>
      </c>
      <c r="I1274" t="s">
        <v>21</v>
      </c>
      <c r="J1274" t="s">
        <v>21</v>
      </c>
      <c r="K1274" s="5">
        <f>19 / 86400</f>
        <v>2.199074074074074E-4</v>
      </c>
      <c r="L1274" s="5">
        <f>27220 / 86400</f>
        <v>0.31504629629629627</v>
      </c>
    </row>
    <row r="1275" spans="1:12" x14ac:dyDescent="0.25">
      <c r="A1275" s="3">
        <v>45715.687199074076</v>
      </c>
      <c r="B1275" t="s">
        <v>203</v>
      </c>
      <c r="C1275" s="3">
        <v>45715.687430555554</v>
      </c>
      <c r="D1275" t="s">
        <v>203</v>
      </c>
      <c r="E1275" s="4">
        <v>0</v>
      </c>
      <c r="F1275" s="4">
        <v>194074.894</v>
      </c>
      <c r="G1275" s="4">
        <v>194074.894</v>
      </c>
      <c r="H1275" s="5">
        <f>0 / 86400</f>
        <v>0</v>
      </c>
      <c r="I1275" t="s">
        <v>21</v>
      </c>
      <c r="J1275" t="s">
        <v>21</v>
      </c>
      <c r="K1275" s="5">
        <f>20 / 86400</f>
        <v>2.3148148148148149E-4</v>
      </c>
      <c r="L1275" s="5">
        <f>65 / 86400</f>
        <v>7.5231481481481482E-4</v>
      </c>
    </row>
    <row r="1276" spans="1:12" x14ac:dyDescent="0.25">
      <c r="A1276" s="3">
        <v>45715.68818287037</v>
      </c>
      <c r="B1276" t="s">
        <v>389</v>
      </c>
      <c r="C1276" s="3">
        <v>45715.690254629633</v>
      </c>
      <c r="D1276" t="s">
        <v>203</v>
      </c>
      <c r="E1276" s="4">
        <v>0</v>
      </c>
      <c r="F1276" s="4">
        <v>194074.894</v>
      </c>
      <c r="G1276" s="4">
        <v>194074.894</v>
      </c>
      <c r="H1276" s="5">
        <f>159 / 86400</f>
        <v>1.8402777777777777E-3</v>
      </c>
      <c r="I1276" t="s">
        <v>21</v>
      </c>
      <c r="J1276" t="s">
        <v>21</v>
      </c>
      <c r="K1276" s="5">
        <f>179 / 86400</f>
        <v>2.0717592592592593E-3</v>
      </c>
      <c r="L1276" s="5">
        <f>1829 / 86400</f>
        <v>2.1168981481481483E-2</v>
      </c>
    </row>
    <row r="1277" spans="1:12" x14ac:dyDescent="0.25">
      <c r="A1277" s="3">
        <v>45715.711423611108</v>
      </c>
      <c r="B1277" t="s">
        <v>203</v>
      </c>
      <c r="C1277" s="3">
        <v>45715.712048611109</v>
      </c>
      <c r="D1277" t="s">
        <v>389</v>
      </c>
      <c r="E1277" s="4">
        <v>0</v>
      </c>
      <c r="F1277" s="4">
        <v>194074.894</v>
      </c>
      <c r="G1277" s="4">
        <v>194074.894</v>
      </c>
      <c r="H1277" s="5">
        <f>39 / 86400</f>
        <v>4.5138888888888887E-4</v>
      </c>
      <c r="I1277" t="s">
        <v>21</v>
      </c>
      <c r="J1277" t="s">
        <v>21</v>
      </c>
      <c r="K1277" s="5">
        <f>54 / 86400</f>
        <v>6.2500000000000001E-4</v>
      </c>
      <c r="L1277" s="5">
        <f>1 / 86400</f>
        <v>1.1574074074074073E-5</v>
      </c>
    </row>
    <row r="1278" spans="1:12" x14ac:dyDescent="0.25">
      <c r="A1278" s="3">
        <v>45715.712060185186</v>
      </c>
      <c r="B1278" t="s">
        <v>389</v>
      </c>
      <c r="C1278" s="3">
        <v>45715.712187500001</v>
      </c>
      <c r="D1278" t="s">
        <v>389</v>
      </c>
      <c r="E1278" s="4">
        <v>0</v>
      </c>
      <c r="F1278" s="4">
        <v>194074.894</v>
      </c>
      <c r="G1278" s="4">
        <v>194074.894</v>
      </c>
      <c r="H1278" s="5">
        <f>4 / 86400</f>
        <v>4.6296296296296294E-5</v>
      </c>
      <c r="I1278" t="s">
        <v>21</v>
      </c>
      <c r="J1278" t="s">
        <v>21</v>
      </c>
      <c r="K1278" s="5">
        <f>11 / 86400</f>
        <v>1.273148148148148E-4</v>
      </c>
      <c r="L1278" s="5">
        <f>730 / 86400</f>
        <v>8.4490740740740741E-3</v>
      </c>
    </row>
    <row r="1279" spans="1:12" x14ac:dyDescent="0.25">
      <c r="A1279" s="3">
        <v>45715.720636574071</v>
      </c>
      <c r="B1279" t="s">
        <v>389</v>
      </c>
      <c r="C1279" s="3">
        <v>45715.724502314813</v>
      </c>
      <c r="D1279" t="s">
        <v>502</v>
      </c>
      <c r="E1279" s="4">
        <v>1.4590000000000001</v>
      </c>
      <c r="F1279" s="4">
        <v>194074.894</v>
      </c>
      <c r="G1279" s="4">
        <v>194076.353</v>
      </c>
      <c r="H1279" s="5">
        <f>59 / 86400</f>
        <v>6.8287037037037036E-4</v>
      </c>
      <c r="I1279" t="s">
        <v>226</v>
      </c>
      <c r="J1279" t="s">
        <v>26</v>
      </c>
      <c r="K1279" s="5">
        <f>334 / 86400</f>
        <v>3.8657407407407408E-3</v>
      </c>
      <c r="L1279" s="5">
        <f>106 / 86400</f>
        <v>1.2268518518518518E-3</v>
      </c>
    </row>
    <row r="1280" spans="1:12" x14ac:dyDescent="0.25">
      <c r="A1280" s="3">
        <v>45715.725729166668</v>
      </c>
      <c r="B1280" t="s">
        <v>502</v>
      </c>
      <c r="C1280" s="3">
        <v>45715.726886574077</v>
      </c>
      <c r="D1280" t="s">
        <v>22</v>
      </c>
      <c r="E1280" s="4">
        <v>0.32</v>
      </c>
      <c r="F1280" s="4">
        <v>194076.353</v>
      </c>
      <c r="G1280" s="4">
        <v>194076.67300000001</v>
      </c>
      <c r="H1280" s="5">
        <f>0 / 86400</f>
        <v>0</v>
      </c>
      <c r="I1280" t="s">
        <v>39</v>
      </c>
      <c r="J1280" t="s">
        <v>85</v>
      </c>
      <c r="K1280" s="5">
        <f>99 / 86400</f>
        <v>1.1458333333333333E-3</v>
      </c>
      <c r="L1280" s="5">
        <f>209 / 86400</f>
        <v>2.4189814814814816E-3</v>
      </c>
    </row>
    <row r="1281" spans="1:12" x14ac:dyDescent="0.25">
      <c r="A1281" s="3">
        <v>45715.729305555556</v>
      </c>
      <c r="B1281" t="s">
        <v>22</v>
      </c>
      <c r="C1281" s="3">
        <v>45715.732731481483</v>
      </c>
      <c r="D1281" t="s">
        <v>503</v>
      </c>
      <c r="E1281" s="4">
        <v>1.242</v>
      </c>
      <c r="F1281" s="4">
        <v>194076.67300000001</v>
      </c>
      <c r="G1281" s="4">
        <v>194077.91500000001</v>
      </c>
      <c r="H1281" s="5">
        <f>0 / 86400</f>
        <v>0</v>
      </c>
      <c r="I1281" t="s">
        <v>173</v>
      </c>
      <c r="J1281" t="s">
        <v>39</v>
      </c>
      <c r="K1281" s="5">
        <f>295 / 86400</f>
        <v>3.414351851851852E-3</v>
      </c>
      <c r="L1281" s="5">
        <f>5520 / 86400</f>
        <v>6.3888888888888884E-2</v>
      </c>
    </row>
    <row r="1282" spans="1:12" x14ac:dyDescent="0.25">
      <c r="A1282" s="3">
        <v>45715.796620370369</v>
      </c>
      <c r="B1282" t="s">
        <v>503</v>
      </c>
      <c r="C1282" s="3">
        <v>45715.850405092591</v>
      </c>
      <c r="D1282" t="s">
        <v>504</v>
      </c>
      <c r="E1282" s="4">
        <v>21.788</v>
      </c>
      <c r="F1282" s="4">
        <v>194077.91500000001</v>
      </c>
      <c r="G1282" s="4">
        <v>194099.70300000001</v>
      </c>
      <c r="H1282" s="5">
        <f>1360 / 86400</f>
        <v>1.5740740740740739E-2</v>
      </c>
      <c r="I1282" t="s">
        <v>105</v>
      </c>
      <c r="J1282" t="s">
        <v>19</v>
      </c>
      <c r="K1282" s="5">
        <f>4647 / 86400</f>
        <v>5.378472222222222E-2</v>
      </c>
      <c r="L1282" s="5">
        <f>2322 / 86400</f>
        <v>2.6875E-2</v>
      </c>
    </row>
    <row r="1283" spans="1:12" x14ac:dyDescent="0.25">
      <c r="A1283" s="3">
        <v>45715.877280092594</v>
      </c>
      <c r="B1283" t="s">
        <v>504</v>
      </c>
      <c r="C1283" s="3">
        <v>45715.891493055555</v>
      </c>
      <c r="D1283" t="s">
        <v>130</v>
      </c>
      <c r="E1283" s="4">
        <v>5.1929999999999996</v>
      </c>
      <c r="F1283" s="4">
        <v>194099.70300000001</v>
      </c>
      <c r="G1283" s="4">
        <v>194104.89600000001</v>
      </c>
      <c r="H1283" s="5">
        <f>299 / 86400</f>
        <v>3.460648148148148E-3</v>
      </c>
      <c r="I1283" t="s">
        <v>245</v>
      </c>
      <c r="J1283" t="s">
        <v>39</v>
      </c>
      <c r="K1283" s="5">
        <f>1228 / 86400</f>
        <v>1.4212962962962964E-2</v>
      </c>
      <c r="L1283" s="5">
        <f>73 / 86400</f>
        <v>8.4490740740740739E-4</v>
      </c>
    </row>
    <row r="1284" spans="1:12" x14ac:dyDescent="0.25">
      <c r="A1284" s="3">
        <v>45715.892337962963</v>
      </c>
      <c r="B1284" t="s">
        <v>165</v>
      </c>
      <c r="C1284" s="3">
        <v>45715.898055555561</v>
      </c>
      <c r="D1284" t="s">
        <v>104</v>
      </c>
      <c r="E1284" s="4">
        <v>2.1800000000000002</v>
      </c>
      <c r="F1284" s="4">
        <v>194104.89600000001</v>
      </c>
      <c r="G1284" s="4">
        <v>194107.076</v>
      </c>
      <c r="H1284" s="5">
        <f>60 / 86400</f>
        <v>6.9444444444444447E-4</v>
      </c>
      <c r="I1284" t="s">
        <v>221</v>
      </c>
      <c r="J1284" t="s">
        <v>26</v>
      </c>
      <c r="K1284" s="5">
        <f>493 / 86400</f>
        <v>5.7060185185185183E-3</v>
      </c>
      <c r="L1284" s="5">
        <f>720 / 86400</f>
        <v>8.3333333333333332E-3</v>
      </c>
    </row>
    <row r="1285" spans="1:12" x14ac:dyDescent="0.25">
      <c r="A1285" s="3">
        <v>45715.906388888892</v>
      </c>
      <c r="B1285" t="s">
        <v>104</v>
      </c>
      <c r="C1285" s="3">
        <v>45715.907280092593</v>
      </c>
      <c r="D1285" t="s">
        <v>104</v>
      </c>
      <c r="E1285" s="4">
        <v>0.11899999999999999</v>
      </c>
      <c r="F1285" s="4">
        <v>194107.076</v>
      </c>
      <c r="G1285" s="4">
        <v>194107.19500000001</v>
      </c>
      <c r="H1285" s="5">
        <f>19 / 86400</f>
        <v>2.199074074074074E-4</v>
      </c>
      <c r="I1285" t="s">
        <v>155</v>
      </c>
      <c r="J1285" t="s">
        <v>123</v>
      </c>
      <c r="K1285" s="5">
        <f>77 / 86400</f>
        <v>8.9120370370370373E-4</v>
      </c>
      <c r="L1285" s="5">
        <f>8010 / 86400</f>
        <v>9.2708333333333337E-2</v>
      </c>
    </row>
    <row r="1286" spans="1:12" x14ac:dyDescent="0.25">
      <c r="A1286" s="12"/>
      <c r="B1286" s="12"/>
      <c r="C1286" s="12"/>
      <c r="D1286" s="12"/>
      <c r="E1286" s="12"/>
      <c r="F1286" s="12"/>
      <c r="G1286" s="12"/>
      <c r="H1286" s="12"/>
      <c r="I1286" s="12"/>
      <c r="J1286" s="12"/>
    </row>
    <row r="1287" spans="1:12" x14ac:dyDescent="0.25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</row>
    <row r="1288" spans="1:12" s="10" customFormat="1" ht="20.100000000000001" customHeight="1" x14ac:dyDescent="0.35">
      <c r="A1288" s="11" t="s">
        <v>553</v>
      </c>
      <c r="B1288" s="11"/>
      <c r="C1288" s="11"/>
      <c r="D1288" s="11"/>
      <c r="E1288" s="11"/>
      <c r="F1288" s="11"/>
      <c r="G1288" s="11"/>
      <c r="H1288" s="11"/>
      <c r="I1288" s="11"/>
      <c r="J1288" s="11"/>
    </row>
    <row r="1289" spans="1:12" x14ac:dyDescent="0.25">
      <c r="A1289" s="12"/>
      <c r="B1289" s="12"/>
      <c r="C1289" s="12"/>
      <c r="D1289" s="12"/>
      <c r="E1289" s="12"/>
      <c r="F1289" s="12"/>
      <c r="G1289" s="12"/>
      <c r="H1289" s="12"/>
      <c r="I1289" s="12"/>
      <c r="J1289" s="12"/>
    </row>
    <row r="1290" spans="1:12" ht="30" x14ac:dyDescent="0.25">
      <c r="A1290" s="2" t="s">
        <v>5</v>
      </c>
      <c r="B1290" s="2" t="s">
        <v>6</v>
      </c>
      <c r="C1290" s="2" t="s">
        <v>7</v>
      </c>
      <c r="D1290" s="2" t="s">
        <v>8</v>
      </c>
      <c r="E1290" s="2" t="s">
        <v>9</v>
      </c>
      <c r="F1290" s="2" t="s">
        <v>10</v>
      </c>
      <c r="G1290" s="2" t="s">
        <v>11</v>
      </c>
      <c r="H1290" s="2" t="s">
        <v>12</v>
      </c>
      <c r="I1290" s="2" t="s">
        <v>13</v>
      </c>
      <c r="J1290" s="2" t="s">
        <v>14</v>
      </c>
      <c r="K1290" s="2" t="s">
        <v>15</v>
      </c>
      <c r="L1290" s="2" t="s">
        <v>16</v>
      </c>
    </row>
    <row r="1291" spans="1:12" x14ac:dyDescent="0.25">
      <c r="A1291" s="3">
        <v>45715.211122685185</v>
      </c>
      <c r="B1291" t="s">
        <v>106</v>
      </c>
      <c r="C1291" s="3">
        <v>45715.460069444445</v>
      </c>
      <c r="D1291" t="s">
        <v>440</v>
      </c>
      <c r="E1291" s="4">
        <v>100.29300000005961</v>
      </c>
      <c r="F1291" s="4">
        <v>525947.84699999995</v>
      </c>
      <c r="G1291" s="4">
        <v>526048.14</v>
      </c>
      <c r="H1291" s="5">
        <f>7561 / 86400</f>
        <v>8.7511574074074075E-2</v>
      </c>
      <c r="I1291" t="s">
        <v>58</v>
      </c>
      <c r="J1291" t="s">
        <v>19</v>
      </c>
      <c r="K1291" s="5">
        <f>21509 / 86400</f>
        <v>0.24894675925925927</v>
      </c>
      <c r="L1291" s="5">
        <f>19866 / 86400</f>
        <v>0.22993055555555555</v>
      </c>
    </row>
    <row r="1292" spans="1:12" x14ac:dyDescent="0.25">
      <c r="A1292" s="3">
        <v>45715.478877314818</v>
      </c>
      <c r="B1292" t="s">
        <v>440</v>
      </c>
      <c r="C1292" s="3">
        <v>45715.481724537036</v>
      </c>
      <c r="D1292" t="s">
        <v>122</v>
      </c>
      <c r="E1292" s="4">
        <v>1.0200000000596046</v>
      </c>
      <c r="F1292" s="4">
        <v>526048.14</v>
      </c>
      <c r="G1292" s="4">
        <v>526049.16</v>
      </c>
      <c r="H1292" s="5">
        <f>0 / 86400</f>
        <v>0</v>
      </c>
      <c r="I1292" t="s">
        <v>173</v>
      </c>
      <c r="J1292" t="s">
        <v>39</v>
      </c>
      <c r="K1292" s="5">
        <f>245 / 86400</f>
        <v>2.8356481481481483E-3</v>
      </c>
      <c r="L1292" s="5">
        <f>1442 / 86400</f>
        <v>1.6689814814814814E-2</v>
      </c>
    </row>
    <row r="1293" spans="1:12" x14ac:dyDescent="0.25">
      <c r="A1293" s="3">
        <v>45715.498414351852</v>
      </c>
      <c r="B1293" t="s">
        <v>122</v>
      </c>
      <c r="C1293" s="3">
        <v>45715.501875000002</v>
      </c>
      <c r="D1293" t="s">
        <v>74</v>
      </c>
      <c r="E1293" s="4">
        <v>1.2899999998807907</v>
      </c>
      <c r="F1293" s="4">
        <v>526049.16</v>
      </c>
      <c r="G1293" s="4">
        <v>526050.44999999995</v>
      </c>
      <c r="H1293" s="5">
        <f>56 / 86400</f>
        <v>6.4814814814814813E-4</v>
      </c>
      <c r="I1293" t="s">
        <v>131</v>
      </c>
      <c r="J1293" t="s">
        <v>26</v>
      </c>
      <c r="K1293" s="5">
        <f>299 / 86400</f>
        <v>3.460648148148148E-3</v>
      </c>
      <c r="L1293" s="5">
        <f>592 / 86400</f>
        <v>6.851851851851852E-3</v>
      </c>
    </row>
    <row r="1294" spans="1:12" x14ac:dyDescent="0.25">
      <c r="A1294" s="3">
        <v>45715.508726851855</v>
      </c>
      <c r="B1294" t="s">
        <v>74</v>
      </c>
      <c r="C1294" s="3">
        <v>45715.791354166664</v>
      </c>
      <c r="D1294" t="s">
        <v>74</v>
      </c>
      <c r="E1294" s="4">
        <v>100.6190000000596</v>
      </c>
      <c r="F1294" s="4">
        <v>526050.44999999995</v>
      </c>
      <c r="G1294" s="4">
        <v>526151.06900000002</v>
      </c>
      <c r="H1294" s="5">
        <f>10056 / 86400</f>
        <v>0.11638888888888889</v>
      </c>
      <c r="I1294" t="s">
        <v>50</v>
      </c>
      <c r="J1294" t="s">
        <v>39</v>
      </c>
      <c r="K1294" s="5">
        <f>24419 / 86400</f>
        <v>0.28262731481481479</v>
      </c>
      <c r="L1294" s="5">
        <f>823 / 86400</f>
        <v>9.525462962962963E-3</v>
      </c>
    </row>
    <row r="1295" spans="1:12" x14ac:dyDescent="0.25">
      <c r="A1295" s="3">
        <v>45715.800879629634</v>
      </c>
      <c r="B1295" t="s">
        <v>74</v>
      </c>
      <c r="C1295" s="3">
        <v>45715.99998842593</v>
      </c>
      <c r="D1295" t="s">
        <v>20</v>
      </c>
      <c r="E1295" s="4">
        <v>94.013999999999996</v>
      </c>
      <c r="F1295" s="4">
        <v>526151.06900000002</v>
      </c>
      <c r="G1295" s="4">
        <v>526245.08299999998</v>
      </c>
      <c r="H1295" s="5">
        <f>4458 / 86400</f>
        <v>5.1597222222222225E-2</v>
      </c>
      <c r="I1295" t="s">
        <v>56</v>
      </c>
      <c r="J1295" t="s">
        <v>116</v>
      </c>
      <c r="K1295" s="5">
        <f>17203 / 86400</f>
        <v>0.1991087962962963</v>
      </c>
      <c r="L1295" s="5">
        <f>0 / 86400</f>
        <v>0</v>
      </c>
    </row>
    <row r="1296" spans="1:12" x14ac:dyDescent="0.25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</row>
    <row r="1297" spans="1:12" x14ac:dyDescent="0.25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</row>
    <row r="1298" spans="1:12" s="10" customFormat="1" ht="20.100000000000001" customHeight="1" x14ac:dyDescent="0.35">
      <c r="A1298" s="11" t="s">
        <v>554</v>
      </c>
      <c r="B1298" s="11"/>
      <c r="C1298" s="11"/>
      <c r="D1298" s="11"/>
      <c r="E1298" s="11"/>
      <c r="F1298" s="11"/>
      <c r="G1298" s="11"/>
      <c r="H1298" s="11"/>
      <c r="I1298" s="11"/>
      <c r="J1298" s="11"/>
    </row>
    <row r="1299" spans="1:12" x14ac:dyDescent="0.25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</row>
    <row r="1300" spans="1:12" ht="30" x14ac:dyDescent="0.25">
      <c r="A1300" s="2" t="s">
        <v>5</v>
      </c>
      <c r="B1300" s="2" t="s">
        <v>6</v>
      </c>
      <c r="C1300" s="2" t="s">
        <v>7</v>
      </c>
      <c r="D1300" s="2" t="s">
        <v>8</v>
      </c>
      <c r="E1300" s="2" t="s">
        <v>9</v>
      </c>
      <c r="F1300" s="2" t="s">
        <v>10</v>
      </c>
      <c r="G1300" s="2" t="s">
        <v>11</v>
      </c>
      <c r="H1300" s="2" t="s">
        <v>12</v>
      </c>
      <c r="I1300" s="2" t="s">
        <v>13</v>
      </c>
      <c r="J1300" s="2" t="s">
        <v>14</v>
      </c>
      <c r="K1300" s="2" t="s">
        <v>15</v>
      </c>
      <c r="L1300" s="2" t="s">
        <v>16</v>
      </c>
    </row>
    <row r="1301" spans="1:12" x14ac:dyDescent="0.25">
      <c r="A1301" s="3">
        <v>45715.247766203705</v>
      </c>
      <c r="B1301" t="s">
        <v>107</v>
      </c>
      <c r="C1301" s="3">
        <v>45715.248877314814</v>
      </c>
      <c r="D1301" t="s">
        <v>90</v>
      </c>
      <c r="E1301" s="4">
        <v>0.11899999999999999</v>
      </c>
      <c r="F1301" s="4">
        <v>25534.48</v>
      </c>
      <c r="G1301" s="4">
        <v>25534.598999999998</v>
      </c>
      <c r="H1301" s="5">
        <f>19 / 86400</f>
        <v>2.199074074074074E-4</v>
      </c>
      <c r="I1301" t="s">
        <v>135</v>
      </c>
      <c r="J1301" t="s">
        <v>132</v>
      </c>
      <c r="K1301" s="5">
        <f>96 / 86400</f>
        <v>1.1111111111111111E-3</v>
      </c>
      <c r="L1301" s="5">
        <f>23789 / 86400</f>
        <v>0.27533564814814815</v>
      </c>
    </row>
    <row r="1302" spans="1:12" x14ac:dyDescent="0.25">
      <c r="A1302" s="3">
        <v>45715.276446759264</v>
      </c>
      <c r="B1302" t="s">
        <v>90</v>
      </c>
      <c r="C1302" s="3">
        <v>45715.283553240741</v>
      </c>
      <c r="D1302" t="s">
        <v>122</v>
      </c>
      <c r="E1302" s="4">
        <v>2.0790000000000002</v>
      </c>
      <c r="F1302" s="4">
        <v>25534.598999999998</v>
      </c>
      <c r="G1302" s="4">
        <v>25536.678</v>
      </c>
      <c r="H1302" s="5">
        <f>79 / 86400</f>
        <v>9.1435185185185185E-4</v>
      </c>
      <c r="I1302" t="s">
        <v>221</v>
      </c>
      <c r="J1302" t="s">
        <v>85</v>
      </c>
      <c r="K1302" s="5">
        <f>613 / 86400</f>
        <v>7.0949074074074074E-3</v>
      </c>
      <c r="L1302" s="5">
        <f>832 / 86400</f>
        <v>9.6296296296296303E-3</v>
      </c>
    </row>
    <row r="1303" spans="1:12" x14ac:dyDescent="0.25">
      <c r="A1303" s="3">
        <v>45715.293182870373</v>
      </c>
      <c r="B1303" t="s">
        <v>122</v>
      </c>
      <c r="C1303" s="3">
        <v>45715.29688657407</v>
      </c>
      <c r="D1303" t="s">
        <v>150</v>
      </c>
      <c r="E1303" s="4">
        <v>0.73299999999999998</v>
      </c>
      <c r="F1303" s="4">
        <v>25536.678</v>
      </c>
      <c r="G1303" s="4">
        <v>25537.411</v>
      </c>
      <c r="H1303" s="5">
        <f>60 / 86400</f>
        <v>6.9444444444444447E-4</v>
      </c>
      <c r="I1303" t="s">
        <v>139</v>
      </c>
      <c r="J1303" t="s">
        <v>155</v>
      </c>
      <c r="K1303" s="5">
        <f>319 / 86400</f>
        <v>3.6921296296296298E-3</v>
      </c>
      <c r="L1303" s="5">
        <f>98 / 86400</f>
        <v>1.1342592592592593E-3</v>
      </c>
    </row>
    <row r="1304" spans="1:12" x14ac:dyDescent="0.25">
      <c r="A1304" s="3">
        <v>45715.298020833332</v>
      </c>
      <c r="B1304" t="s">
        <v>150</v>
      </c>
      <c r="C1304" s="3">
        <v>45715.298182870371</v>
      </c>
      <c r="D1304" t="s">
        <v>150</v>
      </c>
      <c r="E1304" s="4">
        <v>3.0000000000000001E-3</v>
      </c>
      <c r="F1304" s="4">
        <v>25537.411</v>
      </c>
      <c r="G1304" s="4">
        <v>25537.414000000001</v>
      </c>
      <c r="H1304" s="5">
        <f>0 / 86400</f>
        <v>0</v>
      </c>
      <c r="I1304" t="s">
        <v>21</v>
      </c>
      <c r="J1304" t="s">
        <v>67</v>
      </c>
      <c r="K1304" s="5">
        <f>13 / 86400</f>
        <v>1.5046296296296297E-4</v>
      </c>
      <c r="L1304" s="5">
        <f>221 / 86400</f>
        <v>2.5578703703703705E-3</v>
      </c>
    </row>
    <row r="1305" spans="1:12" x14ac:dyDescent="0.25">
      <c r="A1305" s="3">
        <v>45715.300740740742</v>
      </c>
      <c r="B1305" t="s">
        <v>150</v>
      </c>
      <c r="C1305" s="3">
        <v>45715.301087962958</v>
      </c>
      <c r="D1305" t="s">
        <v>150</v>
      </c>
      <c r="E1305" s="4">
        <v>8.0000000000000002E-3</v>
      </c>
      <c r="F1305" s="4">
        <v>25537.414000000001</v>
      </c>
      <c r="G1305" s="4">
        <v>25537.421999999999</v>
      </c>
      <c r="H1305" s="5">
        <f>0 / 86400</f>
        <v>0</v>
      </c>
      <c r="I1305" t="s">
        <v>136</v>
      </c>
      <c r="J1305" t="s">
        <v>67</v>
      </c>
      <c r="K1305" s="5">
        <f>29 / 86400</f>
        <v>3.3564814814814812E-4</v>
      </c>
      <c r="L1305" s="5">
        <f>508 / 86400</f>
        <v>5.8796296296296296E-3</v>
      </c>
    </row>
    <row r="1306" spans="1:12" x14ac:dyDescent="0.25">
      <c r="A1306" s="3">
        <v>45715.306967592594</v>
      </c>
      <c r="B1306" t="s">
        <v>150</v>
      </c>
      <c r="C1306" s="3">
        <v>45715.307569444441</v>
      </c>
      <c r="D1306" t="s">
        <v>150</v>
      </c>
      <c r="E1306" s="4">
        <v>3.0000000000000001E-3</v>
      </c>
      <c r="F1306" s="4">
        <v>25537.421999999999</v>
      </c>
      <c r="G1306" s="4">
        <v>25537.424999999999</v>
      </c>
      <c r="H1306" s="5">
        <f>20 / 86400</f>
        <v>2.3148148148148149E-4</v>
      </c>
      <c r="I1306" t="s">
        <v>67</v>
      </c>
      <c r="J1306" t="s">
        <v>21</v>
      </c>
      <c r="K1306" s="5">
        <f>51 / 86400</f>
        <v>5.9027777777777778E-4</v>
      </c>
      <c r="L1306" s="5">
        <f>171 / 86400</f>
        <v>1.9791666666666668E-3</v>
      </c>
    </row>
    <row r="1307" spans="1:12" x14ac:dyDescent="0.25">
      <c r="A1307" s="3">
        <v>45715.309548611112</v>
      </c>
      <c r="B1307" t="s">
        <v>150</v>
      </c>
      <c r="C1307" s="3">
        <v>45715.433611111112</v>
      </c>
      <c r="D1307" t="s">
        <v>156</v>
      </c>
      <c r="E1307" s="4">
        <v>50.402000000000001</v>
      </c>
      <c r="F1307" s="4">
        <v>25537.424999999999</v>
      </c>
      <c r="G1307" s="4">
        <v>25587.827000000001</v>
      </c>
      <c r="H1307" s="5">
        <f>3021 / 86400</f>
        <v>3.4965277777777776E-2</v>
      </c>
      <c r="I1307" t="s">
        <v>89</v>
      </c>
      <c r="J1307" t="s">
        <v>19</v>
      </c>
      <c r="K1307" s="5">
        <f>10719 / 86400</f>
        <v>0.12406250000000001</v>
      </c>
      <c r="L1307" s="5">
        <f>141 / 86400</f>
        <v>1.6319444444444445E-3</v>
      </c>
    </row>
    <row r="1308" spans="1:12" x14ac:dyDescent="0.25">
      <c r="A1308" s="3">
        <v>45715.435243055559</v>
      </c>
      <c r="B1308" t="s">
        <v>156</v>
      </c>
      <c r="C1308" s="3">
        <v>45715.595231481479</v>
      </c>
      <c r="D1308" t="s">
        <v>74</v>
      </c>
      <c r="E1308" s="4">
        <v>50.46</v>
      </c>
      <c r="F1308" s="4">
        <v>25587.827000000001</v>
      </c>
      <c r="G1308" s="4">
        <v>25638.287</v>
      </c>
      <c r="H1308" s="5">
        <f>5258 / 86400</f>
        <v>6.0856481481481484E-2</v>
      </c>
      <c r="I1308" t="s">
        <v>75</v>
      </c>
      <c r="J1308" t="s">
        <v>55</v>
      </c>
      <c r="K1308" s="5">
        <f>13822 / 86400</f>
        <v>0.15997685185185184</v>
      </c>
      <c r="L1308" s="5">
        <f>234 / 86400</f>
        <v>2.7083333333333334E-3</v>
      </c>
    </row>
    <row r="1309" spans="1:12" x14ac:dyDescent="0.25">
      <c r="A1309" s="3">
        <v>45715.597939814819</v>
      </c>
      <c r="B1309" t="s">
        <v>74</v>
      </c>
      <c r="C1309" s="3">
        <v>45715.6012037037</v>
      </c>
      <c r="D1309" t="s">
        <v>83</v>
      </c>
      <c r="E1309" s="4">
        <v>1.214</v>
      </c>
      <c r="F1309" s="4">
        <v>25638.287</v>
      </c>
      <c r="G1309" s="4">
        <v>25639.501</v>
      </c>
      <c r="H1309" s="5">
        <f>0 / 86400</f>
        <v>0</v>
      </c>
      <c r="I1309" t="s">
        <v>154</v>
      </c>
      <c r="J1309" t="s">
        <v>26</v>
      </c>
      <c r="K1309" s="5">
        <f>281 / 86400</f>
        <v>3.2523148148148147E-3</v>
      </c>
      <c r="L1309" s="5">
        <f>1454 / 86400</f>
        <v>1.6828703703703703E-2</v>
      </c>
    </row>
    <row r="1310" spans="1:12" x14ac:dyDescent="0.25">
      <c r="A1310" s="3">
        <v>45715.618032407408</v>
      </c>
      <c r="B1310" t="s">
        <v>83</v>
      </c>
      <c r="C1310" s="3">
        <v>45715.709201388891</v>
      </c>
      <c r="D1310" t="s">
        <v>505</v>
      </c>
      <c r="E1310" s="4">
        <v>40.950000000000003</v>
      </c>
      <c r="F1310" s="4">
        <v>25639.501</v>
      </c>
      <c r="G1310" s="4">
        <v>25680.451000000001</v>
      </c>
      <c r="H1310" s="5">
        <f>2240 / 86400</f>
        <v>2.5925925925925925E-2</v>
      </c>
      <c r="I1310" t="s">
        <v>103</v>
      </c>
      <c r="J1310" t="s">
        <v>62</v>
      </c>
      <c r="K1310" s="5">
        <f>7877 / 86400</f>
        <v>9.1168981481481476E-2</v>
      </c>
      <c r="L1310" s="5">
        <f>707 / 86400</f>
        <v>8.1828703703703699E-3</v>
      </c>
    </row>
    <row r="1311" spans="1:12" x14ac:dyDescent="0.25">
      <c r="A1311" s="3">
        <v>45715.71738425926</v>
      </c>
      <c r="B1311" t="s">
        <v>505</v>
      </c>
      <c r="C1311" s="3">
        <v>45715.834895833337</v>
      </c>
      <c r="D1311" t="s">
        <v>440</v>
      </c>
      <c r="E1311" s="4">
        <v>40.054000000000002</v>
      </c>
      <c r="F1311" s="4">
        <v>25680.451000000001</v>
      </c>
      <c r="G1311" s="4">
        <v>25720.505000000001</v>
      </c>
      <c r="H1311" s="5">
        <f>3099 / 86400</f>
        <v>3.5868055555555556E-2</v>
      </c>
      <c r="I1311" t="s">
        <v>238</v>
      </c>
      <c r="J1311" t="s">
        <v>41</v>
      </c>
      <c r="K1311" s="5">
        <f>10153 / 86400</f>
        <v>0.11751157407407407</v>
      </c>
      <c r="L1311" s="5">
        <f>295 / 86400</f>
        <v>3.414351851851852E-3</v>
      </c>
    </row>
    <row r="1312" spans="1:12" x14ac:dyDescent="0.25">
      <c r="A1312" s="3">
        <v>45715.838310185187</v>
      </c>
      <c r="B1312" t="s">
        <v>440</v>
      </c>
      <c r="C1312" s="3">
        <v>45715.840162037042</v>
      </c>
      <c r="D1312" t="s">
        <v>432</v>
      </c>
      <c r="E1312" s="4">
        <v>0.48399999999999999</v>
      </c>
      <c r="F1312" s="4">
        <v>25720.505000000001</v>
      </c>
      <c r="G1312" s="4">
        <v>25720.989000000001</v>
      </c>
      <c r="H1312" s="5">
        <f>20 / 86400</f>
        <v>2.3148148148148149E-4</v>
      </c>
      <c r="I1312" t="s">
        <v>140</v>
      </c>
      <c r="J1312" t="s">
        <v>141</v>
      </c>
      <c r="K1312" s="5">
        <f>160 / 86400</f>
        <v>1.8518518518518519E-3</v>
      </c>
      <c r="L1312" s="5">
        <f>219 / 86400</f>
        <v>2.5347222222222221E-3</v>
      </c>
    </row>
    <row r="1313" spans="1:12" x14ac:dyDescent="0.25">
      <c r="A1313" s="3">
        <v>45715.84269675926</v>
      </c>
      <c r="B1313" t="s">
        <v>432</v>
      </c>
      <c r="C1313" s="3">
        <v>45715.845937499995</v>
      </c>
      <c r="D1313" t="s">
        <v>107</v>
      </c>
      <c r="E1313" s="4">
        <v>0.90900000000000003</v>
      </c>
      <c r="F1313" s="4">
        <v>25720.989000000001</v>
      </c>
      <c r="G1313" s="4">
        <v>25721.898000000001</v>
      </c>
      <c r="H1313" s="5">
        <f>60 / 86400</f>
        <v>6.9444444444444447E-4</v>
      </c>
      <c r="I1313" t="s">
        <v>140</v>
      </c>
      <c r="J1313" t="s">
        <v>85</v>
      </c>
      <c r="K1313" s="5">
        <f>280 / 86400</f>
        <v>3.2407407407407406E-3</v>
      </c>
      <c r="L1313" s="5">
        <f>1045 / 86400</f>
        <v>1.2094907407407407E-2</v>
      </c>
    </row>
    <row r="1314" spans="1:12" x14ac:dyDescent="0.25">
      <c r="A1314" s="3">
        <v>45715.858032407406</v>
      </c>
      <c r="B1314" t="s">
        <v>107</v>
      </c>
      <c r="C1314" s="3">
        <v>45715.858854166669</v>
      </c>
      <c r="D1314" t="s">
        <v>107</v>
      </c>
      <c r="E1314" s="4">
        <v>6.4000000000000001E-2</v>
      </c>
      <c r="F1314" s="4">
        <v>25721.898000000001</v>
      </c>
      <c r="G1314" s="4">
        <v>25721.962</v>
      </c>
      <c r="H1314" s="5">
        <f>0 / 86400</f>
        <v>0</v>
      </c>
      <c r="I1314" t="s">
        <v>28</v>
      </c>
      <c r="J1314" t="s">
        <v>136</v>
      </c>
      <c r="K1314" s="5">
        <f>70 / 86400</f>
        <v>8.1018518518518516E-4</v>
      </c>
      <c r="L1314" s="5">
        <f>12194 / 86400</f>
        <v>0.14113425925925926</v>
      </c>
    </row>
    <row r="1315" spans="1:12" x14ac:dyDescent="0.25">
      <c r="A1315" s="12"/>
      <c r="B1315" s="12"/>
      <c r="C1315" s="12"/>
      <c r="D1315" s="12"/>
      <c r="E1315" s="12"/>
      <c r="F1315" s="12"/>
      <c r="G1315" s="12"/>
      <c r="H1315" s="12"/>
      <c r="I1315" s="12"/>
      <c r="J1315" s="12"/>
    </row>
    <row r="1316" spans="1:12" x14ac:dyDescent="0.25">
      <c r="A1316" s="12"/>
      <c r="B1316" s="12"/>
      <c r="C1316" s="12"/>
      <c r="D1316" s="12"/>
      <c r="E1316" s="12"/>
      <c r="F1316" s="12"/>
      <c r="G1316" s="12"/>
      <c r="H1316" s="12"/>
      <c r="I1316" s="12"/>
      <c r="J1316" s="12"/>
    </row>
    <row r="1317" spans="1:12" s="10" customFormat="1" ht="20.100000000000001" customHeight="1" x14ac:dyDescent="0.35">
      <c r="A1317" s="11" t="s">
        <v>555</v>
      </c>
      <c r="B1317" s="11"/>
      <c r="C1317" s="11"/>
      <c r="D1317" s="11"/>
      <c r="E1317" s="11"/>
      <c r="F1317" s="11"/>
      <c r="G1317" s="11"/>
      <c r="H1317" s="11"/>
      <c r="I1317" s="11"/>
      <c r="J1317" s="11"/>
    </row>
    <row r="1318" spans="1:12" x14ac:dyDescent="0.25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</row>
    <row r="1319" spans="1:12" ht="30" x14ac:dyDescent="0.25">
      <c r="A1319" s="2" t="s">
        <v>5</v>
      </c>
      <c r="B1319" s="2" t="s">
        <v>6</v>
      </c>
      <c r="C1319" s="2" t="s">
        <v>7</v>
      </c>
      <c r="D1319" s="2" t="s">
        <v>8</v>
      </c>
      <c r="E1319" s="2" t="s">
        <v>9</v>
      </c>
      <c r="F1319" s="2" t="s">
        <v>10</v>
      </c>
      <c r="G1319" s="2" t="s">
        <v>11</v>
      </c>
      <c r="H1319" s="2" t="s">
        <v>12</v>
      </c>
      <c r="I1319" s="2" t="s">
        <v>13</v>
      </c>
      <c r="J1319" s="2" t="s">
        <v>14</v>
      </c>
      <c r="K1319" s="2" t="s">
        <v>15</v>
      </c>
      <c r="L1319" s="2" t="s">
        <v>16</v>
      </c>
    </row>
    <row r="1320" spans="1:12" x14ac:dyDescent="0.25">
      <c r="A1320" s="3">
        <v>45715.223020833335</v>
      </c>
      <c r="B1320" t="s">
        <v>35</v>
      </c>
      <c r="C1320" s="3">
        <v>45715.443553240737</v>
      </c>
      <c r="D1320" t="s">
        <v>74</v>
      </c>
      <c r="E1320" s="4">
        <v>80.515000000000001</v>
      </c>
      <c r="F1320" s="4">
        <v>66646.75</v>
      </c>
      <c r="G1320" s="4">
        <v>66727.264999999999</v>
      </c>
      <c r="H1320" s="5">
        <f>7818 / 86400</f>
        <v>9.0486111111111114E-2</v>
      </c>
      <c r="I1320" t="s">
        <v>25</v>
      </c>
      <c r="J1320" t="s">
        <v>39</v>
      </c>
      <c r="K1320" s="5">
        <f>19054 / 86400</f>
        <v>0.2205324074074074</v>
      </c>
      <c r="L1320" s="5">
        <f>19495 / 86400</f>
        <v>0.22563657407407409</v>
      </c>
    </row>
    <row r="1321" spans="1:12" x14ac:dyDescent="0.25">
      <c r="A1321" s="3">
        <v>45715.446168981478</v>
      </c>
      <c r="B1321" t="s">
        <v>74</v>
      </c>
      <c r="C1321" s="3">
        <v>45715.446736111116</v>
      </c>
      <c r="D1321" t="s">
        <v>74</v>
      </c>
      <c r="E1321" s="4">
        <v>1.4999999999999999E-2</v>
      </c>
      <c r="F1321" s="4">
        <v>66727.264999999999</v>
      </c>
      <c r="G1321" s="4">
        <v>66727.28</v>
      </c>
      <c r="H1321" s="5">
        <f>20 / 86400</f>
        <v>2.3148148148148149E-4</v>
      </c>
      <c r="I1321" t="s">
        <v>136</v>
      </c>
      <c r="J1321" t="s">
        <v>67</v>
      </c>
      <c r="K1321" s="5">
        <f>48 / 86400</f>
        <v>5.5555555555555556E-4</v>
      </c>
      <c r="L1321" s="5">
        <f>1694 / 86400</f>
        <v>1.9606481481481482E-2</v>
      </c>
    </row>
    <row r="1322" spans="1:12" x14ac:dyDescent="0.25">
      <c r="A1322" s="3">
        <v>45715.466342592597</v>
      </c>
      <c r="B1322" t="s">
        <v>74</v>
      </c>
      <c r="C1322" s="3">
        <v>45715.470625000002</v>
      </c>
      <c r="D1322" t="s">
        <v>145</v>
      </c>
      <c r="E1322" s="4">
        <v>1.3680000000000001</v>
      </c>
      <c r="F1322" s="4">
        <v>66727.28</v>
      </c>
      <c r="G1322" s="4">
        <v>66728.648000000001</v>
      </c>
      <c r="H1322" s="5">
        <f>40 / 86400</f>
        <v>4.6296296296296298E-4</v>
      </c>
      <c r="I1322" t="s">
        <v>214</v>
      </c>
      <c r="J1322" t="s">
        <v>55</v>
      </c>
      <c r="K1322" s="5">
        <f>369 / 86400</f>
        <v>4.2708333333333331E-3</v>
      </c>
      <c r="L1322" s="5">
        <f>1518 / 86400</f>
        <v>1.7569444444444443E-2</v>
      </c>
    </row>
    <row r="1323" spans="1:12" x14ac:dyDescent="0.25">
      <c r="A1323" s="3">
        <v>45715.48819444445</v>
      </c>
      <c r="B1323" t="s">
        <v>122</v>
      </c>
      <c r="C1323" s="3">
        <v>45715.781736111108</v>
      </c>
      <c r="D1323" t="s">
        <v>35</v>
      </c>
      <c r="E1323" s="4">
        <v>134.90899999999999</v>
      </c>
      <c r="F1323" s="4">
        <v>66728.648000000001</v>
      </c>
      <c r="G1323" s="4">
        <v>66863.557000000001</v>
      </c>
      <c r="H1323" s="5">
        <f>7841 / 86400</f>
        <v>9.0752314814814813E-2</v>
      </c>
      <c r="I1323" t="s">
        <v>71</v>
      </c>
      <c r="J1323" t="s">
        <v>62</v>
      </c>
      <c r="K1323" s="5">
        <f>25361 / 86400</f>
        <v>0.29353009259259261</v>
      </c>
      <c r="L1323" s="5">
        <f>425 / 86400</f>
        <v>4.9189814814814816E-3</v>
      </c>
    </row>
    <row r="1324" spans="1:12" x14ac:dyDescent="0.25">
      <c r="A1324" s="3">
        <v>45715.786655092597</v>
      </c>
      <c r="B1324" t="s">
        <v>35</v>
      </c>
      <c r="C1324" s="3">
        <v>45715.790543981479</v>
      </c>
      <c r="D1324" t="s">
        <v>35</v>
      </c>
      <c r="E1324" s="4">
        <v>1.387</v>
      </c>
      <c r="F1324" s="4">
        <v>66863.557000000001</v>
      </c>
      <c r="G1324" s="4">
        <v>66864.944000000003</v>
      </c>
      <c r="H1324" s="5">
        <f>120 / 86400</f>
        <v>1.3888888888888889E-3</v>
      </c>
      <c r="I1324" t="s">
        <v>238</v>
      </c>
      <c r="J1324" t="s">
        <v>39</v>
      </c>
      <c r="K1324" s="5">
        <f>336 / 86400</f>
        <v>3.8888888888888888E-3</v>
      </c>
      <c r="L1324" s="5">
        <f>18096 / 86400</f>
        <v>0.20944444444444443</v>
      </c>
    </row>
    <row r="1325" spans="1:12" x14ac:dyDescent="0.25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</row>
    <row r="1326" spans="1:12" x14ac:dyDescent="0.25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</row>
    <row r="1327" spans="1:12" s="10" customFormat="1" ht="20.100000000000001" customHeight="1" x14ac:dyDescent="0.35">
      <c r="A1327" s="11" t="s">
        <v>566</v>
      </c>
      <c r="B1327" s="11"/>
      <c r="C1327" s="11"/>
      <c r="D1327" s="11"/>
      <c r="E1327" s="11"/>
      <c r="F1327" s="11"/>
      <c r="G1327" s="11"/>
      <c r="H1327" s="11"/>
      <c r="I1327" s="11"/>
      <c r="J1327" s="11"/>
    </row>
    <row r="1328" spans="1:12" x14ac:dyDescent="0.25">
      <c r="A1328" s="12"/>
      <c r="B1328" s="12"/>
      <c r="C1328" s="12"/>
      <c r="D1328" s="12"/>
      <c r="E1328" s="12"/>
      <c r="F1328" s="12"/>
      <c r="G1328" s="12"/>
      <c r="H1328" s="12"/>
      <c r="I1328" s="12"/>
      <c r="J1328" s="12"/>
    </row>
    <row r="1329" spans="1:12" ht="30" x14ac:dyDescent="0.25">
      <c r="A1329" s="2" t="s">
        <v>5</v>
      </c>
      <c r="B1329" s="2" t="s">
        <v>6</v>
      </c>
      <c r="C1329" s="2" t="s">
        <v>7</v>
      </c>
      <c r="D1329" s="2" t="s">
        <v>8</v>
      </c>
      <c r="E1329" s="2" t="s">
        <v>9</v>
      </c>
      <c r="F1329" s="2" t="s">
        <v>10</v>
      </c>
      <c r="G1329" s="2" t="s">
        <v>11</v>
      </c>
      <c r="H1329" s="2" t="s">
        <v>12</v>
      </c>
      <c r="I1329" s="2" t="s">
        <v>13</v>
      </c>
      <c r="J1329" s="2" t="s">
        <v>14</v>
      </c>
      <c r="K1329" s="2" t="s">
        <v>15</v>
      </c>
      <c r="L1329" s="2" t="s">
        <v>16</v>
      </c>
    </row>
    <row r="1330" spans="1:12" x14ac:dyDescent="0.25">
      <c r="A1330" s="3">
        <v>45715.293206018519</v>
      </c>
      <c r="B1330" t="s">
        <v>24</v>
      </c>
      <c r="C1330" s="3">
        <v>45715.346770833334</v>
      </c>
      <c r="D1330" t="s">
        <v>36</v>
      </c>
      <c r="E1330" s="4">
        <v>25.120999999999999</v>
      </c>
      <c r="F1330" s="4">
        <v>410588.22600000002</v>
      </c>
      <c r="G1330" s="4">
        <v>410613.34700000001</v>
      </c>
      <c r="H1330" s="5">
        <f>1314 / 86400</f>
        <v>1.5208333333333334E-2</v>
      </c>
      <c r="I1330" t="s">
        <v>103</v>
      </c>
      <c r="J1330" t="s">
        <v>116</v>
      </c>
      <c r="K1330" s="5">
        <f>4627 / 86400</f>
        <v>5.3553240740740742E-2</v>
      </c>
      <c r="L1330" s="5">
        <f>35780 / 86400</f>
        <v>0.41412037037037036</v>
      </c>
    </row>
    <row r="1331" spans="1:12" x14ac:dyDescent="0.25">
      <c r="A1331" s="3">
        <v>45715.467685185184</v>
      </c>
      <c r="B1331" t="s">
        <v>36</v>
      </c>
      <c r="C1331" s="3">
        <v>45715.468472222223</v>
      </c>
      <c r="D1331" t="s">
        <v>36</v>
      </c>
      <c r="E1331" s="4">
        <v>1.4E-2</v>
      </c>
      <c r="F1331" s="4">
        <v>410613.34700000001</v>
      </c>
      <c r="G1331" s="4">
        <v>410613.36099999998</v>
      </c>
      <c r="H1331" s="5">
        <f>39 / 86400</f>
        <v>4.5138888888888887E-4</v>
      </c>
      <c r="I1331" t="s">
        <v>136</v>
      </c>
      <c r="J1331" t="s">
        <v>67</v>
      </c>
      <c r="K1331" s="5">
        <f>68 / 86400</f>
        <v>7.8703703703703705E-4</v>
      </c>
      <c r="L1331" s="5">
        <f>66 / 86400</f>
        <v>7.6388888888888893E-4</v>
      </c>
    </row>
    <row r="1332" spans="1:12" x14ac:dyDescent="0.25">
      <c r="A1332" s="3">
        <v>45715.469236111108</v>
      </c>
      <c r="B1332" t="s">
        <v>36</v>
      </c>
      <c r="C1332" s="3">
        <v>45715.469942129625</v>
      </c>
      <c r="D1332" t="s">
        <v>36</v>
      </c>
      <c r="E1332" s="4">
        <v>1.7999999999999999E-2</v>
      </c>
      <c r="F1332" s="4">
        <v>410613.36099999998</v>
      </c>
      <c r="G1332" s="4">
        <v>410613.37900000002</v>
      </c>
      <c r="H1332" s="5">
        <f>20 / 86400</f>
        <v>2.3148148148148149E-4</v>
      </c>
      <c r="I1332" t="s">
        <v>29</v>
      </c>
      <c r="J1332" t="s">
        <v>67</v>
      </c>
      <c r="K1332" s="5">
        <f>61 / 86400</f>
        <v>7.0601851851851847E-4</v>
      </c>
      <c r="L1332" s="5">
        <f>13811 / 86400</f>
        <v>0.15984953703703703</v>
      </c>
    </row>
    <row r="1333" spans="1:12" x14ac:dyDescent="0.25">
      <c r="A1333" s="3">
        <v>45715.629791666666</v>
      </c>
      <c r="B1333" t="s">
        <v>36</v>
      </c>
      <c r="C1333" s="3">
        <v>45715.631770833337</v>
      </c>
      <c r="D1333" t="s">
        <v>83</v>
      </c>
      <c r="E1333" s="4">
        <v>0.307</v>
      </c>
      <c r="F1333" s="4">
        <v>410613.37900000002</v>
      </c>
      <c r="G1333" s="4">
        <v>410613.68599999999</v>
      </c>
      <c r="H1333" s="5">
        <f>20 / 86400</f>
        <v>2.3148148148148149E-4</v>
      </c>
      <c r="I1333" t="s">
        <v>19</v>
      </c>
      <c r="J1333" t="s">
        <v>143</v>
      </c>
      <c r="K1333" s="5">
        <f>170 / 86400</f>
        <v>1.9675925925925924E-3</v>
      </c>
      <c r="L1333" s="5">
        <f>4015 / 86400</f>
        <v>4.6469907407407404E-2</v>
      </c>
    </row>
    <row r="1334" spans="1:12" x14ac:dyDescent="0.25">
      <c r="A1334" s="3">
        <v>45715.678240740745</v>
      </c>
      <c r="B1334" t="s">
        <v>83</v>
      </c>
      <c r="C1334" s="3">
        <v>45715.722349537042</v>
      </c>
      <c r="D1334" t="s">
        <v>506</v>
      </c>
      <c r="E1334" s="4">
        <v>22.734999999999999</v>
      </c>
      <c r="F1334" s="4">
        <v>410613.68599999999</v>
      </c>
      <c r="G1334" s="4">
        <v>410636.42099999997</v>
      </c>
      <c r="H1334" s="5">
        <f>1221 / 86400</f>
        <v>1.4131944444444445E-2</v>
      </c>
      <c r="I1334" t="s">
        <v>52</v>
      </c>
      <c r="J1334" t="s">
        <v>139</v>
      </c>
      <c r="K1334" s="5">
        <f>3811 / 86400</f>
        <v>4.4108796296296299E-2</v>
      </c>
      <c r="L1334" s="5">
        <f>14 / 86400</f>
        <v>1.6203703703703703E-4</v>
      </c>
    </row>
    <row r="1335" spans="1:12" x14ac:dyDescent="0.25">
      <c r="A1335" s="3">
        <v>45715.722511574073</v>
      </c>
      <c r="B1335" t="s">
        <v>506</v>
      </c>
      <c r="C1335" s="3">
        <v>45715.723194444443</v>
      </c>
      <c r="D1335" t="s">
        <v>507</v>
      </c>
      <c r="E1335" s="4">
        <v>0</v>
      </c>
      <c r="F1335" s="4">
        <v>410636.42099999997</v>
      </c>
      <c r="G1335" s="4">
        <v>410636.42099999997</v>
      </c>
      <c r="H1335" s="5">
        <f>39 / 86400</f>
        <v>4.5138888888888887E-4</v>
      </c>
      <c r="I1335" t="s">
        <v>21</v>
      </c>
      <c r="J1335" t="s">
        <v>21</v>
      </c>
      <c r="K1335" s="5">
        <f>58 / 86400</f>
        <v>6.7129629629629625E-4</v>
      </c>
      <c r="L1335" s="5">
        <f>1207 / 86400</f>
        <v>1.3969907407407407E-2</v>
      </c>
    </row>
    <row r="1336" spans="1:12" x14ac:dyDescent="0.25">
      <c r="A1336" s="3">
        <v>45715.737164351856</v>
      </c>
      <c r="B1336" t="s">
        <v>506</v>
      </c>
      <c r="C1336" s="3">
        <v>45715.737569444449</v>
      </c>
      <c r="D1336" t="s">
        <v>506</v>
      </c>
      <c r="E1336" s="4">
        <v>0</v>
      </c>
      <c r="F1336" s="4">
        <v>410636.42099999997</v>
      </c>
      <c r="G1336" s="4">
        <v>410636.42099999997</v>
      </c>
      <c r="H1336" s="5">
        <f>19 / 86400</f>
        <v>2.199074074074074E-4</v>
      </c>
      <c r="I1336" t="s">
        <v>21</v>
      </c>
      <c r="J1336" t="s">
        <v>21</v>
      </c>
      <c r="K1336" s="5">
        <f>35 / 86400</f>
        <v>4.0509259259259258E-4</v>
      </c>
      <c r="L1336" s="5">
        <f>680 / 86400</f>
        <v>7.8703703703703696E-3</v>
      </c>
    </row>
    <row r="1337" spans="1:12" x14ac:dyDescent="0.25">
      <c r="A1337" s="3">
        <v>45715.745439814811</v>
      </c>
      <c r="B1337" t="s">
        <v>506</v>
      </c>
      <c r="C1337" s="3">
        <v>45715.746296296296</v>
      </c>
      <c r="D1337" t="s">
        <v>506</v>
      </c>
      <c r="E1337" s="4">
        <v>4.0000000000000001E-3</v>
      </c>
      <c r="F1337" s="4">
        <v>410636.42099999997</v>
      </c>
      <c r="G1337" s="4">
        <v>410636.42499999999</v>
      </c>
      <c r="H1337" s="5">
        <f>59 / 86400</f>
        <v>6.8287037037037036E-4</v>
      </c>
      <c r="I1337" t="s">
        <v>21</v>
      </c>
      <c r="J1337" t="s">
        <v>21</v>
      </c>
      <c r="K1337" s="5">
        <f>74 / 86400</f>
        <v>8.564814814814815E-4</v>
      </c>
      <c r="L1337" s="5">
        <f>190 / 86400</f>
        <v>2.1990740740740742E-3</v>
      </c>
    </row>
    <row r="1338" spans="1:12" x14ac:dyDescent="0.25">
      <c r="A1338" s="3">
        <v>45715.748495370368</v>
      </c>
      <c r="B1338" t="s">
        <v>507</v>
      </c>
      <c r="C1338" s="3">
        <v>45715.749340277776</v>
      </c>
      <c r="D1338" t="s">
        <v>506</v>
      </c>
      <c r="E1338" s="4">
        <v>1.4999999999999999E-2</v>
      </c>
      <c r="F1338" s="4">
        <v>410636.42499999999</v>
      </c>
      <c r="G1338" s="4">
        <v>410636.44</v>
      </c>
      <c r="H1338" s="5">
        <f>59 / 86400</f>
        <v>6.8287037037037036E-4</v>
      </c>
      <c r="I1338" t="s">
        <v>21</v>
      </c>
      <c r="J1338" t="s">
        <v>67</v>
      </c>
      <c r="K1338" s="5">
        <f>72 / 86400</f>
        <v>8.3333333333333339E-4</v>
      </c>
      <c r="L1338" s="5">
        <f>1005 / 86400</f>
        <v>1.1631944444444445E-2</v>
      </c>
    </row>
    <row r="1339" spans="1:12" x14ac:dyDescent="0.25">
      <c r="A1339" s="3">
        <v>45715.760972222226</v>
      </c>
      <c r="B1339" t="s">
        <v>506</v>
      </c>
      <c r="C1339" s="3">
        <v>45715.768518518518</v>
      </c>
      <c r="D1339" t="s">
        <v>199</v>
      </c>
      <c r="E1339" s="4">
        <v>2.3650000000000002</v>
      </c>
      <c r="F1339" s="4">
        <v>410636.44</v>
      </c>
      <c r="G1339" s="4">
        <v>410638.80499999999</v>
      </c>
      <c r="H1339" s="5">
        <f>219 / 86400</f>
        <v>2.5347222222222221E-3</v>
      </c>
      <c r="I1339" t="s">
        <v>218</v>
      </c>
      <c r="J1339" t="s">
        <v>55</v>
      </c>
      <c r="K1339" s="5">
        <f>652 / 86400</f>
        <v>7.5462962962962966E-3</v>
      </c>
      <c r="L1339" s="5">
        <f>186 / 86400</f>
        <v>2.1527777777777778E-3</v>
      </c>
    </row>
    <row r="1340" spans="1:12" x14ac:dyDescent="0.25">
      <c r="A1340" s="3">
        <v>45715.770671296297</v>
      </c>
      <c r="B1340" t="s">
        <v>197</v>
      </c>
      <c r="C1340" s="3">
        <v>45715.775636574079</v>
      </c>
      <c r="D1340" t="s">
        <v>24</v>
      </c>
      <c r="E1340" s="4">
        <v>0.92300000000000004</v>
      </c>
      <c r="F1340" s="4">
        <v>410638.80499999999</v>
      </c>
      <c r="G1340" s="4">
        <v>410639.728</v>
      </c>
      <c r="H1340" s="5">
        <f>60 / 86400</f>
        <v>6.9444444444444447E-4</v>
      </c>
      <c r="I1340" t="s">
        <v>116</v>
      </c>
      <c r="J1340" t="s">
        <v>155</v>
      </c>
      <c r="K1340" s="5">
        <f>428 / 86400</f>
        <v>4.9537037037037041E-3</v>
      </c>
      <c r="L1340" s="5">
        <f>13859 / 86400</f>
        <v>0.16040509259259259</v>
      </c>
    </row>
    <row r="1341" spans="1:12" x14ac:dyDescent="0.25">
      <c r="A1341" s="3">
        <v>45715.936041666668</v>
      </c>
      <c r="B1341" t="s">
        <v>24</v>
      </c>
      <c r="C1341" s="3">
        <v>45715.937476851846</v>
      </c>
      <c r="D1341" t="s">
        <v>24</v>
      </c>
      <c r="E1341" s="4">
        <v>2.7E-2</v>
      </c>
      <c r="F1341" s="4">
        <v>410639.728</v>
      </c>
      <c r="G1341" s="4">
        <v>410639.755</v>
      </c>
      <c r="H1341" s="5">
        <f>99 / 86400</f>
        <v>1.1458333333333333E-3</v>
      </c>
      <c r="I1341" t="s">
        <v>29</v>
      </c>
      <c r="J1341" t="s">
        <v>67</v>
      </c>
      <c r="K1341" s="5">
        <f>123 / 86400</f>
        <v>1.4236111111111112E-3</v>
      </c>
      <c r="L1341" s="5">
        <f>5401 / 86400</f>
        <v>6.2511574074074081E-2</v>
      </c>
    </row>
    <row r="1342" spans="1:12" x14ac:dyDescent="0.25">
      <c r="A1342" s="12"/>
      <c r="B1342" s="12"/>
      <c r="C1342" s="12"/>
      <c r="D1342" s="12"/>
      <c r="E1342" s="12"/>
      <c r="F1342" s="12"/>
      <c r="G1342" s="12"/>
      <c r="H1342" s="12"/>
      <c r="I1342" s="12"/>
      <c r="J1342" s="12"/>
    </row>
    <row r="1343" spans="1:12" x14ac:dyDescent="0.25">
      <c r="A1343" s="12"/>
      <c r="B1343" s="12"/>
      <c r="C1343" s="12"/>
      <c r="D1343" s="12"/>
      <c r="E1343" s="12"/>
      <c r="F1343" s="12"/>
      <c r="G1343" s="12"/>
      <c r="H1343" s="12"/>
      <c r="I1343" s="12"/>
      <c r="J1343" s="12"/>
    </row>
    <row r="1344" spans="1:12" s="10" customFormat="1" ht="20.100000000000001" customHeight="1" x14ac:dyDescent="0.35">
      <c r="A1344" s="11" t="s">
        <v>567</v>
      </c>
      <c r="B1344" s="11"/>
      <c r="C1344" s="11"/>
      <c r="D1344" s="11"/>
      <c r="E1344" s="11"/>
      <c r="F1344" s="11"/>
      <c r="G1344" s="11"/>
      <c r="H1344" s="11"/>
      <c r="I1344" s="11"/>
      <c r="J1344" s="11"/>
    </row>
    <row r="1345" spans="1:12" x14ac:dyDescent="0.25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</row>
    <row r="1346" spans="1:12" ht="30" x14ac:dyDescent="0.25">
      <c r="A1346" s="2" t="s">
        <v>5</v>
      </c>
      <c r="B1346" s="2" t="s">
        <v>6</v>
      </c>
      <c r="C1346" s="2" t="s">
        <v>7</v>
      </c>
      <c r="D1346" s="2" t="s">
        <v>8</v>
      </c>
      <c r="E1346" s="2" t="s">
        <v>9</v>
      </c>
      <c r="F1346" s="2" t="s">
        <v>10</v>
      </c>
      <c r="G1346" s="2" t="s">
        <v>11</v>
      </c>
      <c r="H1346" s="2" t="s">
        <v>12</v>
      </c>
      <c r="I1346" s="2" t="s">
        <v>13</v>
      </c>
      <c r="J1346" s="2" t="s">
        <v>14</v>
      </c>
      <c r="K1346" s="2" t="s">
        <v>15</v>
      </c>
      <c r="L1346" s="2" t="s">
        <v>16</v>
      </c>
    </row>
    <row r="1347" spans="1:12" x14ac:dyDescent="0.25">
      <c r="A1347" s="3">
        <v>45715</v>
      </c>
      <c r="B1347" t="s">
        <v>108</v>
      </c>
      <c r="C1347" s="3">
        <v>45715.018449074079</v>
      </c>
      <c r="D1347" t="s">
        <v>76</v>
      </c>
      <c r="E1347" s="4">
        <v>10.95</v>
      </c>
      <c r="F1347" s="4">
        <v>553461.40899999999</v>
      </c>
      <c r="G1347" s="4">
        <v>553472.35900000005</v>
      </c>
      <c r="H1347" s="5">
        <f>460 / 86400</f>
        <v>5.324074074074074E-3</v>
      </c>
      <c r="I1347" t="s">
        <v>92</v>
      </c>
      <c r="J1347" t="s">
        <v>176</v>
      </c>
      <c r="K1347" s="5">
        <f>1594 / 86400</f>
        <v>1.8449074074074073E-2</v>
      </c>
      <c r="L1347" s="5">
        <f>397 / 86400</f>
        <v>4.5949074074074078E-3</v>
      </c>
    </row>
    <row r="1348" spans="1:12" x14ac:dyDescent="0.25">
      <c r="A1348" s="3">
        <v>45715.023043981477</v>
      </c>
      <c r="B1348" t="s">
        <v>203</v>
      </c>
      <c r="C1348" s="3">
        <v>45715.023368055554</v>
      </c>
      <c r="D1348" t="s">
        <v>76</v>
      </c>
      <c r="E1348" s="4">
        <v>2.5000000000000001E-2</v>
      </c>
      <c r="F1348" s="4">
        <v>553472.35900000005</v>
      </c>
      <c r="G1348" s="4">
        <v>553472.38399999996</v>
      </c>
      <c r="H1348" s="5">
        <f>0 / 86400</f>
        <v>0</v>
      </c>
      <c r="I1348" t="s">
        <v>123</v>
      </c>
      <c r="J1348" t="s">
        <v>136</v>
      </c>
      <c r="K1348" s="5">
        <f>28 / 86400</f>
        <v>3.2407407407407406E-4</v>
      </c>
      <c r="L1348" s="5">
        <f>1062 / 86400</f>
        <v>1.2291666666666666E-2</v>
      </c>
    </row>
    <row r="1349" spans="1:12" x14ac:dyDescent="0.25">
      <c r="A1349" s="3">
        <v>45715.035659722227</v>
      </c>
      <c r="B1349" t="s">
        <v>76</v>
      </c>
      <c r="C1349" s="3">
        <v>45715.04074074074</v>
      </c>
      <c r="D1349" t="s">
        <v>77</v>
      </c>
      <c r="E1349" s="4">
        <v>0.73899999999999999</v>
      </c>
      <c r="F1349" s="4">
        <v>553472.38399999996</v>
      </c>
      <c r="G1349" s="4">
        <v>553473.12300000002</v>
      </c>
      <c r="H1349" s="5">
        <f>200 / 86400</f>
        <v>2.3148148148148147E-3</v>
      </c>
      <c r="I1349" t="s">
        <v>176</v>
      </c>
      <c r="J1349" t="s">
        <v>123</v>
      </c>
      <c r="K1349" s="5">
        <f>439 / 86400</f>
        <v>5.0810185185185186E-3</v>
      </c>
      <c r="L1349" s="5">
        <f>21456 / 86400</f>
        <v>0.24833333333333332</v>
      </c>
    </row>
    <row r="1350" spans="1:12" x14ac:dyDescent="0.25">
      <c r="A1350" s="3">
        <v>45715.28907407407</v>
      </c>
      <c r="B1350" t="s">
        <v>77</v>
      </c>
      <c r="C1350" s="3">
        <v>45715.292118055557</v>
      </c>
      <c r="D1350" t="s">
        <v>77</v>
      </c>
      <c r="E1350" s="4">
        <v>0.59499999999999997</v>
      </c>
      <c r="F1350" s="4">
        <v>553473.12300000002</v>
      </c>
      <c r="G1350" s="4">
        <v>553473.71799999999</v>
      </c>
      <c r="H1350" s="5">
        <f>119 / 86400</f>
        <v>1.3773148148148147E-3</v>
      </c>
      <c r="I1350" t="s">
        <v>139</v>
      </c>
      <c r="J1350" t="s">
        <v>155</v>
      </c>
      <c r="K1350" s="5">
        <f>263 / 86400</f>
        <v>3.0439814814814813E-3</v>
      </c>
      <c r="L1350" s="5">
        <f>28748 / 86400</f>
        <v>0.33273148148148146</v>
      </c>
    </row>
    <row r="1351" spans="1:12" x14ac:dyDescent="0.25">
      <c r="A1351" s="3">
        <v>45715.624849537038</v>
      </c>
      <c r="B1351" t="s">
        <v>77</v>
      </c>
      <c r="C1351" s="3">
        <v>45715.631944444445</v>
      </c>
      <c r="D1351" t="s">
        <v>76</v>
      </c>
      <c r="E1351" s="4">
        <v>1.002</v>
      </c>
      <c r="F1351" s="4">
        <v>553473.71799999999</v>
      </c>
      <c r="G1351" s="4">
        <v>553474.72</v>
      </c>
      <c r="H1351" s="5">
        <f>339 / 86400</f>
        <v>3.9236111111111112E-3</v>
      </c>
      <c r="I1351" t="s">
        <v>179</v>
      </c>
      <c r="J1351" t="s">
        <v>123</v>
      </c>
      <c r="K1351" s="5">
        <f>613 / 86400</f>
        <v>7.0949074074074074E-3</v>
      </c>
      <c r="L1351" s="5">
        <f>4223 / 86400</f>
        <v>4.8877314814814818E-2</v>
      </c>
    </row>
    <row r="1352" spans="1:12" x14ac:dyDescent="0.25">
      <c r="A1352" s="3">
        <v>45715.680821759262</v>
      </c>
      <c r="B1352" t="s">
        <v>76</v>
      </c>
      <c r="C1352" s="3">
        <v>45715.99998842593</v>
      </c>
      <c r="D1352" t="s">
        <v>109</v>
      </c>
      <c r="E1352" s="4">
        <v>121.863</v>
      </c>
      <c r="F1352" s="4">
        <v>553474.72</v>
      </c>
      <c r="G1352" s="4">
        <v>553596.58299999998</v>
      </c>
      <c r="H1352" s="5">
        <f>9318 / 86400</f>
        <v>0.10784722222222222</v>
      </c>
      <c r="I1352" t="s">
        <v>110</v>
      </c>
      <c r="J1352" t="s">
        <v>26</v>
      </c>
      <c r="K1352" s="5">
        <f>27576 / 86400</f>
        <v>0.31916666666666665</v>
      </c>
      <c r="L1352" s="5">
        <f>0 / 86400</f>
        <v>0</v>
      </c>
    </row>
    <row r="1353" spans="1:12" x14ac:dyDescent="0.25">
      <c r="A1353" s="12"/>
      <c r="B1353" s="12"/>
      <c r="C1353" s="12"/>
      <c r="D1353" s="12"/>
      <c r="E1353" s="12"/>
      <c r="F1353" s="12"/>
      <c r="G1353" s="12"/>
      <c r="H1353" s="12"/>
      <c r="I1353" s="12"/>
      <c r="J1353" s="12"/>
    </row>
    <row r="1354" spans="1:12" x14ac:dyDescent="0.25">
      <c r="A1354" s="12"/>
      <c r="B1354" s="12"/>
      <c r="C1354" s="12"/>
      <c r="D1354" s="12"/>
      <c r="E1354" s="12"/>
      <c r="F1354" s="12"/>
      <c r="G1354" s="12"/>
      <c r="H1354" s="12"/>
      <c r="I1354" s="12"/>
      <c r="J1354" s="12"/>
    </row>
    <row r="1355" spans="1:12" s="10" customFormat="1" ht="20.100000000000001" customHeight="1" x14ac:dyDescent="0.35">
      <c r="A1355" s="11" t="s">
        <v>568</v>
      </c>
      <c r="B1355" s="11"/>
      <c r="C1355" s="11"/>
      <c r="D1355" s="11"/>
      <c r="E1355" s="11"/>
      <c r="F1355" s="11"/>
      <c r="G1355" s="11"/>
      <c r="H1355" s="11"/>
      <c r="I1355" s="11"/>
      <c r="J1355" s="11"/>
    </row>
    <row r="1356" spans="1:12" x14ac:dyDescent="0.25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</row>
    <row r="1357" spans="1:12" ht="30" x14ac:dyDescent="0.25">
      <c r="A1357" s="2" t="s">
        <v>5</v>
      </c>
      <c r="B1357" s="2" t="s">
        <v>6</v>
      </c>
      <c r="C1357" s="2" t="s">
        <v>7</v>
      </c>
      <c r="D1357" s="2" t="s">
        <v>8</v>
      </c>
      <c r="E1357" s="2" t="s">
        <v>9</v>
      </c>
      <c r="F1357" s="2" t="s">
        <v>10</v>
      </c>
      <c r="G1357" s="2" t="s">
        <v>11</v>
      </c>
      <c r="H1357" s="2" t="s">
        <v>12</v>
      </c>
      <c r="I1357" s="2" t="s">
        <v>13</v>
      </c>
      <c r="J1357" s="2" t="s">
        <v>14</v>
      </c>
      <c r="K1357" s="2" t="s">
        <v>15</v>
      </c>
      <c r="L1357" s="2" t="s">
        <v>16</v>
      </c>
    </row>
    <row r="1358" spans="1:12" x14ac:dyDescent="0.25">
      <c r="A1358" s="3">
        <v>45715.225856481484</v>
      </c>
      <c r="B1358" t="s">
        <v>111</v>
      </c>
      <c r="C1358" s="3">
        <v>45715.274976851855</v>
      </c>
      <c r="D1358" t="s">
        <v>150</v>
      </c>
      <c r="E1358" s="4">
        <v>128.84</v>
      </c>
      <c r="F1358" s="4">
        <v>5980.7049999999999</v>
      </c>
      <c r="G1358" s="4">
        <v>6109.5450000000001</v>
      </c>
      <c r="H1358" s="5">
        <f>1159 / 86400</f>
        <v>1.3414351851851853E-2</v>
      </c>
      <c r="I1358" t="s">
        <v>149</v>
      </c>
      <c r="J1358" t="s">
        <v>508</v>
      </c>
      <c r="K1358" s="5">
        <f>4244 / 86400</f>
        <v>4.912037037037037E-2</v>
      </c>
      <c r="L1358" s="5">
        <f>19656 / 86400</f>
        <v>0.22750000000000001</v>
      </c>
    </row>
    <row r="1359" spans="1:12" x14ac:dyDescent="0.25">
      <c r="A1359" s="3">
        <v>45715.276620370365</v>
      </c>
      <c r="B1359" t="s">
        <v>150</v>
      </c>
      <c r="C1359" s="3">
        <v>45715.277222222227</v>
      </c>
      <c r="D1359" t="s">
        <v>150</v>
      </c>
      <c r="E1359" s="4">
        <v>1.4999999999999999E-2</v>
      </c>
      <c r="F1359" s="4">
        <v>6109.5450000000001</v>
      </c>
      <c r="G1359" s="4">
        <v>6109.56</v>
      </c>
      <c r="H1359" s="5">
        <f>39 / 86400</f>
        <v>4.5138888888888887E-4</v>
      </c>
      <c r="I1359" t="s">
        <v>21</v>
      </c>
      <c r="J1359" t="s">
        <v>67</v>
      </c>
      <c r="K1359" s="5">
        <f>51 / 86400</f>
        <v>5.9027777777777778E-4</v>
      </c>
      <c r="L1359" s="5">
        <f>67 / 86400</f>
        <v>7.7546296296296293E-4</v>
      </c>
    </row>
    <row r="1360" spans="1:12" x14ac:dyDescent="0.25">
      <c r="A1360" s="3">
        <v>45715.277997685189</v>
      </c>
      <c r="B1360" t="s">
        <v>150</v>
      </c>
      <c r="C1360" s="3">
        <v>45715.278969907406</v>
      </c>
      <c r="D1360" t="s">
        <v>150</v>
      </c>
      <c r="E1360" s="4">
        <v>1.4999999999999999E-2</v>
      </c>
      <c r="F1360" s="4">
        <v>6109.56</v>
      </c>
      <c r="G1360" s="4">
        <v>6109.5749999999998</v>
      </c>
      <c r="H1360" s="5">
        <f>79 / 86400</f>
        <v>9.1435185185185185E-4</v>
      </c>
      <c r="I1360" t="s">
        <v>21</v>
      </c>
      <c r="J1360" t="s">
        <v>67</v>
      </c>
      <c r="K1360" s="5">
        <f>84 / 86400</f>
        <v>9.7222222222222219E-4</v>
      </c>
      <c r="L1360" s="5">
        <f>172 / 86400</f>
        <v>1.9907407407407408E-3</v>
      </c>
    </row>
    <row r="1361" spans="1:12" x14ac:dyDescent="0.25">
      <c r="A1361" s="3">
        <v>45715.280960648146</v>
      </c>
      <c r="B1361" t="s">
        <v>150</v>
      </c>
      <c r="C1361" s="3">
        <v>45715.514803240745</v>
      </c>
      <c r="D1361" t="s">
        <v>83</v>
      </c>
      <c r="E1361" s="4">
        <v>503.87</v>
      </c>
      <c r="F1361" s="4">
        <v>6109.5749999999998</v>
      </c>
      <c r="G1361" s="4">
        <v>6613.4449999999997</v>
      </c>
      <c r="H1361" s="5">
        <f>6799 / 86400</f>
        <v>7.8692129629629626E-2</v>
      </c>
      <c r="I1361" t="s">
        <v>45</v>
      </c>
      <c r="J1361" t="s">
        <v>45</v>
      </c>
      <c r="K1361" s="5">
        <f>20203 / 86400</f>
        <v>0.23383101851851851</v>
      </c>
      <c r="L1361" s="5">
        <f>607 / 86400</f>
        <v>7.0254629629629634E-3</v>
      </c>
    </row>
    <row r="1362" spans="1:12" x14ac:dyDescent="0.25">
      <c r="A1362" s="3">
        <v>45715.521828703699</v>
      </c>
      <c r="B1362" t="s">
        <v>83</v>
      </c>
      <c r="C1362" s="3">
        <v>45715.523368055554</v>
      </c>
      <c r="D1362" t="s">
        <v>440</v>
      </c>
      <c r="E1362" s="4">
        <v>1.44</v>
      </c>
      <c r="F1362" s="4">
        <v>6613.4449999999997</v>
      </c>
      <c r="G1362" s="4">
        <v>6614.8850000000002</v>
      </c>
      <c r="H1362" s="5">
        <f>19 / 86400</f>
        <v>2.199074074074074E-4</v>
      </c>
      <c r="I1362" t="s">
        <v>41</v>
      </c>
      <c r="J1362" t="s">
        <v>202</v>
      </c>
      <c r="K1362" s="5">
        <f>132 / 86400</f>
        <v>1.5277777777777779E-3</v>
      </c>
      <c r="L1362" s="5">
        <f>1229 / 86400</f>
        <v>1.4224537037037037E-2</v>
      </c>
    </row>
    <row r="1363" spans="1:12" x14ac:dyDescent="0.25">
      <c r="A1363" s="3">
        <v>45715.537592592591</v>
      </c>
      <c r="B1363" t="s">
        <v>440</v>
      </c>
      <c r="C1363" s="3">
        <v>45715.541851851856</v>
      </c>
      <c r="D1363" t="s">
        <v>150</v>
      </c>
      <c r="E1363" s="4">
        <v>5.42</v>
      </c>
      <c r="F1363" s="4">
        <v>6614.8850000000002</v>
      </c>
      <c r="G1363" s="4">
        <v>6620.3050000000003</v>
      </c>
      <c r="H1363" s="5">
        <f>159 / 86400</f>
        <v>1.8402777777777777E-3</v>
      </c>
      <c r="I1363" t="s">
        <v>268</v>
      </c>
      <c r="J1363" t="s">
        <v>213</v>
      </c>
      <c r="K1363" s="5">
        <f>368 / 86400</f>
        <v>4.2592592592592595E-3</v>
      </c>
      <c r="L1363" s="5">
        <f>390 / 86400</f>
        <v>4.5138888888888885E-3</v>
      </c>
    </row>
    <row r="1364" spans="1:12" x14ac:dyDescent="0.25">
      <c r="A1364" s="3">
        <v>45715.546365740738</v>
      </c>
      <c r="B1364" t="s">
        <v>150</v>
      </c>
      <c r="C1364" s="3">
        <v>45715.54686342593</v>
      </c>
      <c r="D1364" t="s">
        <v>150</v>
      </c>
      <c r="E1364" s="4">
        <v>0.04</v>
      </c>
      <c r="F1364" s="4">
        <v>6620.3050000000003</v>
      </c>
      <c r="G1364" s="4">
        <v>6620.3450000000003</v>
      </c>
      <c r="H1364" s="5">
        <f>39 / 86400</f>
        <v>4.5138888888888887E-4</v>
      </c>
      <c r="I1364" t="s">
        <v>21</v>
      </c>
      <c r="J1364" t="s">
        <v>136</v>
      </c>
      <c r="K1364" s="5">
        <f>42 / 86400</f>
        <v>4.861111111111111E-4</v>
      </c>
      <c r="L1364" s="5">
        <f>175 / 86400</f>
        <v>2.0254629629629629E-3</v>
      </c>
    </row>
    <row r="1365" spans="1:12" x14ac:dyDescent="0.25">
      <c r="A1365" s="3">
        <v>45715.548888888894</v>
      </c>
      <c r="B1365" t="s">
        <v>150</v>
      </c>
      <c r="C1365" s="3">
        <v>45715.654687499999</v>
      </c>
      <c r="D1365" t="s">
        <v>269</v>
      </c>
      <c r="E1365" s="4">
        <v>248.42500000000001</v>
      </c>
      <c r="F1365" s="4">
        <v>6620.3450000000003</v>
      </c>
      <c r="G1365" s="4">
        <v>6868.77</v>
      </c>
      <c r="H1365" s="5">
        <f>3220 / 86400</f>
        <v>3.726851851851852E-2</v>
      </c>
      <c r="I1365" t="s">
        <v>81</v>
      </c>
      <c r="J1365" t="s">
        <v>494</v>
      </c>
      <c r="K1365" s="5">
        <f>9140 / 86400</f>
        <v>0.10578703703703704</v>
      </c>
      <c r="L1365" s="5">
        <f>396 / 86400</f>
        <v>4.5833333333333334E-3</v>
      </c>
    </row>
    <row r="1366" spans="1:12" x14ac:dyDescent="0.25">
      <c r="A1366" s="3">
        <v>45715.659270833334</v>
      </c>
      <c r="B1366" t="s">
        <v>269</v>
      </c>
      <c r="C1366" s="3">
        <v>45715.823587962965</v>
      </c>
      <c r="D1366" t="s">
        <v>199</v>
      </c>
      <c r="E1366" s="4">
        <v>333.14</v>
      </c>
      <c r="F1366" s="4">
        <v>6868.77</v>
      </c>
      <c r="G1366" s="4">
        <v>7201.91</v>
      </c>
      <c r="H1366" s="5">
        <f>4479 / 86400</f>
        <v>5.1840277777777777E-2</v>
      </c>
      <c r="I1366" t="s">
        <v>23</v>
      </c>
      <c r="J1366" t="s">
        <v>79</v>
      </c>
      <c r="K1366" s="5">
        <f>14197 / 86400</f>
        <v>0.16431712962962963</v>
      </c>
      <c r="L1366" s="5">
        <f>181 / 86400</f>
        <v>2.0949074074074073E-3</v>
      </c>
    </row>
    <row r="1367" spans="1:12" x14ac:dyDescent="0.25">
      <c r="A1367" s="3">
        <v>45715.825682870374</v>
      </c>
      <c r="B1367" t="s">
        <v>199</v>
      </c>
      <c r="C1367" s="3">
        <v>45715.825833333336</v>
      </c>
      <c r="D1367" t="s">
        <v>199</v>
      </c>
      <c r="E1367" s="4">
        <v>0.105</v>
      </c>
      <c r="F1367" s="4">
        <v>7201.91</v>
      </c>
      <c r="G1367" s="4">
        <v>7202.0150000000003</v>
      </c>
      <c r="H1367" s="5">
        <f>0 / 86400</f>
        <v>0</v>
      </c>
      <c r="I1367" t="s">
        <v>28</v>
      </c>
      <c r="J1367" t="s">
        <v>211</v>
      </c>
      <c r="K1367" s="5">
        <f>13 / 86400</f>
        <v>1.5046296296296297E-4</v>
      </c>
      <c r="L1367" s="5">
        <f>275 / 86400</f>
        <v>3.1828703703703702E-3</v>
      </c>
    </row>
    <row r="1368" spans="1:12" x14ac:dyDescent="0.25">
      <c r="A1368" s="3">
        <v>45715.829016203701</v>
      </c>
      <c r="B1368" t="s">
        <v>199</v>
      </c>
      <c r="C1368" s="3">
        <v>45715.829236111109</v>
      </c>
      <c r="D1368" t="s">
        <v>199</v>
      </c>
      <c r="E1368" s="4">
        <v>5.000000000093132E-2</v>
      </c>
      <c r="F1368" s="4">
        <v>7202.0150000000003</v>
      </c>
      <c r="G1368" s="4">
        <v>7202.0650000000005</v>
      </c>
      <c r="H1368" s="5">
        <f>0 / 86400</f>
        <v>0</v>
      </c>
      <c r="I1368" t="s">
        <v>21</v>
      </c>
      <c r="J1368" t="s">
        <v>135</v>
      </c>
      <c r="K1368" s="5">
        <f>19 / 86400</f>
        <v>2.199074074074074E-4</v>
      </c>
      <c r="L1368" s="5">
        <f>794 / 86400</f>
        <v>9.1898148148148156E-3</v>
      </c>
    </row>
    <row r="1369" spans="1:12" x14ac:dyDescent="0.25">
      <c r="A1369" s="3">
        <v>45715.838425925926</v>
      </c>
      <c r="B1369" t="s">
        <v>199</v>
      </c>
      <c r="C1369" s="3">
        <v>45715.841192129628</v>
      </c>
      <c r="D1369" t="s">
        <v>24</v>
      </c>
      <c r="E1369" s="4">
        <v>2.7199999999990685</v>
      </c>
      <c r="F1369" s="4">
        <v>7202.0650000000005</v>
      </c>
      <c r="G1369" s="4">
        <v>7204.7849999999999</v>
      </c>
      <c r="H1369" s="5">
        <f>79 / 86400</f>
        <v>9.1435185185185185E-4</v>
      </c>
      <c r="I1369" t="s">
        <v>41</v>
      </c>
      <c r="J1369" t="s">
        <v>223</v>
      </c>
      <c r="K1369" s="5">
        <f>238 / 86400</f>
        <v>2.7546296296296294E-3</v>
      </c>
      <c r="L1369" s="5">
        <f>30 / 86400</f>
        <v>3.4722222222222224E-4</v>
      </c>
    </row>
    <row r="1370" spans="1:12" x14ac:dyDescent="0.25">
      <c r="A1370" s="3">
        <v>45715.841539351852</v>
      </c>
      <c r="B1370" t="s">
        <v>24</v>
      </c>
      <c r="C1370" s="3">
        <v>45715.841631944444</v>
      </c>
      <c r="D1370" t="s">
        <v>24</v>
      </c>
      <c r="E1370" s="4">
        <v>0</v>
      </c>
      <c r="F1370" s="4">
        <v>7204.7849999999999</v>
      </c>
      <c r="G1370" s="4">
        <v>7204.7849999999999</v>
      </c>
      <c r="H1370" s="5">
        <f>0 / 86400</f>
        <v>0</v>
      </c>
      <c r="I1370" t="s">
        <v>21</v>
      </c>
      <c r="J1370" t="s">
        <v>21</v>
      </c>
      <c r="K1370" s="5">
        <f>8 / 86400</f>
        <v>9.2592592592592588E-5</v>
      </c>
      <c r="L1370" s="5">
        <f>11096 / 86400</f>
        <v>0.12842592592592592</v>
      </c>
    </row>
    <row r="1371" spans="1:12" x14ac:dyDescent="0.25">
      <c r="A1371" s="3">
        <v>45715.970057870371</v>
      </c>
      <c r="B1371" t="s">
        <v>111</v>
      </c>
      <c r="C1371" s="3">
        <v>45715.971064814818</v>
      </c>
      <c r="D1371" t="s">
        <v>111</v>
      </c>
      <c r="E1371" s="4">
        <v>0.215</v>
      </c>
      <c r="F1371" s="4">
        <v>7204.7849999999999</v>
      </c>
      <c r="G1371" s="4">
        <v>7205</v>
      </c>
      <c r="H1371" s="5">
        <f>20 / 86400</f>
        <v>2.3148148148148149E-4</v>
      </c>
      <c r="I1371" t="s">
        <v>99</v>
      </c>
      <c r="J1371" t="s">
        <v>135</v>
      </c>
      <c r="K1371" s="5">
        <f>87 / 86400</f>
        <v>1.0069444444444444E-3</v>
      </c>
      <c r="L1371" s="5">
        <f>2499 / 86400</f>
        <v>2.8923611111111112E-2</v>
      </c>
    </row>
    <row r="1372" spans="1:12" x14ac:dyDescent="0.25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</row>
    <row r="1373" spans="1:12" x14ac:dyDescent="0.25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</row>
    <row r="1374" spans="1:12" s="10" customFormat="1" ht="20.100000000000001" customHeight="1" x14ac:dyDescent="0.35">
      <c r="A1374" s="11" t="s">
        <v>569</v>
      </c>
      <c r="B1374" s="11"/>
      <c r="C1374" s="11"/>
      <c r="D1374" s="11"/>
      <c r="E1374" s="11"/>
      <c r="F1374" s="11"/>
      <c r="G1374" s="11"/>
      <c r="H1374" s="11"/>
      <c r="I1374" s="11"/>
      <c r="J1374" s="11"/>
    </row>
    <row r="1375" spans="1:12" x14ac:dyDescent="0.25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</row>
    <row r="1376" spans="1:12" ht="30" x14ac:dyDescent="0.25">
      <c r="A1376" s="2" t="s">
        <v>5</v>
      </c>
      <c r="B1376" s="2" t="s">
        <v>6</v>
      </c>
      <c r="C1376" s="2" t="s">
        <v>7</v>
      </c>
      <c r="D1376" s="2" t="s">
        <v>8</v>
      </c>
      <c r="E1376" s="2" t="s">
        <v>9</v>
      </c>
      <c r="F1376" s="2" t="s">
        <v>10</v>
      </c>
      <c r="G1376" s="2" t="s">
        <v>11</v>
      </c>
      <c r="H1376" s="2" t="s">
        <v>12</v>
      </c>
      <c r="I1376" s="2" t="s">
        <v>13</v>
      </c>
      <c r="J1376" s="2" t="s">
        <v>14</v>
      </c>
      <c r="K1376" s="2" t="s">
        <v>15</v>
      </c>
      <c r="L1376" s="2" t="s">
        <v>16</v>
      </c>
    </row>
    <row r="1377" spans="1:12" x14ac:dyDescent="0.25">
      <c r="A1377" s="3">
        <v>45715</v>
      </c>
      <c r="B1377" t="s">
        <v>112</v>
      </c>
      <c r="C1377" s="3">
        <v>45715.027407407411</v>
      </c>
      <c r="D1377" t="s">
        <v>483</v>
      </c>
      <c r="E1377" s="4">
        <v>17.824999999999999</v>
      </c>
      <c r="F1377" s="4">
        <v>63311.468000000001</v>
      </c>
      <c r="G1377" s="4">
        <v>63329.292999999998</v>
      </c>
      <c r="H1377" s="5">
        <f>440 / 86400</f>
        <v>5.092592592592593E-3</v>
      </c>
      <c r="I1377" t="s">
        <v>218</v>
      </c>
      <c r="J1377" t="s">
        <v>131</v>
      </c>
      <c r="K1377" s="5">
        <f>2368 / 86400</f>
        <v>2.7407407407407408E-2</v>
      </c>
      <c r="L1377" s="5">
        <f>112 / 86400</f>
        <v>1.2962962962962963E-3</v>
      </c>
    </row>
    <row r="1378" spans="1:12" x14ac:dyDescent="0.25">
      <c r="A1378" s="3">
        <v>45715.028703703705</v>
      </c>
      <c r="B1378" t="s">
        <v>483</v>
      </c>
      <c r="C1378" s="3">
        <v>45715.029120370367</v>
      </c>
      <c r="D1378" t="s">
        <v>509</v>
      </c>
      <c r="E1378" s="4">
        <v>0.04</v>
      </c>
      <c r="F1378" s="4">
        <v>63329.292999999998</v>
      </c>
      <c r="G1378" s="4">
        <v>63329.332999999999</v>
      </c>
      <c r="H1378" s="5">
        <f>0 / 86400</f>
        <v>0</v>
      </c>
      <c r="I1378" t="s">
        <v>123</v>
      </c>
      <c r="J1378" t="s">
        <v>132</v>
      </c>
      <c r="K1378" s="5">
        <f>36 / 86400</f>
        <v>4.1666666666666669E-4</v>
      </c>
      <c r="L1378" s="5">
        <f>220 / 86400</f>
        <v>2.5462962962962965E-3</v>
      </c>
    </row>
    <row r="1379" spans="1:12" x14ac:dyDescent="0.25">
      <c r="A1379" s="3">
        <v>45715.031666666662</v>
      </c>
      <c r="B1379" t="s">
        <v>509</v>
      </c>
      <c r="C1379" s="3">
        <v>45715.037939814814</v>
      </c>
      <c r="D1379" t="s">
        <v>492</v>
      </c>
      <c r="E1379" s="4">
        <v>3.6429999999999998</v>
      </c>
      <c r="F1379" s="4">
        <v>63329.332999999999</v>
      </c>
      <c r="G1379" s="4">
        <v>63332.976000000002</v>
      </c>
      <c r="H1379" s="5">
        <f>20 / 86400</f>
        <v>2.3148148148148149E-4</v>
      </c>
      <c r="I1379" t="s">
        <v>296</v>
      </c>
      <c r="J1379" t="s">
        <v>153</v>
      </c>
      <c r="K1379" s="5">
        <f>542 / 86400</f>
        <v>6.2731481481481484E-3</v>
      </c>
      <c r="L1379" s="5">
        <f>670 / 86400</f>
        <v>7.7546296296296295E-3</v>
      </c>
    </row>
    <row r="1380" spans="1:12" x14ac:dyDescent="0.25">
      <c r="A1380" s="3">
        <v>45715.045694444445</v>
      </c>
      <c r="B1380" t="s">
        <v>492</v>
      </c>
      <c r="C1380" s="3">
        <v>45715.048298611116</v>
      </c>
      <c r="D1380" t="s">
        <v>491</v>
      </c>
      <c r="E1380" s="4">
        <v>0.32400000000000001</v>
      </c>
      <c r="F1380" s="4">
        <v>63332.976000000002</v>
      </c>
      <c r="G1380" s="4">
        <v>63333.3</v>
      </c>
      <c r="H1380" s="5">
        <f>60 / 86400</f>
        <v>6.9444444444444447E-4</v>
      </c>
      <c r="I1380" t="s">
        <v>34</v>
      </c>
      <c r="J1380" t="s">
        <v>99</v>
      </c>
      <c r="K1380" s="5">
        <f>224 / 86400</f>
        <v>2.5925925925925925E-3</v>
      </c>
      <c r="L1380" s="5">
        <f>12887 / 86400</f>
        <v>0.1491550925925926</v>
      </c>
    </row>
    <row r="1381" spans="1:12" x14ac:dyDescent="0.25">
      <c r="A1381" s="3">
        <v>45715.197453703702</v>
      </c>
      <c r="B1381" t="s">
        <v>491</v>
      </c>
      <c r="C1381" s="3">
        <v>45715.200682870374</v>
      </c>
      <c r="D1381" t="s">
        <v>432</v>
      </c>
      <c r="E1381" s="4">
        <v>0.40300000000000002</v>
      </c>
      <c r="F1381" s="4">
        <v>63333.3</v>
      </c>
      <c r="G1381" s="4">
        <v>63333.703000000001</v>
      </c>
      <c r="H1381" s="5">
        <f>79 / 86400</f>
        <v>9.1435185185185185E-4</v>
      </c>
      <c r="I1381" t="s">
        <v>26</v>
      </c>
      <c r="J1381" t="s">
        <v>99</v>
      </c>
      <c r="K1381" s="5">
        <f>279 / 86400</f>
        <v>3.2291666666666666E-3</v>
      </c>
      <c r="L1381" s="5">
        <f>82 / 86400</f>
        <v>9.4907407407407408E-4</v>
      </c>
    </row>
    <row r="1382" spans="1:12" x14ac:dyDescent="0.25">
      <c r="A1382" s="3">
        <v>45715.201631944445</v>
      </c>
      <c r="B1382" t="s">
        <v>432</v>
      </c>
      <c r="C1382" s="3">
        <v>45715.291817129633</v>
      </c>
      <c r="D1382" t="s">
        <v>291</v>
      </c>
      <c r="E1382" s="4">
        <v>42.8</v>
      </c>
      <c r="F1382" s="4">
        <v>63333.703000000001</v>
      </c>
      <c r="G1382" s="4">
        <v>63376.502999999997</v>
      </c>
      <c r="H1382" s="5">
        <f>2541 / 86400</f>
        <v>2.9409722222222223E-2</v>
      </c>
      <c r="I1382" t="s">
        <v>71</v>
      </c>
      <c r="J1382" t="s">
        <v>116</v>
      </c>
      <c r="K1382" s="5">
        <f>7792 / 86400</f>
        <v>9.0185185185185188E-2</v>
      </c>
      <c r="L1382" s="5">
        <f>73 / 86400</f>
        <v>8.4490740740740739E-4</v>
      </c>
    </row>
    <row r="1383" spans="1:12" x14ac:dyDescent="0.25">
      <c r="A1383" s="3">
        <v>45715.292662037042</v>
      </c>
      <c r="B1383" t="s">
        <v>291</v>
      </c>
      <c r="C1383" s="3">
        <v>45715.377951388888</v>
      </c>
      <c r="D1383" t="s">
        <v>83</v>
      </c>
      <c r="E1383" s="4">
        <v>42.301000000000002</v>
      </c>
      <c r="F1383" s="4">
        <v>63376.502999999997</v>
      </c>
      <c r="G1383" s="4">
        <v>63418.803999999996</v>
      </c>
      <c r="H1383" s="5">
        <f>2118 / 86400</f>
        <v>2.4513888888888891E-2</v>
      </c>
      <c r="I1383" t="s">
        <v>23</v>
      </c>
      <c r="J1383" t="s">
        <v>139</v>
      </c>
      <c r="K1383" s="5">
        <f>7369 / 86400</f>
        <v>8.5289351851851852E-2</v>
      </c>
      <c r="L1383" s="5">
        <f>2761 / 86400</f>
        <v>3.1956018518518516E-2</v>
      </c>
    </row>
    <row r="1384" spans="1:12" x14ac:dyDescent="0.25">
      <c r="A1384" s="3">
        <v>45715.409907407404</v>
      </c>
      <c r="B1384" t="s">
        <v>83</v>
      </c>
      <c r="C1384" s="3">
        <v>45715.415462962963</v>
      </c>
      <c r="D1384" t="s">
        <v>122</v>
      </c>
      <c r="E1384" s="4">
        <v>1.214</v>
      </c>
      <c r="F1384" s="4">
        <v>63418.803999999996</v>
      </c>
      <c r="G1384" s="4">
        <v>63420.017999999996</v>
      </c>
      <c r="H1384" s="5">
        <f>79 / 86400</f>
        <v>9.1435185185185185E-4</v>
      </c>
      <c r="I1384" t="s">
        <v>139</v>
      </c>
      <c r="J1384" t="s">
        <v>135</v>
      </c>
      <c r="K1384" s="5">
        <f>480 / 86400</f>
        <v>5.5555555555555558E-3</v>
      </c>
      <c r="L1384" s="5">
        <f>2630 / 86400</f>
        <v>3.0439814814814815E-2</v>
      </c>
    </row>
    <row r="1385" spans="1:12" x14ac:dyDescent="0.25">
      <c r="A1385" s="3">
        <v>45715.445902777778</v>
      </c>
      <c r="B1385" t="s">
        <v>122</v>
      </c>
      <c r="C1385" s="3">
        <v>45715.506678240738</v>
      </c>
      <c r="D1385" t="s">
        <v>108</v>
      </c>
      <c r="E1385" s="4">
        <v>31.776</v>
      </c>
      <c r="F1385" s="4">
        <v>63420.017999999996</v>
      </c>
      <c r="G1385" s="4">
        <v>63451.794000000002</v>
      </c>
      <c r="H1385" s="5">
        <f>1839 / 86400</f>
        <v>2.1284722222222222E-2</v>
      </c>
      <c r="I1385" t="s">
        <v>79</v>
      </c>
      <c r="J1385" t="s">
        <v>34</v>
      </c>
      <c r="K1385" s="5">
        <f>5250 / 86400</f>
        <v>6.0763888888888888E-2</v>
      </c>
      <c r="L1385" s="5">
        <f>33 / 86400</f>
        <v>3.8194444444444446E-4</v>
      </c>
    </row>
    <row r="1386" spans="1:12" x14ac:dyDescent="0.25">
      <c r="A1386" s="3">
        <v>45715.507060185184</v>
      </c>
      <c r="B1386" t="s">
        <v>108</v>
      </c>
      <c r="C1386" s="3">
        <v>45715.527314814812</v>
      </c>
      <c r="D1386" t="s">
        <v>109</v>
      </c>
      <c r="E1386" s="4">
        <v>7.97</v>
      </c>
      <c r="F1386" s="4">
        <v>63451.794000000002</v>
      </c>
      <c r="G1386" s="4">
        <v>63459.764000000003</v>
      </c>
      <c r="H1386" s="5">
        <f>656 / 86400</f>
        <v>7.5925925925925926E-3</v>
      </c>
      <c r="I1386" t="s">
        <v>92</v>
      </c>
      <c r="J1386" t="s">
        <v>26</v>
      </c>
      <c r="K1386" s="5">
        <f>1749 / 86400</f>
        <v>2.0243055555555556E-2</v>
      </c>
      <c r="L1386" s="5">
        <f>72 / 86400</f>
        <v>8.3333333333333339E-4</v>
      </c>
    </row>
    <row r="1387" spans="1:12" x14ac:dyDescent="0.25">
      <c r="A1387" s="3">
        <v>45715.528148148151</v>
      </c>
      <c r="B1387" t="s">
        <v>300</v>
      </c>
      <c r="C1387" s="3">
        <v>45715.620624999996</v>
      </c>
      <c r="D1387" t="s">
        <v>432</v>
      </c>
      <c r="E1387" s="4">
        <v>41.19</v>
      </c>
      <c r="F1387" s="4">
        <v>63459.764000000003</v>
      </c>
      <c r="G1387" s="4">
        <v>63500.953999999998</v>
      </c>
      <c r="H1387" s="5">
        <f>2709 / 86400</f>
        <v>3.1354166666666669E-2</v>
      </c>
      <c r="I1387" t="s">
        <v>56</v>
      </c>
      <c r="J1387" t="s">
        <v>62</v>
      </c>
      <c r="K1387" s="5">
        <f>7990 / 86400</f>
        <v>9.2476851851851852E-2</v>
      </c>
      <c r="L1387" s="5">
        <f>85 / 86400</f>
        <v>9.837962962962962E-4</v>
      </c>
    </row>
    <row r="1388" spans="1:12" x14ac:dyDescent="0.25">
      <c r="A1388" s="3">
        <v>45715.621608796297</v>
      </c>
      <c r="B1388" t="s">
        <v>432</v>
      </c>
      <c r="C1388" s="3">
        <v>45715.621712962966</v>
      </c>
      <c r="D1388" t="s">
        <v>432</v>
      </c>
      <c r="E1388" s="4">
        <v>7.0000000000000001E-3</v>
      </c>
      <c r="F1388" s="4">
        <v>63500.953999999998</v>
      </c>
      <c r="G1388" s="4">
        <v>63500.961000000003</v>
      </c>
      <c r="H1388" s="5">
        <f>0 / 86400</f>
        <v>0</v>
      </c>
      <c r="I1388" t="s">
        <v>21</v>
      </c>
      <c r="J1388" t="s">
        <v>136</v>
      </c>
      <c r="K1388" s="5">
        <f>8 / 86400</f>
        <v>9.2592592592592588E-5</v>
      </c>
      <c r="L1388" s="5">
        <f>476 / 86400</f>
        <v>5.5092592592592589E-3</v>
      </c>
    </row>
    <row r="1389" spans="1:12" x14ac:dyDescent="0.25">
      <c r="A1389" s="3">
        <v>45715.627222222218</v>
      </c>
      <c r="B1389" t="s">
        <v>432</v>
      </c>
      <c r="C1389" s="3">
        <v>45715.628344907411</v>
      </c>
      <c r="D1389" t="s">
        <v>74</v>
      </c>
      <c r="E1389" s="4">
        <v>0.13700000000000001</v>
      </c>
      <c r="F1389" s="4">
        <v>63500.961000000003</v>
      </c>
      <c r="G1389" s="4">
        <v>63501.097999999998</v>
      </c>
      <c r="H1389" s="5">
        <f>20 / 86400</f>
        <v>2.3148148148148149E-4</v>
      </c>
      <c r="I1389" t="s">
        <v>141</v>
      </c>
      <c r="J1389" t="s">
        <v>99</v>
      </c>
      <c r="K1389" s="5">
        <f>96 / 86400</f>
        <v>1.1111111111111111E-3</v>
      </c>
      <c r="L1389" s="5">
        <f>380 / 86400</f>
        <v>4.3981481481481484E-3</v>
      </c>
    </row>
    <row r="1390" spans="1:12" x14ac:dyDescent="0.25">
      <c r="A1390" s="3">
        <v>45715.632743055554</v>
      </c>
      <c r="B1390" t="s">
        <v>158</v>
      </c>
      <c r="C1390" s="3">
        <v>45715.633067129631</v>
      </c>
      <c r="D1390" t="s">
        <v>74</v>
      </c>
      <c r="E1390" s="4">
        <v>2E-3</v>
      </c>
      <c r="F1390" s="4">
        <v>63501.097999999998</v>
      </c>
      <c r="G1390" s="4">
        <v>63501.1</v>
      </c>
      <c r="H1390" s="5">
        <f>19 / 86400</f>
        <v>2.199074074074074E-4</v>
      </c>
      <c r="I1390" t="s">
        <v>21</v>
      </c>
      <c r="J1390" t="s">
        <v>21</v>
      </c>
      <c r="K1390" s="5">
        <f>28 / 86400</f>
        <v>3.2407407407407406E-4</v>
      </c>
      <c r="L1390" s="5">
        <f>78 / 86400</f>
        <v>9.0277777777777774E-4</v>
      </c>
    </row>
    <row r="1391" spans="1:12" x14ac:dyDescent="0.25">
      <c r="A1391" s="3">
        <v>45715.633969907409</v>
      </c>
      <c r="B1391" t="s">
        <v>74</v>
      </c>
      <c r="C1391" s="3">
        <v>45715.634097222224</v>
      </c>
      <c r="D1391" t="s">
        <v>74</v>
      </c>
      <c r="E1391" s="4">
        <v>0</v>
      </c>
      <c r="F1391" s="4">
        <v>63501.1</v>
      </c>
      <c r="G1391" s="4">
        <v>63501.1</v>
      </c>
      <c r="H1391" s="5">
        <f>0 / 86400</f>
        <v>0</v>
      </c>
      <c r="I1391" t="s">
        <v>21</v>
      </c>
      <c r="J1391" t="s">
        <v>21</v>
      </c>
      <c r="K1391" s="5">
        <f>11 / 86400</f>
        <v>1.273148148148148E-4</v>
      </c>
      <c r="L1391" s="5">
        <f>39 / 86400</f>
        <v>4.5138888888888887E-4</v>
      </c>
    </row>
    <row r="1392" spans="1:12" x14ac:dyDescent="0.25">
      <c r="A1392" s="3">
        <v>45715.634548611109</v>
      </c>
      <c r="B1392" t="s">
        <v>74</v>
      </c>
      <c r="C1392" s="3">
        <v>45715.635347222225</v>
      </c>
      <c r="D1392" t="s">
        <v>74</v>
      </c>
      <c r="E1392" s="4">
        <v>0</v>
      </c>
      <c r="F1392" s="4">
        <v>63501.1</v>
      </c>
      <c r="G1392" s="4">
        <v>63501.1</v>
      </c>
      <c r="H1392" s="5">
        <f>59 / 86400</f>
        <v>6.8287037037037036E-4</v>
      </c>
      <c r="I1392" t="s">
        <v>21</v>
      </c>
      <c r="J1392" t="s">
        <v>21</v>
      </c>
      <c r="K1392" s="5">
        <f>69 / 86400</f>
        <v>7.9861111111111116E-4</v>
      </c>
      <c r="L1392" s="5">
        <f>514 / 86400</f>
        <v>5.9490740740740745E-3</v>
      </c>
    </row>
    <row r="1393" spans="1:12" x14ac:dyDescent="0.25">
      <c r="A1393" s="3">
        <v>45715.641296296293</v>
      </c>
      <c r="B1393" t="s">
        <v>74</v>
      </c>
      <c r="C1393" s="3">
        <v>45715.642962962964</v>
      </c>
      <c r="D1393" t="s">
        <v>74</v>
      </c>
      <c r="E1393" s="4">
        <v>0.10299999999999999</v>
      </c>
      <c r="F1393" s="4">
        <v>63501.1</v>
      </c>
      <c r="G1393" s="4">
        <v>63501.203000000001</v>
      </c>
      <c r="H1393" s="5">
        <f>39 / 86400</f>
        <v>4.5138888888888887E-4</v>
      </c>
      <c r="I1393" t="s">
        <v>143</v>
      </c>
      <c r="J1393" t="s">
        <v>136</v>
      </c>
      <c r="K1393" s="5">
        <f>144 / 86400</f>
        <v>1.6666666666666668E-3</v>
      </c>
      <c r="L1393" s="5">
        <f>572 / 86400</f>
        <v>6.6203703703703702E-3</v>
      </c>
    </row>
    <row r="1394" spans="1:12" x14ac:dyDescent="0.25">
      <c r="A1394" s="3">
        <v>45715.649583333332</v>
      </c>
      <c r="B1394" t="s">
        <v>74</v>
      </c>
      <c r="C1394" s="3">
        <v>45715.651990740742</v>
      </c>
      <c r="D1394" t="s">
        <v>491</v>
      </c>
      <c r="E1394" s="4">
        <v>0.23499999999999999</v>
      </c>
      <c r="F1394" s="4">
        <v>63501.203000000001</v>
      </c>
      <c r="G1394" s="4">
        <v>63501.438000000002</v>
      </c>
      <c r="H1394" s="5">
        <f>60 / 86400</f>
        <v>6.9444444444444447E-4</v>
      </c>
      <c r="I1394" t="s">
        <v>135</v>
      </c>
      <c r="J1394" t="s">
        <v>132</v>
      </c>
      <c r="K1394" s="5">
        <f>208 / 86400</f>
        <v>2.4074074074074076E-3</v>
      </c>
      <c r="L1394" s="5">
        <f>2690 / 86400</f>
        <v>3.1134259259259261E-2</v>
      </c>
    </row>
    <row r="1395" spans="1:12" x14ac:dyDescent="0.25">
      <c r="A1395" s="3">
        <v>45715.683124999996</v>
      </c>
      <c r="B1395" t="s">
        <v>491</v>
      </c>
      <c r="C1395" s="3">
        <v>45715.795219907406</v>
      </c>
      <c r="D1395" t="s">
        <v>480</v>
      </c>
      <c r="E1395" s="4">
        <v>41.325000000000003</v>
      </c>
      <c r="F1395" s="4">
        <v>63501.438000000002</v>
      </c>
      <c r="G1395" s="4">
        <v>63542.762999999999</v>
      </c>
      <c r="H1395" s="5">
        <f>3981 / 86400</f>
        <v>4.6076388888888889E-2</v>
      </c>
      <c r="I1395" t="s">
        <v>114</v>
      </c>
      <c r="J1395" t="s">
        <v>39</v>
      </c>
      <c r="K1395" s="5">
        <f>9684 / 86400</f>
        <v>0.11208333333333333</v>
      </c>
      <c r="L1395" s="5">
        <f>34 / 86400</f>
        <v>3.9351851851851852E-4</v>
      </c>
    </row>
    <row r="1396" spans="1:12" x14ac:dyDescent="0.25">
      <c r="A1396" s="3">
        <v>45715.795613425929</v>
      </c>
      <c r="B1396" t="s">
        <v>480</v>
      </c>
      <c r="C1396" s="3">
        <v>45715.887002314819</v>
      </c>
      <c r="D1396" t="s">
        <v>398</v>
      </c>
      <c r="E1396" s="4">
        <v>40.814999999999998</v>
      </c>
      <c r="F1396" s="4">
        <v>63542.762999999999</v>
      </c>
      <c r="G1396" s="4">
        <v>63583.578000000001</v>
      </c>
      <c r="H1396" s="5">
        <f>2419 / 86400</f>
        <v>2.7997685185185184E-2</v>
      </c>
      <c r="I1396" t="s">
        <v>218</v>
      </c>
      <c r="J1396" t="s">
        <v>62</v>
      </c>
      <c r="K1396" s="5">
        <f>7895 / 86400</f>
        <v>9.1377314814814814E-2</v>
      </c>
      <c r="L1396" s="5">
        <f>3 / 86400</f>
        <v>3.4722222222222222E-5</v>
      </c>
    </row>
    <row r="1397" spans="1:12" x14ac:dyDescent="0.25">
      <c r="A1397" s="3">
        <v>45715.887037037042</v>
      </c>
      <c r="B1397" t="s">
        <v>398</v>
      </c>
      <c r="C1397" s="3">
        <v>45715.890763888892</v>
      </c>
      <c r="D1397" t="s">
        <v>398</v>
      </c>
      <c r="E1397" s="4">
        <v>3.4000000000000002E-2</v>
      </c>
      <c r="F1397" s="4">
        <v>63583.578000000001</v>
      </c>
      <c r="G1397" s="4">
        <v>63583.612000000001</v>
      </c>
      <c r="H1397" s="5">
        <f>294 / 86400</f>
        <v>3.4027777777777776E-3</v>
      </c>
      <c r="I1397" t="s">
        <v>67</v>
      </c>
      <c r="J1397" t="s">
        <v>21</v>
      </c>
      <c r="K1397" s="5">
        <f>322 / 86400</f>
        <v>3.7268518518518519E-3</v>
      </c>
      <c r="L1397" s="5">
        <f>70 / 86400</f>
        <v>8.1018518518518516E-4</v>
      </c>
    </row>
    <row r="1398" spans="1:12" x14ac:dyDescent="0.25">
      <c r="A1398" s="3">
        <v>45715.891574074078</v>
      </c>
      <c r="B1398" t="s">
        <v>398</v>
      </c>
      <c r="C1398" s="3">
        <v>45715.89571759259</v>
      </c>
      <c r="D1398" t="s">
        <v>398</v>
      </c>
      <c r="E1398" s="4">
        <v>0.64700000000000002</v>
      </c>
      <c r="F1398" s="4">
        <v>63583.612000000001</v>
      </c>
      <c r="G1398" s="4">
        <v>63584.258999999998</v>
      </c>
      <c r="H1398" s="5">
        <f>179 / 86400</f>
        <v>2.0717592592592593E-3</v>
      </c>
      <c r="I1398" t="s">
        <v>163</v>
      </c>
      <c r="J1398" t="s">
        <v>143</v>
      </c>
      <c r="K1398" s="5">
        <f>358 / 86400</f>
        <v>4.1435185185185186E-3</v>
      </c>
      <c r="L1398" s="5">
        <f>289 / 86400</f>
        <v>3.3449074074074076E-3</v>
      </c>
    </row>
    <row r="1399" spans="1:12" x14ac:dyDescent="0.25">
      <c r="A1399" s="3">
        <v>45715.899062500001</v>
      </c>
      <c r="B1399" t="s">
        <v>398</v>
      </c>
      <c r="C1399" s="3">
        <v>45715.963993055557</v>
      </c>
      <c r="D1399" t="s">
        <v>377</v>
      </c>
      <c r="E1399" s="4">
        <v>35.311999999999998</v>
      </c>
      <c r="F1399" s="4">
        <v>63584.258999999998</v>
      </c>
      <c r="G1399" s="4">
        <v>63619.571000000004</v>
      </c>
      <c r="H1399" s="5">
        <f>2059 / 86400</f>
        <v>2.3831018518518519E-2</v>
      </c>
      <c r="I1399" t="s">
        <v>73</v>
      </c>
      <c r="J1399" t="s">
        <v>163</v>
      </c>
      <c r="K1399" s="5">
        <f>5610 / 86400</f>
        <v>6.4930555555555561E-2</v>
      </c>
      <c r="L1399" s="5">
        <f>61 / 86400</f>
        <v>7.0601851851851847E-4</v>
      </c>
    </row>
    <row r="1400" spans="1:12" x14ac:dyDescent="0.25">
      <c r="A1400" s="3">
        <v>45715.964699074073</v>
      </c>
      <c r="B1400" t="s">
        <v>377</v>
      </c>
      <c r="C1400" s="3">
        <v>45715.964814814812</v>
      </c>
      <c r="D1400" t="s">
        <v>377</v>
      </c>
      <c r="E1400" s="4">
        <v>0</v>
      </c>
      <c r="F1400" s="4">
        <v>63619.571000000004</v>
      </c>
      <c r="G1400" s="4">
        <v>63619.571000000004</v>
      </c>
      <c r="H1400" s="5">
        <f>0 / 86400</f>
        <v>0</v>
      </c>
      <c r="I1400" t="s">
        <v>21</v>
      </c>
      <c r="J1400" t="s">
        <v>21</v>
      </c>
      <c r="K1400" s="5">
        <f>9 / 86400</f>
        <v>1.0416666666666667E-4</v>
      </c>
      <c r="L1400" s="5">
        <f>378 / 86400</f>
        <v>4.3750000000000004E-3</v>
      </c>
    </row>
    <row r="1401" spans="1:12" x14ac:dyDescent="0.25">
      <c r="A1401" s="3">
        <v>45715.969189814816</v>
      </c>
      <c r="B1401" t="s">
        <v>377</v>
      </c>
      <c r="C1401" s="3">
        <v>45715.969328703708</v>
      </c>
      <c r="D1401" t="s">
        <v>377</v>
      </c>
      <c r="E1401" s="4">
        <v>1E-3</v>
      </c>
      <c r="F1401" s="4">
        <v>63619.571000000004</v>
      </c>
      <c r="G1401" s="4">
        <v>63619.572</v>
      </c>
      <c r="H1401" s="5">
        <f>0 / 86400</f>
        <v>0</v>
      </c>
      <c r="I1401" t="s">
        <v>21</v>
      </c>
      <c r="J1401" t="s">
        <v>21</v>
      </c>
      <c r="K1401" s="5">
        <f>11 / 86400</f>
        <v>1.273148148148148E-4</v>
      </c>
      <c r="L1401" s="5">
        <f>296 / 86400</f>
        <v>3.425925925925926E-3</v>
      </c>
    </row>
    <row r="1402" spans="1:12" x14ac:dyDescent="0.25">
      <c r="A1402" s="3">
        <v>45715.972754629634</v>
      </c>
      <c r="B1402" t="s">
        <v>377</v>
      </c>
      <c r="C1402" s="3">
        <v>45715.973703703705</v>
      </c>
      <c r="D1402" t="s">
        <v>377</v>
      </c>
      <c r="E1402" s="4">
        <v>8.9999999999999993E-3</v>
      </c>
      <c r="F1402" s="4">
        <v>63619.572</v>
      </c>
      <c r="G1402" s="4">
        <v>63619.580999999998</v>
      </c>
      <c r="H1402" s="5">
        <f>79 / 86400</f>
        <v>9.1435185185185185E-4</v>
      </c>
      <c r="I1402" t="s">
        <v>21</v>
      </c>
      <c r="J1402" t="s">
        <v>21</v>
      </c>
      <c r="K1402" s="5">
        <f>81 / 86400</f>
        <v>9.3749999999999997E-4</v>
      </c>
      <c r="L1402" s="5">
        <f>38 / 86400</f>
        <v>4.3981481481481481E-4</v>
      </c>
    </row>
    <row r="1403" spans="1:12" x14ac:dyDescent="0.25">
      <c r="A1403" s="3">
        <v>45715.974143518513</v>
      </c>
      <c r="B1403" t="s">
        <v>377</v>
      </c>
      <c r="C1403" s="3">
        <v>45715.974340277782</v>
      </c>
      <c r="D1403" t="s">
        <v>377</v>
      </c>
      <c r="E1403" s="4">
        <v>2E-3</v>
      </c>
      <c r="F1403" s="4">
        <v>63619.580999999998</v>
      </c>
      <c r="G1403" s="4">
        <v>63619.582999999999</v>
      </c>
      <c r="H1403" s="5">
        <f>0 / 86400</f>
        <v>0</v>
      </c>
      <c r="I1403" t="s">
        <v>21</v>
      </c>
      <c r="J1403" t="s">
        <v>21</v>
      </c>
      <c r="K1403" s="5">
        <f>16 / 86400</f>
        <v>1.8518518518518518E-4</v>
      </c>
      <c r="L1403" s="5">
        <f>111 / 86400</f>
        <v>1.2847222222222223E-3</v>
      </c>
    </row>
    <row r="1404" spans="1:12" x14ac:dyDescent="0.25">
      <c r="A1404" s="3">
        <v>45715.975624999999</v>
      </c>
      <c r="B1404" t="s">
        <v>377</v>
      </c>
      <c r="C1404" s="3">
        <v>45715.981319444443</v>
      </c>
      <c r="D1404" t="s">
        <v>300</v>
      </c>
      <c r="E1404" s="4">
        <v>4.0000000000000001E-3</v>
      </c>
      <c r="F1404" s="4">
        <v>63619.582999999999</v>
      </c>
      <c r="G1404" s="4">
        <v>63619.587</v>
      </c>
      <c r="H1404" s="5">
        <f>479 / 86400</f>
        <v>5.5439814814814813E-3</v>
      </c>
      <c r="I1404" t="s">
        <v>21</v>
      </c>
      <c r="J1404" t="s">
        <v>21</v>
      </c>
      <c r="K1404" s="5">
        <f>491 / 86400</f>
        <v>5.6828703703703702E-3</v>
      </c>
      <c r="L1404" s="5">
        <f>4 / 86400</f>
        <v>4.6296296296296294E-5</v>
      </c>
    </row>
    <row r="1405" spans="1:12" x14ac:dyDescent="0.25">
      <c r="A1405" s="3">
        <v>45715.981365740736</v>
      </c>
      <c r="B1405" t="s">
        <v>300</v>
      </c>
      <c r="C1405" s="3">
        <v>45715.984039351853</v>
      </c>
      <c r="D1405" t="s">
        <v>413</v>
      </c>
      <c r="E1405" s="4">
        <v>0.25800000000000001</v>
      </c>
      <c r="F1405" s="4">
        <v>63619.587</v>
      </c>
      <c r="G1405" s="4">
        <v>63619.845000000001</v>
      </c>
      <c r="H1405" s="5">
        <f>164 / 86400</f>
        <v>1.8981481481481482E-3</v>
      </c>
      <c r="I1405" t="s">
        <v>140</v>
      </c>
      <c r="J1405" t="s">
        <v>132</v>
      </c>
      <c r="K1405" s="5">
        <f>231 / 86400</f>
        <v>2.673611111111111E-3</v>
      </c>
      <c r="L1405" s="5">
        <f>8 / 86400</f>
        <v>9.2592592592592588E-5</v>
      </c>
    </row>
    <row r="1406" spans="1:12" x14ac:dyDescent="0.25">
      <c r="A1406" s="3">
        <v>45715.984131944446</v>
      </c>
      <c r="B1406" t="s">
        <v>413</v>
      </c>
      <c r="C1406" s="3">
        <v>45715.99998842593</v>
      </c>
      <c r="D1406" t="s">
        <v>113</v>
      </c>
      <c r="E1406" s="4">
        <v>7.5439999999999996</v>
      </c>
      <c r="F1406" s="4">
        <v>63619.845000000001</v>
      </c>
      <c r="G1406" s="4">
        <v>63627.389000000003</v>
      </c>
      <c r="H1406" s="5">
        <f>260 / 86400</f>
        <v>3.0092592592592593E-3</v>
      </c>
      <c r="I1406" t="s">
        <v>315</v>
      </c>
      <c r="J1406" t="s">
        <v>116</v>
      </c>
      <c r="K1406" s="5">
        <f>1370 / 86400</f>
        <v>1.5856481481481482E-2</v>
      </c>
      <c r="L1406" s="5">
        <f>0 / 86400</f>
        <v>0</v>
      </c>
    </row>
    <row r="1407" spans="1:12" x14ac:dyDescent="0.25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</row>
    <row r="1408" spans="1:12" x14ac:dyDescent="0.25">
      <c r="A1408" s="12"/>
      <c r="B1408" s="12"/>
      <c r="C1408" s="12"/>
      <c r="D1408" s="12"/>
      <c r="E1408" s="12"/>
      <c r="F1408" s="12"/>
      <c r="G1408" s="12"/>
      <c r="H1408" s="12"/>
      <c r="I1408" s="12"/>
      <c r="J1408" s="12"/>
    </row>
    <row r="1409" spans="1:12" s="10" customFormat="1" ht="20.100000000000001" customHeight="1" x14ac:dyDescent="0.35">
      <c r="A1409" s="11" t="s">
        <v>570</v>
      </c>
      <c r="B1409" s="11"/>
      <c r="C1409" s="11"/>
      <c r="D1409" s="11"/>
      <c r="E1409" s="11"/>
      <c r="F1409" s="11"/>
      <c r="G1409" s="11"/>
      <c r="H1409" s="11"/>
      <c r="I1409" s="11"/>
      <c r="J1409" s="11"/>
    </row>
    <row r="1410" spans="1:12" x14ac:dyDescent="0.25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</row>
    <row r="1411" spans="1:12" ht="30" x14ac:dyDescent="0.25">
      <c r="A1411" s="2" t="s">
        <v>5</v>
      </c>
      <c r="B1411" s="2" t="s">
        <v>6</v>
      </c>
      <c r="C1411" s="2" t="s">
        <v>7</v>
      </c>
      <c r="D1411" s="2" t="s">
        <v>8</v>
      </c>
      <c r="E1411" s="2" t="s">
        <v>9</v>
      </c>
      <c r="F1411" s="2" t="s">
        <v>10</v>
      </c>
      <c r="G1411" s="2" t="s">
        <v>11</v>
      </c>
      <c r="H1411" s="2" t="s">
        <v>12</v>
      </c>
      <c r="I1411" s="2" t="s">
        <v>13</v>
      </c>
      <c r="J1411" s="2" t="s">
        <v>14</v>
      </c>
      <c r="K1411" s="2" t="s">
        <v>15</v>
      </c>
      <c r="L1411" s="2" t="s">
        <v>16</v>
      </c>
    </row>
    <row r="1412" spans="1:12" x14ac:dyDescent="0.25">
      <c r="A1412" s="3">
        <v>45715.003807870366</v>
      </c>
      <c r="B1412" t="s">
        <v>91</v>
      </c>
      <c r="C1412" s="3">
        <v>45715.009282407409</v>
      </c>
      <c r="D1412" t="s">
        <v>36</v>
      </c>
      <c r="E1412" s="4">
        <v>1.5989999999850988</v>
      </c>
      <c r="F1412" s="4">
        <v>67030.676000000007</v>
      </c>
      <c r="G1412" s="4">
        <v>67032.274999999994</v>
      </c>
      <c r="H1412" s="5">
        <f>100 / 86400</f>
        <v>1.1574074074074073E-3</v>
      </c>
      <c r="I1412" t="s">
        <v>211</v>
      </c>
      <c r="J1412" t="s">
        <v>85</v>
      </c>
      <c r="K1412" s="5">
        <f>473 / 86400</f>
        <v>5.4745370370370373E-3</v>
      </c>
      <c r="L1412" s="5">
        <f>14979 / 86400</f>
        <v>0.17336805555555557</v>
      </c>
    </row>
    <row r="1413" spans="1:12" x14ac:dyDescent="0.25">
      <c r="A1413" s="3">
        <v>45715.178842592592</v>
      </c>
      <c r="B1413" t="s">
        <v>36</v>
      </c>
      <c r="C1413" s="3">
        <v>45715.186840277776</v>
      </c>
      <c r="D1413" t="s">
        <v>148</v>
      </c>
      <c r="E1413" s="4">
        <v>0.44700000000000001</v>
      </c>
      <c r="F1413" s="4">
        <v>67032.274999999994</v>
      </c>
      <c r="G1413" s="4">
        <v>67032.721999999994</v>
      </c>
      <c r="H1413" s="5">
        <f>539 / 86400</f>
        <v>6.2384259259259259E-3</v>
      </c>
      <c r="I1413" t="s">
        <v>41</v>
      </c>
      <c r="J1413" t="s">
        <v>29</v>
      </c>
      <c r="K1413" s="5">
        <f>691 / 86400</f>
        <v>7.9976851851851858E-3</v>
      </c>
      <c r="L1413" s="5">
        <f>499 / 86400</f>
        <v>5.7754629629629631E-3</v>
      </c>
    </row>
    <row r="1414" spans="1:12" x14ac:dyDescent="0.25">
      <c r="A1414" s="3">
        <v>45715.192615740743</v>
      </c>
      <c r="B1414" t="s">
        <v>148</v>
      </c>
      <c r="C1414" s="3">
        <v>45715.385613425926</v>
      </c>
      <c r="D1414" t="s">
        <v>46</v>
      </c>
      <c r="E1414" s="4">
        <v>102.60200000000745</v>
      </c>
      <c r="F1414" s="4">
        <v>67032.721999999994</v>
      </c>
      <c r="G1414" s="4">
        <v>67135.323999999993</v>
      </c>
      <c r="H1414" s="5">
        <f>4600 / 86400</f>
        <v>5.3240740740740741E-2</v>
      </c>
      <c r="I1414" t="s">
        <v>510</v>
      </c>
      <c r="J1414" t="s">
        <v>34</v>
      </c>
      <c r="K1414" s="5">
        <f>16674 / 86400</f>
        <v>0.19298611111111111</v>
      </c>
      <c r="L1414" s="5">
        <f>1582 / 86400</f>
        <v>1.8310185185185186E-2</v>
      </c>
    </row>
    <row r="1415" spans="1:12" x14ac:dyDescent="0.25">
      <c r="A1415" s="3">
        <v>45715.403923611113</v>
      </c>
      <c r="B1415" t="s">
        <v>46</v>
      </c>
      <c r="C1415" s="3">
        <v>45715.408148148148</v>
      </c>
      <c r="D1415" t="s">
        <v>122</v>
      </c>
      <c r="E1415" s="4">
        <v>1.054</v>
      </c>
      <c r="F1415" s="4">
        <v>67135.323999999993</v>
      </c>
      <c r="G1415" s="4">
        <v>67136.377999999997</v>
      </c>
      <c r="H1415" s="5">
        <f>100 / 86400</f>
        <v>1.1574074074074073E-3</v>
      </c>
      <c r="I1415" t="s">
        <v>153</v>
      </c>
      <c r="J1415" t="s">
        <v>28</v>
      </c>
      <c r="K1415" s="5">
        <f>364 / 86400</f>
        <v>4.2129629629629626E-3</v>
      </c>
      <c r="L1415" s="5">
        <f>711 / 86400</f>
        <v>8.2291666666666659E-3</v>
      </c>
    </row>
    <row r="1416" spans="1:12" x14ac:dyDescent="0.25">
      <c r="A1416" s="3">
        <v>45715.416377314818</v>
      </c>
      <c r="B1416" t="s">
        <v>122</v>
      </c>
      <c r="C1416" s="3">
        <v>45715.526539351849</v>
      </c>
      <c r="D1416" t="s">
        <v>511</v>
      </c>
      <c r="E1416" s="4">
        <v>49.487000000000002</v>
      </c>
      <c r="F1416" s="4">
        <v>67136.377999999997</v>
      </c>
      <c r="G1416" s="4">
        <v>67185.865000000005</v>
      </c>
      <c r="H1416" s="5">
        <f>3380 / 86400</f>
        <v>3.9120370370370368E-2</v>
      </c>
      <c r="I1416" t="s">
        <v>115</v>
      </c>
      <c r="J1416" t="s">
        <v>62</v>
      </c>
      <c r="K1416" s="5">
        <f>9518 / 86400</f>
        <v>0.11016203703703703</v>
      </c>
      <c r="L1416" s="5">
        <f>422 / 86400</f>
        <v>4.8842592592592592E-3</v>
      </c>
    </row>
    <row r="1417" spans="1:12" x14ac:dyDescent="0.25">
      <c r="A1417" s="3">
        <v>45715.531423611115</v>
      </c>
      <c r="B1417" t="s">
        <v>511</v>
      </c>
      <c r="C1417" s="3">
        <v>45715.629953703705</v>
      </c>
      <c r="D1417" t="s">
        <v>74</v>
      </c>
      <c r="E1417" s="4">
        <v>45.814999999999998</v>
      </c>
      <c r="F1417" s="4">
        <v>67185.865000000005</v>
      </c>
      <c r="G1417" s="4">
        <v>67231.679999999993</v>
      </c>
      <c r="H1417" s="5">
        <f>3018 / 86400</f>
        <v>3.4930555555555555E-2</v>
      </c>
      <c r="I1417" t="s">
        <v>25</v>
      </c>
      <c r="J1417" t="s">
        <v>62</v>
      </c>
      <c r="K1417" s="5">
        <f>8513 / 86400</f>
        <v>9.8530092592592586E-2</v>
      </c>
      <c r="L1417" s="5">
        <f>25 / 86400</f>
        <v>2.8935185185185184E-4</v>
      </c>
    </row>
    <row r="1418" spans="1:12" x14ac:dyDescent="0.25">
      <c r="A1418" s="3">
        <v>45715.630243055552</v>
      </c>
      <c r="B1418" t="s">
        <v>74</v>
      </c>
      <c r="C1418" s="3">
        <v>45715.630347222221</v>
      </c>
      <c r="D1418" t="s">
        <v>74</v>
      </c>
      <c r="E1418" s="4">
        <v>6.0000000000000001E-3</v>
      </c>
      <c r="F1418" s="4">
        <v>67231.679999999993</v>
      </c>
      <c r="G1418" s="4">
        <v>67231.686000000002</v>
      </c>
      <c r="H1418" s="5">
        <f>0 / 86400</f>
        <v>0</v>
      </c>
      <c r="I1418" t="s">
        <v>21</v>
      </c>
      <c r="J1418" t="s">
        <v>136</v>
      </c>
      <c r="K1418" s="5">
        <f>8 / 86400</f>
        <v>9.2592592592592588E-5</v>
      </c>
      <c r="L1418" s="5">
        <f>466 / 86400</f>
        <v>5.3935185185185188E-3</v>
      </c>
    </row>
    <row r="1419" spans="1:12" x14ac:dyDescent="0.25">
      <c r="A1419" s="3">
        <v>45715.635740740741</v>
      </c>
      <c r="B1419" t="s">
        <v>74</v>
      </c>
      <c r="C1419" s="3">
        <v>45715.637499999997</v>
      </c>
      <c r="D1419" t="s">
        <v>436</v>
      </c>
      <c r="E1419" s="4">
        <v>0.71899999999999997</v>
      </c>
      <c r="F1419" s="4">
        <v>67231.686000000002</v>
      </c>
      <c r="G1419" s="4">
        <v>67232.404999999999</v>
      </c>
      <c r="H1419" s="5">
        <f>20 / 86400</f>
        <v>2.3148148148148149E-4</v>
      </c>
      <c r="I1419" t="s">
        <v>173</v>
      </c>
      <c r="J1419" t="s">
        <v>19</v>
      </c>
      <c r="K1419" s="5">
        <f>151 / 86400</f>
        <v>1.7476851851851852E-3</v>
      </c>
      <c r="L1419" s="5">
        <f>110 / 86400</f>
        <v>1.2731481481481483E-3</v>
      </c>
    </row>
    <row r="1420" spans="1:12" x14ac:dyDescent="0.25">
      <c r="A1420" s="3">
        <v>45715.638773148152</v>
      </c>
      <c r="B1420" t="s">
        <v>436</v>
      </c>
      <c r="C1420" s="3">
        <v>45715.639884259261</v>
      </c>
      <c r="D1420" t="s">
        <v>83</v>
      </c>
      <c r="E1420" s="4">
        <v>0.23</v>
      </c>
      <c r="F1420" s="4">
        <v>67232.404999999999</v>
      </c>
      <c r="G1420" s="4">
        <v>67232.634999999995</v>
      </c>
      <c r="H1420" s="5">
        <f>20 / 86400</f>
        <v>2.3148148148148149E-4</v>
      </c>
      <c r="I1420" t="s">
        <v>34</v>
      </c>
      <c r="J1420" t="s">
        <v>135</v>
      </c>
      <c r="K1420" s="5">
        <f>95 / 86400</f>
        <v>1.0995370370370371E-3</v>
      </c>
      <c r="L1420" s="5">
        <f>344 / 86400</f>
        <v>3.9814814814814817E-3</v>
      </c>
    </row>
    <row r="1421" spans="1:12" x14ac:dyDescent="0.25">
      <c r="A1421" s="3">
        <v>45715.643865740742</v>
      </c>
      <c r="B1421" t="s">
        <v>83</v>
      </c>
      <c r="C1421" s="3">
        <v>45715.994166666671</v>
      </c>
      <c r="D1421" t="s">
        <v>91</v>
      </c>
      <c r="E1421" s="4">
        <v>159.86000000000001</v>
      </c>
      <c r="F1421" s="4">
        <v>67232.634999999995</v>
      </c>
      <c r="G1421" s="4">
        <v>67392.494999999995</v>
      </c>
      <c r="H1421" s="5">
        <f>10921 / 86400</f>
        <v>0.12640046296296295</v>
      </c>
      <c r="I1421" t="s">
        <v>512</v>
      </c>
      <c r="J1421" t="s">
        <v>62</v>
      </c>
      <c r="K1421" s="5">
        <f>30265 / 86400</f>
        <v>0.35028935185185184</v>
      </c>
      <c r="L1421" s="5">
        <f>503 / 86400</f>
        <v>5.8217592592592592E-3</v>
      </c>
    </row>
    <row r="1422" spans="1:12" x14ac:dyDescent="0.25">
      <c r="A1422" s="12"/>
      <c r="B1422" s="12"/>
      <c r="C1422" s="12"/>
      <c r="D1422" s="12"/>
      <c r="E1422" s="12"/>
      <c r="F1422" s="12"/>
      <c r="G1422" s="12"/>
      <c r="H1422" s="12"/>
      <c r="I1422" s="12"/>
      <c r="J1422" s="12"/>
    </row>
    <row r="1423" spans="1:12" x14ac:dyDescent="0.25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</row>
    <row r="1424" spans="1:12" s="10" customFormat="1" ht="20.100000000000001" customHeight="1" x14ac:dyDescent="0.35">
      <c r="A1424" s="11" t="s">
        <v>571</v>
      </c>
      <c r="B1424" s="11"/>
      <c r="C1424" s="11"/>
      <c r="D1424" s="11"/>
      <c r="E1424" s="11"/>
      <c r="F1424" s="11"/>
      <c r="G1424" s="11"/>
      <c r="H1424" s="11"/>
      <c r="I1424" s="11"/>
      <c r="J1424" s="11"/>
    </row>
    <row r="1425" spans="1:12" x14ac:dyDescent="0.25">
      <c r="A1425" s="12"/>
      <c r="B1425" s="12"/>
      <c r="C1425" s="12"/>
      <c r="D1425" s="12"/>
      <c r="E1425" s="12"/>
      <c r="F1425" s="12"/>
      <c r="G1425" s="12"/>
      <c r="H1425" s="12"/>
      <c r="I1425" s="12"/>
      <c r="J1425" s="12"/>
    </row>
    <row r="1426" spans="1:12" ht="30" x14ac:dyDescent="0.25">
      <c r="A1426" s="2" t="s">
        <v>5</v>
      </c>
      <c r="B1426" s="2" t="s">
        <v>6</v>
      </c>
      <c r="C1426" s="2" t="s">
        <v>7</v>
      </c>
      <c r="D1426" s="2" t="s">
        <v>8</v>
      </c>
      <c r="E1426" s="2" t="s">
        <v>9</v>
      </c>
      <c r="F1426" s="2" t="s">
        <v>10</v>
      </c>
      <c r="G1426" s="2" t="s">
        <v>11</v>
      </c>
      <c r="H1426" s="2" t="s">
        <v>12</v>
      </c>
      <c r="I1426" s="2" t="s">
        <v>13</v>
      </c>
      <c r="J1426" s="2" t="s">
        <v>14</v>
      </c>
      <c r="K1426" s="2" t="s">
        <v>15</v>
      </c>
      <c r="L1426" s="2" t="s">
        <v>16</v>
      </c>
    </row>
    <row r="1427" spans="1:12" x14ac:dyDescent="0.25">
      <c r="A1427" s="3">
        <v>45715.304340277777</v>
      </c>
      <c r="B1427" t="s">
        <v>83</v>
      </c>
      <c r="C1427" s="3">
        <v>45715.530810185184</v>
      </c>
      <c r="D1427" t="s">
        <v>83</v>
      </c>
      <c r="E1427" s="4">
        <v>96.617000000000004</v>
      </c>
      <c r="F1427" s="4">
        <v>294320.38900000002</v>
      </c>
      <c r="G1427" s="4">
        <v>294417.00599999999</v>
      </c>
      <c r="H1427" s="5">
        <f>6399 / 86400</f>
        <v>7.4062500000000003E-2</v>
      </c>
      <c r="I1427" t="s">
        <v>45</v>
      </c>
      <c r="J1427" t="s">
        <v>30</v>
      </c>
      <c r="K1427" s="5">
        <f>19566 / 86400</f>
        <v>0.22645833333333334</v>
      </c>
      <c r="L1427" s="5">
        <f>29089 / 86400</f>
        <v>0.33667824074074076</v>
      </c>
    </row>
    <row r="1428" spans="1:12" x14ac:dyDescent="0.25">
      <c r="A1428" s="3">
        <v>45715.563148148147</v>
      </c>
      <c r="B1428" t="s">
        <v>83</v>
      </c>
      <c r="C1428" s="3">
        <v>45715.881076388891</v>
      </c>
      <c r="D1428" t="s">
        <v>83</v>
      </c>
      <c r="E1428" s="4">
        <v>104.117</v>
      </c>
      <c r="F1428" s="4">
        <v>294417.00599999999</v>
      </c>
      <c r="G1428" s="4">
        <v>294521.12300000002</v>
      </c>
      <c r="H1428" s="5">
        <f>11979 / 86400</f>
        <v>0.13864583333333333</v>
      </c>
      <c r="I1428" t="s">
        <v>117</v>
      </c>
      <c r="J1428" t="s">
        <v>41</v>
      </c>
      <c r="K1428" s="5">
        <f>27468 / 86400</f>
        <v>0.31791666666666668</v>
      </c>
      <c r="L1428" s="5">
        <f>10274 / 86400</f>
        <v>0.11891203703703704</v>
      </c>
    </row>
    <row r="1429" spans="1:12" x14ac:dyDescent="0.25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</row>
    <row r="1430" spans="1:12" x14ac:dyDescent="0.25">
      <c r="A1430" s="12" t="s">
        <v>119</v>
      </c>
      <c r="B1430" s="12"/>
      <c r="C1430" s="12"/>
      <c r="D1430" s="12"/>
      <c r="E1430" s="12"/>
      <c r="F1430" s="12"/>
      <c r="G1430" s="12"/>
      <c r="H1430" s="12"/>
      <c r="I1430" s="12"/>
      <c r="J1430" s="12"/>
    </row>
  </sheetData>
  <mergeCells count="246">
    <mergeCell ref="A1:J1"/>
    <mergeCell ref="A2:J2"/>
    <mergeCell ref="A3:J3"/>
    <mergeCell ref="A4:J4"/>
    <mergeCell ref="A5:J5"/>
    <mergeCell ref="A6:J6"/>
    <mergeCell ref="A68:J68"/>
    <mergeCell ref="A69:J69"/>
    <mergeCell ref="A70:J70"/>
    <mergeCell ref="A71:J71"/>
    <mergeCell ref="A72:J72"/>
    <mergeCell ref="A73:J73"/>
    <mergeCell ref="A86:J86"/>
    <mergeCell ref="A87:J87"/>
    <mergeCell ref="A88:J88"/>
    <mergeCell ref="A89:J89"/>
    <mergeCell ref="A99:J99"/>
    <mergeCell ref="A100:J100"/>
    <mergeCell ref="A101:J101"/>
    <mergeCell ref="A102:J102"/>
    <mergeCell ref="A117:J117"/>
    <mergeCell ref="A118:J118"/>
    <mergeCell ref="A119:J119"/>
    <mergeCell ref="A120:J120"/>
    <mergeCell ref="A131:J131"/>
    <mergeCell ref="A132:J132"/>
    <mergeCell ref="A133:J133"/>
    <mergeCell ref="A134:J134"/>
    <mergeCell ref="A149:J149"/>
    <mergeCell ref="A150:J150"/>
    <mergeCell ref="A151:J151"/>
    <mergeCell ref="A152:J152"/>
    <mergeCell ref="A157:J157"/>
    <mergeCell ref="A158:J158"/>
    <mergeCell ref="A159:J159"/>
    <mergeCell ref="A160:J160"/>
    <mergeCell ref="A175:J175"/>
    <mergeCell ref="A176:J176"/>
    <mergeCell ref="A177:J177"/>
    <mergeCell ref="A178:J178"/>
    <mergeCell ref="A593:J593"/>
    <mergeCell ref="A594:J594"/>
    <mergeCell ref="A595:J595"/>
    <mergeCell ref="A596:J596"/>
    <mergeCell ref="A602:J602"/>
    <mergeCell ref="A603:J603"/>
    <mergeCell ref="A604:J604"/>
    <mergeCell ref="A605:J605"/>
    <mergeCell ref="A615:J615"/>
    <mergeCell ref="A616:J616"/>
    <mergeCell ref="A617:J617"/>
    <mergeCell ref="A618:J618"/>
    <mergeCell ref="A638:J638"/>
    <mergeCell ref="A639:J639"/>
    <mergeCell ref="A640:J640"/>
    <mergeCell ref="A641:J641"/>
    <mergeCell ref="A653:J653"/>
    <mergeCell ref="A654:J654"/>
    <mergeCell ref="A655:J655"/>
    <mergeCell ref="A656:J656"/>
    <mergeCell ref="A668:J668"/>
    <mergeCell ref="A669:J669"/>
    <mergeCell ref="A670:J670"/>
    <mergeCell ref="A671:J671"/>
    <mergeCell ref="A686:J686"/>
    <mergeCell ref="A687:J687"/>
    <mergeCell ref="A688:J688"/>
    <mergeCell ref="A689:J689"/>
    <mergeCell ref="A700:J700"/>
    <mergeCell ref="A701:J701"/>
    <mergeCell ref="A702:J702"/>
    <mergeCell ref="A703:J703"/>
    <mergeCell ref="A715:J715"/>
    <mergeCell ref="A716:J716"/>
    <mergeCell ref="A717:J717"/>
    <mergeCell ref="A718:J718"/>
    <mergeCell ref="A731:J731"/>
    <mergeCell ref="A732:J732"/>
    <mergeCell ref="A733:J733"/>
    <mergeCell ref="A734:J734"/>
    <mergeCell ref="A751:J751"/>
    <mergeCell ref="A752:J752"/>
    <mergeCell ref="A753:J753"/>
    <mergeCell ref="A754:J754"/>
    <mergeCell ref="A761:J761"/>
    <mergeCell ref="A762:J762"/>
    <mergeCell ref="A763:J763"/>
    <mergeCell ref="A764:J764"/>
    <mergeCell ref="A784:J784"/>
    <mergeCell ref="A785:J785"/>
    <mergeCell ref="A786:J786"/>
    <mergeCell ref="A787:J787"/>
    <mergeCell ref="A796:J796"/>
    <mergeCell ref="A797:J797"/>
    <mergeCell ref="A798:J798"/>
    <mergeCell ref="A799:J799"/>
    <mergeCell ref="A808:J808"/>
    <mergeCell ref="A809:J809"/>
    <mergeCell ref="A810:J810"/>
    <mergeCell ref="A811:J811"/>
    <mergeCell ref="A820:J820"/>
    <mergeCell ref="A821:J821"/>
    <mergeCell ref="A822:J822"/>
    <mergeCell ref="A823:J823"/>
    <mergeCell ref="A826:J826"/>
    <mergeCell ref="A827:J827"/>
    <mergeCell ref="A828:J828"/>
    <mergeCell ref="A829:J829"/>
    <mergeCell ref="A846:J846"/>
    <mergeCell ref="A847:J847"/>
    <mergeCell ref="A848:J848"/>
    <mergeCell ref="A849:J849"/>
    <mergeCell ref="A864:J864"/>
    <mergeCell ref="A865:J865"/>
    <mergeCell ref="A866:J866"/>
    <mergeCell ref="A867:J867"/>
    <mergeCell ref="A882:J882"/>
    <mergeCell ref="A883:J883"/>
    <mergeCell ref="A884:J884"/>
    <mergeCell ref="A885:J885"/>
    <mergeCell ref="A895:J895"/>
    <mergeCell ref="A896:J896"/>
    <mergeCell ref="A897:J897"/>
    <mergeCell ref="A898:J898"/>
    <mergeCell ref="A911:J911"/>
    <mergeCell ref="A912:J912"/>
    <mergeCell ref="A913:J913"/>
    <mergeCell ref="A914:J914"/>
    <mergeCell ref="A988:J988"/>
    <mergeCell ref="A989:J989"/>
    <mergeCell ref="A990:J990"/>
    <mergeCell ref="A991:J991"/>
    <mergeCell ref="A994:J994"/>
    <mergeCell ref="A995:J995"/>
    <mergeCell ref="A996:J996"/>
    <mergeCell ref="A997:J997"/>
    <mergeCell ref="A1003:J1003"/>
    <mergeCell ref="A1004:J1004"/>
    <mergeCell ref="A1005:J1005"/>
    <mergeCell ref="A1006:J1006"/>
    <mergeCell ref="A1014:J1014"/>
    <mergeCell ref="A1015:J1015"/>
    <mergeCell ref="A1016:J1016"/>
    <mergeCell ref="A1017:J1017"/>
    <mergeCell ref="A1025:J1025"/>
    <mergeCell ref="A1026:J1026"/>
    <mergeCell ref="A1027:J1027"/>
    <mergeCell ref="A1028:J1028"/>
    <mergeCell ref="A1036:J1036"/>
    <mergeCell ref="A1037:J1037"/>
    <mergeCell ref="A1038:J1038"/>
    <mergeCell ref="A1039:J1039"/>
    <mergeCell ref="A1051:J1051"/>
    <mergeCell ref="A1052:J1052"/>
    <mergeCell ref="A1053:J1053"/>
    <mergeCell ref="A1054:J1054"/>
    <mergeCell ref="A1060:J1060"/>
    <mergeCell ref="A1061:J1061"/>
    <mergeCell ref="A1062:J1062"/>
    <mergeCell ref="A1063:J1063"/>
    <mergeCell ref="A1073:J1073"/>
    <mergeCell ref="A1074:J1074"/>
    <mergeCell ref="A1075:J1075"/>
    <mergeCell ref="A1076:J1076"/>
    <mergeCell ref="A1102:J1102"/>
    <mergeCell ref="A1103:J1103"/>
    <mergeCell ref="A1104:J1104"/>
    <mergeCell ref="A1105:J1105"/>
    <mergeCell ref="A1116:J1116"/>
    <mergeCell ref="A1117:J1117"/>
    <mergeCell ref="A1118:J1118"/>
    <mergeCell ref="A1119:J1119"/>
    <mergeCell ref="A1127:J1127"/>
    <mergeCell ref="A1128:J1128"/>
    <mergeCell ref="A1129:J1129"/>
    <mergeCell ref="A1130:J1130"/>
    <mergeCell ref="A1142:J1142"/>
    <mergeCell ref="A1143:J1143"/>
    <mergeCell ref="A1144:J1144"/>
    <mergeCell ref="A1145:J1145"/>
    <mergeCell ref="A1178:J1178"/>
    <mergeCell ref="A1179:J1179"/>
    <mergeCell ref="A1180:J1180"/>
    <mergeCell ref="A1181:J1181"/>
    <mergeCell ref="A1189:J1189"/>
    <mergeCell ref="A1190:J1190"/>
    <mergeCell ref="A1191:J1191"/>
    <mergeCell ref="A1192:J1192"/>
    <mergeCell ref="A1208:J1208"/>
    <mergeCell ref="A1209:J1209"/>
    <mergeCell ref="A1210:J1210"/>
    <mergeCell ref="A1211:J1211"/>
    <mergeCell ref="A1220:J1220"/>
    <mergeCell ref="A1221:J1221"/>
    <mergeCell ref="A1222:J1222"/>
    <mergeCell ref="A1223:J1223"/>
    <mergeCell ref="A1239:J1239"/>
    <mergeCell ref="A1240:J1240"/>
    <mergeCell ref="A1241:J1241"/>
    <mergeCell ref="A1242:J1242"/>
    <mergeCell ref="A1256:J1256"/>
    <mergeCell ref="A1257:J1257"/>
    <mergeCell ref="A1258:J1258"/>
    <mergeCell ref="A1259:J1259"/>
    <mergeCell ref="A1266:J1266"/>
    <mergeCell ref="A1267:J1267"/>
    <mergeCell ref="A1268:J1268"/>
    <mergeCell ref="A1269:J1269"/>
    <mergeCell ref="A1286:J1286"/>
    <mergeCell ref="A1287:J1287"/>
    <mergeCell ref="A1288:J1288"/>
    <mergeCell ref="A1289:J1289"/>
    <mergeCell ref="A1296:J1296"/>
    <mergeCell ref="A1297:J1297"/>
    <mergeCell ref="A1298:J1298"/>
    <mergeCell ref="A1299:J1299"/>
    <mergeCell ref="A1315:J1315"/>
    <mergeCell ref="A1316:J1316"/>
    <mergeCell ref="A1317:J1317"/>
    <mergeCell ref="A1318:J1318"/>
    <mergeCell ref="A1325:J1325"/>
    <mergeCell ref="A1326:J1326"/>
    <mergeCell ref="A1327:J1327"/>
    <mergeCell ref="A1328:J1328"/>
    <mergeCell ref="A1342:J1342"/>
    <mergeCell ref="A1343:J1343"/>
    <mergeCell ref="A1344:J1344"/>
    <mergeCell ref="A1345:J1345"/>
    <mergeCell ref="A1353:J1353"/>
    <mergeCell ref="A1354:J1354"/>
    <mergeCell ref="A1355:J1355"/>
    <mergeCell ref="A1356:J1356"/>
    <mergeCell ref="A1372:J1372"/>
    <mergeCell ref="A1424:J1424"/>
    <mergeCell ref="A1425:J1425"/>
    <mergeCell ref="A1429:J1429"/>
    <mergeCell ref="A1430:J1430"/>
    <mergeCell ref="A1373:J1373"/>
    <mergeCell ref="A1374:J1374"/>
    <mergeCell ref="A1375:J1375"/>
    <mergeCell ref="A1407:J1407"/>
    <mergeCell ref="A1408:J1408"/>
    <mergeCell ref="A1409:J1409"/>
    <mergeCell ref="A1410:J1410"/>
    <mergeCell ref="A1422:J1422"/>
    <mergeCell ref="A1423:J1423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2025-09-22T19:54:41Z</dcterms:created>
  <dcterms:modified xsi:type="dcterms:W3CDTF">2025-09-23T05:46:35Z</dcterms:modified>
</cp:coreProperties>
</file>